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7.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Override PartName="/xl/drawings/drawing8.xml" ContentType="application/vnd.openxmlformats-officedocument.drawing+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charts/chart7.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0.xml" ContentType="application/vnd.openxmlformats-officedocument.drawingml.chartshapes+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1.xml" ContentType="application/vnd.openxmlformats-officedocument.drawing+xml"/>
  <Override PartName="/xl/charts/chart10.xml" ContentType="application/vnd.openxmlformats-officedocument.drawingml.chart+xml"/>
  <Override PartName="/xl/charts/style7.xml" ContentType="application/vnd.ms-office.chartstyle+xml"/>
  <Override PartName="/xl/charts/colors7.xml" ContentType="application/vnd.ms-office.chartcolorstyle+xml"/>
  <Override PartName="/xl/charts/chart11.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2.xml" ContentType="application/vnd.openxmlformats-officedocument.drawingml.chartshapes+xml"/>
  <Override PartName="/xl/drawings/drawing1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defaultThemeVersion="166925"/>
  <mc:AlternateContent xmlns:mc="http://schemas.openxmlformats.org/markup-compatibility/2006">
    <mc:Choice Requires="x15">
      <x15ac:absPath xmlns:x15ac="http://schemas.microsoft.com/office/spreadsheetml/2010/11/ac" url="C:\Users\derek.bowers\OneDrive - US Navy-flankspeed\Toolbox\CSRA\2024 Production\"/>
    </mc:Choice>
  </mc:AlternateContent>
  <xr:revisionPtr revIDLastSave="0" documentId="13_ncr:1_{295ABAE7-1B36-4F47-86D1-648E25AF40DF}" xr6:coauthVersionLast="47" xr6:coauthVersionMax="47" xr10:uidLastSave="{00000000-0000-0000-0000-000000000000}"/>
  <bookViews>
    <workbookView xWindow="-28920" yWindow="90" windowWidth="29040" windowHeight="15630" tabRatio="901" firstSheet="8" activeTab="9" xr2:uid="{00000000-000D-0000-FFFF-FFFF00000000}"/>
  </bookViews>
  <sheets>
    <sheet name="0-Change Control Log" sheetId="1" r:id="rId1"/>
    <sheet name="1-Drop Down List" sheetId="19" r:id="rId2"/>
    <sheet name="2-Risk Register Legend" sheetId="13" r:id="rId3"/>
    <sheet name="&lt;---Reference Info" sheetId="48" r:id="rId4"/>
    <sheet name="A-Quick Instructions" sheetId="2" r:id="rId5"/>
    <sheet name="B-Meeting Agenda" sheetId="3" r:id="rId6"/>
    <sheet name="C1-Risk Checklist (MILCON)" sheetId="4" r:id="rId7"/>
    <sheet name="C2-Risk Checklist (Civil Works)" sheetId="5" r:id="rId8"/>
    <sheet name="D-Project Data" sheetId="6" r:id="rId9"/>
    <sheet name="E-Cost &amp; Schedule Summary" sheetId="7" r:id="rId10"/>
    <sheet name="E-Cost &amp; Sched Summary (v2)" sheetId="20" state="hidden" r:id="rId11"/>
    <sheet name="F-Meeting Attendance" sheetId="10" r:id="rId12"/>
    <sheet name="G-Assumptions" sheetId="11" r:id="rId13"/>
    <sheet name="H-Risk Register-Model" sheetId="12" r:id="rId14"/>
    <sheet name="I-Project Contingency" sheetId="14" r:id="rId15"/>
    <sheet name="J-Sensitivity Charts" sheetId="15" r:id="rId16"/>
    <sheet name="K1-Risk Dashboard (Cost)" sheetId="17" r:id="rId17"/>
    <sheet name="K2-Risk Dashboard (Schedule)" sheetId="51" r:id="rId18"/>
    <sheet name="Optional Sheets--&gt;" sheetId="46" r:id="rId19"/>
    <sheet name="L-CHARTS FOR REPORT" sheetId="18" r:id="rId20"/>
    <sheet name="E1-Estimate Summary" sheetId="8" r:id="rId21"/>
    <sheet name="CB_DATA_" sheetId="44" state="veryHidden" r:id="rId22"/>
    <sheet name="REF Risk Detail Template" sheetId="22" r:id="rId23"/>
  </sheets>
  <definedNames>
    <definedName name="_xlnm._FilterDatabase" localSheetId="6" hidden="1">'C1-Risk Checklist (MILCON)'!$A$3:$D$452</definedName>
    <definedName name="_xlnm._FilterDatabase" localSheetId="7" hidden="1">'C2-Risk Checklist (Civil Works)'!$A$3:$D$367</definedName>
    <definedName name="_xlnm._FilterDatabase" localSheetId="13" hidden="1">'H-Risk Register-Model'!$A$17:$GB$117</definedName>
    <definedName name="APC">'1-Drop Down List'!$H$5:$H$13</definedName>
    <definedName name="CB_00fa78019eda468b8cd79ccbd862cdfd" localSheetId="13" hidden="1">'H-Risk Register-Model'!$AU$74</definedName>
    <definedName name="CB_01cb3241c9eb4117870ae73cd3fa42e1" localSheetId="13" hidden="1">'H-Risk Register-Model'!$AU$112</definedName>
    <definedName name="CB_02051b87c9e548f1960929d7ee0e4e0d" localSheetId="13" hidden="1">'H-Risk Register-Model'!$AU$110</definedName>
    <definedName name="CB_020be810c4684fc394c235446374db6a" localSheetId="13" hidden="1">'H-Risk Register-Model'!$CL$88</definedName>
    <definedName name="CB_0229b43dc34040599839da0c7ca7fdf2" localSheetId="13" hidden="1">'H-Risk Register-Model'!$CL$40</definedName>
    <definedName name="CB_042a29e945964c92b7faca1e0d6d403b" localSheetId="13" hidden="1">'H-Risk Register-Model'!$AU$72</definedName>
    <definedName name="CB_065aa36c478e40ab80c9ce1374ebc468" localSheetId="13" hidden="1">'H-Risk Register-Model'!$CL$98</definedName>
    <definedName name="CB_072580bff7154f36b1411a10e36c94bc" localSheetId="13" hidden="1">'H-Risk Register-Model'!$AU$38</definedName>
    <definedName name="CB_085d14ed97084ffebd17e11f1eed4fe2" localSheetId="13" hidden="1">'H-Risk Register-Model'!$AU$44</definedName>
    <definedName name="CB_08b9e2814a7945df8d944e97549449f8" localSheetId="13" hidden="1">'H-Risk Register-Model'!$AU$20</definedName>
    <definedName name="CB_08dc9f6c129c45f18962bb467cfad717" localSheetId="13" hidden="1">'H-Risk Register-Model'!$CL$92</definedName>
    <definedName name="CB_0a2517974f8a4a3a977b4333421519b4" localSheetId="13" hidden="1">'H-Risk Register-Model'!$CL$102</definedName>
    <definedName name="CB_0a42eb09a8004d63bec31375faf1779a" localSheetId="13" hidden="1">'H-Risk Register-Model'!$AU$22</definedName>
    <definedName name="CB_0b50fcf5c0724360a0d662f277c6d5e2" localSheetId="13" hidden="1">'H-Risk Register-Model'!$AU$104</definedName>
    <definedName name="CB_0c8d5150675e49d68c6c73e27a86ed63" localSheetId="13" hidden="1">'H-Risk Register-Model'!$CL$44</definedName>
    <definedName name="CB_0fcc84b468e54f6d8563a31ef2c8c9c9" localSheetId="13" hidden="1">'H-Risk Register-Model'!$AU$103</definedName>
    <definedName name="CB_1139838c84cd4d4d9e95cedb2c4e665e" localSheetId="13" hidden="1">'H-Risk Register-Model'!$AU$100</definedName>
    <definedName name="CB_11e0d2def9fa4a56863b031819a49595" localSheetId="13" hidden="1">'H-Risk Register-Model'!$AU$76</definedName>
    <definedName name="CB_1327bb9be16643db8899a572c17532bf" localSheetId="13" hidden="1">'H-Risk Register-Model'!$CL$86</definedName>
    <definedName name="CB_14cd88541def4361b61acef4ab5e5d5d" localSheetId="13" hidden="1">'H-Risk Register-Model'!$CL$95</definedName>
    <definedName name="CB_16b55fe59fda494e8667f2f16d234009" localSheetId="13" hidden="1">'H-Risk Register-Model'!$AU$36</definedName>
    <definedName name="CB_1cdfc8dc48474afc9352c9b84f3d9e53" localSheetId="13" hidden="1">'H-Risk Register-Model'!$CL$64</definedName>
    <definedName name="CB_1d05563f384e4bcfb93ce50827d53f59" localSheetId="13" hidden="1">'H-Risk Register-Model'!$CL$56</definedName>
    <definedName name="CB_1d771eee4105407194002c7e3ac4e2a0" localSheetId="13" hidden="1">'H-Risk Register-Model'!$AU$83</definedName>
    <definedName name="CB_1e6877bdfda24bb2b26ff09ed0d9d456" localSheetId="13" hidden="1">'H-Risk Register-Model'!$AD$18</definedName>
    <definedName name="CB_1f91411cccf7498081fa5bc7b5b29eb8" localSheetId="13" hidden="1">'H-Risk Register-Model'!$AU$50</definedName>
    <definedName name="CB_20035738d39d4bd8b985c0665728f130" localSheetId="13" hidden="1">'H-Risk Register-Model'!$AU$62</definedName>
    <definedName name="CB_213263b115964060920a70e81c71335b" localSheetId="13" hidden="1">'H-Risk Register-Model'!$CL$20</definedName>
    <definedName name="CB_214dab0720f54725ad4bfc8a529675c6" localSheetId="13" hidden="1">'H-Risk Register-Model'!$CL$108</definedName>
    <definedName name="CB_22bf5ff5616846258178f6d912b32155" localSheetId="13" hidden="1">'H-Risk Register-Model'!$AU$66</definedName>
    <definedName name="CB_26022df8877f41f4baf88b5126e2dd38" localSheetId="13" hidden="1">'H-Risk Register-Model'!$CL$58</definedName>
    <definedName name="CB_26793db829b34c73afa27f75a7e19d10" localSheetId="13" hidden="1">'H-Risk Register-Model'!$CL$31</definedName>
    <definedName name="CB_2944443390db46cca61aa4eabce5bd0c" localSheetId="13" hidden="1">'H-Risk Register-Model'!$AU$58</definedName>
    <definedName name="CB_2aa3ccc4b9a943db89d3d7dcc9cfa063" localSheetId="13" hidden="1">'H-Risk Register-Model'!$CL$79</definedName>
    <definedName name="CB_2af84f9e98fc48669eda5ce8ec3ab156" localSheetId="13" hidden="1">'H-Risk Register-Model'!$CL$68</definedName>
    <definedName name="CB_2b9f8847ec364f72b45ddd4dd3485610" localSheetId="13" hidden="1">'H-Risk Register-Model'!$AU$117</definedName>
    <definedName name="CB_2bd9f07eb3804b7ebe86477f456c80cd" localSheetId="13" hidden="1">'H-Risk Register-Model'!$AU$49</definedName>
    <definedName name="CB_2cb82a010ca148f38036d33bc35b6530" localSheetId="13" hidden="1">'H-Risk Register-Model'!$AU$59</definedName>
    <definedName name="CB_2d48f0cb5a7a4a8fa33f04db98470bbb" localSheetId="13" hidden="1">'H-Risk Register-Model'!$AU$63</definedName>
    <definedName name="CB_2d5e381db2e94edf9561a32b3487a5d8" localSheetId="13" hidden="1">'H-Risk Register-Model'!$CL$46</definedName>
    <definedName name="CB_2f5b1f0ebeaf4f6ab1f507d364c27824" localSheetId="13" hidden="1">'H-Risk Register-Model'!$CL$110</definedName>
    <definedName name="CB_30696ffcb0b74d20b78d8efc6dfe65c3" localSheetId="13" hidden="1">'H-Risk Register-Model'!$AU$80</definedName>
    <definedName name="CB_320cb28cc18c446091511828c041a725" localSheetId="13" hidden="1">'H-Risk Register-Model'!$CL$104</definedName>
    <definedName name="CB_364167828d494c87adf1dc9a7e3e8403" localSheetId="13" hidden="1">'H-Risk Register-Model'!$AU$78</definedName>
    <definedName name="CB_365d8826ad02476e9ecff038cea98e72" localSheetId="13" hidden="1">'H-Risk Register-Model'!$CL$115</definedName>
    <definedName name="CB_36842fd0da164bbea6407d711bfa2083" localSheetId="13" hidden="1">'H-Risk Register-Model'!$CL$78</definedName>
    <definedName name="CB_369bfabc274543c48d1410ab5fb84617" localSheetId="13" hidden="1">'H-Risk Register-Model'!$CL$39</definedName>
    <definedName name="CB_38506f2c3e854078bc560fd31fbd12ca" localSheetId="13" hidden="1">'H-Risk Register-Model'!$CL$70</definedName>
    <definedName name="CB_38c2cd1a7fe94c52a9737fbe0fba22bb" localSheetId="13" hidden="1">'H-Risk Register-Model'!$CL$18</definedName>
    <definedName name="CB_397cd255f93b498fa42ba8ffaaf9b4ac" localSheetId="13" hidden="1">'H-Risk Register-Model'!$AU$42</definedName>
    <definedName name="CB_3a8e4b4ab93b450dbb62a2ec545a1152" localSheetId="13" hidden="1">'H-Risk Register-Model'!$CL$43</definedName>
    <definedName name="CB_3b75d05bfb884bea983a934f3d823508" localSheetId="13" hidden="1">'H-Risk Register-Model'!$CL$87</definedName>
    <definedName name="CB_3b9a36f94db24d71a68d030c65efc682" localSheetId="13" hidden="1">'H-Risk Register-Model'!$CL$42</definedName>
    <definedName name="CB_3c144a87634445b18c4ca16d3b5758e3" localSheetId="13" hidden="1">'H-Risk Register-Model'!$AU$96</definedName>
    <definedName name="CB_3c51ac72b6f14c589a817e99d4f4418e" localSheetId="13" hidden="1">'H-Risk Register-Model'!$CL$26</definedName>
    <definedName name="CB_3d03dda1957c48f8ad21eb36820452e7" localSheetId="13" hidden="1">'H-Risk Register-Model'!$AU$24</definedName>
    <definedName name="CB_3e7d6f9906e64355b4ecfeef7a67f4a5" localSheetId="13" hidden="1">'H-Risk Register-Model'!$CL$75</definedName>
    <definedName name="CB_3f8e73d46495423996bc3accfca025d5" localSheetId="13" hidden="1">'H-Risk Register-Model'!$AU$106</definedName>
    <definedName name="CB_40dee30b35da4e5db06e8d8d2f526e75" localSheetId="13" hidden="1">'H-Risk Register-Model'!$AU$91</definedName>
    <definedName name="CB_42f2b98736944e8686bd21383f3eef44" localSheetId="13" hidden="1">'H-Risk Register-Model'!$AU$109</definedName>
    <definedName name="CB_439e4c26710a48de96a665cfa427f4ba" localSheetId="13" hidden="1">'H-Risk Register-Model'!$CL$83</definedName>
    <definedName name="CB_454f5b07e14d4e6dbb0b14cc88b820b3" localSheetId="13" hidden="1">'H-Risk Register-Model'!$CL$22</definedName>
    <definedName name="CB_46977e922b07419c8c2fe40a2db22f8e" localSheetId="13" hidden="1">'H-Risk Register-Model'!$AU$46</definedName>
    <definedName name="CB_46bd4df47ce84fdbb3f6b6546c21a851" localSheetId="13" hidden="1">'H-Risk Register-Model'!$AU$23</definedName>
    <definedName name="CB_493b994bd736433eb335bacb7a897bab" localSheetId="13" hidden="1">'H-Risk Register-Model'!$CL$106</definedName>
    <definedName name="CB_499cb01e43cf49b9a8564124c0fa9890" localSheetId="13" hidden="1">'H-Risk Register-Model'!$CL$80</definedName>
    <definedName name="CB_4a6504e003624703abfac9958bc0e7ab" localSheetId="13" hidden="1">'H-Risk Register-Model'!$AU$115</definedName>
    <definedName name="CB_4a876144e6bb4fec9be83c195007d263" localSheetId="13" hidden="1">'H-Risk Register-Model'!$CL$51</definedName>
    <definedName name="CB_4b9ef614658245c9a0e9cea4721fcc2f" localSheetId="13" hidden="1">'H-Risk Register-Model'!$AU$85</definedName>
    <definedName name="CB_4fb7ddcb5c5049b8ad18746bfc110f5a" localSheetId="13" hidden="1">'H-Risk Register-Model'!$AU$105</definedName>
    <definedName name="CB_4fe46588494344eebdcc9789f80ada99" localSheetId="13" hidden="1">'H-Risk Register-Model'!$AU$27</definedName>
    <definedName name="CB_500eb33b056c49359f3282470a42df71" localSheetId="13" hidden="1">'H-Risk Register-Model'!$AU$34</definedName>
    <definedName name="CB_5167760df7e6431caae20440e04a3aeb" localSheetId="13" hidden="1">'H-Risk Register-Model'!$CL$72</definedName>
    <definedName name="CB_52284229641b4e64890d304b4d7eed8f" localSheetId="13" hidden="1">'H-Risk Register-Model'!$CL$29</definedName>
    <definedName name="CB_52be4e92200b4a7f92f9dc32bf42b46b" localSheetId="13" hidden="1">'H-Risk Register-Model'!$CL$105</definedName>
    <definedName name="CB_5c04d82f245e463b968ccdd479e704c6" localSheetId="13" hidden="1">'H-Risk Register-Model'!$AU$47</definedName>
    <definedName name="CB_6059552bb65244f09b32be7e6e997eb3" localSheetId="13" hidden="1">'H-Risk Register-Model'!$AU$116</definedName>
    <definedName name="CB_6126b25dc5d24337ab4d1561b5f62f8e" localSheetId="13" hidden="1">'H-Risk Register-Model'!$CL$21</definedName>
    <definedName name="CB_645a7ffdca61403a8818cf14c31d5b4d" localSheetId="13" hidden="1">'H-Risk Register-Model'!$AU$67</definedName>
    <definedName name="CB_64e4fa38cf754c43a6fa0fa8d8f2b3eb" localSheetId="14" hidden="1">'I-Project Contingency'!$O$4</definedName>
    <definedName name="CB_67c74c0377e74d4085da1a34844c9d32" localSheetId="13" hidden="1">'H-Risk Register-Model'!$CL$89</definedName>
    <definedName name="CB_6805343d5bc5475c81237bf78ea945f2" localSheetId="13" hidden="1">'H-Risk Register-Model'!$CL$62</definedName>
    <definedName name="CB_6831a6afee194bdda1faa85011980919" localSheetId="13" hidden="1">'H-Risk Register-Model'!$AU$26</definedName>
    <definedName name="CB_6a40fd19ea8e465fadda831ad2e8ad31" localSheetId="13" hidden="1">'H-Risk Register-Model'!$CL$47</definedName>
    <definedName name="CB_6bc92f93b2cd470084457b51807f6cbf" localSheetId="13" hidden="1">'H-Risk Register-Model'!$AU$68</definedName>
    <definedName name="CB_6fc7b8b98946475f98f16959d5560886" localSheetId="13" hidden="1">'H-Risk Register-Model'!$CL$24</definedName>
    <definedName name="CB_6fd72a8b97a94643ba0157a27e355a5e" localSheetId="13" hidden="1">'H-Risk Register-Model'!$CL$23</definedName>
    <definedName name="CB_700e96edc2fd496dad4866fc5e96e2a1" localSheetId="13" hidden="1">'H-Risk Register-Model'!$CL$65</definedName>
    <definedName name="CB_7062501a206c4d6a8035f7e508aef02a" localSheetId="13" hidden="1">'H-Risk Register-Model'!$CL$35</definedName>
    <definedName name="CB_7091c987adbb44a4990a5d3e00b8836a" localSheetId="13" hidden="1">'H-Risk Register-Model'!$CL$41</definedName>
    <definedName name="CB_7485d1fc97b34d7d953f339b3aa4c858" localSheetId="13" hidden="1">'H-Risk Register-Model'!$AU$102</definedName>
    <definedName name="CB_7739b0a7ff1e4b589435decf41f0a3be" localSheetId="13" hidden="1">'H-Risk Register-Model'!$CL$101</definedName>
    <definedName name="CB_773c13b94594456186dbf7ac5c55671b" localSheetId="13" hidden="1">'H-Risk Register-Model'!$AU$107</definedName>
    <definedName name="CB_78496937e0b64594a01eae86e0aba1f3" localSheetId="13" hidden="1">'H-Risk Register-Model'!$AU$30</definedName>
    <definedName name="CB_796970ed749e4574bd4c213ab93cc0e7" localSheetId="13" hidden="1">'H-Risk Register-Model'!$CL$109</definedName>
    <definedName name="CB_7bd9fb171cd24b008367f0b70db12dde" localSheetId="13" hidden="1">'H-Risk Register-Model'!$CL$84</definedName>
    <definedName name="CB_7f8f42d04e1e4d2baa4f4f0ee16a2ff3" localSheetId="13" hidden="1">'H-Risk Register-Model'!$CL$111</definedName>
    <definedName name="CB_820f33aa9fa24ab6a791a72fb3319b52" localSheetId="13" hidden="1">'H-Risk Register-Model'!$AU$89</definedName>
    <definedName name="CB_83bea7043d5b48c2a5f01064ccfa08dd" localSheetId="13" hidden="1">'H-Risk Register-Model'!$CL$32</definedName>
    <definedName name="CB_869a88478d0c4e3da3e7647afebe7900" localSheetId="13" hidden="1">'H-Risk Register-Model'!$AU$86</definedName>
    <definedName name="CB_87b835a1ee1b407782e999203782b44c" localSheetId="13" hidden="1">'H-Risk Register-Model'!$AU$81</definedName>
    <definedName name="CB_890f2d06a5ee400a9794bbae1f2d19f3" localSheetId="13" hidden="1">'H-Risk Register-Model'!$AF$18</definedName>
    <definedName name="CB_891421f1672f4857bc23e5aaa4176ad2" localSheetId="13" hidden="1">'H-Risk Register-Model'!$CL$63</definedName>
    <definedName name="CB_8dc5c8f5b2704a7db00a0fbd680f356c" localSheetId="13" hidden="1">'H-Risk Register-Model'!$AU$73</definedName>
    <definedName name="CB_8e35fb6dc085491a97793c914ec1d89e" localSheetId="13" hidden="1">'H-Risk Register-Model'!$AU$108</definedName>
    <definedName name="CB_90970d854dd149b5b2cd780a0df709e3" localSheetId="13" hidden="1">'H-Risk Register-Model'!$CL$19</definedName>
    <definedName name="CB_923d3e88c480442d9f5840068b5c6c0d" localSheetId="13" hidden="1">'H-Risk Register-Model'!$AU$52</definedName>
    <definedName name="CB_925f5d3647c44679bdf5ee77b2a1728e" localSheetId="13" hidden="1">'H-Risk Register-Model'!$AU$43</definedName>
    <definedName name="CB_941a29aa5af74a0fbc3276c6efb87f77" localSheetId="13" hidden="1">'H-Risk Register-Model'!$CL$33</definedName>
    <definedName name="CB_941a3a1f548c4fd884e2eb54614fcfdc" localSheetId="13" hidden="1">'H-Risk Register-Model'!$AU$71</definedName>
    <definedName name="CB_9430ae4ab7c942db85c678c7ff02a3c3" localSheetId="13" hidden="1">'H-Risk Register-Model'!$AU$33</definedName>
    <definedName name="CB_9476186577464c04959da915721de76f" localSheetId="13" hidden="1">'H-Risk Register-Model'!$CL$53</definedName>
    <definedName name="CB_9528438f509f4ce5bf334764e5e65afc" localSheetId="13" hidden="1">'H-Risk Register-Model'!$CL$55</definedName>
    <definedName name="CB_9752c7e171994398857a979453eb66ab" localSheetId="13" hidden="1">'H-Risk Register-Model'!$CL$93</definedName>
    <definedName name="CB_9940d2097b5c4f5294411b8533efa6e8" localSheetId="13" hidden="1">'H-Risk Register-Model'!$AU$60</definedName>
    <definedName name="CB_99f572bb176a4589b30c472c46db4caa" localSheetId="13" hidden="1">'H-Risk Register-Model'!$CL$67</definedName>
    <definedName name="CB_9c46d110386c43228660cd6a6692e085" localSheetId="13" hidden="1">'H-Risk Register-Model'!$AU$113</definedName>
    <definedName name="CB_9c8291d642bc44e0895f0289b181f376" localSheetId="13" hidden="1">'H-Risk Register-Model'!$AU$45</definedName>
    <definedName name="CB_a0e34c8f46d44ae7bab74ff2b0b27937" localSheetId="13" hidden="1">'H-Risk Register-Model'!$AU$19</definedName>
    <definedName name="CB_a2576c979e974bd09f59394b358fd36d" localSheetId="13" hidden="1">'H-Risk Register-Model'!$AU$70</definedName>
    <definedName name="CB_a3f172353b3f4cc788354df47c0d9f3c" localSheetId="13" hidden="1">'H-Risk Register-Model'!$AU$90</definedName>
    <definedName name="CB_a4a8686b812444338d4f75a038224817" localSheetId="13" hidden="1">'H-Risk Register-Model'!$CL$36</definedName>
    <definedName name="CB_a5fb5eb6e77b4b28adbff01c35de40ba" localSheetId="13" hidden="1">'H-Risk Register-Model'!$AU$25</definedName>
    <definedName name="CB_a63043de02104d5fbd0c820ba2d25719" localSheetId="13" hidden="1">'H-Risk Register-Model'!$AU$53</definedName>
    <definedName name="CB_a66971406122450488d2e5794fbadd8e" localSheetId="13" hidden="1">'H-Risk Register-Model'!$AU$55</definedName>
    <definedName name="CB_a6bc97b815eb4a41972e852afaa31c53" localSheetId="13" hidden="1">'H-Risk Register-Model'!$CL$57</definedName>
    <definedName name="CB_a73735c797a941daa50fc2b480c9100b" localSheetId="13" hidden="1">'H-Risk Register-Model'!$AU$35</definedName>
    <definedName name="CB_a77b00c125614fe98110b81a3b15045f" localSheetId="13" hidden="1">'H-Risk Register-Model'!$AU$92</definedName>
    <definedName name="CB_a9f53010e91e400e82e626b9642df938" localSheetId="13" hidden="1">'H-Risk Register-Model'!$CL$50</definedName>
    <definedName name="CB_aa76934981e84f3ca1cef66b8657a4a9" localSheetId="13" hidden="1">'H-Risk Register-Model'!$AU$56</definedName>
    <definedName name="CB_ade7112af88f4af2a7023927dd78d992" localSheetId="13" hidden="1">'H-Risk Register-Model'!$CL$91</definedName>
    <definedName name="CB_af73340d32de47c78b766bb63d1dfe81" localSheetId="13" hidden="1">'H-Risk Register-Model'!$AU$82</definedName>
    <definedName name="CB_b04cdc6d18424410a5c16561f53190ce" localSheetId="14" hidden="1">'I-Project Contingency'!$O$5</definedName>
    <definedName name="CB_b192b383b71d45f09ae0145d865b0e89" localSheetId="13" hidden="1">'H-Risk Register-Model'!$AU$93</definedName>
    <definedName name="CB_b278b75b3bc0477a88c6644d741be56f" localSheetId="13" hidden="1">'H-Risk Register-Model'!$CL$38</definedName>
    <definedName name="CB_b3865e6ce3aa43dbbaa5016b94935b63" localSheetId="13" hidden="1">'H-Risk Register-Model'!$CL$25</definedName>
    <definedName name="CB_b395b703f38345a9964f54e732626fef" localSheetId="13" hidden="1">'H-Risk Register-Model'!$AU$98</definedName>
    <definedName name="CB_b5f7c7fd5536448dab3bed6f502293b8" localSheetId="13" hidden="1">'H-Risk Register-Model'!$AU$69</definedName>
    <definedName name="CB_b9773c9ff9e54397be5e3db9bddee49a" localSheetId="13" hidden="1">'H-Risk Register-Model'!$CL$30</definedName>
    <definedName name="CB_b9aadece96594c16bbebf45d993fa5e2" localSheetId="13" hidden="1">'H-Risk Register-Model'!$CL$76</definedName>
    <definedName name="CB_b9e07947bf5540b289e5b37cf5ec187e" localSheetId="13" hidden="1">'H-Risk Register-Model'!$CL$37</definedName>
    <definedName name="CB_bf4227edb36447caac614e36533cbd8a" localSheetId="13" hidden="1">'H-Risk Register-Model'!$CL$66</definedName>
    <definedName name="CB_bfebba8d57ff450690a6c1bf9df34958" localSheetId="13" hidden="1">'H-Risk Register-Model'!$AU$29</definedName>
    <definedName name="CB_Block_00000000000000000000000000000000" localSheetId="21" hidden="1">"'7.0.0.0"</definedName>
    <definedName name="CB_Block_00000000000000000000000000000000" localSheetId="13" hidden="1">"'7.0.0.0"</definedName>
    <definedName name="CB_Block_00000000000000000000000000000000" localSheetId="14" hidden="1">"'7.0.0.0"</definedName>
    <definedName name="CB_Block_00000000000000000000000000000001" localSheetId="21" hidden="1">"'638591625112573970"</definedName>
    <definedName name="CB_Block_00000000000000000000000000000001" localSheetId="13" hidden="1">"'638591625113529485"</definedName>
    <definedName name="CB_Block_00000000000000000000000000000001" localSheetId="14" hidden="1">"'638591625113584553"</definedName>
    <definedName name="CB_Block_00000000000000000000000000000003" localSheetId="21" hidden="1">"'11.1.4512.0"</definedName>
    <definedName name="CB_Block_00000000000000000000000000000003" localSheetId="13" hidden="1">"'11.1.4512.0"</definedName>
    <definedName name="CB_Block_00000000000000000000000000000003" localSheetId="14" hidden="1">"'11.1.4512.0"</definedName>
    <definedName name="CB_BlockExt_00000000000000000000000000000003" localSheetId="21" hidden="1">"'11.1.2.4.600"</definedName>
    <definedName name="CB_BlockExt_00000000000000000000000000000003" localSheetId="13" hidden="1">"'11.1.2.4.600"</definedName>
    <definedName name="CB_BlockExt_00000000000000000000000000000003" localSheetId="14" hidden="1">"'11.1.2.4.600"</definedName>
    <definedName name="CB_c1a1637509834aeeba92fb72f0093783" localSheetId="13" hidden="1">'H-Risk Register-Model'!$CL$59</definedName>
    <definedName name="CB_c2524326979240cababd61481ea901f0" localSheetId="13" hidden="1">'H-Risk Register-Model'!$CL$100</definedName>
    <definedName name="CB_c34668fb721643c699a9f5919f90a41d" localSheetId="13" hidden="1">'H-Risk Register-Model'!$CL$69</definedName>
    <definedName name="CB_c3bcd737f2594c898b95ab7f8338842b" localSheetId="13" hidden="1">'H-Risk Register-Model'!$CL$45</definedName>
    <definedName name="CB_c45856c63ab1416e8bf826ab022bda05" localSheetId="13" hidden="1">'H-Risk Register-Model'!$AU$41</definedName>
    <definedName name="CB_c4901b857e7c4cddad0c600d8fe85d7a" localSheetId="13" hidden="1">'H-Risk Register-Model'!$CL$94</definedName>
    <definedName name="CB_c5600a92f1474f2db00370a782f1289c" localSheetId="13" hidden="1">'H-Risk Register-Model'!$CL$73</definedName>
    <definedName name="CB_c5cad03a9b1c4a19ac395a4a7c65c1c9" localSheetId="13" hidden="1">'H-Risk Register-Model'!$AU$79</definedName>
    <definedName name="CB_c63188b14f6b414c9e57dedbd34d47eb" localSheetId="13" hidden="1">'H-Risk Register-Model'!$AU$64</definedName>
    <definedName name="CB_c63f2be915a94223b8ea12ebe67c1f69" localSheetId="13" hidden="1">'H-Risk Register-Model'!$CL$114</definedName>
    <definedName name="CB_c6c97687aaf247939be7f0fe28657c8d" localSheetId="13" hidden="1">'H-Risk Register-Model'!$AU$40</definedName>
    <definedName name="CB_c81da34cf24e4cb295f42d13822c841c" localSheetId="13" hidden="1">'H-Risk Register-Model'!$CL$103</definedName>
    <definedName name="CB_c8432aa65eb3499b9db7c64e7b4734db" localSheetId="13" hidden="1">'H-Risk Register-Model'!$AU$21</definedName>
    <definedName name="CB_c893ef0236ad44ddb0fd0e7f34e45fdf" localSheetId="13" hidden="1">'H-Risk Register-Model'!$AU$84</definedName>
    <definedName name="CB_c8a18e1c188e4415a00be472a526fe75" localSheetId="13" hidden="1">'H-Risk Register-Model'!$AU$101</definedName>
    <definedName name="CB_cb32e919da104c26aa05640d7ca57ead" localSheetId="13" hidden="1">'H-Risk Register-Model'!$CL$116</definedName>
    <definedName name="CB_cc32d14f5f4744d09d3daf3fce045cc8" localSheetId="13" hidden="1">'H-Risk Register-Model'!$AU$75</definedName>
    <definedName name="CB_cc3edb0513a9481499f831b59f19498b" localSheetId="13" hidden="1">'H-Risk Register-Model'!$CL$99</definedName>
    <definedName name="CB_cc9b0ad6e9f64962b9ee0699ba1ac0a0" localSheetId="13" hidden="1">'H-Risk Register-Model'!$AU$37</definedName>
    <definedName name="CB_cd282eaed10a437eaadac93841e682e7" localSheetId="13" hidden="1">'H-Risk Register-Model'!$CL$34</definedName>
    <definedName name="CB_cead1ecf25364fcfb60ae128ca7a50bc" localSheetId="13" hidden="1">'H-Risk Register-Model'!$AU$77</definedName>
    <definedName name="CB_cf14c88927d74c9b83b13ae955d573e3" localSheetId="13" hidden="1">'H-Risk Register-Model'!$CL$112</definedName>
    <definedName name="CB_d018bb6e49024ba7a88208b024e1b1a3" localSheetId="13" hidden="1">'H-Risk Register-Model'!$CL$52</definedName>
    <definedName name="CB_d0c2d23d27814f0fafe4b9465013ad4c" localSheetId="13" hidden="1">'H-Risk Register-Model'!$CL$71</definedName>
    <definedName name="CB_d191f138dbfd439b81cdf55e5d8bff2e" localSheetId="13" hidden="1">'H-Risk Register-Model'!$CL$28</definedName>
    <definedName name="CB_d27af79d02e7432e86fe9edf0a214de2" localSheetId="13" hidden="1">'H-Risk Register-Model'!$AU$31</definedName>
    <definedName name="CB_d2e1919ce9d5426fb22371e6b86af218" localSheetId="13" hidden="1">'H-Risk Register-Model'!$AU$51</definedName>
    <definedName name="CB_d32f804ab0994fd590d5d28aa19e99f1" localSheetId="13" hidden="1">'H-Risk Register-Model'!$CL$81</definedName>
    <definedName name="CB_d4d7faf4150b43ec9c0d3f06a19884b4" localSheetId="13" hidden="1">'H-Risk Register-Model'!$AU$88</definedName>
    <definedName name="CB_d547241037b9490b87335725dd240832" localSheetId="13" hidden="1">'H-Risk Register-Model'!$AU$32</definedName>
    <definedName name="CB_d643725df9dd426289145eb16f2456b4" localSheetId="13" hidden="1">'H-Risk Register-Model'!$AU$54</definedName>
    <definedName name="CB_d8195ef6f9c546d181a3299df451d55f" localSheetId="13" hidden="1">'H-Risk Register-Model'!$AU$61</definedName>
    <definedName name="CB_d81a42ad4cb742668beb1989285c8306" localSheetId="13" hidden="1">'H-Risk Register-Model'!$CL$90</definedName>
    <definedName name="CB_d9135b5255c546c0bc1c12bfeff00ddd" localSheetId="13" hidden="1">'H-Risk Register-Model'!$CL$48</definedName>
    <definedName name="CB_d94b13b0ab7e41e79fe710c6ef1c849c" localSheetId="13" hidden="1">'H-Risk Register-Model'!$CL$61</definedName>
    <definedName name="CB_d9f6b4fcc1244230be7d852df1bfc04d" localSheetId="13" hidden="1">'H-Risk Register-Model'!$AU$114</definedName>
    <definedName name="CB_dae9f80f9eab4578bbe783099c83bd94" localSheetId="13" hidden="1">'H-Risk Register-Model'!$CL$107</definedName>
    <definedName name="CB_de8a03fda5244bed9aa81d2428c23548" localSheetId="13" hidden="1">'H-Risk Register-Model'!$AU$99</definedName>
    <definedName name="CB_de984d74ad8640e5801950e0876c01c7" localSheetId="13" hidden="1">'H-Risk Register-Model'!$AU$65</definedName>
    <definedName name="CB_e05a3926a1eb4830ba17bacb7aca0b0b" localSheetId="13" hidden="1">'H-Risk Register-Model'!$AU$48</definedName>
    <definedName name="CB_e09a497a5db34d069704789c30c73e91" localSheetId="13" hidden="1">'H-Risk Register-Model'!$CL$49</definedName>
    <definedName name="CB_e15880ededfb48f6bf2683f54776b974" localSheetId="13" hidden="1">'H-Risk Register-Model'!$AU$97</definedName>
    <definedName name="CB_e26dd61dae4f4054aab875497a5db3db" localSheetId="13" hidden="1">'H-Risk Register-Model'!$CL$113</definedName>
    <definedName name="CB_e401f2697b3b4ed081d6a430a9d4dcc5" localSheetId="13" hidden="1">'H-Risk Register-Model'!$AU$18</definedName>
    <definedName name="CB_e44455cdc29947908b9e988cb3b1946b" localSheetId="13" hidden="1">'H-Risk Register-Model'!$CL$97</definedName>
    <definedName name="CB_e5472d940e5b4231938ff262d5623703" localSheetId="13" hidden="1">'H-Risk Register-Model'!$AU$28</definedName>
    <definedName name="CB_eac527208de64c4bbfbdaceb6aed0fed" localSheetId="13" hidden="1">'H-Risk Register-Model'!$CL$60</definedName>
    <definedName name="CB_ec88111bdbbf47eab7ac6b25a0546e15" localSheetId="13" hidden="1">'H-Risk Register-Model'!$AU$111</definedName>
    <definedName name="CB_f17f257047754847b76d1869b640eacb" localSheetId="13" hidden="1">'H-Risk Register-Model'!$AU$94</definedName>
    <definedName name="CB_f27f3d1272e146ebb32a0e6bec027502" localSheetId="13" hidden="1">'H-Risk Register-Model'!$AU$87</definedName>
    <definedName name="CB_f4c46d0b055b4ac4ac6ab7da983d4dee" localSheetId="13" hidden="1">'H-Risk Register-Model'!$CL$77</definedName>
    <definedName name="CB_f5099ee0fc924874b4773d5423b9dbdd" localSheetId="13" hidden="1">'H-Risk Register-Model'!$CL$27</definedName>
    <definedName name="CB_f634cb17cb1c4e7d95adc60eb3c2f19c" localSheetId="13" hidden="1">'H-Risk Register-Model'!$CL$85</definedName>
    <definedName name="CB_f640dfb66dfa43478fb08e8b1a5913bf" localSheetId="13" hidden="1">'H-Risk Register-Model'!$AU$39</definedName>
    <definedName name="CB_f7f667a13a304449b0f0d220fce1aa4c" localSheetId="13" hidden="1">'H-Risk Register-Model'!$CL$117</definedName>
    <definedName name="CB_f97589c77042499aa747b5832555a319" localSheetId="13" hidden="1">'H-Risk Register-Model'!$CL$54</definedName>
    <definedName name="CB_f979f377ef3441f7b84a7ca6ab7c1a68" localSheetId="13" hidden="1">'H-Risk Register-Model'!$AU$57</definedName>
    <definedName name="CB_faa51502f945467d8e668f6910269f29" localSheetId="13" hidden="1">'H-Risk Register-Model'!$CL$74</definedName>
    <definedName name="CB_fb8c22de820d46a5acbef176ad10a2f9" localSheetId="13" hidden="1">'H-Risk Register-Model'!$CL$82</definedName>
    <definedName name="CB_fcc845d0352541e4a34d76b3bb817db7" localSheetId="13" hidden="1">'H-Risk Register-Model'!$AU$95</definedName>
    <definedName name="CB_fd825f70319040aba3f42ff6f22ef890" localSheetId="13" hidden="1">'H-Risk Register-Model'!$CL$96</definedName>
    <definedName name="CBCR_00089f9fd7724f40a00d8baa5393c568" localSheetId="13" hidden="1">'H-Risk Register-Model'!$AU$17&amp;": "&amp;'H-Risk Register-Model'!$A$62</definedName>
    <definedName name="CBCR_006b7b624eaa43a3af3032bc745c9ef7" localSheetId="13" hidden="1">'H-Risk Register-Model'!$CL$17&amp;": "&amp;'H-Risk Register-Model'!$A$105</definedName>
    <definedName name="CBCR_009c556410eb4f5bb6513f163df8ce0e" localSheetId="13" hidden="1">'H-Risk Register-Model'!$CL$17&amp;": "&amp;'H-Risk Register-Model'!$A$22</definedName>
    <definedName name="CBCR_012157ff4476470fa05ea34c24d8002f" localSheetId="13" hidden="1">'H-Risk Register-Model'!$AU$17&amp;": "&amp;'H-Risk Register-Model'!$A$28</definedName>
    <definedName name="CBCR_0158db9e82914c04acfb1eede2a687a8" localSheetId="13" hidden="1">'H-Risk Register-Model'!$AV$101</definedName>
    <definedName name="CBCR_015a113fd46c498482a958b55d6141d5" localSheetId="13" hidden="1">'H-Risk Register-Model'!$AU$17&amp;": "&amp;'H-Risk Register-Model'!$A$88</definedName>
    <definedName name="CBCR_01b0ce47f9b747198081e9a82e1ec609" localSheetId="13" hidden="1">'H-Risk Register-Model'!$AV$70</definedName>
    <definedName name="CBCR_0267ceb2161c4b4ba1694f985d687110" localSheetId="13" hidden="1">'H-Risk Register-Model'!$AV$21</definedName>
    <definedName name="CBCR_029f9c8252b0474fa2c9debd352426e8" localSheetId="13" hidden="1">'H-Risk Register-Model'!$CM$69</definedName>
    <definedName name="CBCR_02a607b781e041b980d0979601db5a18" localSheetId="13" hidden="1">'H-Risk Register-Model'!$AV$41</definedName>
    <definedName name="CBCR_035b9e2d64a944da8142abf97a5d691d" localSheetId="13" hidden="1">'H-Risk Register-Model'!$AU$17&amp;": "&amp;'H-Risk Register-Model'!$A$49</definedName>
    <definedName name="CBCR_0408e86051a047b08988bd8a241615c4" localSheetId="13" hidden="1">'H-Risk Register-Model'!$CL$17&amp;": "&amp;'H-Risk Register-Model'!$A$88</definedName>
    <definedName name="CBCR_04cc3cd04da542c399ff9be94d5495f1" localSheetId="13" hidden="1">'H-Risk Register-Model'!$AU$17&amp;": "&amp;'H-Risk Register-Model'!$A$40</definedName>
    <definedName name="CBCR_05d9554fb15a4f9e843b0398efaead27" localSheetId="13" hidden="1">'H-Risk Register-Model'!$AU$17&amp;": "&amp;'H-Risk Register-Model'!$A$51</definedName>
    <definedName name="CBCR_05f514af4c9e44619404dd5ba7696ba8" localSheetId="13" hidden="1">'H-Risk Register-Model'!$CM$65</definedName>
    <definedName name="CBCR_05fcc7c8aa4649e191675640c88599c1" localSheetId="13" hidden="1">'H-Risk Register-Model'!$AV$25</definedName>
    <definedName name="CBCR_06b9c077dcb34505862411d85c0093e5" localSheetId="13" hidden="1">'H-Risk Register-Model'!$CM$58</definedName>
    <definedName name="CBCR_07c2a4b762144e789543d07647674d03" localSheetId="13" hidden="1">'H-Risk Register-Model'!$AV$100</definedName>
    <definedName name="CBCR_08a3b1a3586d43bba0355984e996bceb" localSheetId="13" hidden="1">'H-Risk Register-Model'!$CM$32</definedName>
    <definedName name="CBCR_08da169cd3214f7da8775b6bba1c2b55" localSheetId="13" hidden="1">'H-Risk Register-Model'!$CL$17&amp;": "&amp;'H-Risk Register-Model'!$A$107</definedName>
    <definedName name="CBCR_09311989afad4f43a759e3f7ebe0f92d" localSheetId="13" hidden="1">'H-Risk Register-Model'!$CM$67</definedName>
    <definedName name="CBCR_09e5e412660e40aea8b591a5acbe3ce5" localSheetId="13" hidden="1">'H-Risk Register-Model'!$AV$57</definedName>
    <definedName name="CBCR_0a3cfb4e52e844ba9b97cf57bb35baa4" localSheetId="13" hidden="1">'H-Risk Register-Model'!$AU$17&amp;": "&amp;'H-Risk Register-Model'!$A$53</definedName>
    <definedName name="CBCR_0a409ddf52c348fc9a499cff53525480" localSheetId="13" hidden="1">'H-Risk Register-Model'!$AV$61</definedName>
    <definedName name="CBCR_0b74917ad6864e8ca18376bfb171e613" localSheetId="13" hidden="1">'H-Risk Register-Model'!$AU$17&amp;": "&amp;'H-Risk Register-Model'!$A$45</definedName>
    <definedName name="CBCR_0bac7f183f5b41aaae4dbd266f1aa504" localSheetId="13" hidden="1">'H-Risk Register-Model'!$AU$17&amp;": "&amp;'H-Risk Register-Model'!$A$19</definedName>
    <definedName name="CBCR_0c05bc3087064811b56434063b4331a1" localSheetId="13" hidden="1">'H-Risk Register-Model'!$CM$61</definedName>
    <definedName name="CBCR_0ced0d9d365d4368be3df0817e9b0726" localSheetId="13" hidden="1">'H-Risk Register-Model'!$AU$17&amp;": "&amp;'H-Risk Register-Model'!$A$52</definedName>
    <definedName name="CBCR_0d2d1b8ab44c46c5b84b3b8ee0338d05" localSheetId="13" hidden="1">'H-Risk Register-Model'!$CM$43</definedName>
    <definedName name="CBCR_0de60355fb9b4f2abef34df969de393f" localSheetId="13" hidden="1">'H-Risk Register-Model'!$AV$52</definedName>
    <definedName name="CBCR_0fb6a7245ec8444b817d40bbeb4e4d05" localSheetId="13" hidden="1">'H-Risk Register-Model'!$CM$96</definedName>
    <definedName name="CBCR_107837dc1bf042298e5fd800958330e6" localSheetId="13" hidden="1">'H-Risk Register-Model'!$CL$17&amp;": "&amp;'H-Risk Register-Model'!$A$91</definedName>
    <definedName name="CBCR_1193ad99628f48c0a5f29de713fb6b65" localSheetId="13" hidden="1">'H-Risk Register-Model'!$AU$17&amp;": "&amp;'H-Risk Register-Model'!$A$106</definedName>
    <definedName name="CBCR_11d8d2ebfe014479bfad5eb2ac21c429" localSheetId="13" hidden="1">'H-Risk Register-Model'!$CM$72</definedName>
    <definedName name="CBCR_11f258b1d63a4f39b4843c957ded188d" localSheetId="13" hidden="1">'H-Risk Register-Model'!$AV$27</definedName>
    <definedName name="CBCR_12768139bf564f7ba53c1ef33aa21481" localSheetId="13" hidden="1">'H-Risk Register-Model'!$CL$17&amp;": "&amp;'H-Risk Register-Model'!$A$52</definedName>
    <definedName name="CBCR_12bced38baf94c458faf81ed8f66f769" localSheetId="13" hidden="1">'H-Risk Register-Model'!$AV$71</definedName>
    <definedName name="CBCR_12d02fbd5dfc4e4593e6676b1538dfc3" localSheetId="13" hidden="1">'H-Risk Register-Model'!$CM$59</definedName>
    <definedName name="CBCR_13d8b7d0564b469a853293175fb76a24" localSheetId="13" hidden="1">'H-Risk Register-Model'!$CL$17&amp;": "&amp;'H-Risk Register-Model'!$A$56</definedName>
    <definedName name="CBCR_142e930202814b6db8f89a4f07b9bf73" localSheetId="13" hidden="1">'H-Risk Register-Model'!$AV$67</definedName>
    <definedName name="CBCR_145d110ae8674493a5c1c89ca2ac058f" localSheetId="13" hidden="1">'H-Risk Register-Model'!$CM$105</definedName>
    <definedName name="CBCR_14611d70b9004c3c857dded024aa1504" localSheetId="13" hidden="1">'H-Risk Register-Model'!$CM$91</definedName>
    <definedName name="CBCR_147b94b8ff2f4b5aaf1b06548f8ed9ca" localSheetId="13" hidden="1">'H-Risk Register-Model'!$CL$17&amp;": "&amp;'H-Risk Register-Model'!$A$36</definedName>
    <definedName name="CBCR_152ce25df4a1407bbf7175f55a605c2f" localSheetId="13" hidden="1">'H-Risk Register-Model'!$CL$17&amp;": "&amp;'H-Risk Register-Model'!$A$18</definedName>
    <definedName name="CBCR_1581dd4e7378411483f377b292fe3f36" localSheetId="13" hidden="1">'H-Risk Register-Model'!$CL$17&amp;": "&amp;'H-Risk Register-Model'!$A$87</definedName>
    <definedName name="CBCR_1618339b75574bfea4b4c8a21057063a" localSheetId="13" hidden="1">'H-Risk Register-Model'!$AV$82</definedName>
    <definedName name="CBCR_164d728aabf94324a06097e7b87bcf33" localSheetId="13" hidden="1">'H-Risk Register-Model'!$AV$73</definedName>
    <definedName name="CBCR_16c6f0572c1f4f1bb98e26edade1fcc7" localSheetId="13" hidden="1">'H-Risk Register-Model'!$CM$19</definedName>
    <definedName name="CBCR_16d47413bb3e4bb6bfaa57ad3683689a" localSheetId="13" hidden="1">'H-Risk Register-Model'!$CL$17&amp;": "&amp;'H-Risk Register-Model'!$A$46</definedName>
    <definedName name="CBCR_1894f7e3441c4ed9a0aff141935d35f9" localSheetId="13" hidden="1">'H-Risk Register-Model'!$CL$17&amp;": "&amp;'H-Risk Register-Model'!$A$82</definedName>
    <definedName name="CBCR_18deb8f9168649d580a0d79b2c5fb008" localSheetId="13" hidden="1">'H-Risk Register-Model'!$CL$17&amp;": "&amp;'H-Risk Register-Model'!$A$80</definedName>
    <definedName name="CBCR_19b519093c7e415d9227ba511cb83bab" localSheetId="13" hidden="1">'H-Risk Register-Model'!$CM$116</definedName>
    <definedName name="CBCR_1a38583be0c64c819012576d680fb0c0" localSheetId="13" hidden="1">'H-Risk Register-Model'!$CL$17&amp;": "&amp;'H-Risk Register-Model'!$A$117</definedName>
    <definedName name="CBCR_1bb275e820bc4dac8e7977aa5b07b0e0" localSheetId="13" hidden="1">'H-Risk Register-Model'!$AU$17&amp;": "&amp;'H-Risk Register-Model'!$A$87</definedName>
    <definedName name="CBCR_1bc3328aa7c7430ab66f3b72622cd8ed" localSheetId="13" hidden="1">'H-Risk Register-Model'!$AV$104</definedName>
    <definedName name="CBCR_1bfc5a13d9894af0926f7130dda81a8c" localSheetId="13" hidden="1">'H-Risk Register-Model'!$AU$17&amp;": "&amp;'H-Risk Register-Model'!$A$41</definedName>
    <definedName name="CBCR_1c8ca8ed1a154510a4497b4443274942" localSheetId="13" hidden="1">'H-Risk Register-Model'!$AV$87</definedName>
    <definedName name="CBCR_1d308dea62f7497aa5c275de9d4550d2" localSheetId="13" hidden="1">'H-Risk Register-Model'!$CL$17&amp;": "&amp;'H-Risk Register-Model'!$A$28</definedName>
    <definedName name="CBCR_1d64743008b047859070056f05b9ea42" localSheetId="13" hidden="1">'H-Risk Register-Model'!$CM$49</definedName>
    <definedName name="CBCR_1d80050e9d2c4b69ac06b9629bb811ea" localSheetId="13" hidden="1">'H-Risk Register-Model'!$CM$75</definedName>
    <definedName name="CBCR_1dc1eed5f6db4c48bce49823916c6889" localSheetId="13" hidden="1">'H-Risk Register-Model'!$CM$73</definedName>
    <definedName name="CBCR_1e8c430c2ce0454bbccdf443f22c446a" localSheetId="13" hidden="1">'H-Risk Register-Model'!$AV$81</definedName>
    <definedName name="CBCR_203f00ac8eae4fb7926c134c1655a9ff" localSheetId="13" hidden="1">'H-Risk Register-Model'!$CL$17&amp;": "&amp;'H-Risk Register-Model'!$A$58</definedName>
    <definedName name="CBCR_2074f533d7c64806afa81cbfc7f64cd5" localSheetId="13" hidden="1">'H-Risk Register-Model'!$CM$78</definedName>
    <definedName name="CBCR_20f21956a53444d881c59ca49be99e77" localSheetId="13" hidden="1">'H-Risk Register-Model'!$AU$17&amp;": "&amp;'H-Risk Register-Model'!$A$116</definedName>
    <definedName name="CBCR_213ad95c135549fabe35654ff1b0f7f0" localSheetId="13" hidden="1">'H-Risk Register-Model'!$AU$17&amp;": "&amp;'H-Risk Register-Model'!$A$65</definedName>
    <definedName name="CBCR_21d5d5cf1a8748b1894c689e9236cfdb" localSheetId="13" hidden="1">'H-Risk Register-Model'!$CM$70</definedName>
    <definedName name="CBCR_229409a9149c402e8961e4093443140a" localSheetId="13" hidden="1">'H-Risk Register-Model'!$AV$20</definedName>
    <definedName name="CBCR_236a8172a3134b8fa0ba8efd3e286747" localSheetId="13" hidden="1">'H-Risk Register-Model'!$AV$102</definedName>
    <definedName name="CBCR_240589b8f90a467db0934b6160bd2260" localSheetId="13" hidden="1">'H-Risk Register-Model'!$CL$17&amp;": "&amp;'H-Risk Register-Model'!$A$114</definedName>
    <definedName name="CBCR_258f7c8f3c7e4de8a7a391d1238f249b" localSheetId="13" hidden="1">'H-Risk Register-Model'!$CL$17&amp;": "&amp;'H-Risk Register-Model'!$A$35</definedName>
    <definedName name="CBCR_2697d1dd2178476a88c3f683258e8410" localSheetId="13" hidden="1">'H-Risk Register-Model'!$AV$94</definedName>
    <definedName name="CBCR_273581f5ed394bdeba27458b4d905cb3" localSheetId="13" hidden="1">'H-Risk Register-Model'!$CL$17&amp;": "&amp;'H-Risk Register-Model'!$A$111</definedName>
    <definedName name="CBCR_279b855d813a4161817a221c6683ab1a" localSheetId="13" hidden="1">'H-Risk Register-Model'!$CM$34</definedName>
    <definedName name="CBCR_290643c8009f452483a156654a8920dd" localSheetId="13" hidden="1">'H-Risk Register-Model'!$CM$42</definedName>
    <definedName name="CBCR_294e428d0d72434ba27289ee052816ef" localSheetId="13" hidden="1">'H-Risk Register-Model'!$CM$115</definedName>
    <definedName name="CBCR_2a97e5168c124c59ba940cbc4f1e5409" localSheetId="13" hidden="1">'H-Risk Register-Model'!$AU$17&amp;": "&amp;'H-Risk Register-Model'!$A$109</definedName>
    <definedName name="CBCR_2b0469bcff614a8e82b27a7a33a9da8e" localSheetId="13" hidden="1">'H-Risk Register-Model'!$CM$26</definedName>
    <definedName name="CBCR_2b0e826ee4ed46bfb1442f734da6210e" localSheetId="13" hidden="1">'H-Risk Register-Model'!$AV$115</definedName>
    <definedName name="CBCR_2c7842e0fcde426cb5a38d2f426bdcb6" localSheetId="13" hidden="1">'H-Risk Register-Model'!$AV$53</definedName>
    <definedName name="CBCR_2c7eb90b25614130a56064e23793f816" localSheetId="13" hidden="1">'H-Risk Register-Model'!$AV$32</definedName>
    <definedName name="CBCR_2d6e80bf55b74c8b9ff8846c713d6281" localSheetId="13" hidden="1">'H-Risk Register-Model'!$CL$17&amp;": "&amp;'H-Risk Register-Model'!$A$75</definedName>
    <definedName name="CBCR_2dbb9a7287f441d39a02c0acf2593d25" localSheetId="13" hidden="1">'H-Risk Register-Model'!$CL$17&amp;": "&amp;'H-Risk Register-Model'!$A$77</definedName>
    <definedName name="CBCR_2dc7082a486742d290eada18062b1f65" localSheetId="13" hidden="1">'H-Risk Register-Model'!$AV$63</definedName>
    <definedName name="CBCR_2ef83cb152c049808cb183d4c9d98b17" localSheetId="13" hidden="1">'H-Risk Register-Model'!$AU$17&amp;": "&amp;'H-Risk Register-Model'!$A$33</definedName>
    <definedName name="CBCR_2f63d0c1a7bb431b8b00485a1a976f56" localSheetId="13" hidden="1">'H-Risk Register-Model'!$AU$17&amp;": "&amp;'H-Risk Register-Model'!$A$102</definedName>
    <definedName name="CBCR_306fb74495074bd68261dd804c0ea6d5" localSheetId="13" hidden="1">'H-Risk Register-Model'!$AV$108</definedName>
    <definedName name="CBCR_30c2c31105a741068721af8b6a4dd446" localSheetId="13" hidden="1">'H-Risk Register-Model'!$CL$17&amp;": "&amp;'H-Risk Register-Model'!$A$99</definedName>
    <definedName name="CBCR_3121fea45e5d4378829b6cb9b99ba5b2" localSheetId="13" hidden="1">'H-Risk Register-Model'!$CL$17&amp;": "&amp;'H-Risk Register-Model'!$A$37</definedName>
    <definedName name="CBCR_31b5e2d1350f44a78bdff95db5ede93e" localSheetId="13" hidden="1">'H-Risk Register-Model'!$CM$21</definedName>
    <definedName name="CBCR_320e04180f6741ebb0f4ae8203a6cc12" localSheetId="13" hidden="1">'H-Risk Register-Model'!$AV$31</definedName>
    <definedName name="CBCR_32deb728dd384330869a19d80b1df9ab" localSheetId="13" hidden="1">'H-Risk Register-Model'!$CM$30</definedName>
    <definedName name="CBCR_3454cc3739764e268c3f10c5059a0cf2" localSheetId="13" hidden="1">'H-Risk Register-Model'!$CM$101</definedName>
    <definedName name="CBCR_3459c2c09c9d4894882490e11edc3600" localSheetId="13" hidden="1">'H-Risk Register-Model'!$CM$38</definedName>
    <definedName name="CBCR_347f1a64d4964eedb6be2bc3a5498f5e" localSheetId="13" hidden="1">'H-Risk Register-Model'!$CM$94</definedName>
    <definedName name="CBCR_348da4637020457fa015abdebabb1837" localSheetId="13" hidden="1">'H-Risk Register-Model'!$AV$22</definedName>
    <definedName name="CBCR_3549b5974e2e44e29763be08a2536521" localSheetId="13" hidden="1">'H-Risk Register-Model'!$CL$17&amp;": "&amp;'H-Risk Register-Model'!$A$33</definedName>
    <definedName name="CBCR_3646c50d1cd9484ab7b201bbe2fbbc94" localSheetId="13" hidden="1">'H-Risk Register-Model'!$CM$44</definedName>
    <definedName name="CBCR_3936c7ed36d04588ba308789aca4c59e" localSheetId="13" hidden="1">'H-Risk Register-Model'!$AU$17&amp;": "&amp;'H-Risk Register-Model'!$A$103</definedName>
    <definedName name="CBCR_394b18a5a25d4cceb4b84fd1b5bcccb3" localSheetId="13" hidden="1">'H-Risk Register-Model'!$CL$17&amp;": "&amp;'H-Risk Register-Model'!$A$34</definedName>
    <definedName name="CBCR_3a1dd75706544dd6af604c7b28830082" localSheetId="13" hidden="1">'H-Risk Register-Model'!$CL$17&amp;": "&amp;'H-Risk Register-Model'!$A$43</definedName>
    <definedName name="CBCR_3a97da9190c6488d8ec0b0e8e09ea0fd" localSheetId="13" hidden="1">'H-Risk Register-Model'!$AU$17&amp;": "&amp;'H-Risk Register-Model'!$A$57</definedName>
    <definedName name="CBCR_3b2e79d63ca747c2b275a6dd66d42dd4" localSheetId="13" hidden="1">'H-Risk Register-Model'!$AV$86</definedName>
    <definedName name="CBCR_3bd46a1854764f5aa93fad18d88508dd" localSheetId="13" hidden="1">'H-Risk Register-Model'!$AU$17&amp;": "&amp;'H-Risk Register-Model'!$A$91</definedName>
    <definedName name="CBCR_3bf40ed09be847168811efb5e122d962" localSheetId="13" hidden="1">'H-Risk Register-Model'!$AU$17&amp;": "&amp;'H-Risk Register-Model'!$A$61</definedName>
    <definedName name="CBCR_3c097f63cdf743ccb7b8c47d4f9a664c" localSheetId="13" hidden="1">'H-Risk Register-Model'!$AV$111</definedName>
    <definedName name="CBCR_3ca14e87e3fe47e29836c025767b4900" localSheetId="13" hidden="1">'H-Risk Register-Model'!$AU$17&amp;": "&amp;'H-Risk Register-Model'!$A$80</definedName>
    <definedName name="CBCR_3ce8b7a34e49417b8b5941c0fb520399" localSheetId="13" hidden="1">'H-Risk Register-Model'!$CM$37</definedName>
    <definedName name="CBCR_3d57891f3d2e4bfaa9be5550251e9ece" localSheetId="13" hidden="1">'H-Risk Register-Model'!$CM$109</definedName>
    <definedName name="CBCR_3e9d15e86b22493fbafd182caf093c31" localSheetId="13" hidden="1">'H-Risk Register-Model'!$AU$17&amp;": "&amp;'H-Risk Register-Model'!$A$55</definedName>
    <definedName name="CBCR_3ea5d4db2e274bf595e89edc03927b52" localSheetId="13" hidden="1">'H-Risk Register-Model'!$AU$17&amp;": "&amp;'H-Risk Register-Model'!$A$64</definedName>
    <definedName name="CBCR_3ea758b29313462e9b7e2e772b120fc8" localSheetId="13" hidden="1">'H-Risk Register-Model'!$AV$46</definedName>
    <definedName name="CBCR_3eb874d965d443b08babe1581bf0f4d2" localSheetId="13" hidden="1">'H-Risk Register-Model'!$AV$48</definedName>
    <definedName name="CBCR_3f20d62241fd43a391843d78cbe38546" localSheetId="13" hidden="1">'H-Risk Register-Model'!$CM$77</definedName>
    <definedName name="CBCR_3f4ed3060594481cb85f04a3d91e7aec" localSheetId="13" hidden="1">'H-Risk Register-Model'!$AU$17&amp;": "&amp;'H-Risk Register-Model'!$A$95</definedName>
    <definedName name="CBCR_3fa81cafd330457b9ee9088de2d7ce29" localSheetId="13" hidden="1">'H-Risk Register-Model'!$CM$76</definedName>
    <definedName name="CBCR_410cabf97d834d0aa5e44da11857aeef" localSheetId="13" hidden="1">'H-Risk Register-Model'!$CM$99</definedName>
    <definedName name="CBCR_42b2b536c3634e7ca5169ce58f795d83" localSheetId="13" hidden="1">'H-Risk Register-Model'!$CL$17&amp;": "&amp;'H-Risk Register-Model'!$A$104</definedName>
    <definedName name="CBCR_4320f24f1491429895a7967697613327" localSheetId="13" hidden="1">'H-Risk Register-Model'!$CL$17&amp;": "&amp;'H-Risk Register-Model'!$A$60</definedName>
    <definedName name="CBCR_439c825b4c214af592c1d2b4e32e36e1" localSheetId="13" hidden="1">'H-Risk Register-Model'!$AU$17&amp;": "&amp;'H-Risk Register-Model'!$A$104</definedName>
    <definedName name="CBCR_43bd2330bd6048dd82c55724bd114fe4" localSheetId="13" hidden="1">'H-Risk Register-Model'!$CL$17&amp;": "&amp;'H-Risk Register-Model'!$A$90</definedName>
    <definedName name="CBCR_43fe7b33fa0b4a6099922a4ed44b79ad" localSheetId="13" hidden="1">'H-Risk Register-Model'!$CL$17&amp;": "&amp;'H-Risk Register-Model'!$A$72</definedName>
    <definedName name="CBCR_4586fe305f4545b78ad77b07816592d6" localSheetId="13" hidden="1">'H-Risk Register-Model'!$AA$18</definedName>
    <definedName name="CBCR_4592b2db384d442d93afc0e366f27dfe" localSheetId="13" hidden="1">'H-Risk Register-Model'!$AU$17&amp;": "&amp;'H-Risk Register-Model'!$A$77</definedName>
    <definedName name="CBCR_459c93be89d7426184d346e7df202b95" localSheetId="13" hidden="1">'H-Risk Register-Model'!$AU$17&amp;": "&amp;'H-Risk Register-Model'!$A$50</definedName>
    <definedName name="CBCR_476eb893725542a3b3c884f8aa362f28" localSheetId="13" hidden="1">'H-Risk Register-Model'!$CL$17&amp;": "&amp;'H-Risk Register-Model'!$A$61</definedName>
    <definedName name="CBCR_48bb866beafa472d918cec6398d51c16" localSheetId="13" hidden="1">'H-Risk Register-Model'!$AV$34</definedName>
    <definedName name="CBCR_48bbcf75169b4cc69242b2b795463607" localSheetId="13" hidden="1">'H-Risk Register-Model'!$CM$50</definedName>
    <definedName name="CBCR_48fd49aead914cedab43161b7debba7c" localSheetId="13" hidden="1">'H-Risk Register-Model'!$AV$42</definedName>
    <definedName name="CBCR_49983882af7e45d9bb5b294f04c0291d" localSheetId="13" hidden="1">'H-Risk Register-Model'!$CL$17&amp;": "&amp;'H-Risk Register-Model'!$A$30</definedName>
    <definedName name="CBCR_499dea6efb1a4f049e238c8dd8c12783" localSheetId="13" hidden="1">'H-Risk Register-Model'!$CM$47</definedName>
    <definedName name="CBCR_49c5b3fe6104406889caeafa29c04593" localSheetId="13" hidden="1">'H-Risk Register-Model'!$CL$17&amp;": "&amp;'H-Risk Register-Model'!$A$62</definedName>
    <definedName name="CBCR_49c7be104feb4dceb10335752d813aba" localSheetId="13" hidden="1">'H-Risk Register-Model'!$AU$17&amp;": "&amp;'H-Risk Register-Model'!$A$115</definedName>
    <definedName name="CBCR_49db32b507c4487a8d29e43dd9e0d6c2" localSheetId="13" hidden="1">'H-Risk Register-Model'!$AV$64</definedName>
    <definedName name="CBCR_4c7732cc2ea34a2887c98e927d5760ba" localSheetId="13" hidden="1">'H-Risk Register-Model'!$CL$17&amp;": "&amp;'H-Risk Register-Model'!$A$110</definedName>
    <definedName name="CBCR_4cf604cc7a344947a561fed05fabc8f7" localSheetId="13" hidden="1">'H-Risk Register-Model'!$AU$17&amp;": "&amp;'H-Risk Register-Model'!$A$31</definedName>
    <definedName name="CBCR_4d7e67bfceb7428ba781e0d0f3bdd00d" localSheetId="13" hidden="1">'H-Risk Register-Model'!$CL$17&amp;": "&amp;'H-Risk Register-Model'!$A$100</definedName>
    <definedName name="CBCR_4e1c3826b3d84c96b58071a22794d4dc" localSheetId="13" hidden="1">'H-Risk Register-Model'!$AU$17&amp;": "&amp;'H-Risk Register-Model'!$A$39</definedName>
    <definedName name="CBCR_4e93106712fa4fb29be102a33886b397" localSheetId="13" hidden="1">'H-Risk Register-Model'!$AU$17&amp;": "&amp;'H-Risk Register-Model'!$A$85</definedName>
    <definedName name="CBCR_4f9170019b3b4e3a958f8f6973c80d46" localSheetId="13" hidden="1">'H-Risk Register-Model'!$CM$117</definedName>
    <definedName name="CBCR_5000751277fe481dad9b5630157690a7" localSheetId="13" hidden="1">'H-Risk Register-Model'!$AV$23</definedName>
    <definedName name="CBCR_50242f834e27429c99e7cbf0aaea1d3f" localSheetId="13" hidden="1">'H-Risk Register-Model'!$AV$40</definedName>
    <definedName name="CBCR_5041dab080c9416a9612ffd9990d6be3" localSheetId="13" hidden="1">'H-Risk Register-Model'!$CL$17&amp;": "&amp;'H-Risk Register-Model'!$A$19</definedName>
    <definedName name="CBCR_51210582f25648e890775919017db2f7" localSheetId="13" hidden="1">'H-Risk Register-Model'!$CL$17&amp;": "&amp;'H-Risk Register-Model'!$A$64</definedName>
    <definedName name="CBCR_52d6a2e1fb134e3888cfa258b8133ec6" localSheetId="13" hidden="1">'H-Risk Register-Model'!$CL$17&amp;": "&amp;'H-Risk Register-Model'!$A$109</definedName>
    <definedName name="CBCR_5362291ca635424e9f4cc60a54b38fce" localSheetId="13" hidden="1">'H-Risk Register-Model'!$CM$55</definedName>
    <definedName name="CBCR_536a47c00d2a4460b18bf2d4035c1af1" localSheetId="13" hidden="1">'H-Risk Register-Model'!$AV$107</definedName>
    <definedName name="CBCR_53aee547a9b047e6bde15697483d3d0e" localSheetId="13" hidden="1">'H-Risk Register-Model'!$AV$36</definedName>
    <definedName name="CBCR_54876bd4631642ed8a5bd1ad85a0cb9a" localSheetId="13" hidden="1">'H-Risk Register-Model'!$CM$85</definedName>
    <definedName name="CBCR_54b8613af133445db150b8c2a21bccdd" localSheetId="13" hidden="1">'H-Risk Register-Model'!$AU$17&amp;": "&amp;'H-Risk Register-Model'!$A$66</definedName>
    <definedName name="CBCR_554ba345f1c7462d9499825344fc642e" localSheetId="13" hidden="1">'H-Risk Register-Model'!$AV$95</definedName>
    <definedName name="CBCR_556619584d1440e08a0fbf05b813d54c" localSheetId="13" hidden="1">'H-Risk Register-Model'!$AV$69</definedName>
    <definedName name="CBCR_55d9f53acd194aff826dfc0a85dc6332" localSheetId="13" hidden="1">'H-Risk Register-Model'!$CL$17&amp;": "&amp;'H-Risk Register-Model'!$A$84</definedName>
    <definedName name="CBCR_55ee347fba5e42fd8604990b84899bbb" localSheetId="13" hidden="1">'H-Risk Register-Model'!$AU$17&amp;": "&amp;'H-Risk Register-Model'!$A$25</definedName>
    <definedName name="CBCR_5637b05ee96a422188175d4e7f35b014" localSheetId="13" hidden="1">'H-Risk Register-Model'!$CL$17&amp;": "&amp;'H-Risk Register-Model'!$A$71</definedName>
    <definedName name="CBCR_5767835ae64941798179e27b90ccbcb5" localSheetId="13" hidden="1">'H-Risk Register-Model'!$AB$18</definedName>
    <definedName name="CBCR_5792644946c447cf80e266db7b6b5deb" localSheetId="13" hidden="1">'H-Risk Register-Model'!$AV$89</definedName>
    <definedName name="CBCR_57be1828094049ff96e8db6ffe9cfe19" localSheetId="13" hidden="1">'H-Risk Register-Model'!$CM$41</definedName>
    <definedName name="CBCR_5b4677112e944b8aba7c2936c8630f39" localSheetId="13" hidden="1">'H-Risk Register-Model'!$CL$17&amp;": "&amp;'H-Risk Register-Model'!$A$116</definedName>
    <definedName name="CBCR_5bdba6aa1e2a45c3a16c43e547b23788" localSheetId="13" hidden="1">'H-Risk Register-Model'!$AV$105</definedName>
    <definedName name="CBCR_5c7d8555a24642aaabf72bf4927b65dc" localSheetId="13" hidden="1">'H-Risk Register-Model'!$CM$98</definedName>
    <definedName name="CBCR_5cbe291ba1924a0b957ac7dfd485ce21" localSheetId="13" hidden="1">'H-Risk Register-Model'!$AV$47</definedName>
    <definedName name="CBCR_5d5131e1d5464206ba0e814b24aca2f1" localSheetId="13" hidden="1">'H-Risk Register-Model'!$AV$77</definedName>
    <definedName name="CBCR_5dbbdd3965284e71848a1dbebf14730e" localSheetId="13" hidden="1">'H-Risk Register-Model'!$CL$17&amp;": "&amp;'H-Risk Register-Model'!$A$38</definedName>
    <definedName name="CBCR_5df98ed9152a496691775e115247011f" localSheetId="13" hidden="1">'H-Risk Register-Model'!$CM$54</definedName>
    <definedName name="CBCR_5e1b48b529c04443b03910b5da85c47a" localSheetId="13" hidden="1">'H-Risk Register-Model'!$AU$17&amp;": "&amp;'H-Risk Register-Model'!$A$86</definedName>
    <definedName name="CBCR_5ecf941fa8c14d08b2ad6e417137c9d5" localSheetId="13" hidden="1">'H-Risk Register-Model'!$AU$17&amp;": "&amp;'H-Risk Register-Model'!$A$54</definedName>
    <definedName name="CBCR_5efd093edb8649f690cf3091ea7cde1a" localSheetId="13" hidden="1">'H-Risk Register-Model'!$AV$62</definedName>
    <definedName name="CBCR_5f31dcb02bc04d45a51efc0a225eaacf" localSheetId="13" hidden="1">'H-Risk Register-Model'!$AV$39</definedName>
    <definedName name="CBCR_6192b7dcd4ae4c0790ff84320d659ef6" localSheetId="13" hidden="1">'H-Risk Register-Model'!$CL$17&amp;": "&amp;'H-Risk Register-Model'!$A$50</definedName>
    <definedName name="CBCR_61b099a30f2f4b938653b0a6c4fa695c" localSheetId="13" hidden="1">'H-Risk Register-Model'!$AU$17&amp;": "&amp;'H-Risk Register-Model'!$A$94</definedName>
    <definedName name="CBCR_63437e69caf34d7485846ad2ce0bc20f" localSheetId="13" hidden="1">'H-Risk Register-Model'!$AV$49</definedName>
    <definedName name="CBCR_6366a246d879449990f0a0356d76df5f" localSheetId="13" hidden="1">'H-Risk Register-Model'!$CM$111</definedName>
    <definedName name="CBCR_63f6b350705d4f4b8895e985371437fc" localSheetId="13" hidden="1">'H-Risk Register-Model'!$CM$87</definedName>
    <definedName name="CBCR_63f783647e77493c8273fa619fc4ea60" localSheetId="13" hidden="1">'H-Risk Register-Model'!$AV$90</definedName>
    <definedName name="CBCR_65b953d390d149df96106f42039a005e" localSheetId="13" hidden="1">'H-Risk Register-Model'!$AV$76</definedName>
    <definedName name="CBCR_65cd3816ff064bfab6e61b55e030e2fa" localSheetId="13" hidden="1">'H-Risk Register-Model'!$CL$17&amp;": "&amp;'H-Risk Register-Model'!$A$24</definedName>
    <definedName name="CBCR_65dd5a120e5d4bbeba313e68f947ad1c" localSheetId="13" hidden="1">'H-Risk Register-Model'!$AU$17&amp;": "&amp;'H-Risk Register-Model'!$A$72</definedName>
    <definedName name="CBCR_66bdce0436b84beab635120a022133bd" localSheetId="13" hidden="1">'H-Risk Register-Model'!$AF$17&amp;": "&amp;'H-Risk Register-Model'!$A$18&amp;" - "&amp;'H-Risk Register-Model'!$C$18</definedName>
    <definedName name="CBCR_66dc8e2486284de793a5d79f5eab61f9" localSheetId="13" hidden="1">'H-Risk Register-Model'!$AV$35</definedName>
    <definedName name="CBCR_67cd6a54de7c4fa0ace709152e04907c" localSheetId="13" hidden="1">'H-Risk Register-Model'!$AU$17&amp;": "&amp;'H-Risk Register-Model'!$A$18</definedName>
    <definedName name="CBCR_67d684be71434ff4aa73948e0dff921d" localSheetId="13" hidden="1">'H-Risk Register-Model'!$CM$27</definedName>
    <definedName name="CBCR_68761605f2474dbab00690d17b376412" localSheetId="13" hidden="1">'H-Risk Register-Model'!$AV$112</definedName>
    <definedName name="CBCR_699b1692ec814434a387224e5ef132ab" localSheetId="13" hidden="1">'H-Risk Register-Model'!$CL$17&amp;": "&amp;'H-Risk Register-Model'!$A$94</definedName>
    <definedName name="CBCR_6a080756cb064a4c8e76fdd135e653b9" localSheetId="13" hidden="1">'H-Risk Register-Model'!$CL$17&amp;": "&amp;'H-Risk Register-Model'!$A$74</definedName>
    <definedName name="CBCR_6a137869bcfa4049b74c47319c19bb48" localSheetId="13" hidden="1">'H-Risk Register-Model'!$AU$17&amp;": "&amp;'H-Risk Register-Model'!$A$114</definedName>
    <definedName name="CBCR_6a6af1f7df744155936e3c37b17fcaf4" localSheetId="13" hidden="1">'H-Risk Register-Model'!$CL$17&amp;": "&amp;'H-Risk Register-Model'!$A$42</definedName>
    <definedName name="CBCR_6bd3e56168564582acac0ab0fbc40459" localSheetId="13" hidden="1">'H-Risk Register-Model'!$AU$17&amp;": "&amp;'H-Risk Register-Model'!$A$101</definedName>
    <definedName name="CBCR_6d0d78210f4a402589c21485a6181857" localSheetId="13" hidden="1">'H-Risk Register-Model'!$AV$55</definedName>
    <definedName name="CBCR_6dc159c061804a13a06c7c14793e4c5d" localSheetId="13" hidden="1">'H-Risk Register-Model'!$AU$17&amp;": "&amp;'H-Risk Register-Model'!$A$43</definedName>
    <definedName name="CBCR_6dc21f8f42e94593b147df3817680ff6" localSheetId="13" hidden="1">'H-Risk Register-Model'!$CL$17&amp;": "&amp;'H-Risk Register-Model'!$A$101</definedName>
    <definedName name="CBCR_6e5ddcb188d84b48ac303a3dc0e7feba" localSheetId="13" hidden="1">'H-Risk Register-Model'!$CM$35</definedName>
    <definedName name="CBCR_6edbb38b45c14c7094f25ba2e39b7ccc" localSheetId="13" hidden="1">'H-Risk Register-Model'!$CL$17&amp;": "&amp;'H-Risk Register-Model'!$A$65</definedName>
    <definedName name="CBCR_6ee2afb40dd9483893ff4953fa178f46" localSheetId="13" hidden="1">'H-Risk Register-Model'!$CL$17&amp;": "&amp;'H-Risk Register-Model'!$A$32</definedName>
    <definedName name="CBCR_6f715391b12743d99690ef80fd9fd397" localSheetId="13" hidden="1">'H-Risk Register-Model'!$AD$17&amp;": "&amp;'H-Risk Register-Model'!$A$18&amp;" - "&amp;'H-Risk Register-Model'!$C$18</definedName>
    <definedName name="CBCR_7124dc8dde81470f927c53179b563e17" localSheetId="13" hidden="1">'H-Risk Register-Model'!$CM$29</definedName>
    <definedName name="CBCR_7238e743c26e4a0384fc8b22be727ceb" localSheetId="13" hidden="1">'H-Risk Register-Model'!$CM$110</definedName>
    <definedName name="CBCR_737f8c5dfd1e44ff91b18aef2fb9d2d1" localSheetId="13" hidden="1">'H-Risk Register-Model'!$U$18</definedName>
    <definedName name="CBCR_7380aab916c8415fb3b054c1f4026ad5" localSheetId="13" hidden="1">'H-Risk Register-Model'!$AU$17&amp;": "&amp;'H-Risk Register-Model'!$A$92</definedName>
    <definedName name="CBCR_753c39897fb04a979f9f804b2b1d427e" localSheetId="13" hidden="1">'H-Risk Register-Model'!$CM$63</definedName>
    <definedName name="CBCR_76045788b586460bb8cda8fdf9d6e055" localSheetId="13" hidden="1">'H-Risk Register-Model'!$AU$17&amp;": "&amp;'H-Risk Register-Model'!$A$48</definedName>
    <definedName name="CBCR_772b2d246ef7476f867687dbb50dabb7" localSheetId="13" hidden="1">'H-Risk Register-Model'!$AV$117</definedName>
    <definedName name="CBCR_773cf99b08d44fb9823ec0689e06edb4" localSheetId="13" hidden="1">'H-Risk Register-Model'!$CM$82</definedName>
    <definedName name="CBCR_7782e0383015458dbe1407e7ff4cb09e" localSheetId="13" hidden="1">'H-Risk Register-Model'!$AU$17&amp;": "&amp;'H-Risk Register-Model'!$A$59</definedName>
    <definedName name="CBCR_78024c0ff67741079c28ae38745c7e0e" localSheetId="13" hidden="1">'H-Risk Register-Model'!$CM$102</definedName>
    <definedName name="CBCR_79dfb9987e0348ff8b5ca3ff4ca0153e" localSheetId="13" hidden="1">'H-Risk Register-Model'!$CM$89</definedName>
    <definedName name="CBCR_79fcdb9521804339b1deecf9de58226e" localSheetId="13" hidden="1">'H-Risk Register-Model'!$AU$17&amp;": "&amp;'H-Risk Register-Model'!$A$38</definedName>
    <definedName name="CBCR_79ffc3a4e78844a4a57474888fde9fb2" localSheetId="13" hidden="1">'H-Risk Register-Model'!$CM$97</definedName>
    <definedName name="CBCR_7bc8f4450fdf4d0b97ea207fffcd658a" localSheetId="13" hidden="1">'H-Risk Register-Model'!$CM$60</definedName>
    <definedName name="CBCR_7cc0f9c6c519435599220f34081fbbd6" localSheetId="13" hidden="1">'H-Risk Register-Model'!$CL$17&amp;": "&amp;'H-Risk Register-Model'!$A$40</definedName>
    <definedName name="CBCR_7d95d6640d764ce8b882fa0b748e8bcd" localSheetId="13" hidden="1">'H-Risk Register-Model'!$CM$93</definedName>
    <definedName name="CBCR_7e7a139dc4894a19bd1a6c988086f5a7" localSheetId="13" hidden="1">'H-Risk Register-Model'!$AV$83</definedName>
    <definedName name="CBCR_7f686eaafb1146c891c12b8ef46ef412" localSheetId="13" hidden="1">'H-Risk Register-Model'!$AU$17&amp;": "&amp;'H-Risk Register-Model'!$A$113</definedName>
    <definedName name="CBCR_7fabc6db58a0498fa2fc4f04bc42bcb2" localSheetId="13" hidden="1">'H-Risk Register-Model'!$CM$18</definedName>
    <definedName name="CBCR_805a847cfb584aff8d64e0530202ee46" localSheetId="13" hidden="1">'H-Risk Register-Model'!$CL$17&amp;": "&amp;'H-Risk Register-Model'!$A$78</definedName>
    <definedName name="CBCR_80c75bd9bf2d4397856b685dae35bde1" localSheetId="13" hidden="1">'H-Risk Register-Model'!$CL$17&amp;": "&amp;'H-Risk Register-Model'!$A$112</definedName>
    <definedName name="CBCR_82336e2cfc064316bf12d1b2da73b07b" localSheetId="13" hidden="1">'H-Risk Register-Model'!$CM$66</definedName>
    <definedName name="CBCR_824144d061394ff686d59c8d2cba72a4" localSheetId="13" hidden="1">'H-Risk Register-Model'!$CM$100</definedName>
    <definedName name="CBCR_827ec194236e431fa2d4b3b07e420062" localSheetId="13" hidden="1">'H-Risk Register-Model'!$AV$54</definedName>
    <definedName name="CBCR_831f0af1d1a44768b18ac0c9a233a076" localSheetId="13" hidden="1">'H-Risk Register-Model'!$AC$18</definedName>
    <definedName name="CBCR_832410661b224373b2357730291b9f53" localSheetId="13" hidden="1">'H-Risk Register-Model'!$AV$103</definedName>
    <definedName name="CBCR_8381397c19384f969f6cbba8dc5ff597" localSheetId="13" hidden="1">'H-Risk Register-Model'!$AU$17&amp;": "&amp;'H-Risk Register-Model'!$A$83</definedName>
    <definedName name="CBCR_84263839ec4443a58837133e0852e47f" localSheetId="13" hidden="1">'H-Risk Register-Model'!$AU$17&amp;": "&amp;'H-Risk Register-Model'!$A$74</definedName>
    <definedName name="CBCR_846b11047ffa4842ae992c8e5a66d635" localSheetId="13" hidden="1">'H-Risk Register-Model'!$AU$17&amp;": "&amp;'H-Risk Register-Model'!$A$107</definedName>
    <definedName name="CBCR_85c4fb2de6dc46e18f39ec2b190de22e" localSheetId="13" hidden="1">'H-Risk Register-Model'!$CL$17&amp;": "&amp;'H-Risk Register-Model'!$A$79</definedName>
    <definedName name="CBCR_86ae7cb8e04a4e769c753ca2c154c7b6" localSheetId="13" hidden="1">'H-Risk Register-Model'!$AU$17&amp;": "&amp;'H-Risk Register-Model'!$A$82</definedName>
    <definedName name="CBCR_87358ed2b12a40cab68004f4c66dc87a" localSheetId="13" hidden="1">'H-Risk Register-Model'!$AV$84</definedName>
    <definedName name="CBCR_880f7f31a0684508b7f26e94fa1983b3" localSheetId="13" hidden="1">'H-Risk Register-Model'!$AV$38</definedName>
    <definedName name="CBCR_88a5443abbbd405f931baea9c9af2645" localSheetId="13" hidden="1">'H-Risk Register-Model'!$AV$44</definedName>
    <definedName name="CBCR_8aa4b4537b284a88b1d0383f91afdf05" localSheetId="13" hidden="1">'H-Risk Register-Model'!$CM$86</definedName>
    <definedName name="CBCR_8ac657faa09e4fc8baeaba90aa6b00c5" localSheetId="13" hidden="1">'H-Risk Register-Model'!$CL$17&amp;": "&amp;'H-Risk Register-Model'!$A$39</definedName>
    <definedName name="CBCR_8b756d487bba4739babed69b1e72e02f" localSheetId="13" hidden="1">'H-Risk Register-Model'!$AV$93</definedName>
    <definedName name="CBCR_8c197f6a64644a038dc6f732f5c34c15" localSheetId="13" hidden="1">'H-Risk Register-Model'!$AV$45</definedName>
    <definedName name="CBCR_8d5a3fd5f31b4a07ae164f09f14cff08" localSheetId="13" hidden="1">'H-Risk Register-Model'!$AV$79</definedName>
    <definedName name="CBCR_8dc73ca7b1314754a961c750d148c0d7" localSheetId="13" hidden="1">'H-Risk Register-Model'!$CM$81</definedName>
    <definedName name="CBCR_8f0c8737c75f4a11b657b5697d5959cf" localSheetId="13" hidden="1">'H-Risk Register-Model'!$CL$17&amp;": "&amp;'H-Risk Register-Model'!$A$23</definedName>
    <definedName name="CBCR_8f898a368f894423b14b5c1c037a12bf" localSheetId="13" hidden="1">'H-Risk Register-Model'!$AU$17&amp;": "&amp;'H-Risk Register-Model'!$A$71</definedName>
    <definedName name="CBCR_913cf552d64b493a95f359d563d497d7" localSheetId="13" hidden="1">'H-Risk Register-Model'!$AV$66</definedName>
    <definedName name="CBCR_91745fa6ac514f2ab962a328a3860661" localSheetId="13" hidden="1">'H-Risk Register-Model'!$CL$17&amp;": "&amp;'H-Risk Register-Model'!$A$73</definedName>
    <definedName name="CBCR_917934f0c1eb48d396f6a90cb5c37967" localSheetId="13" hidden="1">'H-Risk Register-Model'!$AV$26</definedName>
    <definedName name="CBCR_92531fc43abd4dedaab8b092b4326001" localSheetId="13" hidden="1">'H-Risk Register-Model'!$CM$80</definedName>
    <definedName name="CBCR_92629b4be2094a1d87fdc0701b031969" localSheetId="13" hidden="1">'H-Risk Register-Model'!$CL$17&amp;": "&amp;'H-Risk Register-Model'!$A$44</definedName>
    <definedName name="CBCR_93f8a787c97a46619525f0271c11250c" localSheetId="13" hidden="1">'H-Risk Register-Model'!$CM$84</definedName>
    <definedName name="CBCR_9486b0f6aa674325a200e545a7df7351" localSheetId="13" hidden="1">'H-Risk Register-Model'!$CL$17&amp;": "&amp;'H-Risk Register-Model'!$A$29</definedName>
    <definedName name="CBCR_94def6942efe46d3b7f5fb3019240670" localSheetId="13" hidden="1">'H-Risk Register-Model'!$T$18</definedName>
    <definedName name="CBCR_952e932940b94214b7c83d0703681a9d" localSheetId="13" hidden="1">'H-Risk Register-Model'!$CL$17&amp;": "&amp;'H-Risk Register-Model'!$A$67</definedName>
    <definedName name="CBCR_9694e6f26e64442c9fe8ffe869cd2c70" localSheetId="13" hidden="1">'H-Risk Register-Model'!$AU$17&amp;": "&amp;'H-Risk Register-Model'!$A$97</definedName>
    <definedName name="CBCR_9708cbb142d34af79bbaac037f1ff24a" localSheetId="13" hidden="1">'H-Risk Register-Model'!$AU$17&amp;": "&amp;'H-Risk Register-Model'!$A$22</definedName>
    <definedName name="CBCR_9733b933b86145c1843ae99e957e0ac9" localSheetId="13" hidden="1">'H-Risk Register-Model'!$CM$114</definedName>
    <definedName name="CBCR_9734a019a911495e8a1aac94bf32e13a" localSheetId="13" hidden="1">'H-Risk Register-Model'!$AU$17&amp;": "&amp;'H-Risk Register-Model'!$A$27</definedName>
    <definedName name="CBCR_97aa1a6283774e36ba96b07c1b850405" localSheetId="13" hidden="1">'H-Risk Register-Model'!$CM$22</definedName>
    <definedName name="CBCR_983c831e7cdb495ba4013c690f20c0b4" localSheetId="13" hidden="1">'H-Risk Register-Model'!$AU$17&amp;": "&amp;'H-Risk Register-Model'!$A$24</definedName>
    <definedName name="CBCR_98b73f3870fe41c59e8d54ea511ecf09" localSheetId="13" hidden="1">'H-Risk Register-Model'!$CM$20</definedName>
    <definedName name="CBCR_998da9c552f24514b5efca3c1d13880a" localSheetId="13" hidden="1">'H-Risk Register-Model'!$AU$17&amp;": "&amp;'H-Risk Register-Model'!$A$32</definedName>
    <definedName name="CBCR_9a718157a2aa4210940abb28ede54d44" localSheetId="13" hidden="1">'H-Risk Register-Model'!$AV$98</definedName>
    <definedName name="CBCR_9ab0ee6b87fb4b81a9c55d328edb34d8" localSheetId="13" hidden="1">'H-Risk Register-Model'!$CM$64</definedName>
    <definedName name="CBCR_9b68da50d6a74a3a916b5aca662aeef5" localSheetId="13" hidden="1">'H-Risk Register-Model'!$CL$17&amp;": "&amp;'H-Risk Register-Model'!$A$54</definedName>
    <definedName name="CBCR_9c52fcff8a664d0f8953b7ff82ffda49" localSheetId="13" hidden="1">'H-Risk Register-Model'!$AV$113</definedName>
    <definedName name="CBCR_9cd08e5faeb14fbfabe15e320858f19b" localSheetId="13" hidden="1">'H-Risk Register-Model'!$CM$33</definedName>
    <definedName name="CBCR_9ce6832919e148d097ef5417b75f7cfe" localSheetId="13" hidden="1">'H-Risk Register-Model'!$AV$50</definedName>
    <definedName name="CBCR_9e02dc79667146998b8407277aa8fc29" localSheetId="13" hidden="1">'H-Risk Register-Model'!$CL$17&amp;": "&amp;'H-Risk Register-Model'!$A$108</definedName>
    <definedName name="CBCR_9e7ec2c712ea453cb3956da2a6639812" localSheetId="13" hidden="1">'H-Risk Register-Model'!$AU$17&amp;": "&amp;'H-Risk Register-Model'!$A$79</definedName>
    <definedName name="CBCR_a0578e2bbf334d78ac059f10c60ce8d5" localSheetId="13" hidden="1">'H-Risk Register-Model'!$AU$17&amp;": "&amp;'H-Risk Register-Model'!$A$67</definedName>
    <definedName name="CBCR_a0f6907471394ed8a88a5a24e750aef7" localSheetId="13" hidden="1">'H-Risk Register-Model'!$CL$17&amp;": "&amp;'H-Risk Register-Model'!$A$76</definedName>
    <definedName name="CBCR_a3223ef2a4e547728207e410b7d16949" localSheetId="13" hidden="1">'H-Risk Register-Model'!$AV$109</definedName>
    <definedName name="CBCR_a3495f8b4abb45db96cf73b0c84ff116" localSheetId="13" hidden="1">'H-Risk Register-Model'!$CL$17&amp;": "&amp;'H-Risk Register-Model'!$A$115</definedName>
    <definedName name="CBCR_a3709ea5876541d1a5710736e1c995c3" localSheetId="13" hidden="1">'H-Risk Register-Model'!$CL$17&amp;": "&amp;'H-Risk Register-Model'!$A$89</definedName>
    <definedName name="CBCR_a40549eb87f946fdb3d83a1331fcaa51" localSheetId="13" hidden="1">'H-Risk Register-Model'!$AV$65</definedName>
    <definedName name="CBCR_a49621e53189410486aba9884d0b21fc" localSheetId="13" hidden="1">'H-Risk Register-Model'!$CM$108</definedName>
    <definedName name="CBCR_a4a2552dcc1445fb88bfbabe47036ed0" localSheetId="13" hidden="1">'H-Risk Register-Model'!$CM$83</definedName>
    <definedName name="CBCR_a5a3a83394884955abfeb23e7565aa70" localSheetId="13" hidden="1">'H-Risk Register-Model'!$AU$17&amp;": "&amp;'H-Risk Register-Model'!$A$69</definedName>
    <definedName name="CBCR_a63cb9368c204758be091be6096f2eb6" localSheetId="13" hidden="1">'H-Risk Register-Model'!$AV$43</definedName>
    <definedName name="CBCR_a795772c003e42c99e3b84471c4fe252" localSheetId="13" hidden="1">'H-Risk Register-Model'!$AU$17&amp;": "&amp;'H-Risk Register-Model'!$A$63</definedName>
    <definedName name="CBCR_a7f24b4a0086400ebc8f7469c72bec9e" localSheetId="13" hidden="1">'H-Risk Register-Model'!$AV$80</definedName>
    <definedName name="CBCR_a9053f10e9e44044b30cbaa7fbc1fec8" localSheetId="14" hidden="1">'I-Project Contingency'!$E$86</definedName>
    <definedName name="CBCR_a92f5cd061384b62a610e6d03d3ac6c0" localSheetId="13" hidden="1">'H-Risk Register-Model'!$CM$71</definedName>
    <definedName name="CBCR_aa30c13925d14ceba25c578111cadd6e" localSheetId="13" hidden="1">'H-Risk Register-Model'!$AU$17&amp;": "&amp;'H-Risk Register-Model'!$A$105</definedName>
    <definedName name="CBCR_ab88982f88b04a4f9fd69623b6aea710" localSheetId="13" hidden="1">'H-Risk Register-Model'!$CM$46</definedName>
    <definedName name="CBCR_ac068941c68542868c50fc1cd5de1487" localSheetId="13" hidden="1">'H-Risk Register-Model'!$CM$51</definedName>
    <definedName name="CBCR_ad02c25429a14b6e809e565389858a57" localSheetId="13" hidden="1">'H-Risk Register-Model'!$CL$17&amp;": "&amp;'H-Risk Register-Model'!$A$41</definedName>
    <definedName name="CBCR_ad5e585d5c284a82aeaf6e6d5f6aa670" localSheetId="13" hidden="1">'H-Risk Register-Model'!$AU$17&amp;": "&amp;'H-Risk Register-Model'!$A$76</definedName>
    <definedName name="CBCR_ad81882fa0e54b61af4ee65a27b1eef9" localSheetId="13" hidden="1">'H-Risk Register-Model'!$AV$110</definedName>
    <definedName name="CBCR_ae155d2a119746e59d6cd6fc0cd3c386" localSheetId="13" hidden="1">'H-Risk Register-Model'!$AU$17&amp;": "&amp;'H-Risk Register-Model'!$A$46</definedName>
    <definedName name="CBCR_aedf2ba8f1ee4606a577b5b339af70de" localSheetId="13" hidden="1">'H-Risk Register-Model'!$AU$17&amp;": "&amp;'H-Risk Register-Model'!$A$84</definedName>
    <definedName name="CBCR_b088da0b80174287867906fdddde39b7" localSheetId="13" hidden="1">'H-Risk Register-Model'!$CM$31</definedName>
    <definedName name="CBCR_b09333d9d8374a8da32ecf56b5c1155b" localSheetId="13" hidden="1">'H-Risk Register-Model'!$CL$17&amp;": "&amp;'H-Risk Register-Model'!$A$27</definedName>
    <definedName name="CBCR_b21257a042fa4bc5835cc03eab0521a2" localSheetId="13" hidden="1">'H-Risk Register-Model'!$CL$17&amp;": "&amp;'H-Risk Register-Model'!$A$63</definedName>
    <definedName name="CBCR_b45b7a46f9ea4d1d9053f0e4d79ab644" localSheetId="13" hidden="1">'H-Risk Register-Model'!$AV$74</definedName>
    <definedName name="CBCR_b52e016500004040aa811804c0da4d12" localSheetId="13" hidden="1">'H-Risk Register-Model'!$AU$17&amp;": "&amp;'H-Risk Register-Model'!$A$96</definedName>
    <definedName name="CBCR_b54c6b94dd0349babf5613f44a80f5d0" localSheetId="13" hidden="1">'H-Risk Register-Model'!$CM$104</definedName>
    <definedName name="CBCR_b592361fe8d14a9e8be323d2ca486e58" localSheetId="13" hidden="1">'H-Risk Register-Model'!$AU$17&amp;": "&amp;'H-Risk Register-Model'!$A$36</definedName>
    <definedName name="CBCR_b5bd2df5dfee4bf7998ece81f9af75fd" localSheetId="13" hidden="1">'H-Risk Register-Model'!$AV$114</definedName>
    <definedName name="CBCR_b62e8a279a26407ca409d4c9f1f28f25" localSheetId="13" hidden="1">'H-Risk Register-Model'!$AV$60</definedName>
    <definedName name="CBCR_b658701eee9146e9a1b912d613c99cf4" localSheetId="13" hidden="1">'H-Risk Register-Model'!$CL$17&amp;": "&amp;'H-Risk Register-Model'!$A$53</definedName>
    <definedName name="CBCR_b6c648b5e6764b04843a85127d02bc06" localSheetId="13" hidden="1">'H-Risk Register-Model'!$CM$40</definedName>
    <definedName name="CBCR_b6e7e3476e244a81ad9a00a3ff1ac658" localSheetId="13" hidden="1">'H-Risk Register-Model'!$CL$17&amp;": "&amp;'H-Risk Register-Model'!$A$93</definedName>
    <definedName name="CBCR_b7f00a3a0af14d4a90c1da785b3c72a1" localSheetId="13" hidden="1">'H-Risk Register-Model'!$AU$17&amp;": "&amp;'H-Risk Register-Model'!$A$78</definedName>
    <definedName name="CBCR_b9876b99dcd84718b7306ef10aa27afe" localSheetId="13" hidden="1">'H-Risk Register-Model'!$AU$17&amp;": "&amp;'H-Risk Register-Model'!$A$35</definedName>
    <definedName name="CBCR_b9da1a9a97ef4acc8f05b91af9562753" localSheetId="13" hidden="1">'H-Risk Register-Model'!$CL$17&amp;": "&amp;'H-Risk Register-Model'!$A$98</definedName>
    <definedName name="CBCR_b9f697396ddb42498ad000c22dedad1d" localSheetId="13" hidden="1">'H-Risk Register-Model'!$AU$17&amp;": "&amp;'H-Risk Register-Model'!$A$34</definedName>
    <definedName name="CBCR_ba0c18e846d747558c81282bad5f8b7a" localSheetId="13" hidden="1">'H-Risk Register-Model'!$CL$17&amp;": "&amp;'H-Risk Register-Model'!$A$31</definedName>
    <definedName name="CBCR_ba1bc22797964ecd8198ecfedecbfe48" localSheetId="13" hidden="1">'H-Risk Register-Model'!$CL$17&amp;": "&amp;'H-Risk Register-Model'!$A$47</definedName>
    <definedName name="CBCR_ba1f18727418434d8061382306f0fb7c" localSheetId="13" hidden="1">'H-Risk Register-Model'!$CM$92</definedName>
    <definedName name="CBCR_ba854fd6f1dd4807ba50eb8d1ae68590" localSheetId="13" hidden="1">'H-Risk Register-Model'!$AU$17&amp;": "&amp;'H-Risk Register-Model'!$A$110</definedName>
    <definedName name="CBCR_babb264815694ff29b6d53da35dc5952" localSheetId="13" hidden="1">'H-Risk Register-Model'!$AU$17&amp;": "&amp;'H-Risk Register-Model'!$A$37</definedName>
    <definedName name="CBCR_bb6adc2a0d69411ea418319e6fe02816" localSheetId="13" hidden="1">'H-Risk Register-Model'!$CL$17&amp;": "&amp;'H-Risk Register-Model'!$A$20</definedName>
    <definedName name="CBCR_bc5652e9f04b46d7a281a857a500cdb6" localSheetId="13" hidden="1">'H-Risk Register-Model'!$CM$103</definedName>
    <definedName name="CBCR_bd8afdb757d445d091e1a611cc5abf3b" localSheetId="13" hidden="1">'H-Risk Register-Model'!$CL$17&amp;": "&amp;'H-Risk Register-Model'!$A$49</definedName>
    <definedName name="CBCR_bdc050079fff44dc93cde86eae110342" localSheetId="13" hidden="1">'H-Risk Register-Model'!$AV$56</definedName>
    <definedName name="CBCR_bee93b26cf044d49b60535a7dc48a653" localSheetId="13" hidden="1">'H-Risk Register-Model'!$AV$33</definedName>
    <definedName name="CBCR_bfb74e65e80f4095ab433c5dc85c1784" localSheetId="13" hidden="1">'H-Risk Register-Model'!$AV$30</definedName>
    <definedName name="CBCR_c14044f09b564528a78e7102e1436362" localSheetId="13" hidden="1">'H-Risk Register-Model'!$AU$17&amp;": "&amp;'H-Risk Register-Model'!$A$21</definedName>
    <definedName name="CBCR_c17095a44af8459992242a1303c48b29" localSheetId="13" hidden="1">'H-Risk Register-Model'!$CM$107</definedName>
    <definedName name="CBCR_c33748070c574f499e7ebc280233728d" localSheetId="13" hidden="1">'H-Risk Register-Model'!$CM$106</definedName>
    <definedName name="CBCR_c4c3237785aa40198d7c225025c02978" localSheetId="13" hidden="1">'H-Risk Register-Model'!$AU$17&amp;": "&amp;'H-Risk Register-Model'!$A$100</definedName>
    <definedName name="CBCR_c4cb26a937d44d2a984500d51208a771" localSheetId="13" hidden="1">'H-Risk Register-Model'!$CM$95</definedName>
    <definedName name="CBCR_c4e82f6726c94f929963e78a9c928ae8" localSheetId="13" hidden="1">'H-Risk Register-Model'!$AU$17&amp;": "&amp;'H-Risk Register-Model'!$A$68</definedName>
    <definedName name="CBCR_c645a19cc7de42c7b5c157f12e7b3a1b" localSheetId="13" hidden="1">'H-Risk Register-Model'!$AV$24</definedName>
    <definedName name="CBCR_c6524f2f7f1648e1ba1133fb6742f4ca" localSheetId="13" hidden="1">'H-Risk Register-Model'!$CL$17&amp;": "&amp;'H-Risk Register-Model'!$A$83</definedName>
    <definedName name="CBCR_c6a393a06f4e4f809b8373328601ee03" localSheetId="13" hidden="1">'H-Risk Register-Model'!$AV$106</definedName>
    <definedName name="CBCR_c7048bfc5f2d4bc086a9f176e0b3393e" localSheetId="13" hidden="1">'H-Risk Register-Model'!$CL$17&amp;": "&amp;'H-Risk Register-Model'!$A$68</definedName>
    <definedName name="CBCR_c831cb36ad4d4fe487db641397c07fc0" localSheetId="13" hidden="1">'H-Risk Register-Model'!$AV$85</definedName>
    <definedName name="CBCR_c87377f6edf24c8684f9da9fd26ab618" localSheetId="13" hidden="1">'H-Risk Register-Model'!$AV$68</definedName>
    <definedName name="CBCR_c9d960a7d95e4b3a90ac1b4929341000" localSheetId="13" hidden="1">'H-Risk Register-Model'!$AV$92</definedName>
    <definedName name="CBCR_cb34831a8ce94821a06d9c50e849d28c" localSheetId="13" hidden="1">'H-Risk Register-Model'!$CL$17&amp;": "&amp;'H-Risk Register-Model'!$A$102</definedName>
    <definedName name="CBCR_cb411f9d04ea4b689ae728b178954934" localSheetId="13" hidden="1">'H-Risk Register-Model'!$AV$97</definedName>
    <definedName name="CBCR_cbb1137b7d324409a4d925284df657ee" localSheetId="13" hidden="1">'H-Risk Register-Model'!$CM$48</definedName>
    <definedName name="CBCR_cd8f1ec3a4424d98b4960dce01efd13c" localSheetId="13" hidden="1">'H-Risk Register-Model'!$CL$17&amp;": "&amp;'H-Risk Register-Model'!$A$70</definedName>
    <definedName name="CBCR_cdd79b765f434c78bff46e1561676a59" localSheetId="13" hidden="1">'H-Risk Register-Model'!$CM$62</definedName>
    <definedName name="CBCR_ce1ce942502c4c0ab436ef093a25dc36" localSheetId="13" hidden="1">'H-Risk Register-Model'!$CM$74</definedName>
    <definedName name="CBCR_ce270f5bc9fe4d7d8433dfc9c83405c1" localSheetId="13" hidden="1">'H-Risk Register-Model'!$CL$17&amp;": "&amp;'H-Risk Register-Model'!$A$81</definedName>
    <definedName name="CBCR_cef295031bec4525a273abf87fabe4a1" localSheetId="13" hidden="1">'H-Risk Register-Model'!$CM$88</definedName>
    <definedName name="CBCR_cfa3f3cae94646bfbff73ce626e81363" localSheetId="13" hidden="1">'H-Risk Register-Model'!$AV$59</definedName>
    <definedName name="CBCR_cfed6ef064194a6393951f8b65ea9160" localSheetId="13" hidden="1">'H-Risk Register-Model'!$S$18</definedName>
    <definedName name="CBCR_d085dbaae91a4e799b44806637414749" localSheetId="13" hidden="1">'H-Risk Register-Model'!$AU$17&amp;": "&amp;'H-Risk Register-Model'!$A$73</definedName>
    <definedName name="CBCR_d088d81bc9574a7cb7543d8102688677" localSheetId="13" hidden="1">'H-Risk Register-Model'!$CM$53</definedName>
    <definedName name="CBCR_d08c7ee7304944a3bdde9d5716e6b427" localSheetId="13" hidden="1">'H-Risk Register-Model'!$AU$17&amp;": "&amp;'H-Risk Register-Model'!$A$42</definedName>
    <definedName name="CBCR_d1a96f17592e4e69b1ebad453e5783ba" localSheetId="13" hidden="1">'H-Risk Register-Model'!$AU$17&amp;": "&amp;'H-Risk Register-Model'!$A$56</definedName>
    <definedName name="CBCR_d1d666ee6abc4c389c0881fcf760fa72" localSheetId="14" hidden="1">'I-Project Contingency'!$E$61</definedName>
    <definedName name="CBCR_d2260d8019fe419dbe1d50a55a68660a" localSheetId="13" hidden="1">'H-Risk Register-Model'!$CL$17&amp;": "&amp;'H-Risk Register-Model'!$A$51</definedName>
    <definedName name="CBCR_d2ac761c7ebc4476b663c41217efceac" localSheetId="13" hidden="1">'H-Risk Register-Model'!$CL$17&amp;": "&amp;'H-Risk Register-Model'!$A$48</definedName>
    <definedName name="CBCR_d2bd588ecd664896acf07eed2790f349" localSheetId="13" hidden="1">'H-Risk Register-Model'!$CM$39</definedName>
    <definedName name="CBCR_d2e724e3b5fb4ea0a51f35201486fdc6" localSheetId="13" hidden="1">'H-Risk Register-Model'!$AV$78</definedName>
    <definedName name="CBCR_d3340ee8ceea46d08bffc4c2520e5054" localSheetId="13" hidden="1">'H-Risk Register-Model'!$CM$112</definedName>
    <definedName name="CBCR_d36737e545fb4e9a8d0c4ec71f6cdb93" localSheetId="13" hidden="1">'H-Risk Register-Model'!$CL$17&amp;": "&amp;'H-Risk Register-Model'!$A$96</definedName>
    <definedName name="CBCR_d6511b128d5c44f9a47c1ed95032d18e" localSheetId="13" hidden="1">'H-Risk Register-Model'!$AU$17&amp;": "&amp;'H-Risk Register-Model'!$A$111</definedName>
    <definedName name="CBCR_d7be90e24b5b443893f4755da640dd07" localSheetId="13" hidden="1">'H-Risk Register-Model'!$AV$18</definedName>
    <definedName name="CBCR_d84825879ef44bad86f26dd7cdee9e50" localSheetId="13" hidden="1">'H-Risk Register-Model'!$CL$17&amp;": "&amp;'H-Risk Register-Model'!$A$97</definedName>
    <definedName name="CBCR_d93f6a69231c4acfb8850a0fb7b59ecb" localSheetId="13" hidden="1">'H-Risk Register-Model'!$CM$56</definedName>
    <definedName name="CBCR_d9610895d41c48a48ed5a76ffc01ff69" localSheetId="13" hidden="1">'H-Risk Register-Model'!$AV$58</definedName>
    <definedName name="CBCR_d9c09436868a49a4a75fee55c9dc4be1" localSheetId="13" hidden="1">'H-Risk Register-Model'!$CM$90</definedName>
    <definedName name="CBCR_da570f22b6d849f3b59e58a4d4708b63" localSheetId="13" hidden="1">'H-Risk Register-Model'!$CL$17&amp;": "&amp;'H-Risk Register-Model'!$A$92</definedName>
    <definedName name="CBCR_da9d43543a77441c818d572d8488e85d" localSheetId="13" hidden="1">'H-Risk Register-Model'!$AU$17&amp;": "&amp;'H-Risk Register-Model'!$A$98</definedName>
    <definedName name="CBCR_dc25296daf094c4e924a0f92ce2b9607" localSheetId="13" hidden="1">'H-Risk Register-Model'!$CL$17&amp;": "&amp;'H-Risk Register-Model'!$A$106</definedName>
    <definedName name="CBCR_dc8a4506e185401db76c990d08a79531" localSheetId="13" hidden="1">'H-Risk Register-Model'!$CL$17&amp;": "&amp;'H-Risk Register-Model'!$A$59</definedName>
    <definedName name="CBCR_dd0062b2ecba4588902836fc7473a158" localSheetId="13" hidden="1">'H-Risk Register-Model'!$CL$17&amp;": "&amp;'H-Risk Register-Model'!$A$21</definedName>
    <definedName name="CBCR_dd988a8fff8c4907b434044d16c6b15c" localSheetId="13" hidden="1">'H-Risk Register-Model'!$AU$17&amp;": "&amp;'H-Risk Register-Model'!$A$99</definedName>
    <definedName name="CBCR_de4ec68df5af4ebb87cc1ea6633509b0" localSheetId="13" hidden="1">'H-Risk Register-Model'!$CM$79</definedName>
    <definedName name="CBCR_ded6fd1915454b499eec3983274692a1" localSheetId="13" hidden="1">'H-Risk Register-Model'!$AU$17&amp;": "&amp;'H-Risk Register-Model'!$A$75</definedName>
    <definedName name="CBCR_df1c8bd7aa6f4c328336b8089cef0ebf" localSheetId="13" hidden="1">'H-Risk Register-Model'!$CM$52</definedName>
    <definedName name="CBCR_dfe1cebcfd254e828e689cabafe1b374" localSheetId="13" hidden="1">'H-Risk Register-Model'!$AU$17&amp;": "&amp;'H-Risk Register-Model'!$A$30</definedName>
    <definedName name="CBCR_e0b9b72d283d4ffab74ba566b07c01a9" localSheetId="13" hidden="1">'H-Risk Register-Model'!$CL$17&amp;": "&amp;'H-Risk Register-Model'!$A$69</definedName>
    <definedName name="CBCR_e13f629102964636bd5db79bb5838db9" localSheetId="13" hidden="1">'H-Risk Register-Model'!$CL$17&amp;": "&amp;'H-Risk Register-Model'!$A$55</definedName>
    <definedName name="CBCR_e302239f461745a694e6468bed28ed97" localSheetId="13" hidden="1">'H-Risk Register-Model'!$AU$17&amp;": "&amp;'H-Risk Register-Model'!$A$29</definedName>
    <definedName name="CBCR_e378b9e70d3b4fc8a39378f36bde1e09" localSheetId="13" hidden="1">'H-Risk Register-Model'!$CL$17&amp;": "&amp;'H-Risk Register-Model'!$A$113</definedName>
    <definedName name="CBCR_e37dc1b883894376815bbbeee25a2a5b" localSheetId="13" hidden="1">'H-Risk Register-Model'!$AV$96</definedName>
    <definedName name="CBCR_e39c949bfc334c83986e74d1e7e115e7" localSheetId="13" hidden="1">'H-Risk Register-Model'!$CL$17&amp;": "&amp;'H-Risk Register-Model'!$A$57</definedName>
    <definedName name="CBCR_e4b87fa2eb9f493aa0f110e6028d1611" localSheetId="13" hidden="1">'H-Risk Register-Model'!$AU$17&amp;": "&amp;'H-Risk Register-Model'!$A$89</definedName>
    <definedName name="CBCR_e4bf8020885849b3881c32f351fbdad3" localSheetId="13" hidden="1">'H-Risk Register-Model'!$AU$17&amp;": "&amp;'H-Risk Register-Model'!$A$58</definedName>
    <definedName name="CBCR_e4c17c6018024d7580d51ce44d938e08" localSheetId="13" hidden="1">'H-Risk Register-Model'!$AV$91</definedName>
    <definedName name="CBCR_e55511be6d2e498198bf6c271300be44" localSheetId="13" hidden="1">'H-Risk Register-Model'!$CM$113</definedName>
    <definedName name="CBCR_e595b67573904eeb85949c2878c79761" localSheetId="13" hidden="1">'H-Risk Register-Model'!$AU$17&amp;": "&amp;'H-Risk Register-Model'!$A$47</definedName>
    <definedName name="CBCR_e726258e613249c2865b7f80820e8248" localSheetId="13" hidden="1">'H-Risk Register-Model'!$AV$29</definedName>
    <definedName name="CBCR_e7281a1026cd47d68f914183d1bb816b" localSheetId="13" hidden="1">'H-Risk Register-Model'!$CL$17&amp;": "&amp;'H-Risk Register-Model'!$A$85</definedName>
    <definedName name="CBCR_e8304318177a44f69e4975024b3a8a1a" localSheetId="13" hidden="1">'H-Risk Register-Model'!$CM$24</definedName>
    <definedName name="CBCR_e845123a041e40128a4ddd090d88cd8e" localSheetId="13" hidden="1">'H-Risk Register-Model'!$AV$116</definedName>
    <definedName name="CBCR_e847d27caa0c4bc3a4a96ac1b73564e3" localSheetId="13" hidden="1">'H-Risk Register-Model'!$AV$75</definedName>
    <definedName name="CBCR_eb1ce5c3dbd24fe586e4a6681e1a0cd7" localSheetId="13" hidden="1">'H-Risk Register-Model'!$AU$17&amp;": "&amp;'H-Risk Register-Model'!$A$26</definedName>
    <definedName name="CBCR_eba1716912b249c886c49c8f98fba545" localSheetId="13" hidden="1">'H-Risk Register-Model'!$AV$72</definedName>
    <definedName name="CBCR_ec85228917564431aa8bddbc21139ae3" localSheetId="13" hidden="1">'H-Risk Register-Model'!$AU$17&amp;": "&amp;'H-Risk Register-Model'!$A$117</definedName>
    <definedName name="CBCR_eca6e317e7ed4649b75784b851a374c1" localSheetId="13" hidden="1">'H-Risk Register-Model'!$AV$88</definedName>
    <definedName name="CBCR_ecd7b3e593d14d5cbfe90169b1966afe" localSheetId="13" hidden="1">'H-Risk Register-Model'!$AU$17&amp;": "&amp;'H-Risk Register-Model'!$A$20</definedName>
    <definedName name="CBCR_ece2e5c7a98746bcbfcbcd43360406b1" localSheetId="13" hidden="1">'H-Risk Register-Model'!$CL$17&amp;": "&amp;'H-Risk Register-Model'!$A$26</definedName>
    <definedName name="CBCR_ed697b50204141e7a1818c81d833ee10" localSheetId="13" hidden="1">'H-Risk Register-Model'!$AU$17&amp;": "&amp;'H-Risk Register-Model'!$A$60</definedName>
    <definedName name="CBCR_edcc3d6a3c6a431888b013e8bec4c906" localSheetId="13" hidden="1">'H-Risk Register-Model'!$CM$57</definedName>
    <definedName name="CBCR_edfb98d18d95400f9349bc6e67063c53" localSheetId="13" hidden="1">'H-Risk Register-Model'!$CM$45</definedName>
    <definedName name="CBCR_f06ed1bad90f41708f14e8aaf6fd600e" localSheetId="13" hidden="1">'H-Risk Register-Model'!$AU$17&amp;": "&amp;'H-Risk Register-Model'!$A$93</definedName>
    <definedName name="CBCR_f0b53fa9f6b3445ca80e12845d1b7e2c" localSheetId="13" hidden="1">'H-Risk Register-Model'!$AU$17&amp;": "&amp;'H-Risk Register-Model'!$A$90</definedName>
    <definedName name="CBCR_f101c65a20074a7f94a9f5f59afe8d02" localSheetId="13" hidden="1">'H-Risk Register-Model'!$CM$28</definedName>
    <definedName name="CBCR_f37810fdeef34e4d9ec4c22c3614da4c" localSheetId="13" hidden="1">'H-Risk Register-Model'!$CL$17&amp;": "&amp;'H-Risk Register-Model'!$A$95</definedName>
    <definedName name="CBCR_f3a6e70d07304bafb2de37f26757e3f4" localSheetId="13" hidden="1">'H-Risk Register-Model'!$AU$17&amp;": "&amp;'H-Risk Register-Model'!$A$108</definedName>
    <definedName name="CBCR_f4ea793edd89468d9808f466670c2667" localSheetId="13" hidden="1">'H-Risk Register-Model'!$CL$17&amp;": "&amp;'H-Risk Register-Model'!$A$66</definedName>
    <definedName name="CBCR_f59be0e47e7e485daedc33ad61757f97" localSheetId="13" hidden="1">'H-Risk Register-Model'!$CL$17&amp;": "&amp;'H-Risk Register-Model'!$A$103</definedName>
    <definedName name="CBCR_f729674c3fb84629af377a181b63fecb" localSheetId="13" hidden="1">'H-Risk Register-Model'!$CL$17&amp;": "&amp;'H-Risk Register-Model'!$A$45</definedName>
    <definedName name="CBCR_f87bf5472c9e442c887495767fb39485" localSheetId="13" hidden="1">'H-Risk Register-Model'!$AU$17&amp;": "&amp;'H-Risk Register-Model'!$A$81</definedName>
    <definedName name="CBCR_f8c517db48b74f5f81cc72f0df4f876e" localSheetId="13" hidden="1">'H-Risk Register-Model'!$AV$28</definedName>
    <definedName name="CBCR_f9a805750b154cb1828d6dcd92a149a2" localSheetId="13" hidden="1">'H-Risk Register-Model'!$AU$17&amp;": "&amp;'H-Risk Register-Model'!$A$23</definedName>
    <definedName name="CBCR_fb284338c98a4e259bc6c0dd1f5a7ad9" localSheetId="13" hidden="1">'H-Risk Register-Model'!$AU$17&amp;": "&amp;'H-Risk Register-Model'!$A$112</definedName>
    <definedName name="CBCR_fb41a99c37b24299a84ff2f7c70d50ec" localSheetId="13" hidden="1">'H-Risk Register-Model'!$AU$17&amp;": "&amp;'H-Risk Register-Model'!$A$44</definedName>
    <definedName name="CBCR_fb8e45091feb4d46b64884ac2aa38b24" localSheetId="13" hidden="1">'H-Risk Register-Model'!$AV$51</definedName>
    <definedName name="CBCR_fbaa953394f34210980fb12011a20bff" localSheetId="13" hidden="1">'H-Risk Register-Model'!$AV$37</definedName>
    <definedName name="CBCR_fbf96a6d61c84a9b8d885bb2a5ba4665" localSheetId="13" hidden="1">'H-Risk Register-Model'!$CM$23</definedName>
    <definedName name="CBCR_fc4aed0ca186479cbeca9349f673ae8b" localSheetId="13" hidden="1">'H-Risk Register-Model'!$AV$99</definedName>
    <definedName name="CBCR_fc7c0fe945f64ac19dc12b7c41528bfc" localSheetId="13" hidden="1">'H-Risk Register-Model'!$CM$25</definedName>
    <definedName name="CBCR_fd5bd1ca7d54434198e49c6a89520bb8" localSheetId="13" hidden="1">'H-Risk Register-Model'!$CM$68</definedName>
    <definedName name="CBCR_fda13b2ff3f944ee83ce01040e03a2a0" localSheetId="13" hidden="1">'H-Risk Register-Model'!$CM$36</definedName>
    <definedName name="CBCR_fdda477372684dbaa539b2c22bda02ef" localSheetId="13" hidden="1">'H-Risk Register-Model'!$CL$17&amp;": "&amp;'H-Risk Register-Model'!$A$86</definedName>
    <definedName name="CBCR_fe80ba88912d44b5873c745cbb490d31" localSheetId="13" hidden="1">'H-Risk Register-Model'!$CL$17&amp;": "&amp;'H-Risk Register-Model'!$A$25</definedName>
    <definedName name="CBCR_ff7d58c13fd64634ab5254be85c2d506" localSheetId="13" hidden="1">'H-Risk Register-Model'!$AU$17&amp;": "&amp;'H-Risk Register-Model'!$A$70</definedName>
    <definedName name="CBCR_ffaa7d93836a4a018974d49758f5fbbb" localSheetId="13" hidden="1">'H-Risk Register-Model'!$AV$19</definedName>
    <definedName name="CBWorkbookPriority" localSheetId="21" hidden="1">-2134897403</definedName>
    <definedName name="CBWorkbookPriority" hidden="1">-1160191503</definedName>
    <definedName name="CBx_09784aa0aebc434d94f93a8bf2f70d34" localSheetId="21" hidden="1">"'Example'!$A$1"</definedName>
    <definedName name="CBx_1336952eb2114694b667130aa9294537" localSheetId="21" hidden="1">"'CB_DATA_'!$A$1"</definedName>
    <definedName name="CBx_472b1ba1346646bebf77b2f0b22772f7" localSheetId="21" hidden="1">"'Sheet1 (2)'!$A$1"</definedName>
    <definedName name="CBx_a27905c286384000b9e5bd1207c9cd33" localSheetId="21" hidden="1">"'H-Risk Register-Model'!$A$1"</definedName>
    <definedName name="CBx_f5dd848643d8444687169ee9fdff0c22" localSheetId="21" hidden="1">"'I-Project Contingency'!$A$1"</definedName>
    <definedName name="CBx_Sheet_Guid" localSheetId="21" hidden="1">"'1336952e-b211-4694-b667-130aa9294537"</definedName>
    <definedName name="CBx_Sheet_Guid" localSheetId="13" hidden="1">"'a27905c2-8638-4000-b9e5-bd1207c9cd33"</definedName>
    <definedName name="CBx_Sheet_Guid" localSheetId="14" hidden="1">"'f5dd8486-43d8-4446-8716-9ee9fdff0c22"</definedName>
    <definedName name="CBx_SheetRef" localSheetId="21" hidden="1">CB_DATA_!$A$14</definedName>
    <definedName name="CBx_SheetRef" localSheetId="13" hidden="1">CB_DATA_!$B$14</definedName>
    <definedName name="CBx_SheetRef" localSheetId="14" hidden="1">CB_DATA_!$C$14</definedName>
    <definedName name="CBx_StorageType" localSheetId="21" hidden="1">2</definedName>
    <definedName name="CBx_StorageType" localSheetId="13" hidden="1">2</definedName>
    <definedName name="CBx_StorageType" localSheetId="14" hidden="1">2</definedName>
    <definedName name="CW_WBS">'1-Drop Down List'!$K$5:$K$35</definedName>
    <definedName name="Distri">'1-Drop Down List'!$F$5:$F$16</definedName>
    <definedName name="Impact">'1-Drop Down List'!$E$5:$E$10</definedName>
    <definedName name="Include">'1-Drop Down List'!$B$5:$B$6</definedName>
    <definedName name="LikeH">'1-Drop Down List'!$D$5:$D$11</definedName>
    <definedName name="MILCON_WBS">'1-Drop Down List'!$L$5:$L$50</definedName>
    <definedName name="PD">'1-Drop Down List'!$J$5:$J$20</definedName>
    <definedName name="POC">'1-Drop Down List'!$G$5:$G$26</definedName>
    <definedName name="_xlnm.Print_Area" localSheetId="0">'0-Change Control Log'!$A$7:$D$41</definedName>
    <definedName name="_xlnm.Print_Area" localSheetId="1">'1-Drop Down List'!$B$3:$K$101</definedName>
    <definedName name="_xlnm.Print_Area" localSheetId="2">'2-Risk Register Legend'!$B$2:$B$14</definedName>
    <definedName name="_xlnm.Print_Area" localSheetId="4">'A-Quick Instructions'!$A$1:$B$35</definedName>
    <definedName name="_xlnm.Print_Area" localSheetId="6">'C1-Risk Checklist (MILCON)'!$B$1:$D$452</definedName>
    <definedName name="_xlnm.Print_Area" localSheetId="7">'C2-Risk Checklist (Civil Works)'!$B$1:$D$367</definedName>
    <definedName name="_xlnm.Print_Area" localSheetId="20">'E1-Estimate Summary'!$A$1:$F$76,'E1-Estimate Summary'!$Q$1:$V$26</definedName>
    <definedName name="_xlnm.Print_Area" localSheetId="9">'E-Cost &amp; Schedule Summary'!$A$1:$G$54</definedName>
    <definedName name="_xlnm.Print_Area" localSheetId="12">'G-Assumptions'!$A$1:$L$79</definedName>
    <definedName name="_xlnm.Print_Area" localSheetId="13">'H-Risk Register-Model'!$A$15:$AI$117</definedName>
    <definedName name="_xlnm.Print_Area" localSheetId="14">'I-Project Contingency'!$A$1:$K$57</definedName>
    <definedName name="_xlnm.Print_Area" localSheetId="15">'J-Sensitivity Charts'!$A$1:$K$147</definedName>
    <definedName name="_xlnm.Print_Area" localSheetId="16">'K1-Risk Dashboard (Cost)'!$A$1:$M$50</definedName>
    <definedName name="_xlnm.Print_Area" localSheetId="17">'K2-Risk Dashboard (Schedule)'!$A$1:$M$50</definedName>
    <definedName name="_xlnm.Print_Titles" localSheetId="0">'0-Change Control Log'!$7:$8</definedName>
    <definedName name="_xlnm.Print_Titles" localSheetId="1">'1-Drop Down List'!$3:$4</definedName>
    <definedName name="_xlnm.Print_Titles" localSheetId="2">'2-Risk Register Legend'!$2:$2</definedName>
    <definedName name="_xlnm.Print_Titles" localSheetId="4">'A-Quick Instructions'!$1:$2</definedName>
    <definedName name="_xlnm.Print_Titles" localSheetId="5">'B-Meeting Agenda'!$1:$2</definedName>
    <definedName name="_xlnm.Print_Titles" localSheetId="6">'C1-Risk Checklist (MILCON)'!$1:$3</definedName>
    <definedName name="_xlnm.Print_Titles" localSheetId="7">'C2-Risk Checklist (Civil Works)'!$1:$3</definedName>
    <definedName name="_xlnm.Print_Titles" localSheetId="20">'E1-Estimate Summary'!$1:$2</definedName>
    <definedName name="_xlnm.Print_Titles" localSheetId="10">'E-Cost &amp; Sched Summary (v2)'!$1:$11</definedName>
    <definedName name="_xlnm.Print_Titles" localSheetId="9">'E-Cost &amp; Schedule Summary'!$1:$11</definedName>
    <definedName name="_xlnm.Print_Titles" localSheetId="11">'F-Meeting Attendance'!$1:$2</definedName>
    <definedName name="_xlnm.Print_Titles" localSheetId="13">'H-Risk Register-Model'!$15:$17</definedName>
    <definedName name="_xlnm.Print_Titles" localSheetId="14">'I-Project Contingency'!$1:$15</definedName>
    <definedName name="_xlnm.Print_Titles" localSheetId="15">'J-Sensitivity Charts'!$1:$15</definedName>
    <definedName name="_xlnm.Print_Titles" localSheetId="16">'K1-Risk Dashboard (Cost)'!$1:$39</definedName>
    <definedName name="_xlnm.Print_Titles" localSheetId="17">'K2-Risk Dashboard (Schedule)'!$1:$39</definedName>
    <definedName name="_xlnm.Print_Titles" localSheetId="19">'L-CHARTS FOR REPORT'!$1:$2</definedName>
    <definedName name="_xlnm.Print_Titles" localSheetId="22">'REF Risk Detail Template'!$1:$2</definedName>
    <definedName name="PROGRAM">'1-Drop Down List'!$C$5:$C$7</definedName>
    <definedName name="RT">'1-Drop Down List'!$I$5:$I$41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9" i="2" l="1" a="1"/>
  <c r="L9" i="2" s="1"/>
  <c r="L8" i="2" a="1"/>
  <c r="L8" i="2" s="1"/>
  <c r="A18" i="2"/>
  <c r="A19" i="2" s="1"/>
  <c r="A23" i="2" s="1"/>
  <c r="A24" i="2" s="1"/>
  <c r="A34" i="2" s="1"/>
  <c r="B35" i="2" s="1"/>
  <c r="L7" i="2" a="1"/>
  <c r="L7" i="2" s="1"/>
  <c r="B32" i="2" s="1"/>
  <c r="L11" i="2" a="1"/>
  <c r="L11" i="2" s="1"/>
  <c r="L12" i="2" a="1"/>
  <c r="L12" i="2" s="1"/>
  <c r="L13" i="2" a="1"/>
  <c r="L13" i="2" s="1"/>
  <c r="L10" i="2" a="1"/>
  <c r="L10" i="2" s="1"/>
  <c r="B26" i="2"/>
  <c r="L6" i="2" a="1"/>
  <c r="L6" i="2" s="1"/>
  <c r="B25" i="2" s="1"/>
  <c r="B24" i="2"/>
  <c r="L5" i="2" a="1"/>
  <c r="L5" i="2" s="1"/>
  <c r="AA27" i="12"/>
  <c r="AC27" i="12"/>
  <c r="AA26" i="12"/>
  <c r="AC26" i="12"/>
  <c r="AA25" i="12"/>
  <c r="AC25" i="12"/>
  <c r="AA24" i="12"/>
  <c r="AC24" i="12"/>
  <c r="AA23" i="12"/>
  <c r="AC23" i="12"/>
  <c r="AA22" i="12"/>
  <c r="AC22" i="12"/>
  <c r="AA21" i="12"/>
  <c r="AC21" i="12"/>
  <c r="AA20" i="12"/>
  <c r="AC20" i="12"/>
  <c r="AA19" i="12"/>
  <c r="AC19" i="12"/>
  <c r="AB26" i="12"/>
  <c r="AB25" i="12"/>
  <c r="GB25" i="12"/>
  <c r="AO25" i="12"/>
  <c r="AB24" i="12"/>
  <c r="AB23" i="12"/>
  <c r="AB22" i="12"/>
  <c r="AB20" i="12"/>
  <c r="AB19" i="12"/>
  <c r="AC117" i="12"/>
  <c r="FZ117" i="12" s="1"/>
  <c r="AB117" i="12"/>
  <c r="AA117" i="12"/>
  <c r="AC116" i="12"/>
  <c r="AB116" i="12"/>
  <c r="AA116" i="12"/>
  <c r="AC115" i="12"/>
  <c r="FZ115" i="12" s="1"/>
  <c r="AB115" i="12"/>
  <c r="AA115" i="12"/>
  <c r="AC114" i="12"/>
  <c r="FZ114" i="12" s="1"/>
  <c r="AB114" i="12"/>
  <c r="AA114" i="12"/>
  <c r="AC113" i="12"/>
  <c r="AB113" i="12"/>
  <c r="AA113" i="12"/>
  <c r="AC112" i="12"/>
  <c r="AB112" i="12"/>
  <c r="AA112" i="12"/>
  <c r="FY112" i="12"/>
  <c r="AC111" i="12"/>
  <c r="AB111" i="12"/>
  <c r="AA111" i="12"/>
  <c r="AC110" i="12"/>
  <c r="AB110" i="12"/>
  <c r="AA110" i="12"/>
  <c r="AC109" i="12"/>
  <c r="AB109" i="12"/>
  <c r="AA109" i="12"/>
  <c r="FY109" i="12" s="1"/>
  <c r="AC108" i="12"/>
  <c r="FZ108" i="12"/>
  <c r="AB108" i="12"/>
  <c r="AA108" i="12"/>
  <c r="FY108" i="12" s="1"/>
  <c r="AC107" i="12"/>
  <c r="FZ107" i="12"/>
  <c r="AB107" i="12"/>
  <c r="AA107" i="12"/>
  <c r="AC106" i="12"/>
  <c r="AB106" i="12"/>
  <c r="AA106" i="12"/>
  <c r="AC105" i="12"/>
  <c r="AB105" i="12"/>
  <c r="AA105" i="12"/>
  <c r="AC104" i="12"/>
  <c r="FZ104" i="12" s="1"/>
  <c r="AB104" i="12"/>
  <c r="AA104" i="12"/>
  <c r="FY104" i="12" s="1"/>
  <c r="AC103" i="12"/>
  <c r="FZ103" i="12" s="1"/>
  <c r="AB103" i="12"/>
  <c r="AA103" i="12"/>
  <c r="AC102" i="12"/>
  <c r="AB102" i="12"/>
  <c r="AA102" i="12"/>
  <c r="FY102" i="12"/>
  <c r="AC101" i="12"/>
  <c r="FZ101" i="12" s="1"/>
  <c r="AB101" i="12"/>
  <c r="AA101" i="12"/>
  <c r="FY101" i="12"/>
  <c r="AC100" i="12"/>
  <c r="FZ100" i="12"/>
  <c r="AB100" i="12"/>
  <c r="AA100" i="12"/>
  <c r="AC99" i="12"/>
  <c r="FZ99" i="12" s="1"/>
  <c r="AB99" i="12"/>
  <c r="AA99" i="12"/>
  <c r="FY99" i="12"/>
  <c r="AC98" i="12"/>
  <c r="FZ98" i="12"/>
  <c r="AB98" i="12"/>
  <c r="AA98" i="12"/>
  <c r="FY98" i="12"/>
  <c r="AC97" i="12"/>
  <c r="AB97" i="12"/>
  <c r="AA97" i="12"/>
  <c r="AC96" i="12"/>
  <c r="AB96" i="12"/>
  <c r="AA96" i="12"/>
  <c r="AC95" i="12"/>
  <c r="AB95" i="12"/>
  <c r="AA95" i="12"/>
  <c r="AC94" i="12"/>
  <c r="FZ94" i="12"/>
  <c r="AB94" i="12"/>
  <c r="AA94" i="12"/>
  <c r="AC93" i="12"/>
  <c r="AB93" i="12"/>
  <c r="AA93" i="12"/>
  <c r="AC92" i="12"/>
  <c r="FZ92" i="12"/>
  <c r="AB92" i="12"/>
  <c r="AA92" i="12"/>
  <c r="AC91" i="12"/>
  <c r="AB91" i="12"/>
  <c r="AA91" i="12"/>
  <c r="FY91" i="12" s="1"/>
  <c r="AC90" i="12"/>
  <c r="FZ90" i="12" s="1"/>
  <c r="AB90" i="12"/>
  <c r="AA90" i="12"/>
  <c r="FY90" i="12" s="1"/>
  <c r="AC89" i="12"/>
  <c r="AB89" i="12"/>
  <c r="AA89" i="12"/>
  <c r="AC88" i="12"/>
  <c r="AB88" i="12"/>
  <c r="AA88" i="12"/>
  <c r="FY88" i="12" s="1"/>
  <c r="AC87" i="12"/>
  <c r="AB87" i="12"/>
  <c r="AA87" i="12"/>
  <c r="AC86" i="12"/>
  <c r="FZ86" i="12" s="1"/>
  <c r="AB86" i="12"/>
  <c r="AA86" i="12"/>
  <c r="FY86" i="12" s="1"/>
  <c r="AC85" i="12"/>
  <c r="FZ85" i="12" s="1"/>
  <c r="AB85" i="12"/>
  <c r="AA85" i="12"/>
  <c r="FY85" i="12" s="1"/>
  <c r="AC84" i="12"/>
  <c r="FZ84" i="12" s="1"/>
  <c r="AB84" i="12"/>
  <c r="AN84" i="12" s="1"/>
  <c r="AA84" i="12"/>
  <c r="FY84" i="12"/>
  <c r="AC83" i="12"/>
  <c r="AB83" i="12"/>
  <c r="AA83" i="12"/>
  <c r="AC82" i="12"/>
  <c r="FZ82" i="12" s="1"/>
  <c r="AB82" i="12"/>
  <c r="AA82" i="12"/>
  <c r="AC81" i="12"/>
  <c r="AB81" i="12"/>
  <c r="AA81" i="12"/>
  <c r="AC80" i="12"/>
  <c r="FZ80" i="12" s="1"/>
  <c r="AB80" i="12"/>
  <c r="AA80" i="12"/>
  <c r="AC79" i="12"/>
  <c r="FZ79" i="12" s="1"/>
  <c r="AB79" i="12"/>
  <c r="AA79" i="12"/>
  <c r="AC78" i="12"/>
  <c r="AB78" i="12"/>
  <c r="AA78" i="12"/>
  <c r="AC77" i="12"/>
  <c r="FZ77" i="12"/>
  <c r="AB77" i="12"/>
  <c r="AA77" i="12"/>
  <c r="AC76" i="12"/>
  <c r="FZ76" i="12"/>
  <c r="AB76" i="12"/>
  <c r="AA76" i="12"/>
  <c r="AC75" i="12"/>
  <c r="FZ75" i="12" s="1"/>
  <c r="AB75" i="12"/>
  <c r="AA75" i="12"/>
  <c r="AC74" i="12"/>
  <c r="AB74" i="12"/>
  <c r="AA74" i="12"/>
  <c r="AC73" i="12"/>
  <c r="AB73" i="12"/>
  <c r="AA73" i="12"/>
  <c r="AC72" i="12"/>
  <c r="AB72" i="12"/>
  <c r="AA72" i="12"/>
  <c r="AC71" i="12"/>
  <c r="FZ71" i="12"/>
  <c r="AB71" i="12"/>
  <c r="AA71" i="12"/>
  <c r="AC70" i="12"/>
  <c r="AB70" i="12"/>
  <c r="AA70" i="12"/>
  <c r="AC69" i="12"/>
  <c r="FZ69" i="12"/>
  <c r="AB69" i="12"/>
  <c r="AA69" i="12"/>
  <c r="FY69" i="12"/>
  <c r="AC68" i="12"/>
  <c r="FZ68" i="12"/>
  <c r="AB68" i="12"/>
  <c r="AA68" i="12"/>
  <c r="FY68" i="12" s="1"/>
  <c r="AC67" i="12"/>
  <c r="FZ67" i="12" s="1"/>
  <c r="AB67" i="12"/>
  <c r="AA67" i="12"/>
  <c r="FY67" i="12"/>
  <c r="AC66" i="12"/>
  <c r="AB66" i="12"/>
  <c r="AA66" i="12"/>
  <c r="FY66" i="12"/>
  <c r="AC65" i="12"/>
  <c r="FZ65" i="12"/>
  <c r="AB65" i="12"/>
  <c r="AA65" i="12"/>
  <c r="AC64" i="12"/>
  <c r="FZ64" i="12"/>
  <c r="AB64" i="12"/>
  <c r="AA64" i="12"/>
  <c r="AC63" i="12"/>
  <c r="AB63" i="12"/>
  <c r="AA63" i="12"/>
  <c r="AC62" i="12"/>
  <c r="FZ62" i="12" s="1"/>
  <c r="AB62" i="12"/>
  <c r="AA62" i="12"/>
  <c r="AC61" i="12"/>
  <c r="AB61" i="12"/>
  <c r="AA61" i="12"/>
  <c r="FY61" i="12" s="1"/>
  <c r="AC60" i="12"/>
  <c r="FZ60" i="12"/>
  <c r="AB60" i="12"/>
  <c r="AA60" i="12"/>
  <c r="AC59" i="12"/>
  <c r="FZ59" i="12"/>
  <c r="AB59" i="12"/>
  <c r="AA59" i="12"/>
  <c r="FY59" i="12" s="1"/>
  <c r="AC58" i="12"/>
  <c r="AB58" i="12"/>
  <c r="AA58" i="12"/>
  <c r="FY58" i="12" s="1"/>
  <c r="AC57" i="12"/>
  <c r="AB57" i="12"/>
  <c r="AA57" i="12"/>
  <c r="AC56" i="12"/>
  <c r="AB56" i="12"/>
  <c r="AA56" i="12"/>
  <c r="FY56" i="12"/>
  <c r="AC55" i="12"/>
  <c r="FZ55" i="12"/>
  <c r="AB55" i="12"/>
  <c r="AA55" i="12"/>
  <c r="FY55" i="12" s="1"/>
  <c r="AC54" i="12"/>
  <c r="FZ54" i="12"/>
  <c r="AB54" i="12"/>
  <c r="AA54" i="12"/>
  <c r="AC53" i="12"/>
  <c r="FZ53" i="12" s="1"/>
  <c r="AB53" i="12"/>
  <c r="AA53" i="12"/>
  <c r="AC52" i="12"/>
  <c r="AB52" i="12"/>
  <c r="AA52" i="12"/>
  <c r="AN52" i="12"/>
  <c r="AC51" i="12"/>
  <c r="AB51" i="12"/>
  <c r="AA51" i="12"/>
  <c r="AC50" i="12"/>
  <c r="AB50" i="12"/>
  <c r="AA50" i="12"/>
  <c r="AC49" i="12"/>
  <c r="AB49" i="12"/>
  <c r="AA49" i="12"/>
  <c r="AN49" i="12"/>
  <c r="AC48" i="12"/>
  <c r="FZ48" i="12" s="1"/>
  <c r="AB48" i="12"/>
  <c r="AA48" i="12"/>
  <c r="AC47" i="12"/>
  <c r="AB47" i="12"/>
  <c r="AA47" i="12"/>
  <c r="AC46" i="12"/>
  <c r="AB46" i="12"/>
  <c r="AA46" i="12"/>
  <c r="AC45" i="12"/>
  <c r="FZ45" i="12" s="1"/>
  <c r="AB45" i="12"/>
  <c r="AA45" i="12"/>
  <c r="AC44" i="12"/>
  <c r="FZ44" i="12"/>
  <c r="AB44" i="12"/>
  <c r="AA44" i="12"/>
  <c r="FY44" i="12"/>
  <c r="AC43" i="12"/>
  <c r="FZ43" i="12"/>
  <c r="AB43" i="12"/>
  <c r="AA43" i="12"/>
  <c r="AC42" i="12"/>
  <c r="FZ42" i="12" s="1"/>
  <c r="AB42" i="12"/>
  <c r="AA42" i="12"/>
  <c r="AC41" i="12"/>
  <c r="FZ41" i="12" s="1"/>
  <c r="AB41" i="12"/>
  <c r="AA41" i="12"/>
  <c r="AC40" i="12"/>
  <c r="AB40" i="12"/>
  <c r="AA40" i="12"/>
  <c r="AC39" i="12"/>
  <c r="AB39" i="12"/>
  <c r="AA39" i="12"/>
  <c r="AC38" i="12"/>
  <c r="AB38" i="12"/>
  <c r="AA38" i="12"/>
  <c r="AC37" i="12"/>
  <c r="FZ37" i="12"/>
  <c r="AB37" i="12"/>
  <c r="AA37" i="12"/>
  <c r="FY37" i="12"/>
  <c r="AC36" i="12"/>
  <c r="FZ36" i="12" s="1"/>
  <c r="AB36" i="12"/>
  <c r="AA36" i="12"/>
  <c r="AC35" i="12"/>
  <c r="FZ35" i="12" s="1"/>
  <c r="AB35" i="12"/>
  <c r="AA35" i="12"/>
  <c r="FY35" i="12"/>
  <c r="AC34" i="12"/>
  <c r="FZ34" i="12"/>
  <c r="AB34" i="12"/>
  <c r="AA34" i="12"/>
  <c r="AC33" i="12"/>
  <c r="AB33" i="12"/>
  <c r="AA33" i="12"/>
  <c r="AC32" i="12"/>
  <c r="AB32" i="12"/>
  <c r="AA32" i="12"/>
  <c r="FY32" i="12" s="1"/>
  <c r="AC31" i="12"/>
  <c r="FZ31" i="12" s="1"/>
  <c r="AB31" i="12"/>
  <c r="AA31" i="12"/>
  <c r="AC30" i="12"/>
  <c r="AB30" i="12"/>
  <c r="AA30" i="12"/>
  <c r="AC29" i="12"/>
  <c r="AB29" i="12"/>
  <c r="AA29" i="12"/>
  <c r="AC28" i="12"/>
  <c r="AB28" i="12"/>
  <c r="AA28" i="12"/>
  <c r="FY28" i="12" s="1"/>
  <c r="AB27" i="12"/>
  <c r="AB21" i="12"/>
  <c r="AC18" i="12"/>
  <c r="FZ18" i="12" s="1"/>
  <c r="AB18" i="12"/>
  <c r="AA18" i="12"/>
  <c r="FY18" i="12" s="1"/>
  <c r="E11" i="44"/>
  <c r="D11" i="44"/>
  <c r="DH26" i="12"/>
  <c r="DH18" i="12"/>
  <c r="DH19" i="12"/>
  <c r="DH20" i="12"/>
  <c r="DH21" i="12"/>
  <c r="DH22" i="12"/>
  <c r="DH23" i="12"/>
  <c r="DH24" i="12"/>
  <c r="DH25" i="12"/>
  <c r="DH27" i="12"/>
  <c r="DH28" i="12"/>
  <c r="DH29" i="12"/>
  <c r="DH30" i="12"/>
  <c r="DH31" i="12"/>
  <c r="DH32" i="12"/>
  <c r="DH33" i="12"/>
  <c r="DH34" i="12"/>
  <c r="DH35" i="12"/>
  <c r="DH36" i="12"/>
  <c r="DH37" i="12"/>
  <c r="DH38" i="12"/>
  <c r="DH39" i="12"/>
  <c r="DH40" i="12"/>
  <c r="DH41" i="12"/>
  <c r="DH42" i="12"/>
  <c r="DH43" i="12"/>
  <c r="DH44" i="12"/>
  <c r="DH45" i="12"/>
  <c r="DH46" i="12"/>
  <c r="DH47" i="12"/>
  <c r="DH48" i="12"/>
  <c r="DH49" i="12"/>
  <c r="DH50" i="12"/>
  <c r="DH51" i="12"/>
  <c r="DH52" i="12"/>
  <c r="DH53" i="12"/>
  <c r="DH54" i="12"/>
  <c r="DH55" i="12"/>
  <c r="DH56" i="12"/>
  <c r="DH57" i="12"/>
  <c r="DH58" i="12"/>
  <c r="DH59" i="12"/>
  <c r="DH60" i="12"/>
  <c r="DH61" i="12"/>
  <c r="DH62" i="12"/>
  <c r="DH63" i="12"/>
  <c r="DH64" i="12"/>
  <c r="DH65" i="12"/>
  <c r="DH66" i="12"/>
  <c r="DH67" i="12"/>
  <c r="DH68" i="12"/>
  <c r="DH69" i="12"/>
  <c r="DH70" i="12"/>
  <c r="DH71" i="12"/>
  <c r="DH72" i="12"/>
  <c r="DH73" i="12"/>
  <c r="DH74" i="12"/>
  <c r="DH75" i="12"/>
  <c r="DH76" i="12"/>
  <c r="DH77" i="12"/>
  <c r="DH78" i="12"/>
  <c r="DH79" i="12"/>
  <c r="DH80" i="12"/>
  <c r="DH81" i="12"/>
  <c r="DH82" i="12"/>
  <c r="DH83" i="12"/>
  <c r="DH84" i="12"/>
  <c r="DH85" i="12"/>
  <c r="DH86" i="12"/>
  <c r="DH87" i="12"/>
  <c r="DH88" i="12"/>
  <c r="DH89" i="12"/>
  <c r="DH90" i="12"/>
  <c r="DH91" i="12"/>
  <c r="DH92" i="12"/>
  <c r="DH93" i="12"/>
  <c r="DH94" i="12"/>
  <c r="DH95" i="12"/>
  <c r="DH96" i="12"/>
  <c r="DH97" i="12"/>
  <c r="DH98" i="12"/>
  <c r="DH99" i="12"/>
  <c r="DH100" i="12"/>
  <c r="DH101" i="12"/>
  <c r="DH102" i="12"/>
  <c r="DH103" i="12"/>
  <c r="DH104" i="12"/>
  <c r="DH105" i="12"/>
  <c r="DH106" i="12"/>
  <c r="DH107" i="12"/>
  <c r="DH108" i="12"/>
  <c r="DH109" i="12"/>
  <c r="DH110" i="12"/>
  <c r="DH111" i="12"/>
  <c r="DH112" i="12"/>
  <c r="DH113" i="12"/>
  <c r="DH114" i="12"/>
  <c r="DH115" i="12"/>
  <c r="DH116" i="12"/>
  <c r="DH117" i="12"/>
  <c r="DU26" i="12"/>
  <c r="DU18" i="12"/>
  <c r="DU19" i="12"/>
  <c r="DU20" i="12"/>
  <c r="DU21" i="12"/>
  <c r="DU22" i="12"/>
  <c r="DU23" i="12"/>
  <c r="DU24" i="12"/>
  <c r="DU25" i="12"/>
  <c r="DU27" i="12"/>
  <c r="DU28" i="12"/>
  <c r="DU29" i="12"/>
  <c r="DU30" i="12"/>
  <c r="DU31" i="12"/>
  <c r="DU32" i="12"/>
  <c r="DU33" i="12"/>
  <c r="DU34" i="12"/>
  <c r="DU35" i="12"/>
  <c r="DU36" i="12"/>
  <c r="DU37" i="12"/>
  <c r="DU38" i="12"/>
  <c r="DU39" i="12"/>
  <c r="DU40" i="12"/>
  <c r="DU41" i="12"/>
  <c r="DU42" i="12"/>
  <c r="DU43" i="12"/>
  <c r="DU44" i="12"/>
  <c r="DU45" i="12"/>
  <c r="DU46" i="12"/>
  <c r="DU47" i="12"/>
  <c r="DU48" i="12"/>
  <c r="DU49" i="12"/>
  <c r="DU50" i="12"/>
  <c r="DU51" i="12"/>
  <c r="DU52" i="12"/>
  <c r="DU53" i="12"/>
  <c r="DU54" i="12"/>
  <c r="DU55" i="12"/>
  <c r="DU56" i="12"/>
  <c r="DU57" i="12"/>
  <c r="DU58" i="12"/>
  <c r="DU59" i="12"/>
  <c r="DU60" i="12"/>
  <c r="DU61" i="12"/>
  <c r="DU62" i="12"/>
  <c r="DU63" i="12"/>
  <c r="DU64" i="12"/>
  <c r="DU65" i="12"/>
  <c r="DU66" i="12"/>
  <c r="DU67" i="12"/>
  <c r="DU68" i="12"/>
  <c r="DU69" i="12"/>
  <c r="DU70" i="12"/>
  <c r="DU71" i="12"/>
  <c r="DU72" i="12"/>
  <c r="DU73" i="12"/>
  <c r="DU74" i="12"/>
  <c r="DU75" i="12"/>
  <c r="DU76" i="12"/>
  <c r="DU77" i="12"/>
  <c r="DU78" i="12"/>
  <c r="DU79" i="12"/>
  <c r="DU80" i="12"/>
  <c r="DU81" i="12"/>
  <c r="DU82" i="12"/>
  <c r="DU83" i="12"/>
  <c r="DU84" i="12"/>
  <c r="DU85" i="12"/>
  <c r="DU86" i="12"/>
  <c r="DU87" i="12"/>
  <c r="DU88" i="12"/>
  <c r="DU89" i="12"/>
  <c r="DU90" i="12"/>
  <c r="DU91" i="12"/>
  <c r="DU92" i="12"/>
  <c r="DU93" i="12"/>
  <c r="DU94" i="12"/>
  <c r="DU95" i="12"/>
  <c r="DU96" i="12"/>
  <c r="DU97" i="12"/>
  <c r="DU98" i="12"/>
  <c r="DU99" i="12"/>
  <c r="DU100" i="12"/>
  <c r="DU101" i="12"/>
  <c r="DU102" i="12"/>
  <c r="DU103" i="12"/>
  <c r="DU104" i="12"/>
  <c r="DU105" i="12"/>
  <c r="DU106" i="12"/>
  <c r="DU107" i="12"/>
  <c r="DU108" i="12"/>
  <c r="DU109" i="12"/>
  <c r="DU110" i="12"/>
  <c r="DU111" i="12"/>
  <c r="DU112" i="12"/>
  <c r="DU113" i="12"/>
  <c r="DU114" i="12"/>
  <c r="DU115" i="12"/>
  <c r="DU116" i="12"/>
  <c r="DU117" i="12"/>
  <c r="FY39" i="12"/>
  <c r="FY47" i="12"/>
  <c r="FY48" i="12"/>
  <c r="FY64" i="12"/>
  <c r="FY72" i="12"/>
  <c r="FY80" i="12"/>
  <c r="FY81" i="12"/>
  <c r="FY87" i="12"/>
  <c r="FY96" i="12"/>
  <c r="FY100" i="12"/>
  <c r="FY105" i="12"/>
  <c r="FY107" i="12"/>
  <c r="FY111" i="12"/>
  <c r="FY117" i="12"/>
  <c r="FZ28" i="12"/>
  <c r="FZ30" i="12"/>
  <c r="FZ33" i="12"/>
  <c r="FZ39" i="12"/>
  <c r="FZ40" i="12"/>
  <c r="FZ49" i="12"/>
  <c r="FZ51" i="12"/>
  <c r="FZ70" i="12"/>
  <c r="FZ72" i="12"/>
  <c r="FZ73" i="12"/>
  <c r="FZ78" i="12"/>
  <c r="FZ89" i="12"/>
  <c r="FZ95" i="12"/>
  <c r="FZ105" i="12"/>
  <c r="FZ111" i="12"/>
  <c r="FZ113" i="12"/>
  <c r="BQ18" i="12"/>
  <c r="BQ19" i="12"/>
  <c r="BQ20" i="12"/>
  <c r="BQ21" i="12"/>
  <c r="BQ22" i="12"/>
  <c r="BQ23" i="12"/>
  <c r="BQ24" i="12"/>
  <c r="BQ25" i="12"/>
  <c r="BQ26" i="12"/>
  <c r="BQ27" i="12"/>
  <c r="BQ28" i="12"/>
  <c r="BQ29" i="12"/>
  <c r="BQ30" i="12"/>
  <c r="BQ31" i="12"/>
  <c r="BQ32" i="12"/>
  <c r="BQ33" i="12"/>
  <c r="BQ34" i="12"/>
  <c r="BQ35" i="12"/>
  <c r="BQ36" i="12"/>
  <c r="BQ37" i="12"/>
  <c r="BQ38" i="12"/>
  <c r="BQ39" i="12"/>
  <c r="BQ40" i="12"/>
  <c r="BQ41" i="12"/>
  <c r="BQ42" i="12"/>
  <c r="BQ43" i="12"/>
  <c r="BQ44" i="12"/>
  <c r="BQ45" i="12"/>
  <c r="BQ46" i="12"/>
  <c r="BQ47" i="12"/>
  <c r="BQ48" i="12"/>
  <c r="BQ49" i="12"/>
  <c r="BQ50" i="12"/>
  <c r="BQ51" i="12"/>
  <c r="BQ52" i="12"/>
  <c r="BQ53" i="12"/>
  <c r="BQ54" i="12"/>
  <c r="BQ55" i="12"/>
  <c r="BQ56" i="12"/>
  <c r="BQ57" i="12"/>
  <c r="BQ58" i="12"/>
  <c r="BQ59" i="12"/>
  <c r="BQ60" i="12"/>
  <c r="BQ61" i="12"/>
  <c r="BQ62" i="12"/>
  <c r="BQ63" i="12"/>
  <c r="BQ64" i="12"/>
  <c r="BQ65" i="12"/>
  <c r="BQ66" i="12"/>
  <c r="BQ67" i="12"/>
  <c r="BQ68" i="12"/>
  <c r="BQ69" i="12"/>
  <c r="BQ70" i="12"/>
  <c r="BQ71" i="12"/>
  <c r="BQ72" i="12"/>
  <c r="BQ73" i="12"/>
  <c r="BQ74" i="12"/>
  <c r="BQ75" i="12"/>
  <c r="BQ76" i="12"/>
  <c r="BQ77" i="12"/>
  <c r="BQ78" i="12"/>
  <c r="BQ79" i="12"/>
  <c r="BQ80" i="12"/>
  <c r="BQ81" i="12"/>
  <c r="BQ82" i="12"/>
  <c r="BQ83" i="12"/>
  <c r="BQ84" i="12"/>
  <c r="BQ85" i="12"/>
  <c r="BQ86" i="12"/>
  <c r="BQ87" i="12"/>
  <c r="BQ88" i="12"/>
  <c r="BQ89" i="12"/>
  <c r="BQ90" i="12"/>
  <c r="BQ91" i="12"/>
  <c r="BQ92" i="12"/>
  <c r="BQ93" i="12"/>
  <c r="BQ94" i="12"/>
  <c r="BQ95" i="12"/>
  <c r="BQ96" i="12"/>
  <c r="BQ97" i="12"/>
  <c r="BQ98" i="12"/>
  <c r="BQ99" i="12"/>
  <c r="BQ100" i="12"/>
  <c r="BQ101" i="12"/>
  <c r="BQ102" i="12"/>
  <c r="BQ103" i="12"/>
  <c r="BQ104" i="12"/>
  <c r="BQ105" i="12"/>
  <c r="BQ106" i="12"/>
  <c r="BQ107" i="12"/>
  <c r="BQ108" i="12"/>
  <c r="BQ109" i="12"/>
  <c r="BQ110" i="12"/>
  <c r="BQ111" i="12"/>
  <c r="BQ112" i="12"/>
  <c r="BQ113" i="12"/>
  <c r="BQ114" i="12"/>
  <c r="BQ115" i="12"/>
  <c r="BQ116" i="12"/>
  <c r="BQ117" i="12"/>
  <c r="CD18" i="12"/>
  <c r="CD19" i="12"/>
  <c r="CD20" i="12"/>
  <c r="CD21" i="12"/>
  <c r="CD22" i="12"/>
  <c r="CD23" i="12"/>
  <c r="CD24" i="12"/>
  <c r="CD25" i="12"/>
  <c r="CD26" i="12"/>
  <c r="CD27" i="12"/>
  <c r="CD28" i="12"/>
  <c r="CD29" i="12"/>
  <c r="CD30" i="12"/>
  <c r="CD31" i="12"/>
  <c r="CD32" i="12"/>
  <c r="CD33" i="12"/>
  <c r="CD34" i="12"/>
  <c r="CD35" i="12"/>
  <c r="CD36" i="12"/>
  <c r="CD37" i="12"/>
  <c r="CD38" i="12"/>
  <c r="CD39" i="12"/>
  <c r="CD40" i="12"/>
  <c r="CD41" i="12"/>
  <c r="CD42" i="12"/>
  <c r="CD43" i="12"/>
  <c r="CD44" i="12"/>
  <c r="CD45" i="12"/>
  <c r="CD46" i="12"/>
  <c r="CD47" i="12"/>
  <c r="CD48" i="12"/>
  <c r="CD49" i="12"/>
  <c r="CD50" i="12"/>
  <c r="CD51" i="12"/>
  <c r="CD52" i="12"/>
  <c r="CD53" i="12"/>
  <c r="CD54" i="12"/>
  <c r="CD55" i="12"/>
  <c r="CD56" i="12"/>
  <c r="CD57" i="12"/>
  <c r="CD58" i="12"/>
  <c r="CD59" i="12"/>
  <c r="CD60" i="12"/>
  <c r="CD61" i="12"/>
  <c r="CD62" i="12"/>
  <c r="CD63" i="12"/>
  <c r="CD64" i="12"/>
  <c r="CD65" i="12"/>
  <c r="CD66" i="12"/>
  <c r="CD67" i="12"/>
  <c r="CD68" i="12"/>
  <c r="CD69" i="12"/>
  <c r="CD70" i="12"/>
  <c r="CD71" i="12"/>
  <c r="CD72" i="12"/>
  <c r="CD73" i="12"/>
  <c r="CD74" i="12"/>
  <c r="CD75" i="12"/>
  <c r="CD76" i="12"/>
  <c r="CD77" i="12"/>
  <c r="CD78" i="12"/>
  <c r="CD79" i="12"/>
  <c r="CD80" i="12"/>
  <c r="CD81" i="12"/>
  <c r="CD82" i="12"/>
  <c r="CD83" i="12"/>
  <c r="CD84" i="12"/>
  <c r="CD85" i="12"/>
  <c r="CD86" i="12"/>
  <c r="CD87" i="12"/>
  <c r="CD88" i="12"/>
  <c r="CD89" i="12"/>
  <c r="CD90" i="12"/>
  <c r="CD91" i="12"/>
  <c r="CD92" i="12"/>
  <c r="CD93" i="12"/>
  <c r="CD94" i="12"/>
  <c r="CD95" i="12"/>
  <c r="CD96" i="12"/>
  <c r="CD97" i="12"/>
  <c r="CD98" i="12"/>
  <c r="CD99" i="12"/>
  <c r="CD100" i="12"/>
  <c r="CD101" i="12"/>
  <c r="CD102" i="12"/>
  <c r="CD103" i="12"/>
  <c r="CD104" i="12"/>
  <c r="CD105" i="12"/>
  <c r="CD106" i="12"/>
  <c r="CD107" i="12"/>
  <c r="CD108" i="12"/>
  <c r="CD109" i="12"/>
  <c r="CD110" i="12"/>
  <c r="CD111" i="12"/>
  <c r="CD112" i="12"/>
  <c r="CD113" i="12"/>
  <c r="CD114" i="12"/>
  <c r="CD115" i="12"/>
  <c r="CD116" i="12"/>
  <c r="CD117" i="12"/>
  <c r="BR18" i="12"/>
  <c r="BR19" i="12"/>
  <c r="BR20" i="12"/>
  <c r="BR21" i="12"/>
  <c r="BR22" i="12"/>
  <c r="BR23" i="12"/>
  <c r="BR24" i="12"/>
  <c r="BR25" i="12"/>
  <c r="BR26" i="12"/>
  <c r="BR27" i="12"/>
  <c r="BR28" i="12"/>
  <c r="BR29" i="12"/>
  <c r="BR30" i="12"/>
  <c r="BR31" i="12"/>
  <c r="BR32" i="12"/>
  <c r="BR33" i="12"/>
  <c r="BR34" i="12"/>
  <c r="BR35" i="12"/>
  <c r="BR36" i="12"/>
  <c r="BR37" i="12"/>
  <c r="BR38" i="12"/>
  <c r="BR39" i="12"/>
  <c r="BR40" i="12"/>
  <c r="BR41" i="12"/>
  <c r="BR42" i="12"/>
  <c r="BR43" i="12"/>
  <c r="BR44" i="12"/>
  <c r="BR45" i="12"/>
  <c r="BR46" i="12"/>
  <c r="BR47" i="12"/>
  <c r="BR48" i="12"/>
  <c r="BR49" i="12"/>
  <c r="BR50" i="12"/>
  <c r="BR51" i="12"/>
  <c r="BR52" i="12"/>
  <c r="BR53" i="12"/>
  <c r="BR54" i="12"/>
  <c r="BR55" i="12"/>
  <c r="BR56" i="12"/>
  <c r="BR57" i="12"/>
  <c r="BR58" i="12"/>
  <c r="BR59" i="12"/>
  <c r="BR60" i="12"/>
  <c r="BR61" i="12"/>
  <c r="BR62" i="12"/>
  <c r="BR63" i="12"/>
  <c r="BR64" i="12"/>
  <c r="BR65" i="12"/>
  <c r="BR66" i="12"/>
  <c r="BR67" i="12"/>
  <c r="BR68" i="12"/>
  <c r="BR69" i="12"/>
  <c r="BR70" i="12"/>
  <c r="BR71" i="12"/>
  <c r="BR72" i="12"/>
  <c r="BR73" i="12"/>
  <c r="BR74" i="12"/>
  <c r="BR75" i="12"/>
  <c r="BR76" i="12"/>
  <c r="BR77" i="12"/>
  <c r="BR78" i="12"/>
  <c r="BR79" i="12"/>
  <c r="BR80" i="12"/>
  <c r="BR81" i="12"/>
  <c r="BR82" i="12"/>
  <c r="BR83" i="12"/>
  <c r="BR84" i="12"/>
  <c r="BR85" i="12"/>
  <c r="BR86" i="12"/>
  <c r="BR87" i="12"/>
  <c r="BR88" i="12"/>
  <c r="BR89" i="12"/>
  <c r="BR90" i="12"/>
  <c r="BR91" i="12"/>
  <c r="BR92" i="12"/>
  <c r="BR93" i="12"/>
  <c r="BR94" i="12"/>
  <c r="BR95" i="12"/>
  <c r="BR96" i="12"/>
  <c r="BR97" i="12"/>
  <c r="BR98" i="12"/>
  <c r="BR99" i="12"/>
  <c r="BR100" i="12"/>
  <c r="BR101" i="12"/>
  <c r="BR102" i="12"/>
  <c r="BR103" i="12"/>
  <c r="BR104" i="12"/>
  <c r="BR105" i="12"/>
  <c r="BR106" i="12"/>
  <c r="BR107" i="12"/>
  <c r="BR108" i="12"/>
  <c r="BR109" i="12"/>
  <c r="BR110" i="12"/>
  <c r="BR111" i="12"/>
  <c r="BR112" i="12"/>
  <c r="BR113" i="12"/>
  <c r="BR114" i="12"/>
  <c r="BR115" i="12"/>
  <c r="BR116" i="12"/>
  <c r="BR117" i="12"/>
  <c r="BS18" i="12"/>
  <c r="BS19" i="12"/>
  <c r="BS20" i="12"/>
  <c r="BS21" i="12"/>
  <c r="BS22" i="12"/>
  <c r="BS23" i="12"/>
  <c r="BS24" i="12"/>
  <c r="BS25" i="12"/>
  <c r="BS26" i="12"/>
  <c r="BS27" i="12"/>
  <c r="BS28" i="12"/>
  <c r="BS29" i="12"/>
  <c r="BS30" i="12"/>
  <c r="BS31" i="12"/>
  <c r="BS32" i="12"/>
  <c r="BS33" i="12"/>
  <c r="BS34" i="12"/>
  <c r="BS35" i="12"/>
  <c r="BS36" i="12"/>
  <c r="BS37" i="12"/>
  <c r="BS38" i="12"/>
  <c r="BS39" i="12"/>
  <c r="BS40" i="12"/>
  <c r="BS41" i="12"/>
  <c r="BS42" i="12"/>
  <c r="BS43" i="12"/>
  <c r="BS44" i="12"/>
  <c r="BS45" i="12"/>
  <c r="BS46" i="12"/>
  <c r="BS47" i="12"/>
  <c r="BS48" i="12"/>
  <c r="BS49" i="12"/>
  <c r="BS50" i="12"/>
  <c r="BS51" i="12"/>
  <c r="BS52" i="12"/>
  <c r="BS53" i="12"/>
  <c r="BS54" i="12"/>
  <c r="BS55" i="12"/>
  <c r="BS56" i="12"/>
  <c r="BS57" i="12"/>
  <c r="BS58" i="12"/>
  <c r="BS59" i="12"/>
  <c r="BS60" i="12"/>
  <c r="BS61" i="12"/>
  <c r="BS62" i="12"/>
  <c r="BS63" i="12"/>
  <c r="BS64" i="12"/>
  <c r="BS65" i="12"/>
  <c r="BS66" i="12"/>
  <c r="BS67" i="12"/>
  <c r="BS68" i="12"/>
  <c r="BS69" i="12"/>
  <c r="BS70" i="12"/>
  <c r="BS71" i="12"/>
  <c r="BS72" i="12"/>
  <c r="BS73" i="12"/>
  <c r="BS74" i="12"/>
  <c r="BS75" i="12"/>
  <c r="BS76" i="12"/>
  <c r="BS77" i="12"/>
  <c r="BS78" i="12"/>
  <c r="BS79" i="12"/>
  <c r="BS80" i="12"/>
  <c r="BS81" i="12"/>
  <c r="BS82" i="12"/>
  <c r="BS83" i="12"/>
  <c r="BS84" i="12"/>
  <c r="BS85" i="12"/>
  <c r="BS86" i="12"/>
  <c r="BS87" i="12"/>
  <c r="BS88" i="12"/>
  <c r="BS89" i="12"/>
  <c r="BS90" i="12"/>
  <c r="BS91" i="12"/>
  <c r="BS92" i="12"/>
  <c r="BS93" i="12"/>
  <c r="BS94" i="12"/>
  <c r="BS95" i="12"/>
  <c r="BS96" i="12"/>
  <c r="BS97" i="12"/>
  <c r="BS98" i="12"/>
  <c r="BS99" i="12"/>
  <c r="BS100" i="12"/>
  <c r="BS101" i="12"/>
  <c r="BS102" i="12"/>
  <c r="BS103" i="12"/>
  <c r="BS104" i="12"/>
  <c r="BS105" i="12"/>
  <c r="BS106" i="12"/>
  <c r="BS107" i="12"/>
  <c r="BS108" i="12"/>
  <c r="BS109" i="12"/>
  <c r="BS110" i="12"/>
  <c r="BS111" i="12"/>
  <c r="BS112" i="12"/>
  <c r="BS113" i="12"/>
  <c r="BS114" i="12"/>
  <c r="BS115" i="12"/>
  <c r="BS116" i="12"/>
  <c r="BS117" i="12"/>
  <c r="BT18" i="12"/>
  <c r="BT19" i="12"/>
  <c r="BT20" i="12"/>
  <c r="BT21" i="12"/>
  <c r="BT22" i="12"/>
  <c r="BT23" i="12"/>
  <c r="BT24" i="12"/>
  <c r="BT25" i="12"/>
  <c r="BT26" i="12"/>
  <c r="BT27" i="12"/>
  <c r="BT28" i="12"/>
  <c r="BT29" i="12"/>
  <c r="BT30" i="12"/>
  <c r="BT31" i="12"/>
  <c r="BT32" i="12"/>
  <c r="BT33" i="12"/>
  <c r="BT34" i="12"/>
  <c r="BT35" i="12"/>
  <c r="BT36" i="12"/>
  <c r="BT37" i="12"/>
  <c r="BT38" i="12"/>
  <c r="BT39" i="12"/>
  <c r="BT40" i="12"/>
  <c r="BT41" i="12"/>
  <c r="BT42" i="12"/>
  <c r="BT43" i="12"/>
  <c r="BT44" i="12"/>
  <c r="BT45" i="12"/>
  <c r="BT46" i="12"/>
  <c r="BT47" i="12"/>
  <c r="BT48" i="12"/>
  <c r="BT49" i="12"/>
  <c r="BT50" i="12"/>
  <c r="BT51" i="12"/>
  <c r="BT52" i="12"/>
  <c r="BT53" i="12"/>
  <c r="BT54" i="12"/>
  <c r="BT55" i="12"/>
  <c r="BT56" i="12"/>
  <c r="BT57" i="12"/>
  <c r="BT58" i="12"/>
  <c r="BT59" i="12"/>
  <c r="BT60" i="12"/>
  <c r="BT61" i="12"/>
  <c r="BT62" i="12"/>
  <c r="BT63" i="12"/>
  <c r="BT64" i="12"/>
  <c r="BT65" i="12"/>
  <c r="BT66" i="12"/>
  <c r="BT67" i="12"/>
  <c r="BT68" i="12"/>
  <c r="BT69" i="12"/>
  <c r="BT70" i="12"/>
  <c r="BT71" i="12"/>
  <c r="BT72" i="12"/>
  <c r="BT73" i="12"/>
  <c r="BT74" i="12"/>
  <c r="BT75" i="12"/>
  <c r="BT76" i="12"/>
  <c r="BT77" i="12"/>
  <c r="BT78" i="12"/>
  <c r="BT79" i="12"/>
  <c r="BT80" i="12"/>
  <c r="BT81" i="12"/>
  <c r="BT82" i="12"/>
  <c r="BT83" i="12"/>
  <c r="BT84" i="12"/>
  <c r="BT85" i="12"/>
  <c r="BT86" i="12"/>
  <c r="BT87" i="12"/>
  <c r="BT88" i="12"/>
  <c r="BT89" i="12"/>
  <c r="BT90" i="12"/>
  <c r="BT91" i="12"/>
  <c r="BT92" i="12"/>
  <c r="BT93" i="12"/>
  <c r="BT94" i="12"/>
  <c r="BT95" i="12"/>
  <c r="BT96" i="12"/>
  <c r="BT97" i="12"/>
  <c r="BT98" i="12"/>
  <c r="BT99" i="12"/>
  <c r="BT100" i="12"/>
  <c r="BT101" i="12"/>
  <c r="BT102" i="12"/>
  <c r="BT103" i="12"/>
  <c r="BT104" i="12"/>
  <c r="BT105" i="12"/>
  <c r="BT106" i="12"/>
  <c r="BT107" i="12"/>
  <c r="BT108" i="12"/>
  <c r="BT109" i="12"/>
  <c r="BT110" i="12"/>
  <c r="BT111" i="12"/>
  <c r="BT112" i="12"/>
  <c r="BT113" i="12"/>
  <c r="BT114" i="12"/>
  <c r="BT115" i="12"/>
  <c r="BT116" i="12"/>
  <c r="BT117" i="12"/>
  <c r="BU18" i="12"/>
  <c r="BU19" i="12"/>
  <c r="BU20" i="12"/>
  <c r="BU21" i="12"/>
  <c r="BU22" i="12"/>
  <c r="BU23" i="12"/>
  <c r="BU24" i="12"/>
  <c r="BU25" i="12"/>
  <c r="BU26" i="12"/>
  <c r="BU27" i="12"/>
  <c r="BU28" i="12"/>
  <c r="BU29" i="12"/>
  <c r="BU30" i="12"/>
  <c r="BU31" i="12"/>
  <c r="BU32" i="12"/>
  <c r="BU33" i="12"/>
  <c r="BU34" i="12"/>
  <c r="BU35" i="12"/>
  <c r="BU36" i="12"/>
  <c r="BU37" i="12"/>
  <c r="BU38" i="12"/>
  <c r="BU39" i="12"/>
  <c r="BU40" i="12"/>
  <c r="BU41" i="12"/>
  <c r="BU42" i="12"/>
  <c r="BU43" i="12"/>
  <c r="BU44" i="12"/>
  <c r="BU45" i="12"/>
  <c r="BU46" i="12"/>
  <c r="BU47" i="12"/>
  <c r="BU48" i="12"/>
  <c r="BU49" i="12"/>
  <c r="BU50" i="12"/>
  <c r="BU51" i="12"/>
  <c r="BU52" i="12"/>
  <c r="BU53" i="12"/>
  <c r="BU54" i="12"/>
  <c r="BU55" i="12"/>
  <c r="BU56" i="12"/>
  <c r="BU57" i="12"/>
  <c r="BU58" i="12"/>
  <c r="BU59" i="12"/>
  <c r="BU60" i="12"/>
  <c r="BU61" i="12"/>
  <c r="BU62" i="12"/>
  <c r="BU63" i="12"/>
  <c r="BU64" i="12"/>
  <c r="BU65" i="12"/>
  <c r="BU66" i="12"/>
  <c r="BU67" i="12"/>
  <c r="BU68" i="12"/>
  <c r="BU69" i="12"/>
  <c r="BU70" i="12"/>
  <c r="BU71" i="12"/>
  <c r="BU72" i="12"/>
  <c r="BU73" i="12"/>
  <c r="BU74" i="12"/>
  <c r="BU75" i="12"/>
  <c r="BU76" i="12"/>
  <c r="BU77" i="12"/>
  <c r="BU78" i="12"/>
  <c r="BU79" i="12"/>
  <c r="BU80" i="12"/>
  <c r="BU81" i="12"/>
  <c r="BU82" i="12"/>
  <c r="BU83" i="12"/>
  <c r="BU84" i="12"/>
  <c r="BU85" i="12"/>
  <c r="BU86" i="12"/>
  <c r="BU87" i="12"/>
  <c r="BU88" i="12"/>
  <c r="BU89" i="12"/>
  <c r="BU90" i="12"/>
  <c r="BU91" i="12"/>
  <c r="BU92" i="12"/>
  <c r="BU93" i="12"/>
  <c r="BU94" i="12"/>
  <c r="BU95" i="12"/>
  <c r="BU96" i="12"/>
  <c r="BU97" i="12"/>
  <c r="BU98" i="12"/>
  <c r="BU99" i="12"/>
  <c r="BU100" i="12"/>
  <c r="BU101" i="12"/>
  <c r="BU102" i="12"/>
  <c r="BU103" i="12"/>
  <c r="BU104" i="12"/>
  <c r="BU105" i="12"/>
  <c r="BU106" i="12"/>
  <c r="BU107" i="12"/>
  <c r="BU108" i="12"/>
  <c r="BU109" i="12"/>
  <c r="BU110" i="12"/>
  <c r="BU111" i="12"/>
  <c r="BU112" i="12"/>
  <c r="BU113" i="12"/>
  <c r="BU114" i="12"/>
  <c r="BU115" i="12"/>
  <c r="BU116" i="12"/>
  <c r="BU117" i="12"/>
  <c r="BV18" i="12"/>
  <c r="BV19" i="12"/>
  <c r="BV20" i="12"/>
  <c r="BV21" i="12"/>
  <c r="BV22" i="12"/>
  <c r="BV23" i="12"/>
  <c r="BV24" i="12"/>
  <c r="BV25" i="12"/>
  <c r="BV26" i="12"/>
  <c r="BV27" i="12"/>
  <c r="BV28" i="12"/>
  <c r="BV29" i="12"/>
  <c r="BV30" i="12"/>
  <c r="BV31" i="12"/>
  <c r="BV32" i="12"/>
  <c r="BV33" i="12"/>
  <c r="BV34" i="12"/>
  <c r="BV35" i="12"/>
  <c r="BV36" i="12"/>
  <c r="BV37" i="12"/>
  <c r="BV38" i="12"/>
  <c r="BV39" i="12"/>
  <c r="BV40" i="12"/>
  <c r="BV41" i="12"/>
  <c r="BV42" i="12"/>
  <c r="BV43" i="12"/>
  <c r="BV44" i="12"/>
  <c r="BV45" i="12"/>
  <c r="BV46" i="12"/>
  <c r="BV47" i="12"/>
  <c r="BV48" i="12"/>
  <c r="BV49" i="12"/>
  <c r="BV50" i="12"/>
  <c r="BV51" i="12"/>
  <c r="BV52" i="12"/>
  <c r="BV53" i="12"/>
  <c r="BV54" i="12"/>
  <c r="BV55" i="12"/>
  <c r="BV56" i="12"/>
  <c r="BV57" i="12"/>
  <c r="BV58" i="12"/>
  <c r="BV59" i="12"/>
  <c r="BV60" i="12"/>
  <c r="BV61" i="12"/>
  <c r="BV62" i="12"/>
  <c r="BV63" i="12"/>
  <c r="BV64" i="12"/>
  <c r="BV65" i="12"/>
  <c r="BV66" i="12"/>
  <c r="BV67" i="12"/>
  <c r="BV68" i="12"/>
  <c r="BV69" i="12"/>
  <c r="BV70" i="12"/>
  <c r="BV71" i="12"/>
  <c r="BV72" i="12"/>
  <c r="BV73" i="12"/>
  <c r="BV74" i="12"/>
  <c r="BV75" i="12"/>
  <c r="BV76" i="12"/>
  <c r="BV77" i="12"/>
  <c r="BV78" i="12"/>
  <c r="BV79" i="12"/>
  <c r="BV80" i="12"/>
  <c r="BV81" i="12"/>
  <c r="BV82" i="12"/>
  <c r="BV83" i="12"/>
  <c r="BV84" i="12"/>
  <c r="BV85" i="12"/>
  <c r="BV86" i="12"/>
  <c r="BV87" i="12"/>
  <c r="BV88" i="12"/>
  <c r="BV89" i="12"/>
  <c r="BV90" i="12"/>
  <c r="BV91" i="12"/>
  <c r="BV92" i="12"/>
  <c r="BV93" i="12"/>
  <c r="BV94" i="12"/>
  <c r="BV95" i="12"/>
  <c r="BV96" i="12"/>
  <c r="BV97" i="12"/>
  <c r="BV98" i="12"/>
  <c r="BV99" i="12"/>
  <c r="BV100" i="12"/>
  <c r="BV101" i="12"/>
  <c r="BV102" i="12"/>
  <c r="BV103" i="12"/>
  <c r="BV104" i="12"/>
  <c r="BV105" i="12"/>
  <c r="BV106" i="12"/>
  <c r="BV107" i="12"/>
  <c r="BV108" i="12"/>
  <c r="BV109" i="12"/>
  <c r="BV110" i="12"/>
  <c r="BV111" i="12"/>
  <c r="BV112" i="12"/>
  <c r="BV113" i="12"/>
  <c r="BV114" i="12"/>
  <c r="BV115" i="12"/>
  <c r="BV116" i="12"/>
  <c r="BV117" i="12"/>
  <c r="BW18" i="12"/>
  <c r="BW19" i="12"/>
  <c r="BW20" i="12"/>
  <c r="BW21" i="12"/>
  <c r="BW22" i="12"/>
  <c r="BW23" i="12"/>
  <c r="BW24" i="12"/>
  <c r="BW25" i="12"/>
  <c r="BW26" i="12"/>
  <c r="BW27" i="12"/>
  <c r="BW28" i="12"/>
  <c r="BW29" i="12"/>
  <c r="BW30" i="12"/>
  <c r="BW31" i="12"/>
  <c r="BW32" i="12"/>
  <c r="BW33" i="12"/>
  <c r="BW34" i="12"/>
  <c r="BW35" i="12"/>
  <c r="BW36" i="12"/>
  <c r="BW37" i="12"/>
  <c r="BW38" i="12"/>
  <c r="BW39" i="12"/>
  <c r="BW40" i="12"/>
  <c r="BW41" i="12"/>
  <c r="BW42" i="12"/>
  <c r="BW43" i="12"/>
  <c r="BW44" i="12"/>
  <c r="BW45" i="12"/>
  <c r="BW46" i="12"/>
  <c r="BW47" i="12"/>
  <c r="BW48" i="12"/>
  <c r="BW49" i="12"/>
  <c r="BW50" i="12"/>
  <c r="BW51" i="12"/>
  <c r="BW52" i="12"/>
  <c r="BW53" i="12"/>
  <c r="BW54" i="12"/>
  <c r="BW55" i="12"/>
  <c r="BW56" i="12"/>
  <c r="BW57" i="12"/>
  <c r="BW58" i="12"/>
  <c r="BW59" i="12"/>
  <c r="BW60" i="12"/>
  <c r="BW61" i="12"/>
  <c r="BW62" i="12"/>
  <c r="BW63" i="12"/>
  <c r="BW64" i="12"/>
  <c r="BW65" i="12"/>
  <c r="BW66" i="12"/>
  <c r="BW67" i="12"/>
  <c r="BW68" i="12"/>
  <c r="BW69" i="12"/>
  <c r="BW70" i="12"/>
  <c r="BW71" i="12"/>
  <c r="BW72" i="12"/>
  <c r="BW73" i="12"/>
  <c r="BW74" i="12"/>
  <c r="BW75" i="12"/>
  <c r="BW76" i="12"/>
  <c r="BW77" i="12"/>
  <c r="BW78" i="12"/>
  <c r="BW79" i="12"/>
  <c r="BW80" i="12"/>
  <c r="BW81" i="12"/>
  <c r="BW82" i="12"/>
  <c r="BW83" i="12"/>
  <c r="BW84" i="12"/>
  <c r="BW85" i="12"/>
  <c r="BW86" i="12"/>
  <c r="BW87" i="12"/>
  <c r="BW88" i="12"/>
  <c r="BW89" i="12"/>
  <c r="BW90" i="12"/>
  <c r="BW91" i="12"/>
  <c r="BW92" i="12"/>
  <c r="BW93" i="12"/>
  <c r="BW94" i="12"/>
  <c r="BW95" i="12"/>
  <c r="BW96" i="12"/>
  <c r="BW97" i="12"/>
  <c r="BW98" i="12"/>
  <c r="BW99" i="12"/>
  <c r="BW100" i="12"/>
  <c r="BW101" i="12"/>
  <c r="BW102" i="12"/>
  <c r="BW103" i="12"/>
  <c r="BW104" i="12"/>
  <c r="BW105" i="12"/>
  <c r="BW106" i="12"/>
  <c r="BW107" i="12"/>
  <c r="BW108" i="12"/>
  <c r="BW109" i="12"/>
  <c r="BW110" i="12"/>
  <c r="BW111" i="12"/>
  <c r="BW112" i="12"/>
  <c r="BW113" i="12"/>
  <c r="BW114" i="12"/>
  <c r="BW115" i="12"/>
  <c r="BW116" i="12"/>
  <c r="BW117" i="12"/>
  <c r="BX18" i="12"/>
  <c r="BX19" i="12"/>
  <c r="BX20" i="12"/>
  <c r="BX21" i="12"/>
  <c r="BX22" i="12"/>
  <c r="BX23" i="12"/>
  <c r="BX24" i="12"/>
  <c r="BX25" i="12"/>
  <c r="BX26" i="12"/>
  <c r="BX27" i="12"/>
  <c r="BX28" i="12"/>
  <c r="BX29" i="12"/>
  <c r="BX30" i="12"/>
  <c r="BX31" i="12"/>
  <c r="BX32" i="12"/>
  <c r="BX33" i="12"/>
  <c r="BX34" i="12"/>
  <c r="BX35" i="12"/>
  <c r="BX36" i="12"/>
  <c r="BX37" i="12"/>
  <c r="BX38" i="12"/>
  <c r="BX39" i="12"/>
  <c r="BX40" i="12"/>
  <c r="BX41" i="12"/>
  <c r="BX42" i="12"/>
  <c r="BX43" i="12"/>
  <c r="BX44" i="12"/>
  <c r="BX45" i="12"/>
  <c r="BX46" i="12"/>
  <c r="BX47" i="12"/>
  <c r="BX48" i="12"/>
  <c r="BX49" i="12"/>
  <c r="BX50" i="12"/>
  <c r="BX51" i="12"/>
  <c r="BX52" i="12"/>
  <c r="BX53" i="12"/>
  <c r="BX54" i="12"/>
  <c r="BX55" i="12"/>
  <c r="BX56" i="12"/>
  <c r="BX57" i="12"/>
  <c r="BX58" i="12"/>
  <c r="BX59" i="12"/>
  <c r="BX60" i="12"/>
  <c r="BX61" i="12"/>
  <c r="BX62" i="12"/>
  <c r="BX63" i="12"/>
  <c r="BX64" i="12"/>
  <c r="BX65" i="12"/>
  <c r="BX66" i="12"/>
  <c r="BX67" i="12"/>
  <c r="BX68" i="12"/>
  <c r="BX69" i="12"/>
  <c r="BX70" i="12"/>
  <c r="BX71" i="12"/>
  <c r="BX72" i="12"/>
  <c r="BX73" i="12"/>
  <c r="BX74" i="12"/>
  <c r="BX75" i="12"/>
  <c r="BX76" i="12"/>
  <c r="BX77" i="12"/>
  <c r="BX78" i="12"/>
  <c r="BX79" i="12"/>
  <c r="BX80" i="12"/>
  <c r="BX81" i="12"/>
  <c r="BX82" i="12"/>
  <c r="BX83" i="12"/>
  <c r="BX84" i="12"/>
  <c r="BX85" i="12"/>
  <c r="BX86" i="12"/>
  <c r="BX87" i="12"/>
  <c r="BX88" i="12"/>
  <c r="BX89" i="12"/>
  <c r="BX90" i="12"/>
  <c r="BX91" i="12"/>
  <c r="BX92" i="12"/>
  <c r="BX93" i="12"/>
  <c r="BX94" i="12"/>
  <c r="BX95" i="12"/>
  <c r="BX96" i="12"/>
  <c r="BX97" i="12"/>
  <c r="BX98" i="12"/>
  <c r="BX99" i="12"/>
  <c r="BX100" i="12"/>
  <c r="BX101" i="12"/>
  <c r="BX102" i="12"/>
  <c r="BX103" i="12"/>
  <c r="BX104" i="12"/>
  <c r="BX105" i="12"/>
  <c r="BX106" i="12"/>
  <c r="BX107" i="12"/>
  <c r="BX108" i="12"/>
  <c r="BX109" i="12"/>
  <c r="BX110" i="12"/>
  <c r="BX111" i="12"/>
  <c r="BX112" i="12"/>
  <c r="BX113" i="12"/>
  <c r="BX114" i="12"/>
  <c r="BX115" i="12"/>
  <c r="BX116" i="12"/>
  <c r="BX117" i="12"/>
  <c r="BY18" i="12"/>
  <c r="BY19" i="12"/>
  <c r="BY20" i="12"/>
  <c r="BY21" i="12"/>
  <c r="BY22" i="12"/>
  <c r="BY23" i="12"/>
  <c r="BY24" i="12"/>
  <c r="BY25" i="12"/>
  <c r="BY26" i="12"/>
  <c r="BY27" i="12"/>
  <c r="BY28" i="12"/>
  <c r="BY29" i="12"/>
  <c r="BY30" i="12"/>
  <c r="BY31" i="12"/>
  <c r="BY32" i="12"/>
  <c r="BY33" i="12"/>
  <c r="BY34" i="12"/>
  <c r="BY35" i="12"/>
  <c r="BY36" i="12"/>
  <c r="BY37" i="12"/>
  <c r="BY38" i="12"/>
  <c r="BY39" i="12"/>
  <c r="BY40" i="12"/>
  <c r="BY41" i="12"/>
  <c r="BY42" i="12"/>
  <c r="BY43" i="12"/>
  <c r="BY44" i="12"/>
  <c r="BY45" i="12"/>
  <c r="BY46" i="12"/>
  <c r="BY47" i="12"/>
  <c r="BY48" i="12"/>
  <c r="BY49" i="12"/>
  <c r="BY50" i="12"/>
  <c r="BY51" i="12"/>
  <c r="BY52" i="12"/>
  <c r="BY53" i="12"/>
  <c r="BY54" i="12"/>
  <c r="BY55" i="12"/>
  <c r="BY56" i="12"/>
  <c r="BY57" i="12"/>
  <c r="BY58" i="12"/>
  <c r="BY59" i="12"/>
  <c r="BY60" i="12"/>
  <c r="BY61" i="12"/>
  <c r="BY62" i="12"/>
  <c r="BY63" i="12"/>
  <c r="BY64" i="12"/>
  <c r="BY65" i="12"/>
  <c r="BY66" i="12"/>
  <c r="BY67" i="12"/>
  <c r="BY68" i="12"/>
  <c r="BY69" i="12"/>
  <c r="BY70" i="12"/>
  <c r="BY71" i="12"/>
  <c r="BY72" i="12"/>
  <c r="BY73" i="12"/>
  <c r="BY74" i="12"/>
  <c r="BY75" i="12"/>
  <c r="BY76" i="12"/>
  <c r="BY77" i="12"/>
  <c r="BY78" i="12"/>
  <c r="BY79" i="12"/>
  <c r="BY80" i="12"/>
  <c r="BY81" i="12"/>
  <c r="BY82" i="12"/>
  <c r="BY83" i="12"/>
  <c r="BY84" i="12"/>
  <c r="BY85" i="12"/>
  <c r="BY86" i="12"/>
  <c r="BY87" i="12"/>
  <c r="BY88" i="12"/>
  <c r="BY89" i="12"/>
  <c r="BY90" i="12"/>
  <c r="BY91" i="12"/>
  <c r="BY92" i="12"/>
  <c r="BY93" i="12"/>
  <c r="BY94" i="12"/>
  <c r="BY95" i="12"/>
  <c r="BY96" i="12"/>
  <c r="BY97" i="12"/>
  <c r="BY98" i="12"/>
  <c r="BY99" i="12"/>
  <c r="BY100" i="12"/>
  <c r="BY101" i="12"/>
  <c r="BY102" i="12"/>
  <c r="BY103" i="12"/>
  <c r="BY104" i="12"/>
  <c r="BY105" i="12"/>
  <c r="BY106" i="12"/>
  <c r="BY107" i="12"/>
  <c r="BY108" i="12"/>
  <c r="BY109" i="12"/>
  <c r="BY110" i="12"/>
  <c r="BY111" i="12"/>
  <c r="BY112" i="12"/>
  <c r="BY113" i="12"/>
  <c r="BY114" i="12"/>
  <c r="BY115" i="12"/>
  <c r="BY116" i="12"/>
  <c r="BY117" i="12"/>
  <c r="BZ18" i="12"/>
  <c r="BZ19" i="12"/>
  <c r="BZ20" i="12"/>
  <c r="BZ21" i="12"/>
  <c r="BZ22" i="12"/>
  <c r="BZ23" i="12"/>
  <c r="BZ24" i="12"/>
  <c r="BZ25" i="12"/>
  <c r="BZ26" i="12"/>
  <c r="BZ27" i="12"/>
  <c r="BZ28" i="12"/>
  <c r="BZ29" i="12"/>
  <c r="BZ30" i="12"/>
  <c r="BZ31" i="12"/>
  <c r="BZ32" i="12"/>
  <c r="BZ33" i="12"/>
  <c r="BZ34" i="12"/>
  <c r="BZ35" i="12"/>
  <c r="BZ36" i="12"/>
  <c r="BZ37" i="12"/>
  <c r="BZ38" i="12"/>
  <c r="BZ39" i="12"/>
  <c r="BZ40" i="12"/>
  <c r="BZ41" i="12"/>
  <c r="BZ42" i="12"/>
  <c r="BZ43" i="12"/>
  <c r="BZ44" i="12"/>
  <c r="BZ45" i="12"/>
  <c r="BZ46" i="12"/>
  <c r="BZ47" i="12"/>
  <c r="BZ48" i="12"/>
  <c r="BZ49" i="12"/>
  <c r="BZ50" i="12"/>
  <c r="BZ51" i="12"/>
  <c r="BZ52" i="12"/>
  <c r="BZ53" i="12"/>
  <c r="BZ54" i="12"/>
  <c r="BZ55" i="12"/>
  <c r="BZ56" i="12"/>
  <c r="BZ57" i="12"/>
  <c r="BZ58" i="12"/>
  <c r="BZ59" i="12"/>
  <c r="BZ60" i="12"/>
  <c r="BZ61" i="12"/>
  <c r="BZ62" i="12"/>
  <c r="BZ63" i="12"/>
  <c r="BZ64" i="12"/>
  <c r="BZ65" i="12"/>
  <c r="BZ66" i="12"/>
  <c r="BZ67" i="12"/>
  <c r="BZ68" i="12"/>
  <c r="BZ69" i="12"/>
  <c r="BZ70" i="12"/>
  <c r="BZ71" i="12"/>
  <c r="BZ72" i="12"/>
  <c r="BZ73" i="12"/>
  <c r="BZ74" i="12"/>
  <c r="BZ75" i="12"/>
  <c r="BZ76" i="12"/>
  <c r="BZ77" i="12"/>
  <c r="BZ78" i="12"/>
  <c r="BZ79" i="12"/>
  <c r="BZ80" i="12"/>
  <c r="BZ81" i="12"/>
  <c r="BZ82" i="12"/>
  <c r="BZ83" i="12"/>
  <c r="BZ84" i="12"/>
  <c r="BZ85" i="12"/>
  <c r="BZ86" i="12"/>
  <c r="BZ87" i="12"/>
  <c r="BZ88" i="12"/>
  <c r="BZ89" i="12"/>
  <c r="BZ90" i="12"/>
  <c r="BZ91" i="12"/>
  <c r="BZ92" i="12"/>
  <c r="BZ93" i="12"/>
  <c r="BZ94" i="12"/>
  <c r="BZ95" i="12"/>
  <c r="BZ96" i="12"/>
  <c r="BZ97" i="12"/>
  <c r="BZ98" i="12"/>
  <c r="BZ99" i="12"/>
  <c r="BZ100" i="12"/>
  <c r="BZ101" i="12"/>
  <c r="BZ102" i="12"/>
  <c r="BZ103" i="12"/>
  <c r="BZ104" i="12"/>
  <c r="BZ105" i="12"/>
  <c r="BZ106" i="12"/>
  <c r="BZ107" i="12"/>
  <c r="BZ108" i="12"/>
  <c r="BZ109" i="12"/>
  <c r="BZ110" i="12"/>
  <c r="BZ111" i="12"/>
  <c r="BZ112" i="12"/>
  <c r="BZ113" i="12"/>
  <c r="BZ114" i="12"/>
  <c r="BZ115" i="12"/>
  <c r="BZ116" i="12"/>
  <c r="BZ117" i="12"/>
  <c r="CA18" i="12"/>
  <c r="CA19" i="12"/>
  <c r="CA20" i="12"/>
  <c r="CA21" i="12"/>
  <c r="CA22" i="12"/>
  <c r="CA23" i="12"/>
  <c r="CA24" i="12"/>
  <c r="CA25" i="12"/>
  <c r="CA26" i="12"/>
  <c r="CA27" i="12"/>
  <c r="CA28" i="12"/>
  <c r="CA29" i="12"/>
  <c r="CA30" i="12"/>
  <c r="CA31" i="12"/>
  <c r="CA32" i="12"/>
  <c r="CA33" i="12"/>
  <c r="CA34" i="12"/>
  <c r="CA35" i="12"/>
  <c r="CA36" i="12"/>
  <c r="CA37" i="12"/>
  <c r="CA38" i="12"/>
  <c r="CA39" i="12"/>
  <c r="CA40" i="12"/>
  <c r="CA41" i="12"/>
  <c r="CA42" i="12"/>
  <c r="CA43" i="12"/>
  <c r="CA44" i="12"/>
  <c r="CA45" i="12"/>
  <c r="CA46" i="12"/>
  <c r="CA47" i="12"/>
  <c r="CA48" i="12"/>
  <c r="CA49" i="12"/>
  <c r="CA50" i="12"/>
  <c r="CA51" i="12"/>
  <c r="CA52" i="12"/>
  <c r="CA53" i="12"/>
  <c r="CA54" i="12"/>
  <c r="CA55" i="12"/>
  <c r="CA56" i="12"/>
  <c r="CA57" i="12"/>
  <c r="CA58" i="12"/>
  <c r="CA59" i="12"/>
  <c r="CA60" i="12"/>
  <c r="CA61" i="12"/>
  <c r="CA62" i="12"/>
  <c r="CA63" i="12"/>
  <c r="CA64" i="12"/>
  <c r="CA65" i="12"/>
  <c r="CA66" i="12"/>
  <c r="CA67" i="12"/>
  <c r="CA68" i="12"/>
  <c r="CA69" i="12"/>
  <c r="CA70" i="12"/>
  <c r="CA71" i="12"/>
  <c r="CA72" i="12"/>
  <c r="CA73" i="12"/>
  <c r="CA74" i="12"/>
  <c r="CA75" i="12"/>
  <c r="CA76" i="12"/>
  <c r="CA77" i="12"/>
  <c r="CA78" i="12"/>
  <c r="CA79" i="12"/>
  <c r="CA80" i="12"/>
  <c r="CA81" i="12"/>
  <c r="CA82" i="12"/>
  <c r="CA83" i="12"/>
  <c r="CA84" i="12"/>
  <c r="CA85" i="12"/>
  <c r="CA86" i="12"/>
  <c r="CA87" i="12"/>
  <c r="CA88" i="12"/>
  <c r="CA89" i="12"/>
  <c r="CA90" i="12"/>
  <c r="CA91" i="12"/>
  <c r="CA92" i="12"/>
  <c r="CA93" i="12"/>
  <c r="CA94" i="12"/>
  <c r="CA95" i="12"/>
  <c r="CA96" i="12"/>
  <c r="CA97" i="12"/>
  <c r="CA98" i="12"/>
  <c r="CA99" i="12"/>
  <c r="CA100" i="12"/>
  <c r="CA101" i="12"/>
  <c r="CA102" i="12"/>
  <c r="CA103" i="12"/>
  <c r="CA104" i="12"/>
  <c r="CA105" i="12"/>
  <c r="CA106" i="12"/>
  <c r="CA107" i="12"/>
  <c r="CA108" i="12"/>
  <c r="CA109" i="12"/>
  <c r="CA110" i="12"/>
  <c r="CA111" i="12"/>
  <c r="CA112" i="12"/>
  <c r="CA113" i="12"/>
  <c r="CA114" i="12"/>
  <c r="CA115" i="12"/>
  <c r="CA116" i="12"/>
  <c r="CA117" i="12"/>
  <c r="CB18" i="12"/>
  <c r="CB19" i="12"/>
  <c r="CB20" i="12"/>
  <c r="CB21" i="12"/>
  <c r="CB22" i="12"/>
  <c r="CB23" i="12"/>
  <c r="CB24" i="12"/>
  <c r="CB25" i="12"/>
  <c r="CB26" i="12"/>
  <c r="CB27" i="12"/>
  <c r="CB28" i="12"/>
  <c r="CB29" i="12"/>
  <c r="CB30" i="12"/>
  <c r="CB31" i="12"/>
  <c r="CB32" i="12"/>
  <c r="CB33" i="12"/>
  <c r="CB34" i="12"/>
  <c r="CB35" i="12"/>
  <c r="CB36" i="12"/>
  <c r="CB37" i="12"/>
  <c r="CB38" i="12"/>
  <c r="CB39" i="12"/>
  <c r="CB40" i="12"/>
  <c r="CB41" i="12"/>
  <c r="CB42" i="12"/>
  <c r="CB43" i="12"/>
  <c r="CB44" i="12"/>
  <c r="CB45" i="12"/>
  <c r="CB46" i="12"/>
  <c r="CB47" i="12"/>
  <c r="CB48" i="12"/>
  <c r="CB49" i="12"/>
  <c r="CB50" i="12"/>
  <c r="CB51" i="12"/>
  <c r="CB52" i="12"/>
  <c r="CB53" i="12"/>
  <c r="CB54" i="12"/>
  <c r="CB55" i="12"/>
  <c r="CB56" i="12"/>
  <c r="CB57" i="12"/>
  <c r="CB58" i="12"/>
  <c r="CB59" i="12"/>
  <c r="CB60" i="12"/>
  <c r="CB61" i="12"/>
  <c r="CB62" i="12"/>
  <c r="CB63" i="12"/>
  <c r="CB64" i="12"/>
  <c r="CB65" i="12"/>
  <c r="CB66" i="12"/>
  <c r="CB67" i="12"/>
  <c r="CB68" i="12"/>
  <c r="CB69" i="12"/>
  <c r="CB70" i="12"/>
  <c r="CB71" i="12"/>
  <c r="CB72" i="12"/>
  <c r="CB73" i="12"/>
  <c r="CB74" i="12"/>
  <c r="CB75" i="12"/>
  <c r="CB76" i="12"/>
  <c r="CB77" i="12"/>
  <c r="CB78" i="12"/>
  <c r="CB79" i="12"/>
  <c r="CB80" i="12"/>
  <c r="CB81" i="12"/>
  <c r="CB82" i="12"/>
  <c r="CB83" i="12"/>
  <c r="CB84" i="12"/>
  <c r="CB85" i="12"/>
  <c r="CB86" i="12"/>
  <c r="CB87" i="12"/>
  <c r="CB88" i="12"/>
  <c r="CB89" i="12"/>
  <c r="CB90" i="12"/>
  <c r="CB91" i="12"/>
  <c r="CB92" i="12"/>
  <c r="CB93" i="12"/>
  <c r="CB94" i="12"/>
  <c r="CB95" i="12"/>
  <c r="CB96" i="12"/>
  <c r="CB97" i="12"/>
  <c r="CB98" i="12"/>
  <c r="CB99" i="12"/>
  <c r="CB100" i="12"/>
  <c r="CB101" i="12"/>
  <c r="CB102" i="12"/>
  <c r="CB103" i="12"/>
  <c r="CB104" i="12"/>
  <c r="CB105" i="12"/>
  <c r="CB106" i="12"/>
  <c r="CB107" i="12"/>
  <c r="CB108" i="12"/>
  <c r="CB109" i="12"/>
  <c r="CB110" i="12"/>
  <c r="CB111" i="12"/>
  <c r="CB112" i="12"/>
  <c r="CB113" i="12"/>
  <c r="CB114" i="12"/>
  <c r="CB115" i="12"/>
  <c r="CB116" i="12"/>
  <c r="CB117" i="12"/>
  <c r="CC18" i="12"/>
  <c r="CC19" i="12"/>
  <c r="CC20" i="12"/>
  <c r="CC21" i="12"/>
  <c r="CC22" i="12"/>
  <c r="CC23" i="12"/>
  <c r="CC24" i="12"/>
  <c r="CC25" i="12"/>
  <c r="CC26" i="12"/>
  <c r="CC27" i="12"/>
  <c r="CC28" i="12"/>
  <c r="CC29" i="12"/>
  <c r="CC30" i="12"/>
  <c r="CC31" i="12"/>
  <c r="CC32" i="12"/>
  <c r="CC33" i="12"/>
  <c r="CC34" i="12"/>
  <c r="CC35" i="12"/>
  <c r="CC36" i="12"/>
  <c r="CC37" i="12"/>
  <c r="CC38" i="12"/>
  <c r="CC39" i="12"/>
  <c r="CC40" i="12"/>
  <c r="CC41" i="12"/>
  <c r="CC42" i="12"/>
  <c r="CC43" i="12"/>
  <c r="CC44" i="12"/>
  <c r="CC45" i="12"/>
  <c r="CC46" i="12"/>
  <c r="CC47" i="12"/>
  <c r="CC48" i="12"/>
  <c r="CC49" i="12"/>
  <c r="CC50" i="12"/>
  <c r="CC51" i="12"/>
  <c r="CC52" i="12"/>
  <c r="CC53" i="12"/>
  <c r="CC54" i="12"/>
  <c r="CC55" i="12"/>
  <c r="CC56" i="12"/>
  <c r="CC57" i="12"/>
  <c r="CC58" i="12"/>
  <c r="CC59" i="12"/>
  <c r="CC60" i="12"/>
  <c r="CC61" i="12"/>
  <c r="CC62" i="12"/>
  <c r="CC63" i="12"/>
  <c r="CC64" i="12"/>
  <c r="CC65" i="12"/>
  <c r="CC66" i="12"/>
  <c r="CC67" i="12"/>
  <c r="CC68" i="12"/>
  <c r="CC69" i="12"/>
  <c r="CC70" i="12"/>
  <c r="CC71" i="12"/>
  <c r="CC72" i="12"/>
  <c r="CC73" i="12"/>
  <c r="CC74" i="12"/>
  <c r="CC75" i="12"/>
  <c r="CC76" i="12"/>
  <c r="CC77" i="12"/>
  <c r="CC78" i="12"/>
  <c r="CC79" i="12"/>
  <c r="CC80" i="12"/>
  <c r="CC81" i="12"/>
  <c r="CC82" i="12"/>
  <c r="CC83" i="12"/>
  <c r="CC84" i="12"/>
  <c r="CC85" i="12"/>
  <c r="CC86" i="12"/>
  <c r="CC87" i="12"/>
  <c r="CC88" i="12"/>
  <c r="CC89" i="12"/>
  <c r="CC90" i="12"/>
  <c r="CC91" i="12"/>
  <c r="CC92" i="12"/>
  <c r="CC93" i="12"/>
  <c r="CC94" i="12"/>
  <c r="CC95" i="12"/>
  <c r="CC96" i="12"/>
  <c r="CC97" i="12"/>
  <c r="CC98" i="12"/>
  <c r="CC99" i="12"/>
  <c r="CC100" i="12"/>
  <c r="CC101" i="12"/>
  <c r="CC102" i="12"/>
  <c r="CC103" i="12"/>
  <c r="CC104" i="12"/>
  <c r="CC105" i="12"/>
  <c r="CC106" i="12"/>
  <c r="CC107" i="12"/>
  <c r="CC108" i="12"/>
  <c r="CC109" i="12"/>
  <c r="CC110" i="12"/>
  <c r="CC111" i="12"/>
  <c r="CC112" i="12"/>
  <c r="CC113" i="12"/>
  <c r="CC114" i="12"/>
  <c r="CC115" i="12"/>
  <c r="CC116" i="12"/>
  <c r="CC117" i="12"/>
  <c r="CE18" i="12"/>
  <c r="CE19" i="12"/>
  <c r="CE20" i="12"/>
  <c r="CE21" i="12"/>
  <c r="CE22" i="12"/>
  <c r="CE23" i="12"/>
  <c r="CE24" i="12"/>
  <c r="CE25" i="12"/>
  <c r="CE26" i="12"/>
  <c r="CE27" i="12"/>
  <c r="CE28" i="12"/>
  <c r="CE29" i="12"/>
  <c r="CE30" i="12"/>
  <c r="CE31" i="12"/>
  <c r="CE32" i="12"/>
  <c r="CE33" i="12"/>
  <c r="CE34" i="12"/>
  <c r="CE35" i="12"/>
  <c r="CE36" i="12"/>
  <c r="CE37" i="12"/>
  <c r="CE38" i="12"/>
  <c r="CE39" i="12"/>
  <c r="CE40" i="12"/>
  <c r="CE41" i="12"/>
  <c r="CE42" i="12"/>
  <c r="CE43" i="12"/>
  <c r="CE44" i="12"/>
  <c r="CE45" i="12"/>
  <c r="CE46" i="12"/>
  <c r="CE47" i="12"/>
  <c r="CE48" i="12"/>
  <c r="CE49" i="12"/>
  <c r="CE50" i="12"/>
  <c r="CE51" i="12"/>
  <c r="CE52" i="12"/>
  <c r="CE53" i="12"/>
  <c r="CE54" i="12"/>
  <c r="CE55" i="12"/>
  <c r="CE56" i="12"/>
  <c r="CE57" i="12"/>
  <c r="CE58" i="12"/>
  <c r="CE59" i="12"/>
  <c r="CE60" i="12"/>
  <c r="CE61" i="12"/>
  <c r="CE62" i="12"/>
  <c r="CE63" i="12"/>
  <c r="CE64" i="12"/>
  <c r="CE65" i="12"/>
  <c r="CE66" i="12"/>
  <c r="CE67" i="12"/>
  <c r="CE68" i="12"/>
  <c r="CE69" i="12"/>
  <c r="CE70" i="12"/>
  <c r="CE71" i="12"/>
  <c r="CE72" i="12"/>
  <c r="CE73" i="12"/>
  <c r="CE74" i="12"/>
  <c r="CE75" i="12"/>
  <c r="CE76" i="12"/>
  <c r="CE77" i="12"/>
  <c r="CE78" i="12"/>
  <c r="CE79" i="12"/>
  <c r="CE80" i="12"/>
  <c r="CE81" i="12"/>
  <c r="CE82" i="12"/>
  <c r="CE83" i="12"/>
  <c r="CE84" i="12"/>
  <c r="CE85" i="12"/>
  <c r="CE86" i="12"/>
  <c r="CE87" i="12"/>
  <c r="CE88" i="12"/>
  <c r="CE89" i="12"/>
  <c r="CE90" i="12"/>
  <c r="CE91" i="12"/>
  <c r="CE92" i="12"/>
  <c r="CE93" i="12"/>
  <c r="CE94" i="12"/>
  <c r="CE95" i="12"/>
  <c r="CE96" i="12"/>
  <c r="CE97" i="12"/>
  <c r="CE98" i="12"/>
  <c r="CE99" i="12"/>
  <c r="CE100" i="12"/>
  <c r="CE101" i="12"/>
  <c r="CE102" i="12"/>
  <c r="CE103" i="12"/>
  <c r="CE104" i="12"/>
  <c r="CE105" i="12"/>
  <c r="CE106" i="12"/>
  <c r="CE107" i="12"/>
  <c r="CE108" i="12"/>
  <c r="CE109" i="12"/>
  <c r="CE110" i="12"/>
  <c r="CE111" i="12"/>
  <c r="CE112" i="12"/>
  <c r="CE113" i="12"/>
  <c r="CE114" i="12"/>
  <c r="CE115" i="12"/>
  <c r="CE116" i="12"/>
  <c r="CE117" i="12"/>
  <c r="CF18" i="12"/>
  <c r="CF19" i="12"/>
  <c r="CF20" i="12"/>
  <c r="CF21" i="12"/>
  <c r="CF22" i="12"/>
  <c r="CF23" i="12"/>
  <c r="CF24" i="12"/>
  <c r="CF25" i="12"/>
  <c r="CF26" i="12"/>
  <c r="CF27" i="12"/>
  <c r="CF28" i="12"/>
  <c r="CF29" i="12"/>
  <c r="CF30" i="12"/>
  <c r="CF31" i="12"/>
  <c r="CF32" i="12"/>
  <c r="CF33" i="12"/>
  <c r="CF34" i="12"/>
  <c r="CF35" i="12"/>
  <c r="CF36" i="12"/>
  <c r="CF37" i="12"/>
  <c r="CF38" i="12"/>
  <c r="CF39" i="12"/>
  <c r="CF40" i="12"/>
  <c r="CF41" i="12"/>
  <c r="CF42" i="12"/>
  <c r="CF43" i="12"/>
  <c r="CF44" i="12"/>
  <c r="CF45" i="12"/>
  <c r="CF46" i="12"/>
  <c r="CF47" i="12"/>
  <c r="CF48" i="12"/>
  <c r="CF49" i="12"/>
  <c r="CF50" i="12"/>
  <c r="CF51" i="12"/>
  <c r="CF52" i="12"/>
  <c r="CF53" i="12"/>
  <c r="CF54" i="12"/>
  <c r="CF55" i="12"/>
  <c r="CF56" i="12"/>
  <c r="CF57" i="12"/>
  <c r="CF58" i="12"/>
  <c r="CF59" i="12"/>
  <c r="CF60" i="12"/>
  <c r="CF61" i="12"/>
  <c r="CF62" i="12"/>
  <c r="CF63" i="12"/>
  <c r="CF64" i="12"/>
  <c r="CF65" i="12"/>
  <c r="CF66" i="12"/>
  <c r="CF67" i="12"/>
  <c r="CF68" i="12"/>
  <c r="CF69" i="12"/>
  <c r="CF70" i="12"/>
  <c r="CF71" i="12"/>
  <c r="CF72" i="12"/>
  <c r="CF73" i="12"/>
  <c r="CF74" i="12"/>
  <c r="CF75" i="12"/>
  <c r="CF76" i="12"/>
  <c r="CF77" i="12"/>
  <c r="CF78" i="12"/>
  <c r="CF79" i="12"/>
  <c r="CF80" i="12"/>
  <c r="CF81" i="12"/>
  <c r="CF82" i="12"/>
  <c r="CF83" i="12"/>
  <c r="CF84" i="12"/>
  <c r="CF85" i="12"/>
  <c r="CF86" i="12"/>
  <c r="CF87" i="12"/>
  <c r="CF88" i="12"/>
  <c r="CF89" i="12"/>
  <c r="CF90" i="12"/>
  <c r="CF91" i="12"/>
  <c r="CF92" i="12"/>
  <c r="CF93" i="12"/>
  <c r="CF94" i="12"/>
  <c r="CF95" i="12"/>
  <c r="CF96" i="12"/>
  <c r="CF97" i="12"/>
  <c r="CF98" i="12"/>
  <c r="CF99" i="12"/>
  <c r="CF100" i="12"/>
  <c r="CF101" i="12"/>
  <c r="CF102" i="12"/>
  <c r="CF103" i="12"/>
  <c r="CF104" i="12"/>
  <c r="CF105" i="12"/>
  <c r="CF106" i="12"/>
  <c r="CF107" i="12"/>
  <c r="CF108" i="12"/>
  <c r="CF109" i="12"/>
  <c r="CF110" i="12"/>
  <c r="CF111" i="12"/>
  <c r="CF112" i="12"/>
  <c r="CF113" i="12"/>
  <c r="CF114" i="12"/>
  <c r="CF115" i="12"/>
  <c r="CF116" i="12"/>
  <c r="CF117" i="12"/>
  <c r="CG18" i="12"/>
  <c r="CG19" i="12"/>
  <c r="CG20" i="12"/>
  <c r="CG21" i="12"/>
  <c r="CG22" i="12"/>
  <c r="CG23" i="12"/>
  <c r="CG24" i="12"/>
  <c r="CG25" i="12"/>
  <c r="CG26" i="12"/>
  <c r="CG27" i="12"/>
  <c r="CG28" i="12"/>
  <c r="CG29" i="12"/>
  <c r="CG30" i="12"/>
  <c r="CG31" i="12"/>
  <c r="CG32" i="12"/>
  <c r="CG33" i="12"/>
  <c r="CG34" i="12"/>
  <c r="CG35" i="12"/>
  <c r="CG36" i="12"/>
  <c r="CG37" i="12"/>
  <c r="CG38" i="12"/>
  <c r="CG39" i="12"/>
  <c r="CG40" i="12"/>
  <c r="CG41" i="12"/>
  <c r="CG42" i="12"/>
  <c r="CG43" i="12"/>
  <c r="CG44" i="12"/>
  <c r="CG45" i="12"/>
  <c r="CG46" i="12"/>
  <c r="CG47" i="12"/>
  <c r="CG48" i="12"/>
  <c r="CG49" i="12"/>
  <c r="CG50" i="12"/>
  <c r="CG51" i="12"/>
  <c r="CG52" i="12"/>
  <c r="CG53" i="12"/>
  <c r="CG54" i="12"/>
  <c r="CG55" i="12"/>
  <c r="CG56" i="12"/>
  <c r="CG57" i="12"/>
  <c r="CG58" i="12"/>
  <c r="CG59" i="12"/>
  <c r="CG60" i="12"/>
  <c r="CG61" i="12"/>
  <c r="CG62" i="12"/>
  <c r="CG63" i="12"/>
  <c r="CG64" i="12"/>
  <c r="CG65" i="12"/>
  <c r="CG66" i="12"/>
  <c r="CG67" i="12"/>
  <c r="CG68" i="12"/>
  <c r="CG69" i="12"/>
  <c r="CG70" i="12"/>
  <c r="CG71" i="12"/>
  <c r="CG72" i="12"/>
  <c r="CG73" i="12"/>
  <c r="CG74" i="12"/>
  <c r="CG75" i="12"/>
  <c r="CG76" i="12"/>
  <c r="CG77" i="12"/>
  <c r="CG78" i="12"/>
  <c r="CG79" i="12"/>
  <c r="CG80" i="12"/>
  <c r="CG81" i="12"/>
  <c r="CG82" i="12"/>
  <c r="CG83" i="12"/>
  <c r="CG84" i="12"/>
  <c r="CG85" i="12"/>
  <c r="CG86" i="12"/>
  <c r="CG87" i="12"/>
  <c r="CG88" i="12"/>
  <c r="CG89" i="12"/>
  <c r="CG90" i="12"/>
  <c r="CG91" i="12"/>
  <c r="CG92" i="12"/>
  <c r="CG93" i="12"/>
  <c r="CG94" i="12"/>
  <c r="CG95" i="12"/>
  <c r="CG96" i="12"/>
  <c r="CG97" i="12"/>
  <c r="CG98" i="12"/>
  <c r="CG99" i="12"/>
  <c r="CG100" i="12"/>
  <c r="CG101" i="12"/>
  <c r="CG102" i="12"/>
  <c r="CG103" i="12"/>
  <c r="CG104" i="12"/>
  <c r="CG105" i="12"/>
  <c r="CG106" i="12"/>
  <c r="CG107" i="12"/>
  <c r="CG108" i="12"/>
  <c r="CG109" i="12"/>
  <c r="CG110" i="12"/>
  <c r="CG111" i="12"/>
  <c r="CG112" i="12"/>
  <c r="CG113" i="12"/>
  <c r="CG114" i="12"/>
  <c r="CG115" i="12"/>
  <c r="CG116" i="12"/>
  <c r="CG117" i="12"/>
  <c r="CH18" i="12"/>
  <c r="CH19" i="12"/>
  <c r="CH20" i="12"/>
  <c r="CH21" i="12"/>
  <c r="CH22" i="12"/>
  <c r="CH23" i="12"/>
  <c r="CH24" i="12"/>
  <c r="CH25" i="12"/>
  <c r="CH26" i="12"/>
  <c r="CH27" i="12"/>
  <c r="CH28" i="12"/>
  <c r="CH29" i="12"/>
  <c r="CH30" i="12"/>
  <c r="CH31" i="12"/>
  <c r="CH32" i="12"/>
  <c r="CH33" i="12"/>
  <c r="CH34" i="12"/>
  <c r="CH35" i="12"/>
  <c r="CH36" i="12"/>
  <c r="CH37" i="12"/>
  <c r="CH38" i="12"/>
  <c r="CH39" i="12"/>
  <c r="CH40" i="12"/>
  <c r="CH41" i="12"/>
  <c r="CH42" i="12"/>
  <c r="CH43" i="12"/>
  <c r="CH44" i="12"/>
  <c r="CH45" i="12"/>
  <c r="CH46" i="12"/>
  <c r="CH47" i="12"/>
  <c r="CH48" i="12"/>
  <c r="CH49" i="12"/>
  <c r="CH50" i="12"/>
  <c r="CH51" i="12"/>
  <c r="CH52" i="12"/>
  <c r="CH53" i="12"/>
  <c r="CH54" i="12"/>
  <c r="CH55" i="12"/>
  <c r="CH56" i="12"/>
  <c r="CH57" i="12"/>
  <c r="CH58" i="12"/>
  <c r="CH59" i="12"/>
  <c r="CH60" i="12"/>
  <c r="CH61" i="12"/>
  <c r="CH62" i="12"/>
  <c r="CH63" i="12"/>
  <c r="CH64" i="12"/>
  <c r="CH65" i="12"/>
  <c r="CH66" i="12"/>
  <c r="CH67" i="12"/>
  <c r="CH68" i="12"/>
  <c r="CH69" i="12"/>
  <c r="CH70" i="12"/>
  <c r="CH71" i="12"/>
  <c r="CH72" i="12"/>
  <c r="CH73" i="12"/>
  <c r="CH74" i="12"/>
  <c r="CH75" i="12"/>
  <c r="CH76" i="12"/>
  <c r="CH77" i="12"/>
  <c r="CH78" i="12"/>
  <c r="CH79" i="12"/>
  <c r="CH80" i="12"/>
  <c r="CH81" i="12"/>
  <c r="CH82" i="12"/>
  <c r="CH83" i="12"/>
  <c r="CH84" i="12"/>
  <c r="CH85" i="12"/>
  <c r="CH86" i="12"/>
  <c r="CH87" i="12"/>
  <c r="CH88" i="12"/>
  <c r="CH89" i="12"/>
  <c r="CH90" i="12"/>
  <c r="CH91" i="12"/>
  <c r="CH92" i="12"/>
  <c r="CH93" i="12"/>
  <c r="CH94" i="12"/>
  <c r="CH95" i="12"/>
  <c r="CH96" i="12"/>
  <c r="CH97" i="12"/>
  <c r="CH98" i="12"/>
  <c r="CH99" i="12"/>
  <c r="CH100" i="12"/>
  <c r="CH101" i="12"/>
  <c r="CH102" i="12"/>
  <c r="CH103" i="12"/>
  <c r="CH104" i="12"/>
  <c r="CH105" i="12"/>
  <c r="CH106" i="12"/>
  <c r="CH107" i="12"/>
  <c r="CH108" i="12"/>
  <c r="CH109" i="12"/>
  <c r="CH110" i="12"/>
  <c r="CH111" i="12"/>
  <c r="CH112" i="12"/>
  <c r="CH113" i="12"/>
  <c r="CH114" i="12"/>
  <c r="CH115" i="12"/>
  <c r="CH116" i="12"/>
  <c r="CH117" i="12"/>
  <c r="CI18" i="12"/>
  <c r="CI19" i="12"/>
  <c r="CI20" i="12"/>
  <c r="CI21" i="12"/>
  <c r="CI22" i="12"/>
  <c r="CI23" i="12"/>
  <c r="CI24" i="12"/>
  <c r="CI25" i="12"/>
  <c r="CI26" i="12"/>
  <c r="CI27" i="12"/>
  <c r="CI28" i="12"/>
  <c r="CI29" i="12"/>
  <c r="CI30" i="12"/>
  <c r="CI31" i="12"/>
  <c r="CI32" i="12"/>
  <c r="CI33" i="12"/>
  <c r="CI34" i="12"/>
  <c r="CI35" i="12"/>
  <c r="CI36" i="12"/>
  <c r="CI37" i="12"/>
  <c r="CI38" i="12"/>
  <c r="CI39" i="12"/>
  <c r="CI40" i="12"/>
  <c r="CI41" i="12"/>
  <c r="CI42" i="12"/>
  <c r="CI43" i="12"/>
  <c r="CI44" i="12"/>
  <c r="CI45" i="12"/>
  <c r="CI46" i="12"/>
  <c r="CI47" i="12"/>
  <c r="CI48" i="12"/>
  <c r="CI49" i="12"/>
  <c r="CI50" i="12"/>
  <c r="CI51" i="12"/>
  <c r="CI52" i="12"/>
  <c r="CI53" i="12"/>
  <c r="CI54" i="12"/>
  <c r="CI55" i="12"/>
  <c r="CI56" i="12"/>
  <c r="CI57" i="12"/>
  <c r="CI58" i="12"/>
  <c r="CI59" i="12"/>
  <c r="CI60" i="12"/>
  <c r="CI61" i="12"/>
  <c r="CI62" i="12"/>
  <c r="CI63" i="12"/>
  <c r="CI64" i="12"/>
  <c r="CI65" i="12"/>
  <c r="CI66" i="12"/>
  <c r="CI67" i="12"/>
  <c r="CI68" i="12"/>
  <c r="CI69" i="12"/>
  <c r="CI70" i="12"/>
  <c r="CI71" i="12"/>
  <c r="CI72" i="12"/>
  <c r="CI73" i="12"/>
  <c r="CI74" i="12"/>
  <c r="CI75" i="12"/>
  <c r="CI76" i="12"/>
  <c r="CI77" i="12"/>
  <c r="CI78" i="12"/>
  <c r="CI79" i="12"/>
  <c r="CI80" i="12"/>
  <c r="CI81" i="12"/>
  <c r="CI82" i="12"/>
  <c r="CI83" i="12"/>
  <c r="CI84" i="12"/>
  <c r="CI85" i="12"/>
  <c r="CI86" i="12"/>
  <c r="CI87" i="12"/>
  <c r="CI88" i="12"/>
  <c r="CI89" i="12"/>
  <c r="CI90" i="12"/>
  <c r="CI91" i="12"/>
  <c r="CI92" i="12"/>
  <c r="CI93" i="12"/>
  <c r="CI94" i="12"/>
  <c r="CI95" i="12"/>
  <c r="CI96" i="12"/>
  <c r="CI97" i="12"/>
  <c r="CI98" i="12"/>
  <c r="CI99" i="12"/>
  <c r="CI100" i="12"/>
  <c r="CI101" i="12"/>
  <c r="CI102" i="12"/>
  <c r="CI103" i="12"/>
  <c r="CI104" i="12"/>
  <c r="CI105" i="12"/>
  <c r="CI106" i="12"/>
  <c r="CI107" i="12"/>
  <c r="CI108" i="12"/>
  <c r="CI109" i="12"/>
  <c r="CI110" i="12"/>
  <c r="CI111" i="12"/>
  <c r="CI112" i="12"/>
  <c r="CI113" i="12"/>
  <c r="CI114" i="12"/>
  <c r="CI115" i="12"/>
  <c r="CI116" i="12"/>
  <c r="CI117" i="12"/>
  <c r="CJ18" i="12"/>
  <c r="CJ19" i="12"/>
  <c r="CJ20" i="12"/>
  <c r="CJ21" i="12"/>
  <c r="CJ22" i="12"/>
  <c r="CJ23" i="12"/>
  <c r="CJ24" i="12"/>
  <c r="CJ25" i="12"/>
  <c r="CJ26" i="12"/>
  <c r="CJ27" i="12"/>
  <c r="CJ28" i="12"/>
  <c r="CJ29" i="12"/>
  <c r="CJ30" i="12"/>
  <c r="CJ31" i="12"/>
  <c r="CJ32" i="12"/>
  <c r="CJ33" i="12"/>
  <c r="CJ34" i="12"/>
  <c r="CJ35" i="12"/>
  <c r="CJ36" i="12"/>
  <c r="CJ37" i="12"/>
  <c r="CJ38" i="12"/>
  <c r="CJ39" i="12"/>
  <c r="CJ40" i="12"/>
  <c r="CJ41" i="12"/>
  <c r="CJ42" i="12"/>
  <c r="CJ43" i="12"/>
  <c r="CJ44" i="12"/>
  <c r="CJ45" i="12"/>
  <c r="CJ46" i="12"/>
  <c r="CJ47" i="12"/>
  <c r="CJ48" i="12"/>
  <c r="CJ49" i="12"/>
  <c r="CJ50" i="12"/>
  <c r="CJ51" i="12"/>
  <c r="CJ52" i="12"/>
  <c r="CJ53" i="12"/>
  <c r="CJ54" i="12"/>
  <c r="CJ55" i="12"/>
  <c r="CJ56" i="12"/>
  <c r="CJ57" i="12"/>
  <c r="CJ58" i="12"/>
  <c r="CJ59" i="12"/>
  <c r="CJ60" i="12"/>
  <c r="CJ61" i="12"/>
  <c r="CJ62" i="12"/>
  <c r="CJ63" i="12"/>
  <c r="CJ64" i="12"/>
  <c r="CJ65" i="12"/>
  <c r="CJ66" i="12"/>
  <c r="CJ67" i="12"/>
  <c r="CJ68" i="12"/>
  <c r="CJ69" i="12"/>
  <c r="CJ70" i="12"/>
  <c r="CJ71" i="12"/>
  <c r="CJ72" i="12"/>
  <c r="CJ73" i="12"/>
  <c r="CJ74" i="12"/>
  <c r="CJ75" i="12"/>
  <c r="CJ76" i="12"/>
  <c r="CJ77" i="12"/>
  <c r="CJ78" i="12"/>
  <c r="CJ79" i="12"/>
  <c r="CJ80" i="12"/>
  <c r="CJ81" i="12"/>
  <c r="CJ82" i="12"/>
  <c r="CJ83" i="12"/>
  <c r="CJ84" i="12"/>
  <c r="CJ85" i="12"/>
  <c r="CJ86" i="12"/>
  <c r="CJ87" i="12"/>
  <c r="CJ88" i="12"/>
  <c r="CJ89" i="12"/>
  <c r="CJ90" i="12"/>
  <c r="CJ91" i="12"/>
  <c r="CJ92" i="12"/>
  <c r="CJ93" i="12"/>
  <c r="CJ94" i="12"/>
  <c r="CJ95" i="12"/>
  <c r="CJ96" i="12"/>
  <c r="CJ97" i="12"/>
  <c r="CJ98" i="12"/>
  <c r="CJ99" i="12"/>
  <c r="CJ100" i="12"/>
  <c r="CJ101" i="12"/>
  <c r="CJ102" i="12"/>
  <c r="CJ103" i="12"/>
  <c r="CJ104" i="12"/>
  <c r="CJ105" i="12"/>
  <c r="CJ106" i="12"/>
  <c r="CJ107" i="12"/>
  <c r="CJ108" i="12"/>
  <c r="CJ109" i="12"/>
  <c r="CJ110" i="12"/>
  <c r="CJ111" i="12"/>
  <c r="CJ112" i="12"/>
  <c r="CJ113" i="12"/>
  <c r="CJ114" i="12"/>
  <c r="CJ115" i="12"/>
  <c r="CJ116" i="12"/>
  <c r="CJ117" i="12"/>
  <c r="CK18" i="12"/>
  <c r="CK19" i="12"/>
  <c r="CK20" i="12"/>
  <c r="CK21" i="12"/>
  <c r="CK22" i="12"/>
  <c r="CK23" i="12"/>
  <c r="CK24" i="12"/>
  <c r="CK25" i="12"/>
  <c r="CK26" i="12"/>
  <c r="CK27" i="12"/>
  <c r="CK28" i="12"/>
  <c r="CK29" i="12"/>
  <c r="CK30" i="12"/>
  <c r="CK31" i="12"/>
  <c r="CK32" i="12"/>
  <c r="CK33" i="12"/>
  <c r="CK34" i="12"/>
  <c r="CK35" i="12"/>
  <c r="CK36" i="12"/>
  <c r="CK37" i="12"/>
  <c r="CK38" i="12"/>
  <c r="CK39" i="12"/>
  <c r="CK40" i="12"/>
  <c r="CK41" i="12"/>
  <c r="CK42" i="12"/>
  <c r="CK43" i="12"/>
  <c r="CK44" i="12"/>
  <c r="CK45" i="12"/>
  <c r="CK46" i="12"/>
  <c r="CK47" i="12"/>
  <c r="CK48" i="12"/>
  <c r="CK49" i="12"/>
  <c r="CK50" i="12"/>
  <c r="CK51" i="12"/>
  <c r="CK52" i="12"/>
  <c r="CK53" i="12"/>
  <c r="CK54" i="12"/>
  <c r="CK55" i="12"/>
  <c r="CK56" i="12"/>
  <c r="CK57" i="12"/>
  <c r="CK58" i="12"/>
  <c r="CK59" i="12"/>
  <c r="CK60" i="12"/>
  <c r="CK61" i="12"/>
  <c r="CK62" i="12"/>
  <c r="CK63" i="12"/>
  <c r="CK64" i="12"/>
  <c r="CK65" i="12"/>
  <c r="CK66" i="12"/>
  <c r="CK67" i="12"/>
  <c r="CK68" i="12"/>
  <c r="CK69" i="12"/>
  <c r="CK70" i="12"/>
  <c r="CK71" i="12"/>
  <c r="CK72" i="12"/>
  <c r="CK73" i="12"/>
  <c r="CK74" i="12"/>
  <c r="CK75" i="12"/>
  <c r="CK76" i="12"/>
  <c r="CK77" i="12"/>
  <c r="CK78" i="12"/>
  <c r="CK79" i="12"/>
  <c r="CK80" i="12"/>
  <c r="CK81" i="12"/>
  <c r="CK82" i="12"/>
  <c r="CK83" i="12"/>
  <c r="CK84" i="12"/>
  <c r="CK85" i="12"/>
  <c r="CK86" i="12"/>
  <c r="CK87" i="12"/>
  <c r="CK88" i="12"/>
  <c r="CK89" i="12"/>
  <c r="CK90" i="12"/>
  <c r="CK91" i="12"/>
  <c r="CK92" i="12"/>
  <c r="CK93" i="12"/>
  <c r="CK94" i="12"/>
  <c r="CK95" i="12"/>
  <c r="CK96" i="12"/>
  <c r="CK97" i="12"/>
  <c r="CK98" i="12"/>
  <c r="CK99" i="12"/>
  <c r="CK100" i="12"/>
  <c r="CK101" i="12"/>
  <c r="CK102" i="12"/>
  <c r="CK103" i="12"/>
  <c r="CK104" i="12"/>
  <c r="CK105" i="12"/>
  <c r="CK106" i="12"/>
  <c r="CK107" i="12"/>
  <c r="CK108" i="12"/>
  <c r="CK109" i="12"/>
  <c r="CK110" i="12"/>
  <c r="CK111" i="12"/>
  <c r="CK112" i="12"/>
  <c r="CK113" i="12"/>
  <c r="CK114" i="12"/>
  <c r="CK115" i="12"/>
  <c r="CK116" i="12"/>
  <c r="CK117" i="12"/>
  <c r="DI18" i="12"/>
  <c r="DI19" i="12"/>
  <c r="DI20" i="12"/>
  <c r="DI21" i="12"/>
  <c r="DI22" i="12"/>
  <c r="DI23" i="12"/>
  <c r="DI24" i="12"/>
  <c r="DI25" i="12"/>
  <c r="DI26" i="12"/>
  <c r="DI27" i="12"/>
  <c r="DI28" i="12"/>
  <c r="DI29" i="12"/>
  <c r="DI30" i="12"/>
  <c r="DI31" i="12"/>
  <c r="DI32" i="12"/>
  <c r="DI33" i="12"/>
  <c r="DI34" i="12"/>
  <c r="DI35" i="12"/>
  <c r="DI36" i="12"/>
  <c r="DI37" i="12"/>
  <c r="DI38" i="12"/>
  <c r="DI39" i="12"/>
  <c r="DI40" i="12"/>
  <c r="DI41" i="12"/>
  <c r="DI42" i="12"/>
  <c r="DI43" i="12"/>
  <c r="DI44" i="12"/>
  <c r="DI45" i="12"/>
  <c r="DI46" i="12"/>
  <c r="DI47" i="12"/>
  <c r="DI48" i="12"/>
  <c r="DI49" i="12"/>
  <c r="DI50" i="12"/>
  <c r="DI51" i="12"/>
  <c r="DI52" i="12"/>
  <c r="DI53" i="12"/>
  <c r="DI54" i="12"/>
  <c r="DI55" i="12"/>
  <c r="DI56" i="12"/>
  <c r="DI57" i="12"/>
  <c r="DI58" i="12"/>
  <c r="DI59" i="12"/>
  <c r="DI60" i="12"/>
  <c r="DI61" i="12"/>
  <c r="DI62" i="12"/>
  <c r="DI63" i="12"/>
  <c r="DI64" i="12"/>
  <c r="DI65" i="12"/>
  <c r="DI66" i="12"/>
  <c r="DI67" i="12"/>
  <c r="DI68" i="12"/>
  <c r="DI69" i="12"/>
  <c r="DI70" i="12"/>
  <c r="DI71" i="12"/>
  <c r="DI72" i="12"/>
  <c r="DI73" i="12"/>
  <c r="DI74" i="12"/>
  <c r="DI75" i="12"/>
  <c r="DI76" i="12"/>
  <c r="DI77" i="12"/>
  <c r="DI78" i="12"/>
  <c r="DI79" i="12"/>
  <c r="DI80" i="12"/>
  <c r="DI81" i="12"/>
  <c r="DI82" i="12"/>
  <c r="DI83" i="12"/>
  <c r="DI84" i="12"/>
  <c r="DI85" i="12"/>
  <c r="DI86" i="12"/>
  <c r="DI87" i="12"/>
  <c r="DI88" i="12"/>
  <c r="DI89" i="12"/>
  <c r="DI90" i="12"/>
  <c r="DI91" i="12"/>
  <c r="DI92" i="12"/>
  <c r="DI93" i="12"/>
  <c r="DI94" i="12"/>
  <c r="DI95" i="12"/>
  <c r="DI96" i="12"/>
  <c r="DI97" i="12"/>
  <c r="DI98" i="12"/>
  <c r="DI99" i="12"/>
  <c r="DI100" i="12"/>
  <c r="DI101" i="12"/>
  <c r="DI102" i="12"/>
  <c r="DI103" i="12"/>
  <c r="DI104" i="12"/>
  <c r="DI105" i="12"/>
  <c r="DI106" i="12"/>
  <c r="DI107" i="12"/>
  <c r="DI108" i="12"/>
  <c r="DI109" i="12"/>
  <c r="DI110" i="12"/>
  <c r="DI111" i="12"/>
  <c r="DI112" i="12"/>
  <c r="DI113" i="12"/>
  <c r="DI114" i="12"/>
  <c r="DI115" i="12"/>
  <c r="DI116" i="12"/>
  <c r="DI117" i="12"/>
  <c r="DJ18" i="12"/>
  <c r="DJ19" i="12"/>
  <c r="DJ20" i="12"/>
  <c r="DJ21" i="12"/>
  <c r="DJ22" i="12"/>
  <c r="DJ23" i="12"/>
  <c r="DJ24" i="12"/>
  <c r="DJ25" i="12"/>
  <c r="DJ26" i="12"/>
  <c r="DJ27" i="12"/>
  <c r="DJ28" i="12"/>
  <c r="DJ29" i="12"/>
  <c r="DJ30" i="12"/>
  <c r="DJ31" i="12"/>
  <c r="DJ32" i="12"/>
  <c r="DJ33" i="12"/>
  <c r="DJ34" i="12"/>
  <c r="DJ35" i="12"/>
  <c r="DJ36" i="12"/>
  <c r="DJ37" i="12"/>
  <c r="DJ38" i="12"/>
  <c r="DJ39" i="12"/>
  <c r="DJ40" i="12"/>
  <c r="DJ41" i="12"/>
  <c r="DJ42" i="12"/>
  <c r="DJ43" i="12"/>
  <c r="DJ44" i="12"/>
  <c r="DJ45" i="12"/>
  <c r="DJ46" i="12"/>
  <c r="DJ47" i="12"/>
  <c r="DJ48" i="12"/>
  <c r="DJ49" i="12"/>
  <c r="DJ50" i="12"/>
  <c r="DJ51" i="12"/>
  <c r="DJ52" i="12"/>
  <c r="DJ53" i="12"/>
  <c r="DJ54" i="12"/>
  <c r="DJ55" i="12"/>
  <c r="DJ56" i="12"/>
  <c r="DJ57" i="12"/>
  <c r="DJ58" i="12"/>
  <c r="DJ59" i="12"/>
  <c r="DJ60" i="12"/>
  <c r="DJ61" i="12"/>
  <c r="DJ62" i="12"/>
  <c r="DJ63" i="12"/>
  <c r="DJ64" i="12"/>
  <c r="DJ65" i="12"/>
  <c r="DJ66" i="12"/>
  <c r="DJ67" i="12"/>
  <c r="DJ68" i="12"/>
  <c r="DJ69" i="12"/>
  <c r="DJ70" i="12"/>
  <c r="DJ71" i="12"/>
  <c r="DJ72" i="12"/>
  <c r="DJ73" i="12"/>
  <c r="DJ74" i="12"/>
  <c r="DJ75" i="12"/>
  <c r="DJ76" i="12"/>
  <c r="DJ77" i="12"/>
  <c r="DJ78" i="12"/>
  <c r="DJ79" i="12"/>
  <c r="DJ80" i="12"/>
  <c r="DJ81" i="12"/>
  <c r="DJ82" i="12"/>
  <c r="DJ83" i="12"/>
  <c r="DJ84" i="12"/>
  <c r="DJ85" i="12"/>
  <c r="DJ86" i="12"/>
  <c r="DJ87" i="12"/>
  <c r="DJ88" i="12"/>
  <c r="DJ89" i="12"/>
  <c r="DJ90" i="12"/>
  <c r="DJ91" i="12"/>
  <c r="DJ92" i="12"/>
  <c r="DJ93" i="12"/>
  <c r="DJ94" i="12"/>
  <c r="DJ95" i="12"/>
  <c r="DJ96" i="12"/>
  <c r="DJ97" i="12"/>
  <c r="DJ98" i="12"/>
  <c r="DJ99" i="12"/>
  <c r="DJ100" i="12"/>
  <c r="DJ101" i="12"/>
  <c r="DJ102" i="12"/>
  <c r="DJ103" i="12"/>
  <c r="DJ104" i="12"/>
  <c r="DJ105" i="12"/>
  <c r="DJ106" i="12"/>
  <c r="DJ107" i="12"/>
  <c r="DJ108" i="12"/>
  <c r="DJ109" i="12"/>
  <c r="DJ110" i="12"/>
  <c r="DJ111" i="12"/>
  <c r="DJ112" i="12"/>
  <c r="DJ113" i="12"/>
  <c r="DJ114" i="12"/>
  <c r="DJ115" i="12"/>
  <c r="DJ116" i="12"/>
  <c r="DJ117" i="12"/>
  <c r="DK18" i="12"/>
  <c r="DK19" i="12"/>
  <c r="DK20" i="12"/>
  <c r="DK21" i="12"/>
  <c r="DK22" i="12"/>
  <c r="DK23" i="12"/>
  <c r="DK24" i="12"/>
  <c r="DK25" i="12"/>
  <c r="DK26" i="12"/>
  <c r="DK27" i="12"/>
  <c r="DK28" i="12"/>
  <c r="DK29" i="12"/>
  <c r="DK30" i="12"/>
  <c r="DK31" i="12"/>
  <c r="DK32" i="12"/>
  <c r="DK33" i="12"/>
  <c r="DK34" i="12"/>
  <c r="DK35" i="12"/>
  <c r="DK36" i="12"/>
  <c r="DK37" i="12"/>
  <c r="DK38" i="12"/>
  <c r="DK39" i="12"/>
  <c r="DK40" i="12"/>
  <c r="DK41" i="12"/>
  <c r="DK42" i="12"/>
  <c r="DK43" i="12"/>
  <c r="DK44" i="12"/>
  <c r="DK45" i="12"/>
  <c r="DK46" i="12"/>
  <c r="DK47" i="12"/>
  <c r="DK48" i="12"/>
  <c r="DK49" i="12"/>
  <c r="DK50" i="12"/>
  <c r="DK51" i="12"/>
  <c r="DK52" i="12"/>
  <c r="DK53" i="12"/>
  <c r="DK54" i="12"/>
  <c r="DK55" i="12"/>
  <c r="DK56" i="12"/>
  <c r="DK57" i="12"/>
  <c r="DK58" i="12"/>
  <c r="DK59" i="12"/>
  <c r="DK60" i="12"/>
  <c r="DK61" i="12"/>
  <c r="DK62" i="12"/>
  <c r="DK63" i="12"/>
  <c r="DK64" i="12"/>
  <c r="DK65" i="12"/>
  <c r="DK66" i="12"/>
  <c r="DK67" i="12"/>
  <c r="DK68" i="12"/>
  <c r="DK69" i="12"/>
  <c r="DK70" i="12"/>
  <c r="DK71" i="12"/>
  <c r="DK72" i="12"/>
  <c r="DK73" i="12"/>
  <c r="DK74" i="12"/>
  <c r="DK75" i="12"/>
  <c r="DK76" i="12"/>
  <c r="DK77" i="12"/>
  <c r="DK78" i="12"/>
  <c r="DK79" i="12"/>
  <c r="DK80" i="12"/>
  <c r="DK81" i="12"/>
  <c r="DK82" i="12"/>
  <c r="DK83" i="12"/>
  <c r="DK84" i="12"/>
  <c r="DK85" i="12"/>
  <c r="DK86" i="12"/>
  <c r="DK87" i="12"/>
  <c r="DK88" i="12"/>
  <c r="DK89" i="12"/>
  <c r="DK90" i="12"/>
  <c r="DK91" i="12"/>
  <c r="DK92" i="12"/>
  <c r="DK93" i="12"/>
  <c r="DK94" i="12"/>
  <c r="DK95" i="12"/>
  <c r="DK96" i="12"/>
  <c r="DK97" i="12"/>
  <c r="DK98" i="12"/>
  <c r="DK99" i="12"/>
  <c r="DK100" i="12"/>
  <c r="DK101" i="12"/>
  <c r="DK102" i="12"/>
  <c r="DK103" i="12"/>
  <c r="DK104" i="12"/>
  <c r="DK105" i="12"/>
  <c r="DK106" i="12"/>
  <c r="DK107" i="12"/>
  <c r="DK108" i="12"/>
  <c r="DK109" i="12"/>
  <c r="DK110" i="12"/>
  <c r="DK111" i="12"/>
  <c r="DK112" i="12"/>
  <c r="DK113" i="12"/>
  <c r="DK114" i="12"/>
  <c r="DK115" i="12"/>
  <c r="DK116" i="12"/>
  <c r="DK117" i="12"/>
  <c r="DL18" i="12"/>
  <c r="DL19" i="12"/>
  <c r="DL20" i="12"/>
  <c r="DL21" i="12"/>
  <c r="DL22" i="12"/>
  <c r="DL23" i="12"/>
  <c r="DL24" i="12"/>
  <c r="DL25" i="12"/>
  <c r="DL26" i="12"/>
  <c r="DL27" i="12"/>
  <c r="DL28" i="12"/>
  <c r="DL29" i="12"/>
  <c r="DL30" i="12"/>
  <c r="DL31" i="12"/>
  <c r="DL32" i="12"/>
  <c r="DL33" i="12"/>
  <c r="DL34" i="12"/>
  <c r="DL35" i="12"/>
  <c r="DL36" i="12"/>
  <c r="DL37" i="12"/>
  <c r="DL38" i="12"/>
  <c r="DL39" i="12"/>
  <c r="DL40" i="12"/>
  <c r="DL41" i="12"/>
  <c r="DL42" i="12"/>
  <c r="DL43" i="12"/>
  <c r="DL44" i="12"/>
  <c r="DL45" i="12"/>
  <c r="DL46" i="12"/>
  <c r="DL47" i="12"/>
  <c r="DL48" i="12"/>
  <c r="DL49" i="12"/>
  <c r="DL50" i="12"/>
  <c r="DL51" i="12"/>
  <c r="DL52" i="12"/>
  <c r="DL53" i="12"/>
  <c r="DL54" i="12"/>
  <c r="DL55" i="12"/>
  <c r="DL56" i="12"/>
  <c r="DL57" i="12"/>
  <c r="DL58" i="12"/>
  <c r="DL59" i="12"/>
  <c r="DL60" i="12"/>
  <c r="DL61" i="12"/>
  <c r="DL62" i="12"/>
  <c r="DL63" i="12"/>
  <c r="DL64" i="12"/>
  <c r="DL65" i="12"/>
  <c r="DL66" i="12"/>
  <c r="DL67" i="12"/>
  <c r="DL68" i="12"/>
  <c r="DL69" i="12"/>
  <c r="DL70" i="12"/>
  <c r="DL71" i="12"/>
  <c r="DL72" i="12"/>
  <c r="DL73" i="12"/>
  <c r="DL74" i="12"/>
  <c r="DL75" i="12"/>
  <c r="DL76" i="12"/>
  <c r="DL77" i="12"/>
  <c r="DL78" i="12"/>
  <c r="DL79" i="12"/>
  <c r="DL80" i="12"/>
  <c r="DL81" i="12"/>
  <c r="DL82" i="12"/>
  <c r="DL83" i="12"/>
  <c r="DL84" i="12"/>
  <c r="DL85" i="12"/>
  <c r="DL86" i="12"/>
  <c r="DL87" i="12"/>
  <c r="DL88" i="12"/>
  <c r="DL89" i="12"/>
  <c r="DL90" i="12"/>
  <c r="DL91" i="12"/>
  <c r="DL92" i="12"/>
  <c r="DL93" i="12"/>
  <c r="DL94" i="12"/>
  <c r="DL95" i="12"/>
  <c r="DL96" i="12"/>
  <c r="DL97" i="12"/>
  <c r="DL98" i="12"/>
  <c r="DL99" i="12"/>
  <c r="DL100" i="12"/>
  <c r="DL101" i="12"/>
  <c r="DL102" i="12"/>
  <c r="DL103" i="12"/>
  <c r="DL104" i="12"/>
  <c r="DL105" i="12"/>
  <c r="DL106" i="12"/>
  <c r="DL107" i="12"/>
  <c r="DL108" i="12"/>
  <c r="DL109" i="12"/>
  <c r="DL110" i="12"/>
  <c r="DL111" i="12"/>
  <c r="DL112" i="12"/>
  <c r="DL113" i="12"/>
  <c r="DL114" i="12"/>
  <c r="DL115" i="12"/>
  <c r="DL116" i="12"/>
  <c r="DL117" i="12"/>
  <c r="DM18" i="12"/>
  <c r="DM19" i="12"/>
  <c r="DM20" i="12"/>
  <c r="DM21" i="12"/>
  <c r="DM22" i="12"/>
  <c r="DM23" i="12"/>
  <c r="DM24" i="12"/>
  <c r="DM25" i="12"/>
  <c r="DM26" i="12"/>
  <c r="DM27" i="12"/>
  <c r="DM28" i="12"/>
  <c r="DM29" i="12"/>
  <c r="DM30" i="12"/>
  <c r="DM31" i="12"/>
  <c r="DM32" i="12"/>
  <c r="DM33" i="12"/>
  <c r="DM34" i="12"/>
  <c r="DM35" i="12"/>
  <c r="DM36" i="12"/>
  <c r="DM37" i="12"/>
  <c r="DM38" i="12"/>
  <c r="DM39" i="12"/>
  <c r="DM40" i="12"/>
  <c r="DM41" i="12"/>
  <c r="DM42" i="12"/>
  <c r="DM43" i="12"/>
  <c r="DM44" i="12"/>
  <c r="DM45" i="12"/>
  <c r="DM46" i="12"/>
  <c r="DM47" i="12"/>
  <c r="DM48" i="12"/>
  <c r="DM49" i="12"/>
  <c r="DM50" i="12"/>
  <c r="DM51" i="12"/>
  <c r="DM52" i="12"/>
  <c r="DM53" i="12"/>
  <c r="DM54" i="12"/>
  <c r="DM55" i="12"/>
  <c r="DM56" i="12"/>
  <c r="DM57" i="12"/>
  <c r="DM58" i="12"/>
  <c r="DM59" i="12"/>
  <c r="DM60" i="12"/>
  <c r="DM61" i="12"/>
  <c r="DM62" i="12"/>
  <c r="DM63" i="12"/>
  <c r="DM64" i="12"/>
  <c r="DM65" i="12"/>
  <c r="DM66" i="12"/>
  <c r="DM67" i="12"/>
  <c r="DM68" i="12"/>
  <c r="DM69" i="12"/>
  <c r="DM70" i="12"/>
  <c r="DM71" i="12"/>
  <c r="DM72" i="12"/>
  <c r="DM73" i="12"/>
  <c r="DM74" i="12"/>
  <c r="DM75" i="12"/>
  <c r="DM76" i="12"/>
  <c r="DM77" i="12"/>
  <c r="DM78" i="12"/>
  <c r="DM79" i="12"/>
  <c r="DM80" i="12"/>
  <c r="DM81" i="12"/>
  <c r="DM82" i="12"/>
  <c r="DM83" i="12"/>
  <c r="DM84" i="12"/>
  <c r="DM85" i="12"/>
  <c r="DM86" i="12"/>
  <c r="DM87" i="12"/>
  <c r="DM88" i="12"/>
  <c r="DM89" i="12"/>
  <c r="DM90" i="12"/>
  <c r="DM91" i="12"/>
  <c r="DM92" i="12"/>
  <c r="DM93" i="12"/>
  <c r="DM94" i="12"/>
  <c r="DM95" i="12"/>
  <c r="DM96" i="12"/>
  <c r="DM97" i="12"/>
  <c r="DM98" i="12"/>
  <c r="DM99" i="12"/>
  <c r="DM100" i="12"/>
  <c r="DM101" i="12"/>
  <c r="DM102" i="12"/>
  <c r="DM103" i="12"/>
  <c r="DM104" i="12"/>
  <c r="DM105" i="12"/>
  <c r="DM106" i="12"/>
  <c r="DM107" i="12"/>
  <c r="DM108" i="12"/>
  <c r="DM109" i="12"/>
  <c r="DM110" i="12"/>
  <c r="DM111" i="12"/>
  <c r="DM112" i="12"/>
  <c r="DM113" i="12"/>
  <c r="DM114" i="12"/>
  <c r="DM115" i="12"/>
  <c r="DM116" i="12"/>
  <c r="DM117" i="12"/>
  <c r="DN18" i="12"/>
  <c r="DN19" i="12"/>
  <c r="DN20" i="12"/>
  <c r="DN21" i="12"/>
  <c r="DN22" i="12"/>
  <c r="DN23" i="12"/>
  <c r="DN24" i="12"/>
  <c r="DN25" i="12"/>
  <c r="DN26" i="12"/>
  <c r="DN27" i="12"/>
  <c r="DN28" i="12"/>
  <c r="DN29" i="12"/>
  <c r="DN30" i="12"/>
  <c r="DN31" i="12"/>
  <c r="DN32" i="12"/>
  <c r="DN33" i="12"/>
  <c r="DN34" i="12"/>
  <c r="DN35" i="12"/>
  <c r="DN36" i="12"/>
  <c r="DN37" i="12"/>
  <c r="DN38" i="12"/>
  <c r="DN39" i="12"/>
  <c r="DN40" i="12"/>
  <c r="DN41" i="12"/>
  <c r="DN42" i="12"/>
  <c r="DN43" i="12"/>
  <c r="DN44" i="12"/>
  <c r="DN45" i="12"/>
  <c r="DN46" i="12"/>
  <c r="DN47" i="12"/>
  <c r="DN48" i="12"/>
  <c r="DN49" i="12"/>
  <c r="DN50" i="12"/>
  <c r="DN51" i="12"/>
  <c r="DN52" i="12"/>
  <c r="DN53" i="12"/>
  <c r="DN54" i="12"/>
  <c r="DN55" i="12"/>
  <c r="DN56" i="12"/>
  <c r="DN57" i="12"/>
  <c r="DN58" i="12"/>
  <c r="DN59" i="12"/>
  <c r="DN60" i="12"/>
  <c r="DN61" i="12"/>
  <c r="DN62" i="12"/>
  <c r="DN63" i="12"/>
  <c r="DN64" i="12"/>
  <c r="DN65" i="12"/>
  <c r="DN66" i="12"/>
  <c r="DN67" i="12"/>
  <c r="DN68" i="12"/>
  <c r="DN69" i="12"/>
  <c r="DN70" i="12"/>
  <c r="DN71" i="12"/>
  <c r="DN72" i="12"/>
  <c r="DN73" i="12"/>
  <c r="DN74" i="12"/>
  <c r="DN75" i="12"/>
  <c r="DN76" i="12"/>
  <c r="DN77" i="12"/>
  <c r="DN78" i="12"/>
  <c r="DN79" i="12"/>
  <c r="DN80" i="12"/>
  <c r="DN81" i="12"/>
  <c r="DN82" i="12"/>
  <c r="DN83" i="12"/>
  <c r="DN84" i="12"/>
  <c r="DN85" i="12"/>
  <c r="DN86" i="12"/>
  <c r="DN87" i="12"/>
  <c r="DN88" i="12"/>
  <c r="DN89" i="12"/>
  <c r="DN90" i="12"/>
  <c r="DN91" i="12"/>
  <c r="DN92" i="12"/>
  <c r="DN93" i="12"/>
  <c r="DN94" i="12"/>
  <c r="DN95" i="12"/>
  <c r="DN96" i="12"/>
  <c r="DN97" i="12"/>
  <c r="DN98" i="12"/>
  <c r="DN99" i="12"/>
  <c r="DN100" i="12"/>
  <c r="DN101" i="12"/>
  <c r="DN102" i="12"/>
  <c r="DN103" i="12"/>
  <c r="DN104" i="12"/>
  <c r="DN105" i="12"/>
  <c r="DN106" i="12"/>
  <c r="DN107" i="12"/>
  <c r="DN108" i="12"/>
  <c r="DN109" i="12"/>
  <c r="DN110" i="12"/>
  <c r="DN111" i="12"/>
  <c r="DN112" i="12"/>
  <c r="DN113" i="12"/>
  <c r="DN114" i="12"/>
  <c r="DN115" i="12"/>
  <c r="DN116" i="12"/>
  <c r="DN117" i="12"/>
  <c r="DO18" i="12"/>
  <c r="DO19" i="12"/>
  <c r="DO20" i="12"/>
  <c r="DO21" i="12"/>
  <c r="DO22" i="12"/>
  <c r="DO23" i="12"/>
  <c r="DO24" i="12"/>
  <c r="DO25" i="12"/>
  <c r="DO26" i="12"/>
  <c r="DO27" i="12"/>
  <c r="DO28" i="12"/>
  <c r="DO29" i="12"/>
  <c r="DO30" i="12"/>
  <c r="DO31" i="12"/>
  <c r="DO32" i="12"/>
  <c r="DO33" i="12"/>
  <c r="DO34" i="12"/>
  <c r="DO35" i="12"/>
  <c r="DO36" i="12"/>
  <c r="DO37" i="12"/>
  <c r="DO38" i="12"/>
  <c r="DO39" i="12"/>
  <c r="DO40" i="12"/>
  <c r="DO41" i="12"/>
  <c r="DO42" i="12"/>
  <c r="DO43" i="12"/>
  <c r="DO44" i="12"/>
  <c r="DO45" i="12"/>
  <c r="DO46" i="12"/>
  <c r="DO47" i="12"/>
  <c r="DO48" i="12"/>
  <c r="DO49" i="12"/>
  <c r="DO50" i="12"/>
  <c r="DO51" i="12"/>
  <c r="DO52" i="12"/>
  <c r="DO53" i="12"/>
  <c r="DO54" i="12"/>
  <c r="DO55" i="12"/>
  <c r="DO56" i="12"/>
  <c r="DO57" i="12"/>
  <c r="DO58" i="12"/>
  <c r="DO59" i="12"/>
  <c r="DO60" i="12"/>
  <c r="DO61" i="12"/>
  <c r="DO62" i="12"/>
  <c r="DO63" i="12"/>
  <c r="DO64" i="12"/>
  <c r="DO65" i="12"/>
  <c r="DO66" i="12"/>
  <c r="DO67" i="12"/>
  <c r="DO68" i="12"/>
  <c r="DO69" i="12"/>
  <c r="DO70" i="12"/>
  <c r="DO71" i="12"/>
  <c r="DO72" i="12"/>
  <c r="DO73" i="12"/>
  <c r="DO74" i="12"/>
  <c r="DO75" i="12"/>
  <c r="DO76" i="12"/>
  <c r="DO77" i="12"/>
  <c r="DO78" i="12"/>
  <c r="DO79" i="12"/>
  <c r="DO80" i="12"/>
  <c r="DO81" i="12"/>
  <c r="DO82" i="12"/>
  <c r="DO83" i="12"/>
  <c r="DO84" i="12"/>
  <c r="DO85" i="12"/>
  <c r="DO86" i="12"/>
  <c r="DO87" i="12"/>
  <c r="DO88" i="12"/>
  <c r="DO89" i="12"/>
  <c r="DO90" i="12"/>
  <c r="DO91" i="12"/>
  <c r="DO92" i="12"/>
  <c r="DO93" i="12"/>
  <c r="DO94" i="12"/>
  <c r="DO95" i="12"/>
  <c r="DO96" i="12"/>
  <c r="DO97" i="12"/>
  <c r="DO98" i="12"/>
  <c r="DO99" i="12"/>
  <c r="DO100" i="12"/>
  <c r="DO101" i="12"/>
  <c r="DO102" i="12"/>
  <c r="DO103" i="12"/>
  <c r="DO104" i="12"/>
  <c r="DO105" i="12"/>
  <c r="DO106" i="12"/>
  <c r="DO107" i="12"/>
  <c r="DO108" i="12"/>
  <c r="DO109" i="12"/>
  <c r="DO110" i="12"/>
  <c r="DO111" i="12"/>
  <c r="DO112" i="12"/>
  <c r="DO113" i="12"/>
  <c r="DO114" i="12"/>
  <c r="DO115" i="12"/>
  <c r="DO116" i="12"/>
  <c r="DO117" i="12"/>
  <c r="DP18" i="12"/>
  <c r="DP19" i="12"/>
  <c r="DP20" i="12"/>
  <c r="DP21" i="12"/>
  <c r="DP22" i="12"/>
  <c r="DP23" i="12"/>
  <c r="DP24" i="12"/>
  <c r="DP25" i="12"/>
  <c r="DP26" i="12"/>
  <c r="DP27" i="12"/>
  <c r="DP28" i="12"/>
  <c r="DP29" i="12"/>
  <c r="DP30" i="12"/>
  <c r="DP31" i="12"/>
  <c r="DP32" i="12"/>
  <c r="DP33" i="12"/>
  <c r="DP34" i="12"/>
  <c r="DP35" i="12"/>
  <c r="DP36" i="12"/>
  <c r="DP37" i="12"/>
  <c r="DP38" i="12"/>
  <c r="DP39" i="12"/>
  <c r="DP40" i="12"/>
  <c r="DP41" i="12"/>
  <c r="DP42" i="12"/>
  <c r="DP43" i="12"/>
  <c r="DP44" i="12"/>
  <c r="DP45" i="12"/>
  <c r="DP46" i="12"/>
  <c r="DP47" i="12"/>
  <c r="DP48" i="12"/>
  <c r="DP49" i="12"/>
  <c r="DP50" i="12"/>
  <c r="DP51" i="12"/>
  <c r="DP52" i="12"/>
  <c r="DP53" i="12"/>
  <c r="DP54" i="12"/>
  <c r="DP55" i="12"/>
  <c r="DP56" i="12"/>
  <c r="DP57" i="12"/>
  <c r="DP58" i="12"/>
  <c r="DP59" i="12"/>
  <c r="DP60" i="12"/>
  <c r="DP61" i="12"/>
  <c r="DP62" i="12"/>
  <c r="DP63" i="12"/>
  <c r="DP64" i="12"/>
  <c r="DP65" i="12"/>
  <c r="DP66" i="12"/>
  <c r="DP67" i="12"/>
  <c r="DP68" i="12"/>
  <c r="DP69" i="12"/>
  <c r="DP70" i="12"/>
  <c r="DP71" i="12"/>
  <c r="DP72" i="12"/>
  <c r="DP73" i="12"/>
  <c r="DP74" i="12"/>
  <c r="DP75" i="12"/>
  <c r="DP76" i="12"/>
  <c r="DP77" i="12"/>
  <c r="DP78" i="12"/>
  <c r="DP79" i="12"/>
  <c r="DP80" i="12"/>
  <c r="DP81" i="12"/>
  <c r="DP82" i="12"/>
  <c r="DP83" i="12"/>
  <c r="DP84" i="12"/>
  <c r="DP85" i="12"/>
  <c r="DP86" i="12"/>
  <c r="DP87" i="12"/>
  <c r="DP88" i="12"/>
  <c r="DP89" i="12"/>
  <c r="DP90" i="12"/>
  <c r="DP91" i="12"/>
  <c r="DP92" i="12"/>
  <c r="DP93" i="12"/>
  <c r="DP94" i="12"/>
  <c r="DP95" i="12"/>
  <c r="DP96" i="12"/>
  <c r="DP97" i="12"/>
  <c r="DP98" i="12"/>
  <c r="DP99" i="12"/>
  <c r="DP100" i="12"/>
  <c r="DP101" i="12"/>
  <c r="DP102" i="12"/>
  <c r="DP103" i="12"/>
  <c r="DP104" i="12"/>
  <c r="DP105" i="12"/>
  <c r="DP106" i="12"/>
  <c r="DP107" i="12"/>
  <c r="DP108" i="12"/>
  <c r="DP109" i="12"/>
  <c r="DP110" i="12"/>
  <c r="DP111" i="12"/>
  <c r="DP112" i="12"/>
  <c r="DP113" i="12"/>
  <c r="DP114" i="12"/>
  <c r="DP115" i="12"/>
  <c r="DP116" i="12"/>
  <c r="DP117" i="12"/>
  <c r="DQ18" i="12"/>
  <c r="DQ19" i="12"/>
  <c r="DQ20" i="12"/>
  <c r="DQ21" i="12"/>
  <c r="DQ22" i="12"/>
  <c r="DQ23" i="12"/>
  <c r="DQ24" i="12"/>
  <c r="DQ25" i="12"/>
  <c r="DQ26" i="12"/>
  <c r="DQ27" i="12"/>
  <c r="DQ28" i="12"/>
  <c r="DQ29" i="12"/>
  <c r="DQ30" i="12"/>
  <c r="DQ31" i="12"/>
  <c r="DQ32" i="12"/>
  <c r="DQ33" i="12"/>
  <c r="DQ34" i="12"/>
  <c r="DQ35" i="12"/>
  <c r="DQ36" i="12"/>
  <c r="DQ37" i="12"/>
  <c r="DQ38" i="12"/>
  <c r="DQ39" i="12"/>
  <c r="DQ40" i="12"/>
  <c r="DQ41" i="12"/>
  <c r="DQ42" i="12"/>
  <c r="DQ43" i="12"/>
  <c r="DQ44" i="12"/>
  <c r="DQ45" i="12"/>
  <c r="DQ46" i="12"/>
  <c r="DQ47" i="12"/>
  <c r="DQ48" i="12"/>
  <c r="DQ49" i="12"/>
  <c r="DQ50" i="12"/>
  <c r="DQ51" i="12"/>
  <c r="DQ52" i="12"/>
  <c r="DQ53" i="12"/>
  <c r="DQ54" i="12"/>
  <c r="DQ55" i="12"/>
  <c r="DQ56" i="12"/>
  <c r="DQ57" i="12"/>
  <c r="DQ58" i="12"/>
  <c r="DQ59" i="12"/>
  <c r="DQ60" i="12"/>
  <c r="DQ61" i="12"/>
  <c r="DQ62" i="12"/>
  <c r="DQ63" i="12"/>
  <c r="DQ64" i="12"/>
  <c r="DQ65" i="12"/>
  <c r="DQ66" i="12"/>
  <c r="DQ67" i="12"/>
  <c r="DQ68" i="12"/>
  <c r="DQ69" i="12"/>
  <c r="DQ70" i="12"/>
  <c r="DQ71" i="12"/>
  <c r="DQ72" i="12"/>
  <c r="DQ73" i="12"/>
  <c r="DQ74" i="12"/>
  <c r="DQ75" i="12"/>
  <c r="DQ76" i="12"/>
  <c r="DQ77" i="12"/>
  <c r="DQ78" i="12"/>
  <c r="DQ79" i="12"/>
  <c r="DQ80" i="12"/>
  <c r="DQ81" i="12"/>
  <c r="DQ82" i="12"/>
  <c r="DQ83" i="12"/>
  <c r="DQ84" i="12"/>
  <c r="DQ85" i="12"/>
  <c r="DQ86" i="12"/>
  <c r="DQ87" i="12"/>
  <c r="DQ88" i="12"/>
  <c r="DQ89" i="12"/>
  <c r="DQ90" i="12"/>
  <c r="DQ91" i="12"/>
  <c r="DQ92" i="12"/>
  <c r="DQ93" i="12"/>
  <c r="DQ94" i="12"/>
  <c r="DQ95" i="12"/>
  <c r="DQ96" i="12"/>
  <c r="DQ97" i="12"/>
  <c r="DQ98" i="12"/>
  <c r="DQ99" i="12"/>
  <c r="DQ100" i="12"/>
  <c r="DQ101" i="12"/>
  <c r="DQ102" i="12"/>
  <c r="DQ103" i="12"/>
  <c r="DQ104" i="12"/>
  <c r="DQ105" i="12"/>
  <c r="DQ106" i="12"/>
  <c r="DQ107" i="12"/>
  <c r="DQ108" i="12"/>
  <c r="DQ109" i="12"/>
  <c r="DQ110" i="12"/>
  <c r="DQ111" i="12"/>
  <c r="DQ112" i="12"/>
  <c r="DQ113" i="12"/>
  <c r="DQ114" i="12"/>
  <c r="DQ115" i="12"/>
  <c r="DQ116" i="12"/>
  <c r="DQ117" i="12"/>
  <c r="DR18" i="12"/>
  <c r="DR19" i="12"/>
  <c r="DR20" i="12"/>
  <c r="DR21" i="12"/>
  <c r="DR22" i="12"/>
  <c r="DR23" i="12"/>
  <c r="DR24" i="12"/>
  <c r="DR25" i="12"/>
  <c r="DR26" i="12"/>
  <c r="DR27" i="12"/>
  <c r="DR28" i="12"/>
  <c r="DR29" i="12"/>
  <c r="DR30" i="12"/>
  <c r="DR31" i="12"/>
  <c r="DR32" i="12"/>
  <c r="DR33" i="12"/>
  <c r="DR34" i="12"/>
  <c r="DR35" i="12"/>
  <c r="DR36" i="12"/>
  <c r="DR37" i="12"/>
  <c r="DR38" i="12"/>
  <c r="DR39" i="12"/>
  <c r="DR40" i="12"/>
  <c r="DR41" i="12"/>
  <c r="DR42" i="12"/>
  <c r="DR43" i="12"/>
  <c r="DR44" i="12"/>
  <c r="DR45" i="12"/>
  <c r="DR46" i="12"/>
  <c r="DR47" i="12"/>
  <c r="DR48" i="12"/>
  <c r="DR49" i="12"/>
  <c r="DR50" i="12"/>
  <c r="DR51" i="12"/>
  <c r="DR52" i="12"/>
  <c r="DR53" i="12"/>
  <c r="DR54" i="12"/>
  <c r="DR55" i="12"/>
  <c r="DR56" i="12"/>
  <c r="DR57" i="12"/>
  <c r="DR58" i="12"/>
  <c r="DR59" i="12"/>
  <c r="DR60" i="12"/>
  <c r="DR61" i="12"/>
  <c r="DR62" i="12"/>
  <c r="DR63" i="12"/>
  <c r="DR64" i="12"/>
  <c r="DR65" i="12"/>
  <c r="DR66" i="12"/>
  <c r="DR67" i="12"/>
  <c r="DR68" i="12"/>
  <c r="DR69" i="12"/>
  <c r="DR70" i="12"/>
  <c r="DR71" i="12"/>
  <c r="DR72" i="12"/>
  <c r="DR73" i="12"/>
  <c r="DR74" i="12"/>
  <c r="DR75" i="12"/>
  <c r="DR76" i="12"/>
  <c r="DR77" i="12"/>
  <c r="DR78" i="12"/>
  <c r="DR79" i="12"/>
  <c r="DR80" i="12"/>
  <c r="DR81" i="12"/>
  <c r="DR82" i="12"/>
  <c r="DR83" i="12"/>
  <c r="DR84" i="12"/>
  <c r="DR85" i="12"/>
  <c r="DR86" i="12"/>
  <c r="DR87" i="12"/>
  <c r="DR88" i="12"/>
  <c r="DR89" i="12"/>
  <c r="DR90" i="12"/>
  <c r="DR91" i="12"/>
  <c r="DR92" i="12"/>
  <c r="DR93" i="12"/>
  <c r="DR94" i="12"/>
  <c r="DR95" i="12"/>
  <c r="DR96" i="12"/>
  <c r="DR97" i="12"/>
  <c r="DR98" i="12"/>
  <c r="DR99" i="12"/>
  <c r="DR100" i="12"/>
  <c r="DR101" i="12"/>
  <c r="DR102" i="12"/>
  <c r="DR103" i="12"/>
  <c r="DR104" i="12"/>
  <c r="DR105" i="12"/>
  <c r="DR106" i="12"/>
  <c r="DR107" i="12"/>
  <c r="DR108" i="12"/>
  <c r="DR109" i="12"/>
  <c r="DR110" i="12"/>
  <c r="DR111" i="12"/>
  <c r="DR112" i="12"/>
  <c r="DR113" i="12"/>
  <c r="DR114" i="12"/>
  <c r="DR115" i="12"/>
  <c r="DR116" i="12"/>
  <c r="DR117" i="12"/>
  <c r="DS18" i="12"/>
  <c r="DS19" i="12"/>
  <c r="DS20" i="12"/>
  <c r="DS21" i="12"/>
  <c r="DS22" i="12"/>
  <c r="DS23" i="12"/>
  <c r="DS24" i="12"/>
  <c r="DS25" i="12"/>
  <c r="DS26" i="12"/>
  <c r="DS27" i="12"/>
  <c r="DS28" i="12"/>
  <c r="DS29" i="12"/>
  <c r="DS30" i="12"/>
  <c r="DS31" i="12"/>
  <c r="DS32" i="12"/>
  <c r="DS33" i="12"/>
  <c r="DS34" i="12"/>
  <c r="DS35" i="12"/>
  <c r="DS36" i="12"/>
  <c r="DS37" i="12"/>
  <c r="DS38" i="12"/>
  <c r="DS39" i="12"/>
  <c r="DS40" i="12"/>
  <c r="DS41" i="12"/>
  <c r="DS42" i="12"/>
  <c r="DS43" i="12"/>
  <c r="DS44" i="12"/>
  <c r="DS45" i="12"/>
  <c r="DS46" i="12"/>
  <c r="DS47" i="12"/>
  <c r="DS48" i="12"/>
  <c r="DS49" i="12"/>
  <c r="DS50" i="12"/>
  <c r="DS51" i="12"/>
  <c r="DS52" i="12"/>
  <c r="DS53" i="12"/>
  <c r="DS54" i="12"/>
  <c r="DS55" i="12"/>
  <c r="DS56" i="12"/>
  <c r="DS57" i="12"/>
  <c r="DS58" i="12"/>
  <c r="DS59" i="12"/>
  <c r="DS60" i="12"/>
  <c r="DS61" i="12"/>
  <c r="DS62" i="12"/>
  <c r="DS63" i="12"/>
  <c r="DS64" i="12"/>
  <c r="DS65" i="12"/>
  <c r="DS66" i="12"/>
  <c r="DS67" i="12"/>
  <c r="DS68" i="12"/>
  <c r="DS69" i="12"/>
  <c r="DS70" i="12"/>
  <c r="DS71" i="12"/>
  <c r="DS72" i="12"/>
  <c r="DS73" i="12"/>
  <c r="DS74" i="12"/>
  <c r="DS75" i="12"/>
  <c r="DS76" i="12"/>
  <c r="DS77" i="12"/>
  <c r="DS78" i="12"/>
  <c r="DS79" i="12"/>
  <c r="DS80" i="12"/>
  <c r="DS81" i="12"/>
  <c r="DS82" i="12"/>
  <c r="DS83" i="12"/>
  <c r="DS84" i="12"/>
  <c r="DS85" i="12"/>
  <c r="DS86" i="12"/>
  <c r="DS87" i="12"/>
  <c r="DS88" i="12"/>
  <c r="DS89" i="12"/>
  <c r="DS90" i="12"/>
  <c r="DS91" i="12"/>
  <c r="DS92" i="12"/>
  <c r="DS93" i="12"/>
  <c r="DS94" i="12"/>
  <c r="DS95" i="12"/>
  <c r="DS96" i="12"/>
  <c r="DS97" i="12"/>
  <c r="DS98" i="12"/>
  <c r="DS99" i="12"/>
  <c r="DS100" i="12"/>
  <c r="DS101" i="12"/>
  <c r="DS102" i="12"/>
  <c r="DS103" i="12"/>
  <c r="DS104" i="12"/>
  <c r="DS105" i="12"/>
  <c r="DS106" i="12"/>
  <c r="DS107" i="12"/>
  <c r="DS108" i="12"/>
  <c r="DS109" i="12"/>
  <c r="DS110" i="12"/>
  <c r="DS111" i="12"/>
  <c r="DS112" i="12"/>
  <c r="DS113" i="12"/>
  <c r="DS114" i="12"/>
  <c r="DS115" i="12"/>
  <c r="DS116" i="12"/>
  <c r="DS117" i="12"/>
  <c r="DT18" i="12"/>
  <c r="DT19" i="12"/>
  <c r="DT20" i="12"/>
  <c r="DT21" i="12"/>
  <c r="DT22" i="12"/>
  <c r="DT23" i="12"/>
  <c r="DT24" i="12"/>
  <c r="DT25" i="12"/>
  <c r="DT26" i="12"/>
  <c r="DT27" i="12"/>
  <c r="DT28" i="12"/>
  <c r="DT29" i="12"/>
  <c r="DT30" i="12"/>
  <c r="DT31" i="12"/>
  <c r="DT32" i="12"/>
  <c r="DT33" i="12"/>
  <c r="DT34" i="12"/>
  <c r="DT35" i="12"/>
  <c r="DT36" i="12"/>
  <c r="DT37" i="12"/>
  <c r="DT38" i="12"/>
  <c r="DT39" i="12"/>
  <c r="DT40" i="12"/>
  <c r="DT41" i="12"/>
  <c r="DT42" i="12"/>
  <c r="DT43" i="12"/>
  <c r="DT44" i="12"/>
  <c r="DT45" i="12"/>
  <c r="DT46" i="12"/>
  <c r="DT47" i="12"/>
  <c r="DT48" i="12"/>
  <c r="DT49" i="12"/>
  <c r="DT50" i="12"/>
  <c r="DT51" i="12"/>
  <c r="DT52" i="12"/>
  <c r="DT53" i="12"/>
  <c r="DT54" i="12"/>
  <c r="DT55" i="12"/>
  <c r="DT56" i="12"/>
  <c r="DT57" i="12"/>
  <c r="DT58" i="12"/>
  <c r="DT59" i="12"/>
  <c r="DT60" i="12"/>
  <c r="DT61" i="12"/>
  <c r="DT62" i="12"/>
  <c r="DT63" i="12"/>
  <c r="DT64" i="12"/>
  <c r="DT65" i="12"/>
  <c r="DT66" i="12"/>
  <c r="DT67" i="12"/>
  <c r="DT68" i="12"/>
  <c r="DT69" i="12"/>
  <c r="DT70" i="12"/>
  <c r="DT71" i="12"/>
  <c r="DT72" i="12"/>
  <c r="DT73" i="12"/>
  <c r="DT74" i="12"/>
  <c r="DT75" i="12"/>
  <c r="DT76" i="12"/>
  <c r="DT77" i="12"/>
  <c r="DT78" i="12"/>
  <c r="DT79" i="12"/>
  <c r="DT80" i="12"/>
  <c r="DT81" i="12"/>
  <c r="DT82" i="12"/>
  <c r="DT83" i="12"/>
  <c r="DT84" i="12"/>
  <c r="DT85" i="12"/>
  <c r="DT86" i="12"/>
  <c r="DT87" i="12"/>
  <c r="DT88" i="12"/>
  <c r="DT89" i="12"/>
  <c r="DT90" i="12"/>
  <c r="DT91" i="12"/>
  <c r="DT92" i="12"/>
  <c r="DT93" i="12"/>
  <c r="DT94" i="12"/>
  <c r="DT95" i="12"/>
  <c r="DT96" i="12"/>
  <c r="DT97" i="12"/>
  <c r="DT98" i="12"/>
  <c r="DT99" i="12"/>
  <c r="DT100" i="12"/>
  <c r="DT101" i="12"/>
  <c r="DT102" i="12"/>
  <c r="DT103" i="12"/>
  <c r="DT104" i="12"/>
  <c r="DT105" i="12"/>
  <c r="DT106" i="12"/>
  <c r="DT107" i="12"/>
  <c r="DT108" i="12"/>
  <c r="DT109" i="12"/>
  <c r="DT110" i="12"/>
  <c r="DT111" i="12"/>
  <c r="DT112" i="12"/>
  <c r="DT113" i="12"/>
  <c r="DT114" i="12"/>
  <c r="DT115" i="12"/>
  <c r="DT116" i="12"/>
  <c r="DT117" i="12"/>
  <c r="DV18" i="12"/>
  <c r="DV19" i="12"/>
  <c r="DV20" i="12"/>
  <c r="DV21" i="12"/>
  <c r="DV22" i="12"/>
  <c r="DV23" i="12"/>
  <c r="DV24" i="12"/>
  <c r="DV25" i="12"/>
  <c r="DV26" i="12"/>
  <c r="DV27" i="12"/>
  <c r="DV28" i="12"/>
  <c r="DV29" i="12"/>
  <c r="DV30" i="12"/>
  <c r="DV31" i="12"/>
  <c r="DV32" i="12"/>
  <c r="DV33" i="12"/>
  <c r="DV34" i="12"/>
  <c r="DV35" i="12"/>
  <c r="DV36" i="12"/>
  <c r="DV37" i="12"/>
  <c r="DV38" i="12"/>
  <c r="DV39" i="12"/>
  <c r="DV40" i="12"/>
  <c r="DV41" i="12"/>
  <c r="DV42" i="12"/>
  <c r="DV43" i="12"/>
  <c r="DV44" i="12"/>
  <c r="DV45" i="12"/>
  <c r="DV46" i="12"/>
  <c r="DV47" i="12"/>
  <c r="DV48" i="12"/>
  <c r="DV49" i="12"/>
  <c r="DV50" i="12"/>
  <c r="DV51" i="12"/>
  <c r="DV52" i="12"/>
  <c r="DV53" i="12"/>
  <c r="DV54" i="12"/>
  <c r="DV55" i="12"/>
  <c r="DV56" i="12"/>
  <c r="DV57" i="12"/>
  <c r="DV58" i="12"/>
  <c r="DV59" i="12"/>
  <c r="DV60" i="12"/>
  <c r="DV61" i="12"/>
  <c r="DV62" i="12"/>
  <c r="DV63" i="12"/>
  <c r="DV64" i="12"/>
  <c r="DV65" i="12"/>
  <c r="DV66" i="12"/>
  <c r="DV67" i="12"/>
  <c r="DV68" i="12"/>
  <c r="DV69" i="12"/>
  <c r="DV70" i="12"/>
  <c r="DV71" i="12"/>
  <c r="DV72" i="12"/>
  <c r="DV73" i="12"/>
  <c r="DV74" i="12"/>
  <c r="DV75" i="12"/>
  <c r="DV76" i="12"/>
  <c r="DV77" i="12"/>
  <c r="DV78" i="12"/>
  <c r="DV79" i="12"/>
  <c r="DV80" i="12"/>
  <c r="DV81" i="12"/>
  <c r="DV82" i="12"/>
  <c r="DV83" i="12"/>
  <c r="DV84" i="12"/>
  <c r="DV85" i="12"/>
  <c r="DV86" i="12"/>
  <c r="DV87" i="12"/>
  <c r="DV88" i="12"/>
  <c r="DV89" i="12"/>
  <c r="DV90" i="12"/>
  <c r="DV91" i="12"/>
  <c r="DV92" i="12"/>
  <c r="DV93" i="12"/>
  <c r="DV94" i="12"/>
  <c r="DV95" i="12"/>
  <c r="DV96" i="12"/>
  <c r="DV97" i="12"/>
  <c r="DV98" i="12"/>
  <c r="DV99" i="12"/>
  <c r="DV100" i="12"/>
  <c r="DV101" i="12"/>
  <c r="DV102" i="12"/>
  <c r="DV103" i="12"/>
  <c r="DV104" i="12"/>
  <c r="DV105" i="12"/>
  <c r="DV106" i="12"/>
  <c r="DV107" i="12"/>
  <c r="DV108" i="12"/>
  <c r="DV109" i="12"/>
  <c r="DV110" i="12"/>
  <c r="DV111" i="12"/>
  <c r="DV112" i="12"/>
  <c r="DV113" i="12"/>
  <c r="DV114" i="12"/>
  <c r="DV115" i="12"/>
  <c r="DV116" i="12"/>
  <c r="DV117" i="12"/>
  <c r="DW18" i="12"/>
  <c r="DW19" i="12"/>
  <c r="DW20" i="12"/>
  <c r="DW21" i="12"/>
  <c r="DW22" i="12"/>
  <c r="DW23" i="12"/>
  <c r="DW24" i="12"/>
  <c r="DW25" i="12"/>
  <c r="DW26" i="12"/>
  <c r="DW27" i="12"/>
  <c r="DW28" i="12"/>
  <c r="DW29" i="12"/>
  <c r="DW30" i="12"/>
  <c r="DW31" i="12"/>
  <c r="DW32" i="12"/>
  <c r="DW33" i="12"/>
  <c r="DW34" i="12"/>
  <c r="DW35" i="12"/>
  <c r="DW36" i="12"/>
  <c r="DW37" i="12"/>
  <c r="DW38" i="12"/>
  <c r="DW39" i="12"/>
  <c r="DW40" i="12"/>
  <c r="DW41" i="12"/>
  <c r="DW42" i="12"/>
  <c r="DW43" i="12"/>
  <c r="DW44" i="12"/>
  <c r="DW45" i="12"/>
  <c r="DW46" i="12"/>
  <c r="DW47" i="12"/>
  <c r="DW48" i="12"/>
  <c r="DW49" i="12"/>
  <c r="DW50" i="12"/>
  <c r="DW51" i="12"/>
  <c r="DW52" i="12"/>
  <c r="DW53" i="12"/>
  <c r="DW54" i="12"/>
  <c r="DW55" i="12"/>
  <c r="DW56" i="12"/>
  <c r="DW57" i="12"/>
  <c r="DW58" i="12"/>
  <c r="DW59" i="12"/>
  <c r="DW60" i="12"/>
  <c r="DW61" i="12"/>
  <c r="DW62" i="12"/>
  <c r="DW63" i="12"/>
  <c r="DW64" i="12"/>
  <c r="DW65" i="12"/>
  <c r="DW66" i="12"/>
  <c r="DW67" i="12"/>
  <c r="DW68" i="12"/>
  <c r="DW69" i="12"/>
  <c r="DW70" i="12"/>
  <c r="DW71" i="12"/>
  <c r="DW72" i="12"/>
  <c r="DW73" i="12"/>
  <c r="DW74" i="12"/>
  <c r="DW75" i="12"/>
  <c r="DW76" i="12"/>
  <c r="DW77" i="12"/>
  <c r="DW78" i="12"/>
  <c r="DW79" i="12"/>
  <c r="DW80" i="12"/>
  <c r="DW81" i="12"/>
  <c r="DW82" i="12"/>
  <c r="DW83" i="12"/>
  <c r="DW84" i="12"/>
  <c r="DW85" i="12"/>
  <c r="DW86" i="12"/>
  <c r="DW87" i="12"/>
  <c r="DW88" i="12"/>
  <c r="DW89" i="12"/>
  <c r="DW90" i="12"/>
  <c r="DW91" i="12"/>
  <c r="DW92" i="12"/>
  <c r="DW93" i="12"/>
  <c r="DW94" i="12"/>
  <c r="DW95" i="12"/>
  <c r="DW96" i="12"/>
  <c r="DW97" i="12"/>
  <c r="DW98" i="12"/>
  <c r="DW99" i="12"/>
  <c r="DW100" i="12"/>
  <c r="DW101" i="12"/>
  <c r="DW102" i="12"/>
  <c r="DW103" i="12"/>
  <c r="DW104" i="12"/>
  <c r="DW105" i="12"/>
  <c r="DW106" i="12"/>
  <c r="DW107" i="12"/>
  <c r="DW108" i="12"/>
  <c r="DW109" i="12"/>
  <c r="DW110" i="12"/>
  <c r="DW111" i="12"/>
  <c r="DW112" i="12"/>
  <c r="DW113" i="12"/>
  <c r="DW114" i="12"/>
  <c r="DW115" i="12"/>
  <c r="DW116" i="12"/>
  <c r="DW117" i="12"/>
  <c r="DX18" i="12"/>
  <c r="DX19" i="12"/>
  <c r="DX20" i="12"/>
  <c r="DX21" i="12"/>
  <c r="DX22" i="12"/>
  <c r="DX23" i="12"/>
  <c r="DX24" i="12"/>
  <c r="DX25" i="12"/>
  <c r="DX26" i="12"/>
  <c r="DX27" i="12"/>
  <c r="DX28" i="12"/>
  <c r="DX29" i="12"/>
  <c r="DX30" i="12"/>
  <c r="DX31" i="12"/>
  <c r="DX32" i="12"/>
  <c r="DX33" i="12"/>
  <c r="DX34" i="12"/>
  <c r="DX35" i="12"/>
  <c r="DX36" i="12"/>
  <c r="DX37" i="12"/>
  <c r="DX38" i="12"/>
  <c r="DX39" i="12"/>
  <c r="DX40" i="12"/>
  <c r="DX41" i="12"/>
  <c r="DX42" i="12"/>
  <c r="DX43" i="12"/>
  <c r="DX44" i="12"/>
  <c r="DX45" i="12"/>
  <c r="DX46" i="12"/>
  <c r="DX47" i="12"/>
  <c r="DX48" i="12"/>
  <c r="DX49" i="12"/>
  <c r="DX50" i="12"/>
  <c r="DX51" i="12"/>
  <c r="DX52" i="12"/>
  <c r="DX53" i="12"/>
  <c r="DX54" i="12"/>
  <c r="DX55" i="12"/>
  <c r="DX56" i="12"/>
  <c r="DX57" i="12"/>
  <c r="DX58" i="12"/>
  <c r="DX59" i="12"/>
  <c r="DX60" i="12"/>
  <c r="DX61" i="12"/>
  <c r="DX62" i="12"/>
  <c r="DX63" i="12"/>
  <c r="DX64" i="12"/>
  <c r="DX65" i="12"/>
  <c r="DX66" i="12"/>
  <c r="DX67" i="12"/>
  <c r="DX68" i="12"/>
  <c r="DX69" i="12"/>
  <c r="DX70" i="12"/>
  <c r="DX71" i="12"/>
  <c r="DX72" i="12"/>
  <c r="DX73" i="12"/>
  <c r="DX74" i="12"/>
  <c r="DX75" i="12"/>
  <c r="DX76" i="12"/>
  <c r="DX77" i="12"/>
  <c r="DX78" i="12"/>
  <c r="DX79" i="12"/>
  <c r="DX80" i="12"/>
  <c r="DX81" i="12"/>
  <c r="DX82" i="12"/>
  <c r="DX83" i="12"/>
  <c r="DX84" i="12"/>
  <c r="DX85" i="12"/>
  <c r="DX86" i="12"/>
  <c r="DX87" i="12"/>
  <c r="DX88" i="12"/>
  <c r="DX89" i="12"/>
  <c r="DX90" i="12"/>
  <c r="DX91" i="12"/>
  <c r="DX92" i="12"/>
  <c r="DX93" i="12"/>
  <c r="DX94" i="12"/>
  <c r="DX95" i="12"/>
  <c r="DX96" i="12"/>
  <c r="DX97" i="12"/>
  <c r="DX98" i="12"/>
  <c r="DX99" i="12"/>
  <c r="DX100" i="12"/>
  <c r="DX101" i="12"/>
  <c r="DX102" i="12"/>
  <c r="DX103" i="12"/>
  <c r="DX104" i="12"/>
  <c r="DX105" i="12"/>
  <c r="DX106" i="12"/>
  <c r="DX107" i="12"/>
  <c r="DX108" i="12"/>
  <c r="DX109" i="12"/>
  <c r="DX110" i="12"/>
  <c r="DX111" i="12"/>
  <c r="DX112" i="12"/>
  <c r="DX113" i="12"/>
  <c r="DX114" i="12"/>
  <c r="DX115" i="12"/>
  <c r="DX116" i="12"/>
  <c r="DX117" i="12"/>
  <c r="DY18" i="12"/>
  <c r="DY19" i="12"/>
  <c r="DY20" i="12"/>
  <c r="DY21" i="12"/>
  <c r="DY22" i="12"/>
  <c r="DY23" i="12"/>
  <c r="DY24" i="12"/>
  <c r="DY25" i="12"/>
  <c r="DY26" i="12"/>
  <c r="DY27" i="12"/>
  <c r="DY28" i="12"/>
  <c r="DY29" i="12"/>
  <c r="DY30" i="12"/>
  <c r="DY31" i="12"/>
  <c r="DY32" i="12"/>
  <c r="DY33" i="12"/>
  <c r="DY34" i="12"/>
  <c r="DY35" i="12"/>
  <c r="DY36" i="12"/>
  <c r="DY37" i="12"/>
  <c r="DY38" i="12"/>
  <c r="DY39" i="12"/>
  <c r="DY40" i="12"/>
  <c r="DY41" i="12"/>
  <c r="DY42" i="12"/>
  <c r="DY43" i="12"/>
  <c r="DY44" i="12"/>
  <c r="DY45" i="12"/>
  <c r="DY46" i="12"/>
  <c r="DY47" i="12"/>
  <c r="DY48" i="12"/>
  <c r="DY49" i="12"/>
  <c r="DY50" i="12"/>
  <c r="DY51" i="12"/>
  <c r="DY52" i="12"/>
  <c r="DY53" i="12"/>
  <c r="DY54" i="12"/>
  <c r="DY55" i="12"/>
  <c r="DY56" i="12"/>
  <c r="DY57" i="12"/>
  <c r="DY58" i="12"/>
  <c r="DY59" i="12"/>
  <c r="DY60" i="12"/>
  <c r="DY61" i="12"/>
  <c r="DY62" i="12"/>
  <c r="DY63" i="12"/>
  <c r="DY64" i="12"/>
  <c r="DY65" i="12"/>
  <c r="DY66" i="12"/>
  <c r="DY67" i="12"/>
  <c r="DY68" i="12"/>
  <c r="DY69" i="12"/>
  <c r="DY70" i="12"/>
  <c r="DY71" i="12"/>
  <c r="DY72" i="12"/>
  <c r="DY73" i="12"/>
  <c r="DY74" i="12"/>
  <c r="DY75" i="12"/>
  <c r="DY76" i="12"/>
  <c r="DY77" i="12"/>
  <c r="DY78" i="12"/>
  <c r="DY79" i="12"/>
  <c r="DY80" i="12"/>
  <c r="DY81" i="12"/>
  <c r="DY82" i="12"/>
  <c r="DY83" i="12"/>
  <c r="DY84" i="12"/>
  <c r="DY85" i="12"/>
  <c r="DY86" i="12"/>
  <c r="DY87" i="12"/>
  <c r="DY88" i="12"/>
  <c r="DY89" i="12"/>
  <c r="DY90" i="12"/>
  <c r="DY91" i="12"/>
  <c r="DY92" i="12"/>
  <c r="DY93" i="12"/>
  <c r="DY94" i="12"/>
  <c r="DY95" i="12"/>
  <c r="DY96" i="12"/>
  <c r="DY97" i="12"/>
  <c r="DY98" i="12"/>
  <c r="DY99" i="12"/>
  <c r="DY100" i="12"/>
  <c r="DY101" i="12"/>
  <c r="DY102" i="12"/>
  <c r="DY103" i="12"/>
  <c r="DY104" i="12"/>
  <c r="DY105" i="12"/>
  <c r="DY106" i="12"/>
  <c r="DY107" i="12"/>
  <c r="DY108" i="12"/>
  <c r="DY109" i="12"/>
  <c r="DY110" i="12"/>
  <c r="DY111" i="12"/>
  <c r="DY112" i="12"/>
  <c r="DY113" i="12"/>
  <c r="DY114" i="12"/>
  <c r="DY115" i="12"/>
  <c r="DY116" i="12"/>
  <c r="DY117" i="12"/>
  <c r="DZ18" i="12"/>
  <c r="DZ19" i="12"/>
  <c r="DZ20" i="12"/>
  <c r="DZ21" i="12"/>
  <c r="DZ22" i="12"/>
  <c r="DZ23" i="12"/>
  <c r="DZ24" i="12"/>
  <c r="DZ25" i="12"/>
  <c r="DZ26" i="12"/>
  <c r="DZ27" i="12"/>
  <c r="DZ28" i="12"/>
  <c r="DZ29" i="12"/>
  <c r="DZ30" i="12"/>
  <c r="DZ31" i="12"/>
  <c r="DZ32" i="12"/>
  <c r="DZ33" i="12"/>
  <c r="DZ34" i="12"/>
  <c r="DZ35" i="12"/>
  <c r="DZ36" i="12"/>
  <c r="DZ37" i="12"/>
  <c r="DZ38" i="12"/>
  <c r="DZ39" i="12"/>
  <c r="DZ40" i="12"/>
  <c r="DZ41" i="12"/>
  <c r="DZ42" i="12"/>
  <c r="DZ43" i="12"/>
  <c r="DZ44" i="12"/>
  <c r="DZ45" i="12"/>
  <c r="DZ46" i="12"/>
  <c r="DZ47" i="12"/>
  <c r="DZ48" i="12"/>
  <c r="DZ49" i="12"/>
  <c r="DZ50" i="12"/>
  <c r="DZ51" i="12"/>
  <c r="DZ52" i="12"/>
  <c r="DZ53" i="12"/>
  <c r="DZ54" i="12"/>
  <c r="DZ55" i="12"/>
  <c r="DZ56" i="12"/>
  <c r="DZ57" i="12"/>
  <c r="DZ58" i="12"/>
  <c r="DZ59" i="12"/>
  <c r="DZ60" i="12"/>
  <c r="DZ61" i="12"/>
  <c r="DZ62" i="12"/>
  <c r="DZ63" i="12"/>
  <c r="DZ64" i="12"/>
  <c r="DZ65" i="12"/>
  <c r="DZ66" i="12"/>
  <c r="DZ67" i="12"/>
  <c r="DZ68" i="12"/>
  <c r="DZ69" i="12"/>
  <c r="DZ70" i="12"/>
  <c r="DZ71" i="12"/>
  <c r="DZ72" i="12"/>
  <c r="DZ73" i="12"/>
  <c r="DZ74" i="12"/>
  <c r="DZ75" i="12"/>
  <c r="DZ76" i="12"/>
  <c r="DZ77" i="12"/>
  <c r="DZ78" i="12"/>
  <c r="DZ79" i="12"/>
  <c r="DZ80" i="12"/>
  <c r="DZ81" i="12"/>
  <c r="DZ82" i="12"/>
  <c r="DZ83" i="12"/>
  <c r="DZ84" i="12"/>
  <c r="DZ85" i="12"/>
  <c r="DZ86" i="12"/>
  <c r="DZ87" i="12"/>
  <c r="DZ88" i="12"/>
  <c r="DZ89" i="12"/>
  <c r="DZ90" i="12"/>
  <c r="DZ91" i="12"/>
  <c r="DZ92" i="12"/>
  <c r="DZ93" i="12"/>
  <c r="DZ94" i="12"/>
  <c r="DZ95" i="12"/>
  <c r="DZ96" i="12"/>
  <c r="DZ97" i="12"/>
  <c r="DZ98" i="12"/>
  <c r="DZ99" i="12"/>
  <c r="DZ100" i="12"/>
  <c r="DZ101" i="12"/>
  <c r="DZ102" i="12"/>
  <c r="DZ103" i="12"/>
  <c r="DZ104" i="12"/>
  <c r="DZ105" i="12"/>
  <c r="DZ106" i="12"/>
  <c r="DZ107" i="12"/>
  <c r="DZ108" i="12"/>
  <c r="DZ109" i="12"/>
  <c r="DZ110" i="12"/>
  <c r="DZ111" i="12"/>
  <c r="DZ112" i="12"/>
  <c r="DZ113" i="12"/>
  <c r="DZ114" i="12"/>
  <c r="DZ115" i="12"/>
  <c r="DZ116" i="12"/>
  <c r="DZ117" i="12"/>
  <c r="EA18" i="12"/>
  <c r="EA19" i="12"/>
  <c r="EA20" i="12"/>
  <c r="EA21" i="12"/>
  <c r="EA22" i="12"/>
  <c r="EA23" i="12"/>
  <c r="EA24" i="12"/>
  <c r="EA25" i="12"/>
  <c r="EA26" i="12"/>
  <c r="EA27" i="12"/>
  <c r="EA28" i="12"/>
  <c r="EA29" i="12"/>
  <c r="EA30" i="12"/>
  <c r="EA31" i="12"/>
  <c r="EA32" i="12"/>
  <c r="EA33" i="12"/>
  <c r="EA34" i="12"/>
  <c r="EA35" i="12"/>
  <c r="EA36" i="12"/>
  <c r="EA37" i="12"/>
  <c r="EA38" i="12"/>
  <c r="EA39" i="12"/>
  <c r="EA40" i="12"/>
  <c r="EA41" i="12"/>
  <c r="EA42" i="12"/>
  <c r="EA43" i="12"/>
  <c r="EA44" i="12"/>
  <c r="EA45" i="12"/>
  <c r="EA46" i="12"/>
  <c r="EA47" i="12"/>
  <c r="EA48" i="12"/>
  <c r="EA49" i="12"/>
  <c r="EA50" i="12"/>
  <c r="EA51" i="12"/>
  <c r="EA52" i="12"/>
  <c r="EA53" i="12"/>
  <c r="EA54" i="12"/>
  <c r="EA55" i="12"/>
  <c r="EA56" i="12"/>
  <c r="EA57" i="12"/>
  <c r="EA58" i="12"/>
  <c r="EA59" i="12"/>
  <c r="EA60" i="12"/>
  <c r="EA61" i="12"/>
  <c r="EA62" i="12"/>
  <c r="EA63" i="12"/>
  <c r="EA64" i="12"/>
  <c r="EA65" i="12"/>
  <c r="EA66" i="12"/>
  <c r="EA67" i="12"/>
  <c r="EA68" i="12"/>
  <c r="EA69" i="12"/>
  <c r="EA70" i="12"/>
  <c r="EA71" i="12"/>
  <c r="EA72" i="12"/>
  <c r="EA73" i="12"/>
  <c r="EA74" i="12"/>
  <c r="EA75" i="12"/>
  <c r="EA76" i="12"/>
  <c r="EA77" i="12"/>
  <c r="EA78" i="12"/>
  <c r="EA79" i="12"/>
  <c r="EA80" i="12"/>
  <c r="EA81" i="12"/>
  <c r="EA82" i="12"/>
  <c r="EA83" i="12"/>
  <c r="EA84" i="12"/>
  <c r="EA85" i="12"/>
  <c r="EA86" i="12"/>
  <c r="EA87" i="12"/>
  <c r="EA88" i="12"/>
  <c r="EA89" i="12"/>
  <c r="EA90" i="12"/>
  <c r="EA91" i="12"/>
  <c r="EA92" i="12"/>
  <c r="EA93" i="12"/>
  <c r="EA94" i="12"/>
  <c r="EA95" i="12"/>
  <c r="EA96" i="12"/>
  <c r="EA97" i="12"/>
  <c r="EA98" i="12"/>
  <c r="EA99" i="12"/>
  <c r="EA100" i="12"/>
  <c r="EA101" i="12"/>
  <c r="EA102" i="12"/>
  <c r="EA103" i="12"/>
  <c r="EA104" i="12"/>
  <c r="EA105" i="12"/>
  <c r="EA106" i="12"/>
  <c r="EA107" i="12"/>
  <c r="EA108" i="12"/>
  <c r="EA109" i="12"/>
  <c r="EA110" i="12"/>
  <c r="EA111" i="12"/>
  <c r="EA112" i="12"/>
  <c r="EA113" i="12"/>
  <c r="EA114" i="12"/>
  <c r="EA115" i="12"/>
  <c r="EA116" i="12"/>
  <c r="EA117" i="12"/>
  <c r="EB18" i="12"/>
  <c r="EB19" i="12"/>
  <c r="EB20" i="12"/>
  <c r="EB21" i="12"/>
  <c r="EB22" i="12"/>
  <c r="EB23" i="12"/>
  <c r="EB24" i="12"/>
  <c r="EB25" i="12"/>
  <c r="EB26" i="12"/>
  <c r="EB27" i="12"/>
  <c r="EB28" i="12"/>
  <c r="EB29" i="12"/>
  <c r="EB30" i="12"/>
  <c r="EB31" i="12"/>
  <c r="EB32" i="12"/>
  <c r="EB33" i="12"/>
  <c r="EB34" i="12"/>
  <c r="EB35" i="12"/>
  <c r="EB36" i="12"/>
  <c r="EB37" i="12"/>
  <c r="EB38" i="12"/>
  <c r="EB39" i="12"/>
  <c r="EB40" i="12"/>
  <c r="EB41" i="12"/>
  <c r="EB42" i="12"/>
  <c r="EB43" i="12"/>
  <c r="EB44" i="12"/>
  <c r="EB45" i="12"/>
  <c r="EB46" i="12"/>
  <c r="EB47" i="12"/>
  <c r="EB48" i="12"/>
  <c r="EB49" i="12"/>
  <c r="EB50" i="12"/>
  <c r="EB51" i="12"/>
  <c r="EB52" i="12"/>
  <c r="EB53" i="12"/>
  <c r="EB54" i="12"/>
  <c r="EB55" i="12"/>
  <c r="EB56" i="12"/>
  <c r="EB57" i="12"/>
  <c r="EB58" i="12"/>
  <c r="EB59" i="12"/>
  <c r="EB60" i="12"/>
  <c r="EB61" i="12"/>
  <c r="EB62" i="12"/>
  <c r="EB63" i="12"/>
  <c r="EB64" i="12"/>
  <c r="EB65" i="12"/>
  <c r="EB66" i="12"/>
  <c r="EB67" i="12"/>
  <c r="EB68" i="12"/>
  <c r="EB69" i="12"/>
  <c r="EB70" i="12"/>
  <c r="EB71" i="12"/>
  <c r="EB72" i="12"/>
  <c r="EB73" i="12"/>
  <c r="EB74" i="12"/>
  <c r="EB75" i="12"/>
  <c r="EB76" i="12"/>
  <c r="EB77" i="12"/>
  <c r="EB78" i="12"/>
  <c r="EB79" i="12"/>
  <c r="EB80" i="12"/>
  <c r="EB81" i="12"/>
  <c r="EB82" i="12"/>
  <c r="EB83" i="12"/>
  <c r="EB84" i="12"/>
  <c r="EB85" i="12"/>
  <c r="EB86" i="12"/>
  <c r="EB87" i="12"/>
  <c r="EB88" i="12"/>
  <c r="EB89" i="12"/>
  <c r="EB90" i="12"/>
  <c r="EB91" i="12"/>
  <c r="EB92" i="12"/>
  <c r="EB93" i="12"/>
  <c r="EB94" i="12"/>
  <c r="EB95" i="12"/>
  <c r="EB96" i="12"/>
  <c r="EB97" i="12"/>
  <c r="EB98" i="12"/>
  <c r="EB99" i="12"/>
  <c r="EB100" i="12"/>
  <c r="EB101" i="12"/>
  <c r="EB102" i="12"/>
  <c r="EB103" i="12"/>
  <c r="EB104" i="12"/>
  <c r="EB105" i="12"/>
  <c r="EB106" i="12"/>
  <c r="EB107" i="12"/>
  <c r="EB108" i="12"/>
  <c r="EB109" i="12"/>
  <c r="EB110" i="12"/>
  <c r="EB111" i="12"/>
  <c r="EB112" i="12"/>
  <c r="EB113" i="12"/>
  <c r="EB114" i="12"/>
  <c r="EB115" i="12"/>
  <c r="EB116" i="12"/>
  <c r="EB117" i="12"/>
  <c r="FY60" i="12"/>
  <c r="AE18" i="12"/>
  <c r="FZ38" i="12"/>
  <c r="FZ46" i="12"/>
  <c r="FZ50" i="12"/>
  <c r="FZ74" i="12"/>
  <c r="FZ81" i="12"/>
  <c r="FZ93" i="12"/>
  <c r="FZ116" i="12"/>
  <c r="FY30" i="12"/>
  <c r="FY40" i="12"/>
  <c r="FY41" i="12"/>
  <c r="FY50" i="12"/>
  <c r="FY51" i="12"/>
  <c r="FY52" i="12"/>
  <c r="FY54" i="12"/>
  <c r="FY75" i="12"/>
  <c r="FY79" i="12"/>
  <c r="FY106" i="12"/>
  <c r="FA17" i="12"/>
  <c r="R7" i="15"/>
  <c r="Q7" i="15" s="1"/>
  <c r="U38" i="15"/>
  <c r="GB27" i="12"/>
  <c r="GB18" i="12"/>
  <c r="T38" i="15"/>
  <c r="GA27" i="12"/>
  <c r="GA20" i="12"/>
  <c r="GA22" i="12"/>
  <c r="GA23" i="12"/>
  <c r="GA18" i="12"/>
  <c r="R16" i="15"/>
  <c r="R38" i="15" s="1"/>
  <c r="FW18" i="12"/>
  <c r="A19" i="12"/>
  <c r="A20" i="12"/>
  <c r="S16" i="15"/>
  <c r="S38" i="15" s="1"/>
  <c r="FX18" i="12"/>
  <c r="ED17" i="12"/>
  <c r="EZ17" i="12"/>
  <c r="T16" i="15"/>
  <c r="U16" i="15"/>
  <c r="Z41" i="15"/>
  <c r="G6" i="14"/>
  <c r="G6" i="15"/>
  <c r="G6" i="17" s="1"/>
  <c r="D24" i="7"/>
  <c r="D19" i="7"/>
  <c r="D18" i="7"/>
  <c r="D18" i="20" s="1"/>
  <c r="T1" i="12"/>
  <c r="GB116" i="12"/>
  <c r="GA116" i="12"/>
  <c r="C8" i="7"/>
  <c r="D98" i="14"/>
  <c r="D47" i="7"/>
  <c r="F47" i="7"/>
  <c r="D48" i="7"/>
  <c r="G70" i="11"/>
  <c r="H69" i="11" s="1"/>
  <c r="AG116" i="12"/>
  <c r="AG18" i="12"/>
  <c r="AG20" i="12"/>
  <c r="AG19" i="12"/>
  <c r="AG21" i="12"/>
  <c r="AG22" i="12"/>
  <c r="AG23" i="12"/>
  <c r="AG24" i="12"/>
  <c r="AG25" i="12"/>
  <c r="AG26" i="12"/>
  <c r="AG27" i="12"/>
  <c r="AG28" i="12"/>
  <c r="AG29" i="12"/>
  <c r="AG30" i="12"/>
  <c r="AG31" i="12"/>
  <c r="AG32" i="12"/>
  <c r="AG33" i="12"/>
  <c r="AG34" i="12"/>
  <c r="AG35" i="12"/>
  <c r="AG36" i="12"/>
  <c r="AG37" i="12"/>
  <c r="AG38" i="12"/>
  <c r="AG39" i="12"/>
  <c r="AG40" i="12"/>
  <c r="AG41" i="12"/>
  <c r="AG42" i="12"/>
  <c r="AG43" i="12"/>
  <c r="AG44" i="12"/>
  <c r="AG45" i="12"/>
  <c r="AG46" i="12"/>
  <c r="AG47" i="12"/>
  <c r="AG48" i="12"/>
  <c r="AG49" i="12"/>
  <c r="AG50" i="12"/>
  <c r="AG51" i="12"/>
  <c r="AG52" i="12"/>
  <c r="AG53" i="12"/>
  <c r="AG54" i="12"/>
  <c r="AG55" i="12"/>
  <c r="AG56" i="12"/>
  <c r="AG57" i="12"/>
  <c r="AG58" i="12"/>
  <c r="AG59" i="12"/>
  <c r="AG60" i="12"/>
  <c r="AG61" i="12"/>
  <c r="AG62" i="12"/>
  <c r="AG63" i="12"/>
  <c r="AG64" i="12"/>
  <c r="AG65" i="12"/>
  <c r="AG66" i="12"/>
  <c r="AG67" i="12"/>
  <c r="AG68" i="12"/>
  <c r="AG69" i="12"/>
  <c r="AG70" i="12"/>
  <c r="AG71" i="12"/>
  <c r="AG72" i="12"/>
  <c r="AG73" i="12"/>
  <c r="AG74" i="12"/>
  <c r="AG75" i="12"/>
  <c r="AG76" i="12"/>
  <c r="AG77" i="12"/>
  <c r="AG78" i="12"/>
  <c r="AG79" i="12"/>
  <c r="AG80" i="12"/>
  <c r="AG81" i="12"/>
  <c r="AG82" i="12"/>
  <c r="AG83" i="12"/>
  <c r="AG84" i="12"/>
  <c r="AG85" i="12"/>
  <c r="AG86" i="12"/>
  <c r="AG87" i="12"/>
  <c r="AG88" i="12"/>
  <c r="AG89" i="12"/>
  <c r="AG90" i="12"/>
  <c r="AG91" i="12"/>
  <c r="AG92" i="12"/>
  <c r="AG93" i="12"/>
  <c r="AG94" i="12"/>
  <c r="AG95" i="12"/>
  <c r="AG96" i="12"/>
  <c r="AG97" i="12"/>
  <c r="AG98" i="12"/>
  <c r="AG99" i="12"/>
  <c r="AG100" i="12"/>
  <c r="AG101" i="12"/>
  <c r="AG102" i="12"/>
  <c r="AG103" i="12"/>
  <c r="AG104" i="12"/>
  <c r="AG105" i="12"/>
  <c r="AG106" i="12"/>
  <c r="AG107" i="12"/>
  <c r="AG108" i="12"/>
  <c r="AG109" i="12"/>
  <c r="AG110" i="12"/>
  <c r="AG111" i="12"/>
  <c r="AG112" i="12"/>
  <c r="AG113" i="12"/>
  <c r="AG114" i="12"/>
  <c r="AG115" i="12"/>
  <c r="AG117" i="12"/>
  <c r="AE116" i="12"/>
  <c r="AE19" i="12"/>
  <c r="AE20" i="12"/>
  <c r="AE21" i="12"/>
  <c r="AE22" i="12"/>
  <c r="AE23" i="12"/>
  <c r="AE24" i="12"/>
  <c r="AE25" i="12"/>
  <c r="AE26" i="12"/>
  <c r="AE27" i="12"/>
  <c r="AE28" i="12"/>
  <c r="AE29" i="12"/>
  <c r="AE30" i="12"/>
  <c r="AE31" i="12"/>
  <c r="AE32" i="12"/>
  <c r="AE33" i="12"/>
  <c r="AE34" i="12"/>
  <c r="AE35" i="12"/>
  <c r="AE36" i="12"/>
  <c r="AE37" i="12"/>
  <c r="AE38" i="12"/>
  <c r="AE39" i="12"/>
  <c r="AE40" i="12"/>
  <c r="AE41" i="12"/>
  <c r="AE42" i="12"/>
  <c r="AE43" i="12"/>
  <c r="AE44" i="12"/>
  <c r="AE45" i="12"/>
  <c r="AE46" i="12"/>
  <c r="AE47" i="12"/>
  <c r="AE48" i="12"/>
  <c r="AE49" i="12"/>
  <c r="AE50" i="12"/>
  <c r="AE51" i="12"/>
  <c r="AE52" i="12"/>
  <c r="AE53" i="12"/>
  <c r="AE54" i="12"/>
  <c r="AE55" i="12"/>
  <c r="AE56" i="12"/>
  <c r="AE57" i="12"/>
  <c r="AE58" i="12"/>
  <c r="AE59" i="12"/>
  <c r="AE60" i="12"/>
  <c r="AE61" i="12"/>
  <c r="AE62" i="12"/>
  <c r="AE63" i="12"/>
  <c r="AE64" i="12"/>
  <c r="AE65" i="12"/>
  <c r="AE66" i="12"/>
  <c r="AE67" i="12"/>
  <c r="AE68" i="12"/>
  <c r="AE69" i="12"/>
  <c r="AE70" i="12"/>
  <c r="AE71" i="12"/>
  <c r="AE72" i="12"/>
  <c r="AE73" i="12"/>
  <c r="AE74" i="12"/>
  <c r="AE75" i="12"/>
  <c r="AE76" i="12"/>
  <c r="AE77" i="12"/>
  <c r="AE78" i="12"/>
  <c r="AE79" i="12"/>
  <c r="AE80" i="12"/>
  <c r="AE81" i="12"/>
  <c r="AE82" i="12"/>
  <c r="AE83" i="12"/>
  <c r="AE84" i="12"/>
  <c r="AE85" i="12"/>
  <c r="AE86" i="12"/>
  <c r="AE87" i="12"/>
  <c r="AE88" i="12"/>
  <c r="AE89" i="12"/>
  <c r="AE90" i="12"/>
  <c r="AE91" i="12"/>
  <c r="AE92" i="12"/>
  <c r="AE93" i="12"/>
  <c r="AE94" i="12"/>
  <c r="AE95" i="12"/>
  <c r="AE96" i="12"/>
  <c r="AE97" i="12"/>
  <c r="AE98" i="12"/>
  <c r="AE99" i="12"/>
  <c r="AE100" i="12"/>
  <c r="AE101" i="12"/>
  <c r="AE102" i="12"/>
  <c r="AE103" i="12"/>
  <c r="AE104" i="12"/>
  <c r="AE105" i="12"/>
  <c r="AE106" i="12"/>
  <c r="AE107" i="12"/>
  <c r="AE108" i="12"/>
  <c r="AE109" i="12"/>
  <c r="AE110" i="12"/>
  <c r="AE111" i="12"/>
  <c r="AE112" i="12"/>
  <c r="AE113" i="12"/>
  <c r="AE114" i="12"/>
  <c r="AE115" i="12"/>
  <c r="AE117" i="12"/>
  <c r="J116" i="12"/>
  <c r="AQ116" i="12" s="1"/>
  <c r="AS116" i="12" s="1"/>
  <c r="H116" i="12"/>
  <c r="AP116" i="12" s="1"/>
  <c r="AR116" i="12" s="1"/>
  <c r="AO116" i="12"/>
  <c r="I9" i="14"/>
  <c r="I9" i="15" s="1"/>
  <c r="J4" i="51" s="1"/>
  <c r="I10" i="14"/>
  <c r="I10" i="15"/>
  <c r="J5" i="51"/>
  <c r="E41" i="7"/>
  <c r="E40" i="7"/>
  <c r="E39" i="7"/>
  <c r="E38" i="7"/>
  <c r="E37" i="7"/>
  <c r="E36" i="7"/>
  <c r="E35" i="7"/>
  <c r="E34" i="7"/>
  <c r="E33" i="7"/>
  <c r="E32" i="7"/>
  <c r="E31" i="7"/>
  <c r="E30" i="7"/>
  <c r="E29" i="7"/>
  <c r="E28" i="7"/>
  <c r="E27" i="7"/>
  <c r="E26" i="7"/>
  <c r="E25" i="7"/>
  <c r="E11" i="7"/>
  <c r="Q40" i="15"/>
  <c r="Q41" i="15" s="1"/>
  <c r="Q42" i="15" s="1"/>
  <c r="Q43" i="15" s="1"/>
  <c r="Q44" i="15" s="1"/>
  <c r="Q45" i="15" s="1"/>
  <c r="Q46" i="15" s="1"/>
  <c r="Q47" i="15" s="1"/>
  <c r="Q48" i="15" s="1"/>
  <c r="M52" i="15"/>
  <c r="S49" i="15" s="1"/>
  <c r="Q18" i="15"/>
  <c r="Q19" i="15"/>
  <c r="Q20" i="15" s="1"/>
  <c r="Q21" i="15" s="1"/>
  <c r="Q22" i="15" s="1"/>
  <c r="Q23" i="15"/>
  <c r="Z19" i="15"/>
  <c r="C42" i="14"/>
  <c r="C21" i="14"/>
  <c r="J27" i="12"/>
  <c r="AQ27" i="12" s="1"/>
  <c r="AS27" i="12" s="1"/>
  <c r="H27" i="12"/>
  <c r="AP27" i="12" s="1"/>
  <c r="AR27" i="12" s="1"/>
  <c r="J26" i="12"/>
  <c r="AQ26" i="12" s="1"/>
  <c r="AS26" i="12" s="1"/>
  <c r="H26" i="12"/>
  <c r="AP26" i="12" s="1"/>
  <c r="AR26" i="12" s="1"/>
  <c r="J25" i="12"/>
  <c r="AQ25" i="12" s="1"/>
  <c r="AS25" i="12" s="1"/>
  <c r="H25" i="12"/>
  <c r="J24" i="12"/>
  <c r="AQ24" i="12" s="1"/>
  <c r="AS24" i="12" s="1"/>
  <c r="H24" i="12"/>
  <c r="AP24" i="12"/>
  <c r="AR24" i="12"/>
  <c r="J23" i="12"/>
  <c r="H23" i="12"/>
  <c r="AP23" i="12"/>
  <c r="AR23" i="12" s="1"/>
  <c r="J22" i="12"/>
  <c r="AQ22" i="12"/>
  <c r="AS22" i="12" s="1"/>
  <c r="H22" i="12"/>
  <c r="AP22" i="12"/>
  <c r="AR22" i="12" s="1"/>
  <c r="J21" i="12"/>
  <c r="AQ21" i="12"/>
  <c r="AS21" i="12"/>
  <c r="H21" i="12"/>
  <c r="AP21" i="12"/>
  <c r="AR21" i="12" s="1"/>
  <c r="J20" i="12"/>
  <c r="AQ20" i="12"/>
  <c r="AS20" i="12" s="1"/>
  <c r="H20" i="12"/>
  <c r="J19" i="12"/>
  <c r="AQ19" i="12" s="1"/>
  <c r="AS19" i="12"/>
  <c r="H19" i="12"/>
  <c r="C45" i="14"/>
  <c r="C46" i="14" s="1"/>
  <c r="H18" i="12"/>
  <c r="J18" i="12"/>
  <c r="AO18" i="12"/>
  <c r="B38" i="11"/>
  <c r="F66" i="11" s="1"/>
  <c r="F74" i="11" s="1"/>
  <c r="AL9" i="12" s="1"/>
  <c r="AP9" i="12" s="1"/>
  <c r="AS9" i="12"/>
  <c r="B39" i="11"/>
  <c r="H4" i="12" s="1"/>
  <c r="F57" i="11"/>
  <c r="B40" i="11"/>
  <c r="F68" i="11" s="1"/>
  <c r="F76" i="11" s="1"/>
  <c r="AL11" i="12" s="1"/>
  <c r="I70" i="11"/>
  <c r="J69" i="11" s="1"/>
  <c r="I66" i="11"/>
  <c r="I67" i="11"/>
  <c r="J66" i="11"/>
  <c r="I68" i="11"/>
  <c r="J67" i="11"/>
  <c r="I69" i="11"/>
  <c r="J68" i="11"/>
  <c r="B41" i="11"/>
  <c r="B42" i="11"/>
  <c r="F70" i="11"/>
  <c r="F78" i="11" s="1"/>
  <c r="AL13" i="12" s="1"/>
  <c r="AR13" i="12"/>
  <c r="F48" i="7"/>
  <c r="G48" i="7" s="1"/>
  <c r="GB114" i="12"/>
  <c r="GA114" i="12"/>
  <c r="J114" i="12"/>
  <c r="AO114" i="12"/>
  <c r="H114" i="12"/>
  <c r="AP114" i="12"/>
  <c r="AR114" i="12" s="1"/>
  <c r="GB115" i="12"/>
  <c r="GA115" i="12"/>
  <c r="J115" i="12"/>
  <c r="AQ115" i="12"/>
  <c r="AS115" i="12" s="1"/>
  <c r="AO115" i="12"/>
  <c r="H115" i="12"/>
  <c r="AP115" i="12"/>
  <c r="AR115" i="12" s="1"/>
  <c r="S27" i="15"/>
  <c r="B18" i="11"/>
  <c r="F2" i="12" s="1"/>
  <c r="D19" i="20"/>
  <c r="V26" i="8"/>
  <c r="E16" i="8"/>
  <c r="E15" i="8"/>
  <c r="F15" i="8"/>
  <c r="F17" i="8" s="1"/>
  <c r="E14" i="8"/>
  <c r="F14" i="8" s="1"/>
  <c r="E8" i="8"/>
  <c r="F8" i="8" s="1"/>
  <c r="E7" i="8"/>
  <c r="F7" i="8"/>
  <c r="E6" i="8"/>
  <c r="F6" i="8" s="1"/>
  <c r="AN13" i="12"/>
  <c r="AO27" i="12"/>
  <c r="J28" i="12"/>
  <c r="AQ28" i="12" s="1"/>
  <c r="AS28" i="12" s="1"/>
  <c r="J29" i="12"/>
  <c r="AQ29" i="12"/>
  <c r="AS29" i="12" s="1"/>
  <c r="J30" i="12"/>
  <c r="AQ30" i="12"/>
  <c r="AS30" i="12" s="1"/>
  <c r="J31" i="12"/>
  <c r="J32" i="12"/>
  <c r="J33" i="12"/>
  <c r="AQ33" i="12"/>
  <c r="AS33" i="12"/>
  <c r="J34" i="12"/>
  <c r="AQ34" i="12" s="1"/>
  <c r="AS34" i="12" s="1"/>
  <c r="J35" i="12"/>
  <c r="AQ35" i="12" s="1"/>
  <c r="AS35" i="12" s="1"/>
  <c r="H35" i="12"/>
  <c r="AP35" i="12" s="1"/>
  <c r="AR35" i="12" s="1"/>
  <c r="J36" i="12"/>
  <c r="H36" i="12"/>
  <c r="J37" i="12"/>
  <c r="AQ37" i="12"/>
  <c r="AS37" i="12" s="1"/>
  <c r="J38" i="12"/>
  <c r="AQ38" i="12"/>
  <c r="AS38" i="12" s="1"/>
  <c r="J39" i="12"/>
  <c r="AQ39" i="12"/>
  <c r="AS39" i="12" s="1"/>
  <c r="J40" i="12"/>
  <c r="J41" i="12"/>
  <c r="AQ41" i="12" s="1"/>
  <c r="AS41" i="12" s="1"/>
  <c r="J42" i="12"/>
  <c r="AQ42" i="12" s="1"/>
  <c r="AS42" i="12" s="1"/>
  <c r="J43" i="12"/>
  <c r="H43" i="12"/>
  <c r="AK43" i="12" s="1"/>
  <c r="AQ43" i="12"/>
  <c r="AS43" i="12" s="1"/>
  <c r="J44" i="12"/>
  <c r="J45" i="12"/>
  <c r="AQ45" i="12"/>
  <c r="AS45" i="12" s="1"/>
  <c r="J46" i="12"/>
  <c r="AQ46" i="12" s="1"/>
  <c r="AS46" i="12" s="1"/>
  <c r="H46" i="12"/>
  <c r="AP46" i="12" s="1"/>
  <c r="AR46" i="12" s="1"/>
  <c r="J47" i="12"/>
  <c r="AQ47" i="12" s="1"/>
  <c r="AS47" i="12"/>
  <c r="J48" i="12"/>
  <c r="AQ48" i="12"/>
  <c r="AS48" i="12" s="1"/>
  <c r="J49" i="12"/>
  <c r="H49" i="12"/>
  <c r="AP49" i="12" s="1"/>
  <c r="AR49" i="12" s="1"/>
  <c r="J50" i="12"/>
  <c r="AQ50" i="12" s="1"/>
  <c r="AS50" i="12" s="1"/>
  <c r="H50" i="12"/>
  <c r="J51" i="12"/>
  <c r="AQ51" i="12"/>
  <c r="AS51" i="12"/>
  <c r="H51" i="12"/>
  <c r="AP51" i="12"/>
  <c r="AR51" i="12" s="1"/>
  <c r="J52" i="12"/>
  <c r="H52" i="12"/>
  <c r="AP52" i="12" s="1"/>
  <c r="AR52" i="12" s="1"/>
  <c r="J53" i="12"/>
  <c r="AQ53" i="12" s="1"/>
  <c r="AS53" i="12" s="1"/>
  <c r="J54" i="12"/>
  <c r="AQ54" i="12"/>
  <c r="AS54" i="12" s="1"/>
  <c r="J55" i="12"/>
  <c r="AQ55" i="12" s="1"/>
  <c r="AS55" i="12" s="1"/>
  <c r="J56" i="12"/>
  <c r="AQ56" i="12" s="1"/>
  <c r="AS56" i="12" s="1"/>
  <c r="J57" i="12"/>
  <c r="AQ57" i="12" s="1"/>
  <c r="AS57" i="12"/>
  <c r="J58" i="12"/>
  <c r="AQ58" i="12" s="1"/>
  <c r="AS58" i="12" s="1"/>
  <c r="J59" i="12"/>
  <c r="AQ59" i="12" s="1"/>
  <c r="AS59" i="12" s="1"/>
  <c r="J60" i="12"/>
  <c r="AQ60" i="12" s="1"/>
  <c r="AS60" i="12" s="1"/>
  <c r="J61" i="12"/>
  <c r="AQ61" i="12" s="1"/>
  <c r="AS61" i="12" s="1"/>
  <c r="J62" i="12"/>
  <c r="AQ62" i="12"/>
  <c r="AS62" i="12" s="1"/>
  <c r="H62" i="12"/>
  <c r="AP62" i="12" s="1"/>
  <c r="AR62" i="12" s="1"/>
  <c r="J63" i="12"/>
  <c r="AQ63" i="12" s="1"/>
  <c r="AS63" i="12" s="1"/>
  <c r="J64" i="12"/>
  <c r="J65" i="12"/>
  <c r="AQ65" i="12"/>
  <c r="AS65" i="12" s="1"/>
  <c r="J66" i="12"/>
  <c r="J67" i="12"/>
  <c r="AQ67" i="12"/>
  <c r="AS67" i="12" s="1"/>
  <c r="J68" i="12"/>
  <c r="AQ68" i="12"/>
  <c r="AS68" i="12" s="1"/>
  <c r="J69" i="12"/>
  <c r="AQ69" i="12"/>
  <c r="AS69" i="12" s="1"/>
  <c r="J70" i="12"/>
  <c r="AQ70" i="12" s="1"/>
  <c r="AS70" i="12" s="1"/>
  <c r="J71" i="12"/>
  <c r="AQ71" i="12"/>
  <c r="AS71" i="12" s="1"/>
  <c r="J72" i="12"/>
  <c r="J73" i="12"/>
  <c r="AQ73" i="12" s="1"/>
  <c r="AS73" i="12" s="1"/>
  <c r="J74" i="12"/>
  <c r="AQ74" i="12" s="1"/>
  <c r="AS74" i="12" s="1"/>
  <c r="J75" i="12"/>
  <c r="AQ75" i="12"/>
  <c r="AS75" i="12" s="1"/>
  <c r="J76" i="12"/>
  <c r="J77" i="12"/>
  <c r="AQ77" i="12" s="1"/>
  <c r="AS77" i="12" s="1"/>
  <c r="H77" i="12"/>
  <c r="J78" i="12"/>
  <c r="AQ78" i="12"/>
  <c r="AS78" i="12" s="1"/>
  <c r="H78" i="12"/>
  <c r="J79" i="12"/>
  <c r="AQ79" i="12"/>
  <c r="AS79" i="12" s="1"/>
  <c r="J80" i="12"/>
  <c r="AQ80" i="12"/>
  <c r="AS80" i="12" s="1"/>
  <c r="J81" i="12"/>
  <c r="AQ81" i="12"/>
  <c r="AS81" i="12" s="1"/>
  <c r="J82" i="12"/>
  <c r="H82" i="12"/>
  <c r="J83" i="12"/>
  <c r="AQ83" i="12"/>
  <c r="AS83" i="12" s="1"/>
  <c r="J84" i="12"/>
  <c r="J85" i="12"/>
  <c r="AQ85" i="12"/>
  <c r="AS85" i="12" s="1"/>
  <c r="J86" i="12"/>
  <c r="AQ86" i="12"/>
  <c r="AS86" i="12" s="1"/>
  <c r="J87" i="12"/>
  <c r="AQ87" i="12"/>
  <c r="AS87" i="12" s="1"/>
  <c r="J88" i="12"/>
  <c r="AQ88" i="12" s="1"/>
  <c r="AS88" i="12" s="1"/>
  <c r="J89" i="12"/>
  <c r="AQ89" i="12"/>
  <c r="AS89" i="12" s="1"/>
  <c r="J90" i="12"/>
  <c r="AQ90" i="12"/>
  <c r="AS90" i="12" s="1"/>
  <c r="J91" i="12"/>
  <c r="AQ91" i="12"/>
  <c r="AS91" i="12" s="1"/>
  <c r="J92" i="12"/>
  <c r="H92" i="12"/>
  <c r="AP92" i="12" s="1"/>
  <c r="AR92" i="12" s="1"/>
  <c r="J93" i="12"/>
  <c r="H93" i="12"/>
  <c r="AP93" i="12"/>
  <c r="AR93" i="12"/>
  <c r="J94" i="12"/>
  <c r="AQ94" i="12" s="1"/>
  <c r="AS94" i="12" s="1"/>
  <c r="J95" i="12"/>
  <c r="AQ95" i="12"/>
  <c r="AS95" i="12"/>
  <c r="J96" i="12"/>
  <c r="AQ96" i="12" s="1"/>
  <c r="AS96" i="12" s="1"/>
  <c r="J97" i="12"/>
  <c r="AQ97" i="12"/>
  <c r="AS97" i="12"/>
  <c r="J98" i="12"/>
  <c r="AQ98" i="12" s="1"/>
  <c r="AS98" i="12" s="1"/>
  <c r="J99" i="12"/>
  <c r="AQ99" i="12"/>
  <c r="AS99" i="12"/>
  <c r="J100" i="12"/>
  <c r="H100" i="12"/>
  <c r="AP100" i="12"/>
  <c r="AR100" i="12" s="1"/>
  <c r="J101" i="12"/>
  <c r="AQ101" i="12"/>
  <c r="AS101" i="12" s="1"/>
  <c r="J102" i="12"/>
  <c r="AQ102" i="12"/>
  <c r="AS102" i="12" s="1"/>
  <c r="H102" i="12"/>
  <c r="AP102" i="12"/>
  <c r="AR102" i="12" s="1"/>
  <c r="J103" i="12"/>
  <c r="AQ103" i="12"/>
  <c r="AS103" i="12" s="1"/>
  <c r="J104" i="12"/>
  <c r="AQ104" i="12"/>
  <c r="AS104" i="12" s="1"/>
  <c r="J105" i="12"/>
  <c r="AQ105" i="12"/>
  <c r="AS105" i="12" s="1"/>
  <c r="J106" i="12"/>
  <c r="AQ106" i="12" s="1"/>
  <c r="AS106" i="12" s="1"/>
  <c r="J107" i="12"/>
  <c r="AQ107" i="12"/>
  <c r="AS107" i="12" s="1"/>
  <c r="J108" i="12"/>
  <c r="AQ108" i="12"/>
  <c r="AS108" i="12" s="1"/>
  <c r="J109" i="12"/>
  <c r="AQ109" i="12"/>
  <c r="AS109" i="12" s="1"/>
  <c r="J110" i="12"/>
  <c r="AK110" i="12" s="1"/>
  <c r="J111" i="12"/>
  <c r="AQ111" i="12"/>
  <c r="AS111" i="12" s="1"/>
  <c r="J112" i="12"/>
  <c r="AQ112" i="12"/>
  <c r="AS112" i="12" s="1"/>
  <c r="J113" i="12"/>
  <c r="J117" i="12"/>
  <c r="AQ117" i="12" s="1"/>
  <c r="AS117" i="12"/>
  <c r="AP19" i="12"/>
  <c r="AR19" i="12" s="1"/>
  <c r="AP25" i="12"/>
  <c r="AR25" i="12"/>
  <c r="H28" i="12"/>
  <c r="AP28" i="12"/>
  <c r="AR28" i="12"/>
  <c r="H29" i="12"/>
  <c r="AP29" i="12"/>
  <c r="AR29" i="12"/>
  <c r="H30" i="12"/>
  <c r="H31" i="12"/>
  <c r="AP31" i="12"/>
  <c r="AR31" i="12" s="1"/>
  <c r="H32" i="12"/>
  <c r="AP32" i="12"/>
  <c r="AR32" i="12" s="1"/>
  <c r="H33" i="12"/>
  <c r="AP33" i="12"/>
  <c r="AR33" i="12" s="1"/>
  <c r="H34" i="12"/>
  <c r="H37" i="12"/>
  <c r="AP37" i="12" s="1"/>
  <c r="AR37" i="12"/>
  <c r="H38" i="12"/>
  <c r="AP38" i="12" s="1"/>
  <c r="AR38" i="12" s="1"/>
  <c r="H39" i="12"/>
  <c r="H40" i="12"/>
  <c r="AP40" i="12"/>
  <c r="AR40" i="12" s="1"/>
  <c r="H41" i="12"/>
  <c r="AP41" i="12"/>
  <c r="AR41" i="12" s="1"/>
  <c r="H42" i="12"/>
  <c r="AP43" i="12"/>
  <c r="AR43" i="12"/>
  <c r="H44" i="12"/>
  <c r="AP44" i="12"/>
  <c r="AR44" i="12"/>
  <c r="H45" i="12"/>
  <c r="AP45" i="12"/>
  <c r="AR45" i="12"/>
  <c r="H47" i="12"/>
  <c r="AP47" i="12"/>
  <c r="AR47" i="12" s="1"/>
  <c r="H48" i="12"/>
  <c r="AP48" i="12" s="1"/>
  <c r="AR48" i="12" s="1"/>
  <c r="H53" i="12"/>
  <c r="H54" i="12"/>
  <c r="AP54" i="12"/>
  <c r="AR54" i="12" s="1"/>
  <c r="H55" i="12"/>
  <c r="AP55" i="12"/>
  <c r="AR55" i="12" s="1"/>
  <c r="H56" i="12"/>
  <c r="AP56" i="12" s="1"/>
  <c r="AR56" i="12" s="1"/>
  <c r="H57" i="12"/>
  <c r="H58" i="12"/>
  <c r="H59" i="12"/>
  <c r="AP59" i="12"/>
  <c r="AR59" i="12"/>
  <c r="H60" i="12"/>
  <c r="H61" i="12"/>
  <c r="H63" i="12"/>
  <c r="AP63" i="12" s="1"/>
  <c r="AR63" i="12"/>
  <c r="H64" i="12"/>
  <c r="AP64" i="12" s="1"/>
  <c r="AR64" i="12" s="1"/>
  <c r="H65" i="12"/>
  <c r="AP65" i="12" s="1"/>
  <c r="AR65" i="12" s="1"/>
  <c r="H66" i="12"/>
  <c r="AP66" i="12" s="1"/>
  <c r="AR66" i="12" s="1"/>
  <c r="H67" i="12"/>
  <c r="H68" i="12"/>
  <c r="AP68" i="12"/>
  <c r="AR68" i="12" s="1"/>
  <c r="H69" i="12"/>
  <c r="H70" i="12"/>
  <c r="AP70" i="12"/>
  <c r="AR70" i="12" s="1"/>
  <c r="H71" i="12"/>
  <c r="AP71" i="12"/>
  <c r="AR71" i="12" s="1"/>
  <c r="H72" i="12"/>
  <c r="AP72" i="12"/>
  <c r="AR72" i="12" s="1"/>
  <c r="H73" i="12"/>
  <c r="H74" i="12"/>
  <c r="AK74" i="12" s="1"/>
  <c r="H75" i="12"/>
  <c r="AK75" i="12" s="1"/>
  <c r="H76" i="12"/>
  <c r="AP76" i="12" s="1"/>
  <c r="AR76" i="12" s="1"/>
  <c r="H79" i="12"/>
  <c r="H80" i="12"/>
  <c r="AP80" i="12"/>
  <c r="AR80" i="12"/>
  <c r="H81" i="12"/>
  <c r="AP81" i="12"/>
  <c r="AR81" i="12" s="1"/>
  <c r="H83" i="12"/>
  <c r="AP83" i="12" s="1"/>
  <c r="AR83" i="12" s="1"/>
  <c r="H84" i="12"/>
  <c r="AP84" i="12"/>
  <c r="AR84" i="12"/>
  <c r="H85" i="12"/>
  <c r="AP85" i="12"/>
  <c r="AR85" i="12"/>
  <c r="H86" i="12"/>
  <c r="AK86" i="12"/>
  <c r="H87" i="12"/>
  <c r="AP87" i="12"/>
  <c r="AR87" i="12" s="1"/>
  <c r="H88" i="12"/>
  <c r="H89" i="12"/>
  <c r="AP89" i="12"/>
  <c r="AR89" i="12"/>
  <c r="H90" i="12"/>
  <c r="AP90" i="12"/>
  <c r="AR90" i="12"/>
  <c r="H91" i="12"/>
  <c r="AP91" i="12"/>
  <c r="AR91" i="12" s="1"/>
  <c r="H94" i="12"/>
  <c r="H95" i="12"/>
  <c r="AP95" i="12"/>
  <c r="AR95" i="12" s="1"/>
  <c r="H96" i="12"/>
  <c r="AP96" i="12"/>
  <c r="AR96" i="12" s="1"/>
  <c r="H97" i="12"/>
  <c r="AP97" i="12"/>
  <c r="AR97" i="12" s="1"/>
  <c r="H98" i="12"/>
  <c r="AP98" i="12" s="1"/>
  <c r="AR98" i="12" s="1"/>
  <c r="H99" i="12"/>
  <c r="AP99" i="12"/>
  <c r="AR99" i="12" s="1"/>
  <c r="H101" i="12"/>
  <c r="AP101" i="12"/>
  <c r="AR101" i="12" s="1"/>
  <c r="H103" i="12"/>
  <c r="H104" i="12"/>
  <c r="AP104" i="12" s="1"/>
  <c r="AR104" i="12" s="1"/>
  <c r="H105" i="12"/>
  <c r="AK105" i="12" s="1"/>
  <c r="H106" i="12"/>
  <c r="H107" i="12"/>
  <c r="AP107" i="12"/>
  <c r="AR107" i="12" s="1"/>
  <c r="H108" i="12"/>
  <c r="H109" i="12"/>
  <c r="H110" i="12"/>
  <c r="AP110" i="12"/>
  <c r="AR110" i="12"/>
  <c r="H111" i="12"/>
  <c r="H112" i="12"/>
  <c r="H113" i="12"/>
  <c r="AP113" i="12"/>
  <c r="AR113" i="12" s="1"/>
  <c r="H117" i="12"/>
  <c r="AO117" i="12"/>
  <c r="G66" i="11"/>
  <c r="G67" i="11"/>
  <c r="H66" i="11" s="1"/>
  <c r="AO113" i="12"/>
  <c r="AO112" i="12"/>
  <c r="AO111" i="12"/>
  <c r="AO110" i="12"/>
  <c r="AO109" i="12"/>
  <c r="FZ109" i="12"/>
  <c r="AO108" i="12"/>
  <c r="AO107" i="12"/>
  <c r="AO106" i="12"/>
  <c r="FZ106" i="12"/>
  <c r="AO105" i="12"/>
  <c r="AO104" i="12"/>
  <c r="AO103" i="12"/>
  <c r="AO102" i="12"/>
  <c r="AO101" i="12"/>
  <c r="AO100" i="12"/>
  <c r="AO99" i="12"/>
  <c r="AO98" i="12"/>
  <c r="AO97" i="12"/>
  <c r="AO96" i="12"/>
  <c r="AO95" i="12"/>
  <c r="FY95" i="12"/>
  <c r="AO94" i="12"/>
  <c r="AO93" i="12"/>
  <c r="AO92" i="12"/>
  <c r="AO91" i="12"/>
  <c r="AO90" i="12"/>
  <c r="AO89" i="12"/>
  <c r="AO88" i="12"/>
  <c r="AO87" i="12"/>
  <c r="AO86" i="12"/>
  <c r="AO85" i="12"/>
  <c r="AO84" i="12"/>
  <c r="AO83" i="12"/>
  <c r="FY83" i="12"/>
  <c r="AO82" i="12"/>
  <c r="AO81" i="12"/>
  <c r="AO80" i="12"/>
  <c r="AO79" i="12"/>
  <c r="AO78" i="12"/>
  <c r="AO77" i="12"/>
  <c r="AO76" i="12"/>
  <c r="AO75" i="12"/>
  <c r="AO74" i="12"/>
  <c r="AO73" i="12"/>
  <c r="AO72" i="12"/>
  <c r="AO71" i="12"/>
  <c r="AO70" i="12"/>
  <c r="AO69" i="12"/>
  <c r="AO68" i="12"/>
  <c r="AO67" i="12"/>
  <c r="AO66" i="12"/>
  <c r="AO65" i="12"/>
  <c r="AO64" i="12"/>
  <c r="AO63" i="12"/>
  <c r="AO62" i="12"/>
  <c r="AO61" i="12"/>
  <c r="AO60" i="12"/>
  <c r="AO59" i="12"/>
  <c r="AO58" i="12"/>
  <c r="AO57" i="12"/>
  <c r="FY57" i="12"/>
  <c r="AO56" i="12"/>
  <c r="AO55" i="12"/>
  <c r="AO54" i="12"/>
  <c r="AO53" i="12"/>
  <c r="AO52" i="12"/>
  <c r="AO51" i="12"/>
  <c r="AO50" i="12"/>
  <c r="AO49" i="12"/>
  <c r="AO48" i="12"/>
  <c r="AO47" i="12"/>
  <c r="AO46" i="12"/>
  <c r="AO45" i="12"/>
  <c r="AO44" i="12"/>
  <c r="AO43" i="12"/>
  <c r="AO42" i="12"/>
  <c r="AO41" i="12"/>
  <c r="AO40" i="12"/>
  <c r="AO39" i="12"/>
  <c r="AO38" i="12"/>
  <c r="AO37" i="12"/>
  <c r="AO36" i="12"/>
  <c r="AO35" i="12"/>
  <c r="AO34" i="12"/>
  <c r="AO33" i="12"/>
  <c r="AO32" i="12"/>
  <c r="AO31" i="12"/>
  <c r="FY31" i="12"/>
  <c r="AO30" i="12"/>
  <c r="AO29" i="12"/>
  <c r="G68" i="11"/>
  <c r="H67" i="11"/>
  <c r="G69" i="11"/>
  <c r="H68" i="11"/>
  <c r="L14" i="2" a="1"/>
  <c r="L14" i="2" s="1"/>
  <c r="C50" i="7"/>
  <c r="I8" i="14"/>
  <c r="I8" i="15"/>
  <c r="J3" i="51" s="1"/>
  <c r="C3" i="7"/>
  <c r="U6" i="8"/>
  <c r="X6" i="8"/>
  <c r="U7" i="8"/>
  <c r="X7" i="8"/>
  <c r="U8" i="8"/>
  <c r="X8" i="8"/>
  <c r="U9" i="8"/>
  <c r="X9" i="8"/>
  <c r="U10" i="8"/>
  <c r="X10" i="8"/>
  <c r="U11" i="8"/>
  <c r="X11" i="8"/>
  <c r="U14" i="8"/>
  <c r="X14" i="8"/>
  <c r="U15" i="8"/>
  <c r="X15" i="8"/>
  <c r="U16" i="8"/>
  <c r="X16" i="8"/>
  <c r="U17" i="8"/>
  <c r="X17" i="8"/>
  <c r="U18" i="8"/>
  <c r="X18" i="8"/>
  <c r="U21" i="8"/>
  <c r="X21" i="8"/>
  <c r="U22" i="8"/>
  <c r="X22" i="8"/>
  <c r="U23" i="8"/>
  <c r="X23" i="8"/>
  <c r="U24" i="8"/>
  <c r="X24" i="8"/>
  <c r="C51" i="7"/>
  <c r="G13" i="14"/>
  <c r="F8" i="7" s="1"/>
  <c r="C7" i="4"/>
  <c r="C8" i="4" s="1"/>
  <c r="C10" i="4" s="1"/>
  <c r="C11" i="4" s="1"/>
  <c r="C12" i="4" s="1"/>
  <c r="C13" i="4"/>
  <c r="C14" i="4" s="1"/>
  <c r="C15" i="4" s="1"/>
  <c r="C16" i="4" s="1"/>
  <c r="C18" i="4" s="1"/>
  <c r="C19" i="4"/>
  <c r="C20" i="4" s="1"/>
  <c r="C21" i="4" s="1"/>
  <c r="C22" i="4" s="1"/>
  <c r="C23" i="4" s="1"/>
  <c r="C24" i="4" s="1"/>
  <c r="C25" i="4" s="1"/>
  <c r="C26" i="4" s="1"/>
  <c r="C27" i="4" s="1"/>
  <c r="C28" i="4" s="1"/>
  <c r="C29" i="4" s="1"/>
  <c r="C30" i="4" s="1"/>
  <c r="C32" i="4" s="1"/>
  <c r="C33" i="4" s="1"/>
  <c r="C34" i="4" s="1"/>
  <c r="C35" i="4" s="1"/>
  <c r="C36" i="4" s="1"/>
  <c r="C37" i="4" s="1"/>
  <c r="C38" i="4" s="1"/>
  <c r="C39" i="4" s="1"/>
  <c r="C40" i="4" s="1"/>
  <c r="C41" i="4" s="1"/>
  <c r="C42" i="4" s="1"/>
  <c r="C43" i="4" s="1"/>
  <c r="C44" i="4" s="1"/>
  <c r="C45" i="4" s="1"/>
  <c r="C47" i="4" s="1"/>
  <c r="C48" i="4" s="1"/>
  <c r="C49" i="4" s="1"/>
  <c r="C50" i="4" s="1"/>
  <c r="C51" i="4" s="1"/>
  <c r="C52" i="4" s="1"/>
  <c r="C54" i="4" s="1"/>
  <c r="C55" i="4" s="1"/>
  <c r="C56" i="4" s="1"/>
  <c r="C57" i="4" s="1"/>
  <c r="C58" i="4" s="1"/>
  <c r="C59" i="4" s="1"/>
  <c r="C60" i="4" s="1"/>
  <c r="C61" i="4" s="1"/>
  <c r="C62" i="4" s="1"/>
  <c r="C63" i="4" s="1"/>
  <c r="C64" i="4" s="1"/>
  <c r="C65" i="4" s="1"/>
  <c r="C66" i="4" s="1"/>
  <c r="C67" i="4" s="1"/>
  <c r="C68" i="4" s="1"/>
  <c r="C69" i="4" s="1"/>
  <c r="C70" i="4" s="1"/>
  <c r="C72" i="4" s="1"/>
  <c r="C73" i="4" s="1"/>
  <c r="C74" i="4" s="1"/>
  <c r="C76" i="4" s="1"/>
  <c r="C77" i="4" s="1"/>
  <c r="C78" i="4" s="1"/>
  <c r="C79" i="4" s="1"/>
  <c r="C80" i="4" s="1"/>
  <c r="C81" i="4" s="1"/>
  <c r="C82" i="4" s="1"/>
  <c r="C83" i="4" s="1"/>
  <c r="C84" i="4" s="1"/>
  <c r="C85" i="4" s="1"/>
  <c r="C86" i="4" s="1"/>
  <c r="C87" i="4" s="1"/>
  <c r="C88" i="4" s="1"/>
  <c r="C89" i="4" s="1"/>
  <c r="C90" i="4" s="1"/>
  <c r="C91" i="4" s="1"/>
  <c r="C92" i="4" s="1"/>
  <c r="C93" i="4" s="1"/>
  <c r="C94" i="4" s="1"/>
  <c r="C95" i="4" s="1"/>
  <c r="C96" i="4" s="1"/>
  <c r="C97" i="4" s="1"/>
  <c r="C98" i="4" s="1"/>
  <c r="C100" i="4" s="1"/>
  <c r="C101" i="4" s="1"/>
  <c r="C102" i="4" s="1"/>
  <c r="C103" i="4" s="1"/>
  <c r="C104" i="4" s="1"/>
  <c r="C106" i="4" s="1"/>
  <c r="C107" i="4" s="1"/>
  <c r="C108" i="4" s="1"/>
  <c r="C109" i="4" s="1"/>
  <c r="C110" i="4" s="1"/>
  <c r="C111" i="4" s="1"/>
  <c r="C112" i="4" s="1"/>
  <c r="C113" i="4" s="1"/>
  <c r="C114" i="4" s="1"/>
  <c r="C115" i="4" s="1"/>
  <c r="C116" i="4" s="1"/>
  <c r="C117" i="4" s="1"/>
  <c r="C118" i="4" s="1"/>
  <c r="C119" i="4" s="1"/>
  <c r="C120" i="4" s="1"/>
  <c r="C121" i="4" s="1"/>
  <c r="C123" i="4" s="1"/>
  <c r="C124" i="4" s="1"/>
  <c r="C125" i="4" s="1"/>
  <c r="C126" i="4" s="1"/>
  <c r="C127" i="4" s="1"/>
  <c r="C128" i="4" s="1"/>
  <c r="C129" i="4" s="1"/>
  <c r="C130" i="4" s="1"/>
  <c r="C131" i="4" s="1"/>
  <c r="C132" i="4" s="1"/>
  <c r="C133" i="4" s="1"/>
  <c r="C134" i="4" s="1"/>
  <c r="C135" i="4" s="1"/>
  <c r="C136" i="4" s="1"/>
  <c r="C137" i="4" s="1"/>
  <c r="C138" i="4" s="1"/>
  <c r="C139" i="4" s="1"/>
  <c r="C140" i="4" s="1"/>
  <c r="C141" i="4" s="1"/>
  <c r="C142" i="4" s="1"/>
  <c r="C143" i="4" s="1"/>
  <c r="C144" i="4" s="1"/>
  <c r="C146" i="4" s="1"/>
  <c r="C147" i="4" s="1"/>
  <c r="C148" i="4" s="1"/>
  <c r="C149" i="4" s="1"/>
  <c r="C150" i="4" s="1"/>
  <c r="C151" i="4" s="1"/>
  <c r="C152" i="4" s="1"/>
  <c r="C153" i="4" s="1"/>
  <c r="C154" i="4" s="1"/>
  <c r="C155" i="4" s="1"/>
  <c r="C156" i="4" s="1"/>
  <c r="C157" i="4" s="1"/>
  <c r="C158" i="4" s="1"/>
  <c r="C159" i="4" s="1"/>
  <c r="C160" i="4" s="1"/>
  <c r="C162" i="4" s="1"/>
  <c r="C163" i="4" s="1"/>
  <c r="C164" i="4" s="1"/>
  <c r="C165" i="4" s="1"/>
  <c r="C166" i="4" s="1"/>
  <c r="C167" i="4" s="1"/>
  <c r="C168" i="4" s="1"/>
  <c r="C169" i="4" s="1"/>
  <c r="C170" i="4" s="1"/>
  <c r="C172" i="4" s="1"/>
  <c r="C173" i="4" s="1"/>
  <c r="C174" i="4" s="1"/>
  <c r="C175" i="4" s="1"/>
  <c r="C176" i="4" s="1"/>
  <c r="C177" i="4" s="1"/>
  <c r="C178" i="4" s="1"/>
  <c r="C179" i="4" s="1"/>
  <c r="C180" i="4" s="1"/>
  <c r="C181" i="4" s="1"/>
  <c r="C182" i="4" s="1"/>
  <c r="C183" i="4" s="1"/>
  <c r="C184" i="4" s="1"/>
  <c r="C185" i="4" s="1"/>
  <c r="C186" i="4" s="1"/>
  <c r="C187" i="4" s="1"/>
  <c r="C188" i="4" s="1"/>
  <c r="C189" i="4" s="1"/>
  <c r="C190" i="4" s="1"/>
  <c r="C191" i="4" s="1"/>
  <c r="C193" i="4" s="1"/>
  <c r="C194" i="4" s="1"/>
  <c r="C195" i="4" s="1"/>
  <c r="C196" i="4" s="1"/>
  <c r="C197" i="4" s="1"/>
  <c r="C198" i="4" s="1"/>
  <c r="C199" i="4" s="1"/>
  <c r="C200" i="4" s="1"/>
  <c r="C201" i="4" s="1"/>
  <c r="C202" i="4" s="1"/>
  <c r="C203" i="4" s="1"/>
  <c r="C204" i="4" s="1"/>
  <c r="C205" i="4" s="1"/>
  <c r="C206" i="4" s="1"/>
  <c r="C207" i="4" s="1"/>
  <c r="C208" i="4" s="1"/>
  <c r="C209" i="4" s="1"/>
  <c r="C210" i="4" s="1"/>
  <c r="C211" i="4" s="1"/>
  <c r="C212" i="4" s="1"/>
  <c r="C213" i="4" s="1"/>
  <c r="C214" i="4" s="1"/>
  <c r="C215" i="4" s="1"/>
  <c r="C217" i="4" s="1"/>
  <c r="C218" i="4" s="1"/>
  <c r="C219" i="4" s="1"/>
  <c r="C220" i="4" s="1"/>
  <c r="C221" i="4" s="1"/>
  <c r="C222" i="4" s="1"/>
  <c r="C224" i="4" s="1"/>
  <c r="C225" i="4" s="1"/>
  <c r="C226" i="4" s="1"/>
  <c r="C227" i="4" s="1"/>
  <c r="C228" i="4" s="1"/>
  <c r="C229" i="4" s="1"/>
  <c r="C230" i="4" s="1"/>
  <c r="C231" i="4" s="1"/>
  <c r="C232" i="4" s="1"/>
  <c r="C233" i="4" s="1"/>
  <c r="C234" i="4" s="1"/>
  <c r="C235" i="4" s="1"/>
  <c r="C236" i="4" s="1"/>
  <c r="C237" i="4" s="1"/>
  <c r="C238" i="4" s="1"/>
  <c r="C239" i="4" s="1"/>
  <c r="C240" i="4" s="1"/>
  <c r="C241" i="4" s="1"/>
  <c r="C242" i="4" s="1"/>
  <c r="C243" i="4" s="1"/>
  <c r="C244" i="4" s="1"/>
  <c r="C245" i="4" s="1"/>
  <c r="C246" i="4" s="1"/>
  <c r="C247" i="4" s="1"/>
  <c r="C248" i="4" s="1"/>
  <c r="C249" i="4" s="1"/>
  <c r="C250" i="4" s="1"/>
  <c r="C251" i="4" s="1"/>
  <c r="C252" i="4" s="1"/>
  <c r="C253" i="4" s="1"/>
  <c r="C254" i="4" s="1"/>
  <c r="C255" i="4" s="1"/>
  <c r="C256" i="4" s="1"/>
  <c r="C258" i="4" s="1"/>
  <c r="C259" i="4" s="1"/>
  <c r="C260" i="4" s="1"/>
  <c r="C261" i="4" s="1"/>
  <c r="C262" i="4" s="1"/>
  <c r="C263" i="4" s="1"/>
  <c r="C264" i="4" s="1"/>
  <c r="C265" i="4" s="1"/>
  <c r="C266" i="4" s="1"/>
  <c r="C267" i="4" s="1"/>
  <c r="C268" i="4" s="1"/>
  <c r="C269" i="4" s="1"/>
  <c r="C271" i="4" s="1"/>
  <c r="C272" i="4" s="1"/>
  <c r="C273" i="4" s="1"/>
  <c r="C274" i="4" s="1"/>
  <c r="C275" i="4" s="1"/>
  <c r="C276" i="4" s="1"/>
  <c r="C277" i="4" s="1"/>
  <c r="C278" i="4" s="1"/>
  <c r="C279" i="4" s="1"/>
  <c r="C281" i="4" s="1"/>
  <c r="C282" i="4" s="1"/>
  <c r="C283" i="4" s="1"/>
  <c r="C284" i="4" s="1"/>
  <c r="C285" i="4" s="1"/>
  <c r="C286" i="4" s="1"/>
  <c r="C287" i="4" s="1"/>
  <c r="C288" i="4" s="1"/>
  <c r="C289" i="4" s="1"/>
  <c r="C290" i="4" s="1"/>
  <c r="C291" i="4" s="1"/>
  <c r="C292" i="4" s="1"/>
  <c r="C293" i="4" s="1"/>
  <c r="C294" i="4" s="1"/>
  <c r="C295" i="4" s="1"/>
  <c r="C296" i="4" s="1"/>
  <c r="C297" i="4" s="1"/>
  <c r="C298" i="4" s="1"/>
  <c r="C299" i="4" s="1"/>
  <c r="C300" i="4" s="1"/>
  <c r="C301" i="4" s="1"/>
  <c r="C302" i="4" s="1"/>
  <c r="C303" i="4" s="1"/>
  <c r="C304" i="4" s="1"/>
  <c r="C305" i="4" s="1"/>
  <c r="C306" i="4" s="1"/>
  <c r="C307" i="4" s="1"/>
  <c r="C308" i="4" s="1"/>
  <c r="C309" i="4" s="1"/>
  <c r="C310" i="4" s="1"/>
  <c r="C311" i="4" s="1"/>
  <c r="C312" i="4" s="1"/>
  <c r="C313" i="4" s="1"/>
  <c r="C314" i="4" s="1"/>
  <c r="C315" i="4" s="1"/>
  <c r="C316" i="4" s="1"/>
  <c r="C317" i="4" s="1"/>
  <c r="C318" i="4" s="1"/>
  <c r="C319" i="4" s="1"/>
  <c r="C320" i="4" s="1"/>
  <c r="C321" i="4" s="1"/>
  <c r="C322" i="4" s="1"/>
  <c r="C323" i="4" s="1"/>
  <c r="C324" i="4" s="1"/>
  <c r="C325" i="4" s="1"/>
  <c r="C326" i="4" s="1"/>
  <c r="C327" i="4" s="1"/>
  <c r="C328" i="4" s="1"/>
  <c r="C329" i="4" s="1"/>
  <c r="C330" i="4" s="1"/>
  <c r="C331" i="4" s="1"/>
  <c r="C332" i="4" s="1"/>
  <c r="C333" i="4" s="1"/>
  <c r="C334" i="4" s="1"/>
  <c r="C335" i="4" s="1"/>
  <c r="C336" i="4" s="1"/>
  <c r="C337" i="4" s="1"/>
  <c r="C338" i="4" s="1"/>
  <c r="C339" i="4" s="1"/>
  <c r="C340" i="4" s="1"/>
  <c r="C341" i="4" s="1"/>
  <c r="C342" i="4" s="1"/>
  <c r="C343" i="4" s="1"/>
  <c r="C344" i="4" s="1"/>
  <c r="C345" i="4" s="1"/>
  <c r="C346" i="4" s="1"/>
  <c r="C347" i="4" s="1"/>
  <c r="C348" i="4" s="1"/>
  <c r="C349" i="4" s="1"/>
  <c r="C350" i="4" s="1"/>
  <c r="C351" i="4" s="1"/>
  <c r="C352" i="4" s="1"/>
  <c r="C353" i="4" s="1"/>
  <c r="C354" i="4" s="1"/>
  <c r="C355" i="4" s="1"/>
  <c r="C356" i="4" s="1"/>
  <c r="C357" i="4" s="1"/>
  <c r="C358" i="4" s="1"/>
  <c r="C359" i="4" s="1"/>
  <c r="C360" i="4" s="1"/>
  <c r="C361" i="4" s="1"/>
  <c r="C362" i="4" s="1"/>
  <c r="C363" i="4" s="1"/>
  <c r="C364" i="4" s="1"/>
  <c r="C365" i="4" s="1"/>
  <c r="C366" i="4" s="1"/>
  <c r="C367" i="4" s="1"/>
  <c r="C368" i="4" s="1"/>
  <c r="C369" i="4" s="1"/>
  <c r="C370" i="4" s="1"/>
  <c r="C371" i="4" s="1"/>
  <c r="C372" i="4" s="1"/>
  <c r="C373" i="4" s="1"/>
  <c r="C374" i="4" s="1"/>
  <c r="C375" i="4" s="1"/>
  <c r="C376" i="4" s="1"/>
  <c r="C377" i="4" s="1"/>
  <c r="C378" i="4" s="1"/>
  <c r="C379" i="4" s="1"/>
  <c r="C380" i="4" s="1"/>
  <c r="C381" i="4" s="1"/>
  <c r="C382" i="4" s="1"/>
  <c r="C383" i="4" s="1"/>
  <c r="C384" i="4" s="1"/>
  <c r="C385" i="4" s="1"/>
  <c r="C386" i="4" s="1"/>
  <c r="C387" i="4" s="1"/>
  <c r="C388" i="4" s="1"/>
  <c r="C389" i="4" s="1"/>
  <c r="C390" i="4" s="1"/>
  <c r="C391" i="4" s="1"/>
  <c r="C392" i="4" s="1"/>
  <c r="F13" i="7"/>
  <c r="G13" i="7"/>
  <c r="F14" i="7"/>
  <c r="G14" i="7"/>
  <c r="F15" i="7"/>
  <c r="F16" i="7"/>
  <c r="G16" i="7"/>
  <c r="D45" i="7"/>
  <c r="B11" i="7"/>
  <c r="C45" i="7"/>
  <c r="A5" i="2"/>
  <c r="A6" i="2"/>
  <c r="A7" i="2"/>
  <c r="A10" i="2" s="1"/>
  <c r="A13" i="2"/>
  <c r="B3" i="14"/>
  <c r="H39" i="51"/>
  <c r="G39" i="51"/>
  <c r="G38" i="51"/>
  <c r="C4" i="51"/>
  <c r="C3" i="51"/>
  <c r="EC17" i="12"/>
  <c r="F38" i="17"/>
  <c r="F38" i="51" s="1"/>
  <c r="E50" i="20"/>
  <c r="E48" i="20"/>
  <c r="D12" i="20"/>
  <c r="D48" i="20"/>
  <c r="B48" i="20" s="1"/>
  <c r="D20" i="20"/>
  <c r="G42" i="7"/>
  <c r="GB117" i="12"/>
  <c r="GA117" i="12"/>
  <c r="GB113" i="12"/>
  <c r="GA113" i="12"/>
  <c r="GB112" i="12"/>
  <c r="GA112" i="12"/>
  <c r="GB111" i="12"/>
  <c r="GA111" i="12"/>
  <c r="GB110" i="12"/>
  <c r="GA110" i="12"/>
  <c r="GB109" i="12"/>
  <c r="GA109" i="12"/>
  <c r="GB108" i="12"/>
  <c r="GA108" i="12"/>
  <c r="GB107" i="12"/>
  <c r="GA107" i="12"/>
  <c r="GB106" i="12"/>
  <c r="GA106" i="12"/>
  <c r="GB105" i="12"/>
  <c r="GA105" i="12"/>
  <c r="GB104" i="12"/>
  <c r="GA104" i="12"/>
  <c r="GB103" i="12"/>
  <c r="GA103" i="12"/>
  <c r="GB102" i="12"/>
  <c r="GA102" i="12"/>
  <c r="GB101" i="12"/>
  <c r="GA101" i="12"/>
  <c r="GB100" i="12"/>
  <c r="GA100" i="12"/>
  <c r="GB99" i="12"/>
  <c r="GA99" i="12"/>
  <c r="GB98" i="12"/>
  <c r="GA98" i="12"/>
  <c r="GB97" i="12"/>
  <c r="GA97" i="12"/>
  <c r="GB96" i="12"/>
  <c r="GA96" i="12"/>
  <c r="GB95" i="12"/>
  <c r="GA95" i="12"/>
  <c r="GB94" i="12"/>
  <c r="GA94" i="12"/>
  <c r="GB93" i="12"/>
  <c r="GA93" i="12"/>
  <c r="GB92" i="12"/>
  <c r="GA92" i="12"/>
  <c r="GB91" i="12"/>
  <c r="GA91" i="12"/>
  <c r="GB90" i="12"/>
  <c r="GA90" i="12"/>
  <c r="GB89" i="12"/>
  <c r="GA89" i="12"/>
  <c r="GB88" i="12"/>
  <c r="GA88" i="12"/>
  <c r="GB87" i="12"/>
  <c r="GA87" i="12"/>
  <c r="GB86" i="12"/>
  <c r="GA86" i="12"/>
  <c r="GB85" i="12"/>
  <c r="GA85" i="12"/>
  <c r="GB84" i="12"/>
  <c r="GA84" i="12"/>
  <c r="GB83" i="12"/>
  <c r="GA83" i="12"/>
  <c r="GB82" i="12"/>
  <c r="GA82" i="12"/>
  <c r="GB81" i="12"/>
  <c r="GA81" i="12"/>
  <c r="GB80" i="12"/>
  <c r="GA80" i="12"/>
  <c r="GB79" i="12"/>
  <c r="GA79" i="12"/>
  <c r="GB78" i="12"/>
  <c r="GA78" i="12"/>
  <c r="GB77" i="12"/>
  <c r="GA77" i="12"/>
  <c r="GB76" i="12"/>
  <c r="GA76" i="12"/>
  <c r="GB75" i="12"/>
  <c r="GA75" i="12"/>
  <c r="GB74" i="12"/>
  <c r="GA74" i="12"/>
  <c r="GB73" i="12"/>
  <c r="GA73" i="12"/>
  <c r="GB72" i="12"/>
  <c r="GA72" i="12"/>
  <c r="GB71" i="12"/>
  <c r="GA71" i="12"/>
  <c r="GB70" i="12"/>
  <c r="GA70" i="12"/>
  <c r="GB69" i="12"/>
  <c r="GA69" i="12"/>
  <c r="GB68" i="12"/>
  <c r="GA68" i="12"/>
  <c r="GB67" i="12"/>
  <c r="GA67" i="12"/>
  <c r="GB66" i="12"/>
  <c r="GA66" i="12"/>
  <c r="GB65" i="12"/>
  <c r="GA65" i="12"/>
  <c r="GB64" i="12"/>
  <c r="GA64" i="12"/>
  <c r="GB63" i="12"/>
  <c r="GA63" i="12"/>
  <c r="B3" i="15"/>
  <c r="C11" i="44"/>
  <c r="B11" i="44"/>
  <c r="A11" i="44"/>
  <c r="E5" i="8"/>
  <c r="F5" i="8" s="1"/>
  <c r="F76" i="8"/>
  <c r="G43" i="8" s="1"/>
  <c r="B18" i="20"/>
  <c r="H74" i="8"/>
  <c r="H73" i="8"/>
  <c r="H70" i="8"/>
  <c r="H69" i="8"/>
  <c r="H68" i="8"/>
  <c r="H67" i="8"/>
  <c r="H66" i="8"/>
  <c r="H63" i="8"/>
  <c r="H62" i="8"/>
  <c r="H61" i="8"/>
  <c r="H60" i="8"/>
  <c r="H59" i="8"/>
  <c r="H58" i="8"/>
  <c r="H57" i="8"/>
  <c r="H56" i="8"/>
  <c r="H55" i="8"/>
  <c r="H54" i="8"/>
  <c r="H51" i="8"/>
  <c r="H50" i="8"/>
  <c r="H49" i="8"/>
  <c r="H48" i="8"/>
  <c r="H47" i="8"/>
  <c r="H46" i="8"/>
  <c r="H43" i="8"/>
  <c r="H42" i="8"/>
  <c r="H41" i="8"/>
  <c r="H40" i="8"/>
  <c r="H39" i="8"/>
  <c r="H38" i="8"/>
  <c r="H35" i="8"/>
  <c r="H34" i="8"/>
  <c r="H33" i="8"/>
  <c r="H32" i="8"/>
  <c r="H31" i="8"/>
  <c r="H29" i="8"/>
  <c r="H28" i="8"/>
  <c r="H27" i="8"/>
  <c r="H26" i="8"/>
  <c r="H25" i="8"/>
  <c r="H24" i="8"/>
  <c r="H23" i="8"/>
  <c r="H22" i="8"/>
  <c r="H30" i="8"/>
  <c r="E74" i="8"/>
  <c r="E35" i="8"/>
  <c r="E34" i="8"/>
  <c r="E33" i="8"/>
  <c r="E32" i="8"/>
  <c r="E31" i="8"/>
  <c r="E30" i="8"/>
  <c r="E29" i="8"/>
  <c r="E28" i="8"/>
  <c r="E27" i="8"/>
  <c r="E26" i="8"/>
  <c r="E25" i="8"/>
  <c r="E24" i="8"/>
  <c r="E23" i="8"/>
  <c r="E56" i="8"/>
  <c r="E55" i="8"/>
  <c r="E54" i="8"/>
  <c r="E51" i="8"/>
  <c r="E50" i="8"/>
  <c r="E49" i="8"/>
  <c r="E48" i="8"/>
  <c r="E47" i="8"/>
  <c r="E46" i="8"/>
  <c r="F13" i="8"/>
  <c r="F16" i="8"/>
  <c r="E22" i="8"/>
  <c r="E38" i="8"/>
  <c r="E39" i="8"/>
  <c r="E40" i="8"/>
  <c r="E41" i="8"/>
  <c r="E42" i="8"/>
  <c r="E43" i="8"/>
  <c r="E57" i="8"/>
  <c r="E58" i="8"/>
  <c r="E59" i="8"/>
  <c r="E60" i="8"/>
  <c r="E61" i="8"/>
  <c r="E62" i="8"/>
  <c r="E63" i="8"/>
  <c r="E66" i="8"/>
  <c r="E67" i="8"/>
  <c r="E68" i="8"/>
  <c r="E69" i="8"/>
  <c r="E70" i="8"/>
  <c r="E73" i="8"/>
  <c r="A5" i="22" a="1"/>
  <c r="A5" i="22" s="1"/>
  <c r="A11" i="22"/>
  <c r="A10" i="22"/>
  <c r="B4" i="22"/>
  <c r="H7" i="22"/>
  <c r="G7" i="22"/>
  <c r="C7" i="22"/>
  <c r="F7" i="22"/>
  <c r="E7" i="22"/>
  <c r="D7" i="22"/>
  <c r="A4" i="22"/>
  <c r="F4" i="22"/>
  <c r="G4" i="22"/>
  <c r="H4" i="22"/>
  <c r="G14" i="14"/>
  <c r="G14" i="15"/>
  <c r="G9" i="51" s="1"/>
  <c r="F6" i="7"/>
  <c r="D7" i="20" s="1"/>
  <c r="F4" i="7"/>
  <c r="B4" i="7"/>
  <c r="B3" i="7"/>
  <c r="E44" i="20"/>
  <c r="B6" i="20"/>
  <c r="A6" i="20"/>
  <c r="A5" i="20"/>
  <c r="A4" i="20"/>
  <c r="A3" i="20"/>
  <c r="E3" i="20"/>
  <c r="B5" i="20"/>
  <c r="B4" i="20"/>
  <c r="B3" i="20"/>
  <c r="B38" i="17"/>
  <c r="B38" i="51"/>
  <c r="D38" i="17"/>
  <c r="D38" i="51"/>
  <c r="I38" i="17"/>
  <c r="I38" i="51"/>
  <c r="H37" i="17"/>
  <c r="H37" i="51" s="1"/>
  <c r="G37" i="17"/>
  <c r="G37" i="51" s="1"/>
  <c r="E38" i="17"/>
  <c r="E38" i="51"/>
  <c r="C3" i="17"/>
  <c r="C4" i="17"/>
  <c r="G3" i="15"/>
  <c r="G3" i="17"/>
  <c r="I3" i="14"/>
  <c r="I3" i="15" s="1"/>
  <c r="J3" i="17" s="1"/>
  <c r="G4" i="15"/>
  <c r="I4" i="17"/>
  <c r="G5" i="15"/>
  <c r="I5" i="17" s="1"/>
  <c r="G8" i="15"/>
  <c r="G3" i="51" s="1"/>
  <c r="G9" i="15"/>
  <c r="I4" i="51" s="1"/>
  <c r="G10" i="15"/>
  <c r="I5" i="51" s="1"/>
  <c r="G11" i="15"/>
  <c r="I6" i="51" s="1"/>
  <c r="G12" i="15"/>
  <c r="I7" i="51"/>
  <c r="J9" i="15"/>
  <c r="Q38" i="15"/>
  <c r="AA41" i="15"/>
  <c r="AA42" i="15"/>
  <c r="AA43" i="15"/>
  <c r="AA44" i="15"/>
  <c r="C20" i="14"/>
  <c r="L23" i="14"/>
  <c r="L24" i="14"/>
  <c r="L25" i="14"/>
  <c r="L26" i="14"/>
  <c r="L27" i="14"/>
  <c r="L28" i="14"/>
  <c r="L29" i="14"/>
  <c r="L30" i="14"/>
  <c r="L31" i="14"/>
  <c r="L32" i="14"/>
  <c r="L33" i="14"/>
  <c r="C41" i="14"/>
  <c r="B19" i="11"/>
  <c r="B20" i="11"/>
  <c r="F28" i="11" s="1"/>
  <c r="B21" i="11"/>
  <c r="I2" i="12"/>
  <c r="B22" i="11"/>
  <c r="B23" i="11"/>
  <c r="K2" i="12"/>
  <c r="F3" i="12"/>
  <c r="G3" i="12"/>
  <c r="H3" i="12"/>
  <c r="I3" i="12"/>
  <c r="J3" i="12"/>
  <c r="G8" i="12"/>
  <c r="H8" i="12"/>
  <c r="I8" i="12"/>
  <c r="J8" i="12"/>
  <c r="K8" i="12"/>
  <c r="F9" i="12"/>
  <c r="F10" i="12"/>
  <c r="F11" i="12"/>
  <c r="F12" i="12"/>
  <c r="F13" i="12"/>
  <c r="A15" i="12"/>
  <c r="A16" i="12"/>
  <c r="C50" i="11"/>
  <c r="C49" i="11"/>
  <c r="C48" i="11"/>
  <c r="C47" i="11"/>
  <c r="B32" i="11"/>
  <c r="C26" i="11"/>
  <c r="C27" i="11"/>
  <c r="C28" i="11"/>
  <c r="C29" i="11"/>
  <c r="C30" i="11"/>
  <c r="C56" i="11"/>
  <c r="C57" i="11"/>
  <c r="C58" i="11"/>
  <c r="C59" i="11"/>
  <c r="C51" i="11"/>
  <c r="C60" i="11"/>
  <c r="F73" i="11"/>
  <c r="C4" i="7"/>
  <c r="F11" i="7"/>
  <c r="G11" i="7"/>
  <c r="F25" i="7"/>
  <c r="G25" i="7"/>
  <c r="F26" i="7"/>
  <c r="G26" i="7"/>
  <c r="F27" i="7"/>
  <c r="G27" i="7" s="1"/>
  <c r="F28" i="7"/>
  <c r="G28" i="7" s="1"/>
  <c r="F29" i="7"/>
  <c r="G29" i="7" s="1"/>
  <c r="F30" i="7"/>
  <c r="G30" i="7" s="1"/>
  <c r="F31" i="7"/>
  <c r="G31" i="7" s="1"/>
  <c r="F32" i="7"/>
  <c r="G32" i="7"/>
  <c r="F33" i="7"/>
  <c r="G33" i="7" s="1"/>
  <c r="F34" i="7"/>
  <c r="G34" i="7" s="1"/>
  <c r="F35" i="7"/>
  <c r="G35" i="7" s="1"/>
  <c r="F36" i="7"/>
  <c r="G36" i="7" s="1"/>
  <c r="F37" i="7"/>
  <c r="G37" i="7"/>
  <c r="F38" i="7"/>
  <c r="G38" i="7"/>
  <c r="F39" i="7"/>
  <c r="G39" i="7" s="1"/>
  <c r="C6" i="5"/>
  <c r="C7" i="5" s="1"/>
  <c r="C8" i="5" s="1"/>
  <c r="C9" i="5" s="1"/>
  <c r="C10" i="5"/>
  <c r="C11" i="5" s="1"/>
  <c r="C12" i="5" s="1"/>
  <c r="C13" i="5" s="1"/>
  <c r="C14" i="5" s="1"/>
  <c r="C15" i="5" s="1"/>
  <c r="C16" i="5" s="1"/>
  <c r="C17" i="5" s="1"/>
  <c r="C18" i="5" s="1"/>
  <c r="C19" i="5" s="1"/>
  <c r="C20" i="5" s="1"/>
  <c r="C21" i="5" s="1"/>
  <c r="C22" i="5" s="1"/>
  <c r="C23" i="5" s="1"/>
  <c r="C24" i="5" s="1"/>
  <c r="C25" i="5" s="1"/>
  <c r="C26" i="5" s="1"/>
  <c r="C27" i="5" s="1"/>
  <c r="C28" i="5" s="1"/>
  <c r="C29" i="5" s="1"/>
  <c r="C30" i="5" s="1"/>
  <c r="C31" i="5" s="1"/>
  <c r="C32" i="5" s="1"/>
  <c r="C33" i="5" s="1"/>
  <c r="C34" i="5" s="1"/>
  <c r="C35" i="5" s="1"/>
  <c r="C36" i="5" s="1"/>
  <c r="C38" i="5" s="1"/>
  <c r="C39" i="5" s="1"/>
  <c r="C40" i="5" s="1"/>
  <c r="C41" i="5" s="1"/>
  <c r="C42" i="5" s="1"/>
  <c r="C43" i="5" s="1"/>
  <c r="C44" i="5" s="1"/>
  <c r="C45" i="5" s="1"/>
  <c r="C46" i="5" s="1"/>
  <c r="C47" i="5" s="1"/>
  <c r="C48" i="5" s="1"/>
  <c r="C49" i="5" s="1"/>
  <c r="C50" i="5" s="1"/>
  <c r="C51" i="5" s="1"/>
  <c r="C52" i="5" s="1"/>
  <c r="C53" i="5" s="1"/>
  <c r="C54" i="5" s="1"/>
  <c r="C55" i="5" s="1"/>
  <c r="C57" i="5" s="1"/>
  <c r="C58" i="5" s="1"/>
  <c r="C59" i="5" s="1"/>
  <c r="C60" i="5" s="1"/>
  <c r="C61" i="5" s="1"/>
  <c r="C62" i="5" s="1"/>
  <c r="C63" i="5" s="1"/>
  <c r="C64" i="5" s="1"/>
  <c r="C65" i="5" s="1"/>
  <c r="C66" i="5" s="1"/>
  <c r="C67" i="5" s="1"/>
  <c r="C68" i="5" s="1"/>
  <c r="C69" i="5" s="1"/>
  <c r="C70" i="5" s="1"/>
  <c r="C71" i="5" s="1"/>
  <c r="C72" i="5" s="1"/>
  <c r="C73" i="5" s="1"/>
  <c r="C74" i="5" s="1"/>
  <c r="C75" i="5" s="1"/>
  <c r="C76" i="5" s="1"/>
  <c r="C77" i="5" s="1"/>
  <c r="C78" i="5" s="1"/>
  <c r="C79" i="5" s="1"/>
  <c r="C80" i="5" s="1"/>
  <c r="C81" i="5" s="1"/>
  <c r="C82" i="5" s="1"/>
  <c r="C83" i="5" s="1"/>
  <c r="C84" i="5" s="1"/>
  <c r="C85" i="5" s="1"/>
  <c r="C87" i="5" s="1"/>
  <c r="C88" i="5" s="1"/>
  <c r="C89" i="5" s="1"/>
  <c r="C90" i="5" s="1"/>
  <c r="C91" i="5" s="1"/>
  <c r="C92" i="5" s="1"/>
  <c r="C93" i="5" s="1"/>
  <c r="C94" i="5" s="1"/>
  <c r="C95" i="5" s="1"/>
  <c r="C96" i="5" s="1"/>
  <c r="C97" i="5" s="1"/>
  <c r="C98" i="5" s="1"/>
  <c r="C99" i="5" s="1"/>
  <c r="C100" i="5" s="1"/>
  <c r="C101" i="5" s="1"/>
  <c r="C102" i="5" s="1"/>
  <c r="C103" i="5" s="1"/>
  <c r="C104" i="5" s="1"/>
  <c r="C105" i="5" s="1"/>
  <c r="C106" i="5" s="1"/>
  <c r="C107" i="5" s="1"/>
  <c r="C108" i="5" s="1"/>
  <c r="C109" i="5" s="1"/>
  <c r="C110" i="5" s="1"/>
  <c r="C112" i="5" s="1"/>
  <c r="C113" i="5" s="1"/>
  <c r="C114" i="5" s="1"/>
  <c r="C115" i="5" s="1"/>
  <c r="C116" i="5" s="1"/>
  <c r="C117" i="5" s="1"/>
  <c r="C118" i="5" s="1"/>
  <c r="C119" i="5" s="1"/>
  <c r="C120" i="5" s="1"/>
  <c r="C121" i="5" s="1"/>
  <c r="C122" i="5" s="1"/>
  <c r="C123" i="5" s="1"/>
  <c r="C124" i="5" s="1"/>
  <c r="C125" i="5" s="1"/>
  <c r="C127" i="5" s="1"/>
  <c r="C128" i="5" s="1"/>
  <c r="C129" i="5" s="1"/>
  <c r="C130" i="5" s="1"/>
  <c r="C131" i="5" s="1"/>
  <c r="C132" i="5" s="1"/>
  <c r="C133" i="5" s="1"/>
  <c r="C134" i="5" s="1"/>
  <c r="C135" i="5" s="1"/>
  <c r="C137" i="5" s="1"/>
  <c r="C138" i="5" s="1"/>
  <c r="C139" i="5" s="1"/>
  <c r="C140" i="5" s="1"/>
  <c r="C141" i="5" s="1"/>
  <c r="C142" i="5" s="1"/>
  <c r="C143" i="5" s="1"/>
  <c r="C144" i="5" s="1"/>
  <c r="C145" i="5" s="1"/>
  <c r="C146" i="5" s="1"/>
  <c r="C147" i="5" s="1"/>
  <c r="C148" i="5" s="1"/>
  <c r="C149" i="5" s="1"/>
  <c r="C150" i="5" s="1"/>
  <c r="C151" i="5" s="1"/>
  <c r="C152" i="5" s="1"/>
  <c r="C153" i="5" s="1"/>
  <c r="C154" i="5" s="1"/>
  <c r="C155" i="5" s="1"/>
  <c r="C156" i="5" s="1"/>
  <c r="C158" i="5" s="1"/>
  <c r="C159" i="5" s="1"/>
  <c r="C160" i="5" s="1"/>
  <c r="C161" i="5" s="1"/>
  <c r="C162" i="5" s="1"/>
  <c r="C163" i="5" s="1"/>
  <c r="C164" i="5" s="1"/>
  <c r="C165" i="5" s="1"/>
  <c r="C166" i="5" s="1"/>
  <c r="C167" i="5" s="1"/>
  <c r="C168" i="5" s="1"/>
  <c r="C169" i="5" s="1"/>
  <c r="C170" i="5" s="1"/>
  <c r="C171" i="5" s="1"/>
  <c r="C172" i="5" s="1"/>
  <c r="C173" i="5" s="1"/>
  <c r="C174" i="5" s="1"/>
  <c r="C175" i="5" s="1"/>
  <c r="C176" i="5" s="1"/>
  <c r="C177" i="5" s="1"/>
  <c r="C178" i="5" s="1"/>
  <c r="C179" i="5" s="1"/>
  <c r="C180" i="5" s="1"/>
  <c r="C182" i="5" s="1"/>
  <c r="C183" i="5" s="1"/>
  <c r="C184" i="5" s="1"/>
  <c r="C185" i="5" s="1"/>
  <c r="C186" i="5" s="1"/>
  <c r="C187" i="5" s="1"/>
  <c r="C188" i="5" s="1"/>
  <c r="C189" i="5" s="1"/>
  <c r="C191" i="5" s="1"/>
  <c r="C192" i="5" s="1"/>
  <c r="C193" i="5" s="1"/>
  <c r="C194" i="5" s="1"/>
  <c r="C195" i="5" s="1"/>
  <c r="C196" i="5" s="1"/>
  <c r="C197" i="5" s="1"/>
  <c r="C198" i="5" s="1"/>
  <c r="C199" i="5" s="1"/>
  <c r="C200" i="5" s="1"/>
  <c r="C201" i="5" s="1"/>
  <c r="C202" i="5" s="1"/>
  <c r="C203" i="5" s="1"/>
  <c r="C204" i="5" s="1"/>
  <c r="C205" i="5" s="1"/>
  <c r="C206" i="5" s="1"/>
  <c r="C207" i="5" s="1"/>
  <c r="C208" i="5" s="1"/>
  <c r="C209" i="5" s="1"/>
  <c r="C211" i="5" s="1"/>
  <c r="C212" i="5" s="1"/>
  <c r="C213" i="5" s="1"/>
  <c r="C214" i="5" s="1"/>
  <c r="C215" i="5" s="1"/>
  <c r="C216" i="5" s="1"/>
  <c r="C217" i="5" s="1"/>
  <c r="C218" i="5" s="1"/>
  <c r="C219" i="5" s="1"/>
  <c r="C220" i="5" s="1"/>
  <c r="C222" i="5" s="1"/>
  <c r="C223" i="5" s="1"/>
  <c r="C224" i="5" s="1"/>
  <c r="C225" i="5" s="1"/>
  <c r="C226" i="5" s="1"/>
  <c r="C227" i="5" s="1"/>
  <c r="C228" i="5" s="1"/>
  <c r="C229" i="5" s="1"/>
  <c r="C230" i="5" s="1"/>
  <c r="C232" i="5" s="1"/>
  <c r="C233" i="5" s="1"/>
  <c r="C234" i="5" s="1"/>
  <c r="C235" i="5" s="1"/>
  <c r="C236" i="5" s="1"/>
  <c r="C237" i="5" s="1"/>
  <c r="C238" i="5" s="1"/>
  <c r="C239" i="5" s="1"/>
  <c r="C240" i="5" s="1"/>
  <c r="C241" i="5" s="1"/>
  <c r="C242" i="5" s="1"/>
  <c r="C243" i="5" s="1"/>
  <c r="C244" i="5" s="1"/>
  <c r="C245" i="5" s="1"/>
  <c r="C247" i="5" s="1"/>
  <c r="C248" i="5" s="1"/>
  <c r="C249" i="5" s="1"/>
  <c r="C250" i="5" s="1"/>
  <c r="C251" i="5" s="1"/>
  <c r="C252" i="5" s="1"/>
  <c r="C253" i="5" s="1"/>
  <c r="C254" i="5" s="1"/>
  <c r="C255" i="5" s="1"/>
  <c r="C256" i="5" s="1"/>
  <c r="C257" i="5" s="1"/>
  <c r="C258" i="5" s="1"/>
  <c r="C259" i="5" s="1"/>
  <c r="C260" i="5" s="1"/>
  <c r="C261" i="5" s="1"/>
  <c r="C262" i="5" s="1"/>
  <c r="C263" i="5" s="1"/>
  <c r="C264" i="5" s="1"/>
  <c r="C265" i="5" s="1"/>
  <c r="C266" i="5" s="1"/>
  <c r="C267" i="5" s="1"/>
  <c r="C268" i="5" s="1"/>
  <c r="C269" i="5" s="1"/>
  <c r="C270" i="5" s="1"/>
  <c r="C271" i="5" s="1"/>
  <c r="C272" i="5" s="1"/>
  <c r="C273" i="5" s="1"/>
  <c r="C274" i="5" s="1"/>
  <c r="C275" i="5" s="1"/>
  <c r="C276" i="5" s="1"/>
  <c r="C277" i="5" s="1"/>
  <c r="C278" i="5" s="1"/>
  <c r="C279" i="5" s="1"/>
  <c r="C280" i="5" s="1"/>
  <c r="C281" i="5" s="1"/>
  <c r="C282" i="5" s="1"/>
  <c r="C283" i="5" s="1"/>
  <c r="C284" i="5" s="1"/>
  <c r="C285" i="5" s="1"/>
  <c r="C286" i="5" s="1"/>
  <c r="C287" i="5" s="1"/>
  <c r="C288" i="5" s="1"/>
  <c r="C289" i="5" s="1"/>
  <c r="C290" i="5" s="1"/>
  <c r="C291" i="5" s="1"/>
  <c r="C292" i="5" s="1"/>
  <c r="C293" i="5" s="1"/>
  <c r="C294" i="5" s="1"/>
  <c r="C295" i="5" s="1"/>
  <c r="C296" i="5" s="1"/>
  <c r="C297" i="5" s="1"/>
  <c r="C298" i="5" s="1"/>
  <c r="C299" i="5" s="1"/>
  <c r="C300" i="5" s="1"/>
  <c r="C301" i="5" s="1"/>
  <c r="C302" i="5" s="1"/>
  <c r="C303" i="5" s="1"/>
  <c r="C305" i="5" s="1"/>
  <c r="C306" i="5" s="1"/>
  <c r="C307" i="5" s="1"/>
  <c r="C308" i="5" s="1"/>
  <c r="C309" i="5" s="1"/>
  <c r="C310" i="5" s="1"/>
  <c r="C311" i="5" s="1"/>
  <c r="C312" i="5" s="1"/>
  <c r="C313" i="5" s="1"/>
  <c r="C314" i="5" s="1"/>
  <c r="C315" i="5" s="1"/>
  <c r="C316" i="5" s="1"/>
  <c r="C317" i="5" s="1"/>
  <c r="C318" i="5" s="1"/>
  <c r="C319" i="5" s="1"/>
  <c r="C320" i="5" s="1"/>
  <c r="C321" i="5" s="1"/>
  <c r="C322" i="5" s="1"/>
  <c r="C323" i="5" s="1"/>
  <c r="C324" i="5" s="1"/>
  <c r="C325" i="5" s="1"/>
  <c r="C326" i="5" s="1"/>
  <c r="C327" i="5" s="1"/>
  <c r="C328" i="5" s="1"/>
  <c r="C329" i="5" s="1"/>
  <c r="C330" i="5" s="1"/>
  <c r="C331" i="5" s="1"/>
  <c r="C332" i="5" s="1"/>
  <c r="C333" i="5" s="1"/>
  <c r="C334" i="5" s="1"/>
  <c r="C335" i="5" s="1"/>
  <c r="C336" i="5" s="1"/>
  <c r="C337" i="5" s="1"/>
  <c r="C338" i="5" s="1"/>
  <c r="C339" i="5" s="1"/>
  <c r="C340" i="5" s="1"/>
  <c r="C341" i="5" s="1"/>
  <c r="C342" i="5" s="1"/>
  <c r="C343" i="5" s="1"/>
  <c r="C344" i="5" s="1"/>
  <c r="C345" i="5" s="1"/>
  <c r="C346" i="5" s="1"/>
  <c r="C348" i="5" s="1"/>
  <c r="C349" i="5" s="1"/>
  <c r="C350" i="5" s="1"/>
  <c r="C351" i="5" s="1"/>
  <c r="C352" i="5" s="1"/>
  <c r="C353" i="5" s="1"/>
  <c r="C354" i="5" s="1"/>
  <c r="C355" i="5" s="1"/>
  <c r="C356" i="5" s="1"/>
  <c r="C357" i="5" s="1"/>
  <c r="C358" i="5" s="1"/>
  <c r="C359" i="5" s="1"/>
  <c r="C360" i="5" s="1"/>
  <c r="C361" i="5" s="1"/>
  <c r="C362" i="5" s="1"/>
  <c r="C363" i="5" s="1"/>
  <c r="C364" i="5" s="1"/>
  <c r="C365" i="5" s="1"/>
  <c r="C366" i="5" s="1"/>
  <c r="C367" i="5" s="1"/>
  <c r="E6" i="20"/>
  <c r="B19" i="20"/>
  <c r="B20" i="20"/>
  <c r="GB30" i="12"/>
  <c r="GA29" i="12"/>
  <c r="GB29" i="12"/>
  <c r="GA30" i="12"/>
  <c r="GB32" i="12"/>
  <c r="GA31" i="12"/>
  <c r="GB31" i="12"/>
  <c r="GA32" i="12"/>
  <c r="GB33" i="12"/>
  <c r="GA33" i="12"/>
  <c r="GA34" i="12"/>
  <c r="GB34" i="12"/>
  <c r="GB36" i="12"/>
  <c r="GA35" i="12"/>
  <c r="GB35" i="12"/>
  <c r="GA36" i="12"/>
  <c r="GB38" i="12"/>
  <c r="GB37" i="12"/>
  <c r="GA37" i="12"/>
  <c r="GB39" i="12"/>
  <c r="GA38" i="12"/>
  <c r="GB40" i="12"/>
  <c r="GA39" i="12"/>
  <c r="GB41" i="12"/>
  <c r="GA40" i="12"/>
  <c r="GA41" i="12"/>
  <c r="GB43" i="12"/>
  <c r="GB42" i="12"/>
  <c r="GA42" i="12"/>
  <c r="GB44" i="12"/>
  <c r="GA43" i="12"/>
  <c r="GB45" i="12"/>
  <c r="GA44" i="12"/>
  <c r="GB46" i="12"/>
  <c r="GA45" i="12"/>
  <c r="GA46" i="12"/>
  <c r="GB48" i="12"/>
  <c r="GA47" i="12"/>
  <c r="GB47" i="12"/>
  <c r="GB49" i="12"/>
  <c r="GA48" i="12"/>
  <c r="GB50" i="12"/>
  <c r="GA49" i="12"/>
  <c r="GB51" i="12"/>
  <c r="GA50" i="12"/>
  <c r="GB52" i="12"/>
  <c r="GA51" i="12"/>
  <c r="GB53" i="12"/>
  <c r="GA52" i="12"/>
  <c r="GB54" i="12"/>
  <c r="GA53" i="12"/>
  <c r="GB55" i="12"/>
  <c r="GA54" i="12"/>
  <c r="GB56" i="12"/>
  <c r="GA55" i="12"/>
  <c r="GB57" i="12"/>
  <c r="GA56" i="12"/>
  <c r="GB58" i="12"/>
  <c r="GA57" i="12"/>
  <c r="GB59" i="12"/>
  <c r="GA58" i="12"/>
  <c r="GB60" i="12"/>
  <c r="GA59" i="12"/>
  <c r="GB61" i="12"/>
  <c r="GA60" i="12"/>
  <c r="GB62" i="12"/>
  <c r="GA61" i="12"/>
  <c r="GA62" i="12"/>
  <c r="F40" i="7"/>
  <c r="G40" i="7" s="1"/>
  <c r="F41" i="7"/>
  <c r="G41" i="7" s="1"/>
  <c r="G63" i="8"/>
  <c r="G34" i="8"/>
  <c r="G49" i="8"/>
  <c r="G25" i="8"/>
  <c r="F56" i="11"/>
  <c r="G47" i="7"/>
  <c r="FW19" i="12"/>
  <c r="G23" i="8"/>
  <c r="G30" i="8"/>
  <c r="G27" i="8"/>
  <c r="G35" i="8"/>
  <c r="G46" i="8"/>
  <c r="GB28" i="12"/>
  <c r="Q1" i="12"/>
  <c r="AO28" i="12"/>
  <c r="GA28" i="12"/>
  <c r="FY97" i="12"/>
  <c r="FY73" i="12"/>
  <c r="AK22" i="12"/>
  <c r="G59" i="8"/>
  <c r="G54" i="8"/>
  <c r="G39" i="8"/>
  <c r="B56" i="11"/>
  <c r="AK25" i="12"/>
  <c r="B47" i="11"/>
  <c r="F4" i="12"/>
  <c r="F47" i="11"/>
  <c r="AK91" i="12"/>
  <c r="G67" i="8"/>
  <c r="AK62" i="12"/>
  <c r="F51" i="11"/>
  <c r="B51" i="11"/>
  <c r="D9" i="20"/>
  <c r="AQ49" i="12"/>
  <c r="AS49" i="12"/>
  <c r="AK27" i="12"/>
  <c r="AP103" i="12"/>
  <c r="AR103" i="12"/>
  <c r="AP73" i="12"/>
  <c r="AR73" i="12" s="1"/>
  <c r="AP67" i="12"/>
  <c r="AR67" i="12"/>
  <c r="AK76" i="12"/>
  <c r="AQ76" i="12"/>
  <c r="AS76" i="12"/>
  <c r="AP82" i="12"/>
  <c r="AR82" i="12"/>
  <c r="FY53" i="12"/>
  <c r="FY29" i="12"/>
  <c r="FZ66" i="12"/>
  <c r="FZ29" i="12"/>
  <c r="FZ112" i="12"/>
  <c r="FZ88" i="12"/>
  <c r="FZ52" i="12"/>
  <c r="FZ63" i="12"/>
  <c r="FZ102" i="12"/>
  <c r="FZ110" i="12"/>
  <c r="V29" i="8" a="1"/>
  <c r="V29" i="8" s="1"/>
  <c r="V30" i="8" s="1"/>
  <c r="F79" i="8" a="1"/>
  <c r="F79" i="8" s="1"/>
  <c r="D88" i="14"/>
  <c r="Q9" i="15"/>
  <c r="D90" i="14"/>
  <c r="H90" i="14" s="1"/>
  <c r="D102" i="14"/>
  <c r="FZ24" i="12"/>
  <c r="AO24" i="12"/>
  <c r="FZ22" i="12"/>
  <c r="AO23" i="12"/>
  <c r="GB20" i="12"/>
  <c r="GA19" i="12"/>
  <c r="AO20" i="12"/>
  <c r="FZ27" i="12"/>
  <c r="FZ21" i="12"/>
  <c r="AO22" i="12"/>
  <c r="FY23" i="12"/>
  <c r="FZ20" i="12"/>
  <c r="FZ25" i="12"/>
  <c r="FZ26" i="12"/>
  <c r="FY20" i="12"/>
  <c r="FY21" i="12"/>
  <c r="FY27" i="12"/>
  <c r="GB22" i="12"/>
  <c r="GB19" i="12"/>
  <c r="FY26" i="12"/>
  <c r="P1" i="12"/>
  <c r="U1" i="12"/>
  <c r="GB26" i="12"/>
  <c r="GA21" i="12"/>
  <c r="AO26" i="12"/>
  <c r="FZ23" i="12"/>
  <c r="R1" i="12"/>
  <c r="W1" i="12"/>
  <c r="GB24" i="12"/>
  <c r="GB23" i="12"/>
  <c r="GB21" i="12"/>
  <c r="FY22" i="12"/>
  <c r="AO21" i="12"/>
  <c r="GA26" i="12"/>
  <c r="GA25" i="12"/>
  <c r="AO19" i="12"/>
  <c r="GA24" i="12"/>
  <c r="FZ19" i="12"/>
  <c r="S1" i="12"/>
  <c r="FY19" i="12"/>
  <c r="FY49" i="12"/>
  <c r="AN69" i="12"/>
  <c r="AN66" i="12"/>
  <c r="AK98" i="12"/>
  <c r="AK19" i="12"/>
  <c r="AN31" i="12"/>
  <c r="AN32" i="12"/>
  <c r="AN30" i="12"/>
  <c r="AK28" i="12"/>
  <c r="AP86" i="12"/>
  <c r="AR86" i="12" s="1"/>
  <c r="AK21" i="12"/>
  <c r="AK104" i="12"/>
  <c r="AK107" i="12"/>
  <c r="AN20" i="12"/>
  <c r="AO9" i="12"/>
  <c r="AK50" i="12"/>
  <c r="AN29" i="12"/>
  <c r="AK47" i="12"/>
  <c r="AK81" i="12"/>
  <c r="AK95" i="12"/>
  <c r="AK51" i="12"/>
  <c r="AK106" i="12"/>
  <c r="AN79" i="12"/>
  <c r="AK85" i="12"/>
  <c r="AN18" i="12"/>
  <c r="AK103" i="12"/>
  <c r="AN108" i="12"/>
  <c r="AN34" i="12"/>
  <c r="AK80" i="12"/>
  <c r="AN72" i="12"/>
  <c r="FY82" i="12"/>
  <c r="AN82" i="12"/>
  <c r="FZ96" i="12"/>
  <c r="AN96" i="12"/>
  <c r="FY74" i="12"/>
  <c r="AN74" i="12"/>
  <c r="AN101" i="12"/>
  <c r="AP50" i="12"/>
  <c r="AR50" i="12"/>
  <c r="AK33" i="12"/>
  <c r="AN100" i="12"/>
  <c r="AK49" i="12"/>
  <c r="AK52" i="12"/>
  <c r="AN99" i="12"/>
  <c r="F60" i="11"/>
  <c r="G57" i="8"/>
  <c r="AK48" i="12"/>
  <c r="AK70" i="12"/>
  <c r="B60" i="11"/>
  <c r="N4" i="12"/>
  <c r="AP75" i="12"/>
  <c r="AR75" i="12"/>
  <c r="AK101" i="12"/>
  <c r="AK45" i="12"/>
  <c r="G69" i="8"/>
  <c r="AK68" i="12"/>
  <c r="AN117" i="12"/>
  <c r="AK73" i="12"/>
  <c r="I11" i="14"/>
  <c r="AN86" i="12"/>
  <c r="AN85" i="12"/>
  <c r="AN112" i="12"/>
  <c r="AK96" i="12"/>
  <c r="AN68" i="12"/>
  <c r="AN114" i="12"/>
  <c r="AN113" i="12"/>
  <c r="AN81" i="12"/>
  <c r="AN80" i="12"/>
  <c r="AN107" i="12"/>
  <c r="D99" i="14"/>
  <c r="G22" i="8"/>
  <c r="G33" i="8"/>
  <c r="FX19" i="12"/>
  <c r="AN106" i="12"/>
  <c r="F67" i="11"/>
  <c r="F75" i="11" s="1"/>
  <c r="AL10" i="12"/>
  <c r="AO10" i="12" s="1"/>
  <c r="G26" i="8"/>
  <c r="AN104" i="12"/>
  <c r="AK41" i="12"/>
  <c r="Q8" i="15"/>
  <c r="AK89" i="12"/>
  <c r="AN95" i="12"/>
  <c r="AK99" i="12"/>
  <c r="F9" i="7"/>
  <c r="AK58" i="12"/>
  <c r="AK54" i="12"/>
  <c r="F26" i="11"/>
  <c r="AN102" i="12"/>
  <c r="AP11" i="12"/>
  <c r="AS11" i="12"/>
  <c r="AO11" i="12"/>
  <c r="FX20" i="12"/>
  <c r="FW20" i="12"/>
  <c r="A21" i="12"/>
  <c r="AN57" i="12"/>
  <c r="FZ57" i="12"/>
  <c r="AN62" i="12"/>
  <c r="FY62" i="12"/>
  <c r="D49" i="20"/>
  <c r="D52" i="20"/>
  <c r="FY63" i="12"/>
  <c r="AN63" i="12"/>
  <c r="AQ93" i="12"/>
  <c r="AS93" i="12"/>
  <c r="AK93" i="12"/>
  <c r="AN97" i="12"/>
  <c r="FZ97" i="12"/>
  <c r="AN64" i="12"/>
  <c r="AN105" i="12"/>
  <c r="AN41" i="12"/>
  <c r="FY65" i="12"/>
  <c r="AN65" i="12"/>
  <c r="AP20" i="12"/>
  <c r="AR20" i="12"/>
  <c r="FY71" i="12"/>
  <c r="AN71" i="12"/>
  <c r="AP108" i="12"/>
  <c r="AR108" i="12" s="1"/>
  <c r="AK108" i="12"/>
  <c r="AP39" i="12"/>
  <c r="AR39" i="12" s="1"/>
  <c r="AK39" i="12"/>
  <c r="AP61" i="12"/>
  <c r="AR61" i="12"/>
  <c r="AK61" i="12"/>
  <c r="FY89" i="12"/>
  <c r="AN89" i="12"/>
  <c r="AN98" i="12"/>
  <c r="AK82" i="12"/>
  <c r="AQ82" i="12"/>
  <c r="AS82" i="12"/>
  <c r="AN59" i="12"/>
  <c r="G47" i="8"/>
  <c r="AN40" i="12"/>
  <c r="AK55" i="12"/>
  <c r="F29" i="11"/>
  <c r="FY114" i="12"/>
  <c r="G62" i="8"/>
  <c r="AK37" i="12"/>
  <c r="AK87" i="12"/>
  <c r="FY34" i="12"/>
  <c r="G41" i="8"/>
  <c r="AK67" i="12"/>
  <c r="AN35" i="12"/>
  <c r="AK29" i="12"/>
  <c r="B48" i="11"/>
  <c r="G29" i="8"/>
  <c r="AK35" i="12"/>
  <c r="AK26" i="12"/>
  <c r="AN55" i="12"/>
  <c r="AK102" i="12"/>
  <c r="D46" i="7"/>
  <c r="D50" i="7" s="1"/>
  <c r="I4" i="14" s="1"/>
  <c r="AN28" i="12"/>
  <c r="G38" i="8"/>
  <c r="H2" i="12"/>
  <c r="G42" i="8"/>
  <c r="AK97" i="12"/>
  <c r="AN54" i="12"/>
  <c r="AN53" i="12"/>
  <c r="AN36" i="12"/>
  <c r="G74" i="8"/>
  <c r="AK56" i="12"/>
  <c r="G50" i="8"/>
  <c r="G66" i="8"/>
  <c r="AN50" i="12"/>
  <c r="AK90" i="12"/>
  <c r="AK71" i="12"/>
  <c r="AK24" i="12"/>
  <c r="B57" i="11"/>
  <c r="G55" i="8"/>
  <c r="G31" i="8"/>
  <c r="G40" i="8"/>
  <c r="G24" i="8"/>
  <c r="B58" i="11"/>
  <c r="AN90" i="12"/>
  <c r="AN88" i="12"/>
  <c r="AK116" i="12"/>
  <c r="AK59" i="12"/>
  <c r="G61" i="8"/>
  <c r="FZ32" i="12"/>
  <c r="AN39" i="12"/>
  <c r="G70" i="8"/>
  <c r="G58" i="8"/>
  <c r="G68" i="8"/>
  <c r="G28" i="8"/>
  <c r="AN48" i="12"/>
  <c r="G60" i="8"/>
  <c r="G51" i="8"/>
  <c r="D40" i="20"/>
  <c r="AP106" i="12"/>
  <c r="AR106" i="12"/>
  <c r="AN44" i="12"/>
  <c r="FY113" i="12"/>
  <c r="AN67" i="12"/>
  <c r="AN75" i="12"/>
  <c r="AK115" i="12"/>
  <c r="F48" i="11"/>
  <c r="G73" i="8"/>
  <c r="F9" i="8"/>
  <c r="G32" i="8"/>
  <c r="G56" i="8"/>
  <c r="AK65" i="12"/>
  <c r="G48" i="8"/>
  <c r="FZ58" i="12"/>
  <c r="AN58" i="12"/>
  <c r="FY92" i="12"/>
  <c r="AN92" i="12"/>
  <c r="AQ32" i="12"/>
  <c r="AS32" i="12" s="1"/>
  <c r="AK32" i="12"/>
  <c r="H102" i="14"/>
  <c r="F102" i="14" s="1"/>
  <c r="FR61" i="12" s="1"/>
  <c r="AQ44" i="12"/>
  <c r="AS44" i="12"/>
  <c r="AK44" i="12"/>
  <c r="W14" i="8"/>
  <c r="W11" i="8"/>
  <c r="W18" i="8"/>
  <c r="W6" i="8"/>
  <c r="W7" i="8"/>
  <c r="W24" i="8"/>
  <c r="W15" i="8"/>
  <c r="W21" i="8"/>
  <c r="W17" i="8"/>
  <c r="W22" i="8"/>
  <c r="W8" i="8"/>
  <c r="W10" i="8"/>
  <c r="W9" i="8"/>
  <c r="W16" i="8"/>
  <c r="W23" i="8"/>
  <c r="FY42" i="12"/>
  <c r="AN42" i="12"/>
  <c r="FY43" i="12"/>
  <c r="AN43" i="12"/>
  <c r="AK31" i="12"/>
  <c r="AQ31" i="12"/>
  <c r="AS31" i="12"/>
  <c r="O13" i="12"/>
  <c r="O11" i="12"/>
  <c r="O10" i="12"/>
  <c r="F69" i="11"/>
  <c r="F77" i="11" s="1"/>
  <c r="AL12" i="12" s="1"/>
  <c r="F59" i="11"/>
  <c r="L4" i="12"/>
  <c r="B50" i="11"/>
  <c r="B59" i="11"/>
  <c r="F50" i="11"/>
  <c r="Q24" i="15"/>
  <c r="H88" i="14"/>
  <c r="F88" i="14"/>
  <c r="FD87" i="12" s="1"/>
  <c r="FZ87" i="12"/>
  <c r="AN87" i="12"/>
  <c r="FZ56" i="12"/>
  <c r="AN56" i="12"/>
  <c r="H98" i="14"/>
  <c r="F98" i="14"/>
  <c r="FN97" i="12"/>
  <c r="I11" i="15"/>
  <c r="J6" i="51" s="1"/>
  <c r="AM88" i="12"/>
  <c r="AM85" i="12"/>
  <c r="AM79" i="12"/>
  <c r="AM97" i="12"/>
  <c r="AM62" i="12"/>
  <c r="AM96" i="12"/>
  <c r="FY78" i="12"/>
  <c r="AN78" i="12"/>
  <c r="FZ91" i="12"/>
  <c r="AN91" i="12"/>
  <c r="AK92" i="12"/>
  <c r="AQ92" i="12"/>
  <c r="AS92" i="12"/>
  <c r="FZ83" i="12"/>
  <c r="AN83" i="12"/>
  <c r="AN94" i="12"/>
  <c r="FY94" i="12"/>
  <c r="FY70" i="12"/>
  <c r="AN70" i="12"/>
  <c r="FY46" i="12"/>
  <c r="AN46" i="12"/>
  <c r="AN77" i="12"/>
  <c r="FY77" i="12"/>
  <c r="D103" i="14"/>
  <c r="C4" i="12"/>
  <c r="D105" i="14"/>
  <c r="D93" i="14"/>
  <c r="D87" i="14"/>
  <c r="D94" i="14"/>
  <c r="D91" i="14"/>
  <c r="D97" i="14"/>
  <c r="D100" i="14"/>
  <c r="D95" i="14"/>
  <c r="D101" i="14"/>
  <c r="D104" i="14"/>
  <c r="D106" i="14"/>
  <c r="D92" i="14"/>
  <c r="D86" i="14"/>
  <c r="D89" i="14"/>
  <c r="D96" i="14"/>
  <c r="AN47" i="12"/>
  <c r="FZ47" i="12"/>
  <c r="AK34" i="12"/>
  <c r="AP34" i="12"/>
  <c r="AR34" i="12"/>
  <c r="A35" i="2"/>
  <c r="F30" i="11"/>
  <c r="J2" i="12"/>
  <c r="AN45" i="12"/>
  <c r="FY45" i="12"/>
  <c r="AQ66" i="12"/>
  <c r="AS66" i="12" s="1"/>
  <c r="AK66" i="12"/>
  <c r="AQ64" i="12"/>
  <c r="AS64" i="12" s="1"/>
  <c r="AK64" i="12"/>
  <c r="AK117" i="12"/>
  <c r="AP117" i="12"/>
  <c r="AR117" i="12"/>
  <c r="AP77" i="12"/>
  <c r="AR77" i="12"/>
  <c r="AK77" i="12"/>
  <c r="AQ52" i="12"/>
  <c r="AS52" i="12" s="1"/>
  <c r="AQ40" i="12"/>
  <c r="AS40" i="12" s="1"/>
  <c r="AK40" i="12"/>
  <c r="AP53" i="12"/>
  <c r="AR53" i="12"/>
  <c r="AK53" i="12"/>
  <c r="AK111" i="12"/>
  <c r="AP111" i="12"/>
  <c r="AR111" i="12"/>
  <c r="AK30" i="12"/>
  <c r="AP30" i="12"/>
  <c r="AR30" i="12" s="1"/>
  <c r="N11" i="12"/>
  <c r="AP109" i="12"/>
  <c r="AR109" i="12" s="1"/>
  <c r="AK109" i="12"/>
  <c r="AK94" i="12"/>
  <c r="AP94" i="12"/>
  <c r="AR94" i="12" s="1"/>
  <c r="AN115" i="12"/>
  <c r="FY115" i="12"/>
  <c r="AP58" i="12"/>
  <c r="AR58" i="12"/>
  <c r="AQ113" i="12"/>
  <c r="AS113" i="12"/>
  <c r="AK113" i="12"/>
  <c r="AP57" i="12"/>
  <c r="AR57" i="12"/>
  <c r="AK57" i="12"/>
  <c r="F27" i="11"/>
  <c r="G2" i="12"/>
  <c r="AK84" i="12"/>
  <c r="AQ84" i="12"/>
  <c r="AS84" i="12" s="1"/>
  <c r="J4" i="12"/>
  <c r="B49" i="11"/>
  <c r="F58" i="11"/>
  <c r="F49" i="11"/>
  <c r="FY38" i="12"/>
  <c r="AN38" i="12"/>
  <c r="AP74" i="12"/>
  <c r="AR74" i="12"/>
  <c r="AQ72" i="12"/>
  <c r="AS72" i="12"/>
  <c r="AK72" i="12"/>
  <c r="AQ36" i="12"/>
  <c r="AS36" i="12" s="1"/>
  <c r="AK36" i="12"/>
  <c r="AK60" i="12"/>
  <c r="AP60" i="12"/>
  <c r="AR60" i="12"/>
  <c r="AQ23" i="12"/>
  <c r="AS23" i="12"/>
  <c r="AK23" i="12"/>
  <c r="AP112" i="12"/>
  <c r="AR112" i="12"/>
  <c r="AK112" i="12"/>
  <c r="FZ61" i="12"/>
  <c r="AN61" i="12"/>
  <c r="AP69" i="12"/>
  <c r="AR69" i="12" s="1"/>
  <c r="AK69" i="12"/>
  <c r="AQ114" i="12"/>
  <c r="AS114" i="12"/>
  <c r="AK114" i="12"/>
  <c r="AP79" i="12"/>
  <c r="AR79" i="12" s="1"/>
  <c r="AK79" i="12"/>
  <c r="AQ100" i="12"/>
  <c r="AS100" i="12" s="1"/>
  <c r="AK100" i="12"/>
  <c r="AK46" i="12"/>
  <c r="AK63" i="12"/>
  <c r="O12" i="12"/>
  <c r="AK18" i="12"/>
  <c r="AN60" i="12"/>
  <c r="AP105" i="12"/>
  <c r="AR105" i="12"/>
  <c r="FY93" i="12"/>
  <c r="AN93" i="12"/>
  <c r="AN111" i="12"/>
  <c r="AN33" i="12"/>
  <c r="FY33" i="12"/>
  <c r="AN37" i="12"/>
  <c r="AN110" i="12"/>
  <c r="FY110" i="12"/>
  <c r="D41" i="20"/>
  <c r="FY116" i="12"/>
  <c r="AN116" i="12"/>
  <c r="FY76" i="12"/>
  <c r="AN76" i="12"/>
  <c r="FY103" i="12"/>
  <c r="AN103" i="12"/>
  <c r="AN73" i="12"/>
  <c r="AP88" i="12"/>
  <c r="AR88" i="12" s="1"/>
  <c r="AK88" i="12"/>
  <c r="AP78" i="12"/>
  <c r="AR78" i="12"/>
  <c r="AK78" i="12"/>
  <c r="FY36" i="12"/>
  <c r="AK20" i="12"/>
  <c r="AN51" i="12"/>
  <c r="AN109" i="12"/>
  <c r="AN21" i="12"/>
  <c r="AN22" i="12"/>
  <c r="AN25" i="12"/>
  <c r="AN27" i="12"/>
  <c r="AN26" i="12"/>
  <c r="FY24" i="12"/>
  <c r="AN24" i="12"/>
  <c r="V1" i="12"/>
  <c r="AN23" i="12"/>
  <c r="X1" i="12"/>
  <c r="FY25" i="12"/>
  <c r="AN19" i="12"/>
  <c r="G102" i="14"/>
  <c r="AP10" i="12"/>
  <c r="AM18" i="12"/>
  <c r="AM29" i="12"/>
  <c r="AM31" i="12"/>
  <c r="AM28" i="12"/>
  <c r="AM75" i="12"/>
  <c r="AM82" i="12"/>
  <c r="AM58" i="12"/>
  <c r="AM25" i="12"/>
  <c r="AM60" i="12"/>
  <c r="AM33" i="12"/>
  <c r="AM47" i="12"/>
  <c r="AM38" i="12"/>
  <c r="AM113" i="12"/>
  <c r="AM94" i="12"/>
  <c r="AM84" i="12"/>
  <c r="AM49" i="12"/>
  <c r="AM70" i="12"/>
  <c r="AM92" i="12"/>
  <c r="AM41" i="12"/>
  <c r="AM23" i="12"/>
  <c r="AM83" i="12"/>
  <c r="AM21" i="12"/>
  <c r="AM99" i="12"/>
  <c r="AM24" i="12"/>
  <c r="AM103" i="12"/>
  <c r="AM93" i="12"/>
  <c r="A22" i="12"/>
  <c r="FW21" i="12"/>
  <c r="FX21" i="12"/>
  <c r="FR74" i="12"/>
  <c r="B4" i="12"/>
  <c r="FD47" i="12"/>
  <c r="FD68" i="12"/>
  <c r="FD99" i="12"/>
  <c r="FD83" i="12"/>
  <c r="FD56" i="12"/>
  <c r="FD86" i="12"/>
  <c r="FD109" i="12"/>
  <c r="FD49" i="12"/>
  <c r="FD37" i="12"/>
  <c r="FD92" i="12"/>
  <c r="FD116" i="12"/>
  <c r="FD32" i="12"/>
  <c r="FD53" i="12"/>
  <c r="FD98" i="12"/>
  <c r="FD69" i="12"/>
  <c r="FD54" i="12"/>
  <c r="FD94" i="12"/>
  <c r="FD108" i="12"/>
  <c r="FD111" i="12"/>
  <c r="FD61" i="12"/>
  <c r="FD96" i="12"/>
  <c r="FD64" i="12"/>
  <c r="FD36" i="12"/>
  <c r="FD35" i="12"/>
  <c r="FD84" i="12"/>
  <c r="FD40" i="12"/>
  <c r="FD70" i="12"/>
  <c r="D45" i="14"/>
  <c r="FD75" i="12"/>
  <c r="FD29" i="12"/>
  <c r="FD100" i="12"/>
  <c r="FD39" i="12"/>
  <c r="FD106" i="12"/>
  <c r="FD45" i="12"/>
  <c r="FD76" i="12"/>
  <c r="FD102" i="12"/>
  <c r="FD19" i="12"/>
  <c r="FD79" i="12"/>
  <c r="FD48" i="12"/>
  <c r="FD23" i="12"/>
  <c r="FD59" i="12"/>
  <c r="FD27" i="12"/>
  <c r="FD52" i="12"/>
  <c r="FD72" i="12"/>
  <c r="FD110" i="12"/>
  <c r="FD115" i="12"/>
  <c r="FD66" i="12"/>
  <c r="FD34" i="12"/>
  <c r="FD81" i="12"/>
  <c r="FD85" i="12"/>
  <c r="FD88" i="12"/>
  <c r="FD90" i="12"/>
  <c r="FD22" i="12"/>
  <c r="FD50" i="12"/>
  <c r="FD113" i="12"/>
  <c r="FD41" i="12"/>
  <c r="H92" i="14"/>
  <c r="F92" i="14" s="1"/>
  <c r="FR79" i="12"/>
  <c r="FR86" i="12"/>
  <c r="FR81" i="12"/>
  <c r="FR91" i="12"/>
  <c r="FR25" i="12"/>
  <c r="FR55" i="12"/>
  <c r="FR80" i="12"/>
  <c r="FR104" i="12"/>
  <c r="FR34" i="12"/>
  <c r="FR58" i="12"/>
  <c r="FR26" i="12"/>
  <c r="FR69" i="12"/>
  <c r="FR77" i="12"/>
  <c r="FR22" i="12"/>
  <c r="FR30" i="12"/>
  <c r="D52" i="14"/>
  <c r="FR20" i="12"/>
  <c r="FR52" i="12"/>
  <c r="FR88" i="12"/>
  <c r="FR83" i="12"/>
  <c r="FR89" i="12"/>
  <c r="FR112" i="12"/>
  <c r="FR44" i="12"/>
  <c r="FR95" i="12"/>
  <c r="FR117" i="12"/>
  <c r="FR23" i="12"/>
  <c r="FR49" i="12"/>
  <c r="FR71" i="12"/>
  <c r="FR29" i="12"/>
  <c r="FR50" i="12"/>
  <c r="FR94" i="12"/>
  <c r="FR28" i="12"/>
  <c r="FR56" i="12"/>
  <c r="FR100" i="12"/>
  <c r="FR46" i="12"/>
  <c r="FR93" i="12"/>
  <c r="FR45" i="12"/>
  <c r="FR38" i="12"/>
  <c r="FR63" i="12"/>
  <c r="FR33" i="12"/>
  <c r="FR47" i="12"/>
  <c r="FR92" i="12"/>
  <c r="FR54" i="12"/>
  <c r="FR102" i="12"/>
  <c r="FR67" i="12"/>
  <c r="FR114" i="12"/>
  <c r="FR70" i="12"/>
  <c r="FR53" i="12"/>
  <c r="FR24" i="12"/>
  <c r="FR72" i="12"/>
  <c r="FR115" i="12"/>
  <c r="FR51" i="12"/>
  <c r="FR98" i="12"/>
  <c r="FR32" i="12"/>
  <c r="FR110" i="12"/>
  <c r="FR73" i="12"/>
  <c r="FR116" i="12"/>
  <c r="FR64" i="12"/>
  <c r="FR75" i="12"/>
  <c r="FR42" i="12"/>
  <c r="FR105" i="12"/>
  <c r="FR108" i="12"/>
  <c r="FR97" i="12"/>
  <c r="FR19" i="12"/>
  <c r="FR62" i="12"/>
  <c r="FR43" i="12"/>
  <c r="FR113" i="12"/>
  <c r="FR66" i="12"/>
  <c r="FR103" i="12"/>
  <c r="FR27" i="12"/>
  <c r="FR39" i="12"/>
  <c r="FR48" i="12"/>
  <c r="FR57" i="12"/>
  <c r="FR41" i="12"/>
  <c r="FR106" i="12"/>
  <c r="FR18" i="12"/>
  <c r="FR36" i="12"/>
  <c r="FR90" i="12"/>
  <c r="FR68" i="12"/>
  <c r="FR78" i="12"/>
  <c r="FR84" i="12"/>
  <c r="FR87" i="12"/>
  <c r="FR96" i="12"/>
  <c r="FR99" i="12"/>
  <c r="FR111" i="12"/>
  <c r="FR59" i="12"/>
  <c r="FR101" i="12"/>
  <c r="FR65" i="12"/>
  <c r="FR35" i="12"/>
  <c r="FR76" i="12"/>
  <c r="H100" i="14"/>
  <c r="F100" i="14" s="1"/>
  <c r="FN25" i="12"/>
  <c r="H86" i="14"/>
  <c r="F86" i="14" s="1"/>
  <c r="H97" i="14"/>
  <c r="F97" i="14"/>
  <c r="G97" i="14" s="1"/>
  <c r="H103" i="14"/>
  <c r="F103" i="14"/>
  <c r="I12" i="14"/>
  <c r="H96" i="14"/>
  <c r="F96" i="14"/>
  <c r="G96" i="14" s="1"/>
  <c r="H101" i="14"/>
  <c r="F101" i="14"/>
  <c r="G101" i="14" s="1"/>
  <c r="H95" i="14"/>
  <c r="F95" i="14"/>
  <c r="H91" i="14"/>
  <c r="F91" i="14"/>
  <c r="H106" i="14"/>
  <c r="F106" i="14" s="1"/>
  <c r="G106" i="14" s="1"/>
  <c r="H104" i="14"/>
  <c r="F104" i="14" s="1"/>
  <c r="AS10" i="12"/>
  <c r="H94" i="14"/>
  <c r="F94" i="14"/>
  <c r="H87" i="14"/>
  <c r="F87" i="14" s="1"/>
  <c r="FC39" i="12" s="1"/>
  <c r="FN20" i="12"/>
  <c r="FN66" i="12"/>
  <c r="FN106" i="12"/>
  <c r="FN92" i="12"/>
  <c r="FN50" i="12"/>
  <c r="FN88" i="12"/>
  <c r="FN102" i="12"/>
  <c r="FN31" i="12"/>
  <c r="FN27" i="12"/>
  <c r="FN90" i="12"/>
  <c r="FN22" i="12"/>
  <c r="FN53" i="12"/>
  <c r="FN114" i="12"/>
  <c r="FN33" i="12"/>
  <c r="FN47" i="12"/>
  <c r="FN28" i="12"/>
  <c r="FN54" i="12"/>
  <c r="FN45" i="12"/>
  <c r="FN59" i="12"/>
  <c r="FN80" i="12"/>
  <c r="FN39" i="12"/>
  <c r="FN62" i="12"/>
  <c r="FN99" i="12"/>
  <c r="FN55" i="12"/>
  <c r="FN85" i="12"/>
  <c r="FN111" i="12"/>
  <c r="FN18" i="12"/>
  <c r="FN30" i="12"/>
  <c r="FN79" i="12"/>
  <c r="FN95" i="12"/>
  <c r="FN23" i="12"/>
  <c r="FN42" i="12"/>
  <c r="FN70" i="12"/>
  <c r="FN107" i="12"/>
  <c r="FN40" i="12"/>
  <c r="FN77" i="12"/>
  <c r="FN109" i="12"/>
  <c r="FN89" i="12"/>
  <c r="FN65" i="12"/>
  <c r="FN76" i="12"/>
  <c r="FN71" i="12"/>
  <c r="FN81" i="12"/>
  <c r="FN21" i="12"/>
  <c r="FN60" i="12"/>
  <c r="FN105" i="12"/>
  <c r="FN29" i="12"/>
  <c r="FN56" i="12"/>
  <c r="FN108" i="12"/>
  <c r="FN52" i="12"/>
  <c r="FN96" i="12"/>
  <c r="FN44" i="12"/>
  <c r="FN101" i="12"/>
  <c r="FN68" i="12"/>
  <c r="FN83" i="12"/>
  <c r="FN38" i="12"/>
  <c r="D50" i="14"/>
  <c r="FN72" i="12"/>
  <c r="FN117" i="12"/>
  <c r="FN32" i="12"/>
  <c r="FN82" i="12"/>
  <c r="FN34" i="12"/>
  <c r="FN103" i="12"/>
  <c r="FN63" i="12"/>
  <c r="FN91" i="12"/>
  <c r="FN75" i="12"/>
  <c r="FN19" i="12"/>
  <c r="FN84" i="12"/>
  <c r="FN43" i="12"/>
  <c r="FN87" i="12"/>
  <c r="FN46" i="12"/>
  <c r="FN93" i="12"/>
  <c r="FN74" i="12"/>
  <c r="FN69" i="12"/>
  <c r="FN51" i="12"/>
  <c r="FN94" i="12"/>
  <c r="G98" i="14"/>
  <c r="FN73" i="12"/>
  <c r="FN78" i="12"/>
  <c r="FN115" i="12"/>
  <c r="FN48" i="12"/>
  <c r="FN26" i="12"/>
  <c r="FN35" i="12"/>
  <c r="FN37" i="12"/>
  <c r="FN49" i="12"/>
  <c r="FN36" i="12"/>
  <c r="FN24" i="12"/>
  <c r="FN41" i="12"/>
  <c r="FN58" i="12"/>
  <c r="FN61" i="12"/>
  <c r="FN57" i="12"/>
  <c r="FN98" i="12"/>
  <c r="FN112" i="12"/>
  <c r="FN104" i="12"/>
  <c r="FN100" i="12"/>
  <c r="FN110" i="12"/>
  <c r="FN113" i="12"/>
  <c r="FN64" i="12"/>
  <c r="FN67" i="12"/>
  <c r="FN86" i="12"/>
  <c r="FN116" i="12"/>
  <c r="Q25" i="15"/>
  <c r="H105" i="14"/>
  <c r="F105" i="14" s="1"/>
  <c r="I78" i="11"/>
  <c r="I77" i="11"/>
  <c r="I74" i="11"/>
  <c r="AQ9" i="12"/>
  <c r="I75" i="11"/>
  <c r="I76" i="11"/>
  <c r="H93" i="14"/>
  <c r="F93" i="14"/>
  <c r="G93" i="14" s="1"/>
  <c r="FR37" i="12"/>
  <c r="AP12" i="12"/>
  <c r="AS12" i="12" s="1"/>
  <c r="AO12" i="12"/>
  <c r="FR85" i="12"/>
  <c r="H89" i="14"/>
  <c r="F89" i="14"/>
  <c r="FR109" i="12"/>
  <c r="FX22" i="12"/>
  <c r="A23" i="12"/>
  <c r="FW22" i="12"/>
  <c r="G77" i="11"/>
  <c r="G75" i="11"/>
  <c r="G74" i="11"/>
  <c r="AM9" i="12"/>
  <c r="G78" i="11"/>
  <c r="G76" i="11"/>
  <c r="AL25" i="12"/>
  <c r="AL116" i="12"/>
  <c r="AL69" i="12"/>
  <c r="AL64" i="12"/>
  <c r="AL54" i="12"/>
  <c r="AL24" i="12"/>
  <c r="AL43" i="12"/>
  <c r="AL102" i="12"/>
  <c r="AL38" i="12"/>
  <c r="AL18" i="12"/>
  <c r="AL106" i="12"/>
  <c r="AL22" i="12"/>
  <c r="AL103" i="12"/>
  <c r="AL28" i="12"/>
  <c r="AL30" i="12"/>
  <c r="AL26" i="12"/>
  <c r="AL90" i="12"/>
  <c r="FS30" i="12"/>
  <c r="FS82" i="12"/>
  <c r="FS35" i="12"/>
  <c r="FB107" i="12"/>
  <c r="EZ107" i="12" s="1"/>
  <c r="FS107" i="12"/>
  <c r="FS72" i="12"/>
  <c r="FS41" i="12"/>
  <c r="FS97" i="12"/>
  <c r="FB34" i="12"/>
  <c r="FS34" i="12"/>
  <c r="EZ34" i="12"/>
  <c r="FS94" i="12"/>
  <c r="FS23" i="12"/>
  <c r="FS45" i="12"/>
  <c r="FB51" i="12"/>
  <c r="EZ51" i="12" s="1"/>
  <c r="FS51" i="12"/>
  <c r="FS114" i="12"/>
  <c r="FS56" i="12"/>
  <c r="FS49" i="12"/>
  <c r="FB62" i="12"/>
  <c r="FS62" i="12"/>
  <c r="EZ62" i="12"/>
  <c r="FS91" i="12"/>
  <c r="FS85" i="12"/>
  <c r="FS40" i="12"/>
  <c r="FB98" i="12"/>
  <c r="EZ98" i="12" s="1"/>
  <c r="FS98" i="12"/>
  <c r="FS71" i="12"/>
  <c r="FS48" i="12"/>
  <c r="FS109" i="12"/>
  <c r="FB87" i="12"/>
  <c r="FS87" i="12"/>
  <c r="EZ87" i="12"/>
  <c r="FS58" i="12"/>
  <c r="FS22" i="12"/>
  <c r="FS81" i="12"/>
  <c r="FB115" i="12"/>
  <c r="EZ115" i="12" s="1"/>
  <c r="FS115" i="12"/>
  <c r="FS92" i="12"/>
  <c r="FS64" i="12"/>
  <c r="FS66" i="12"/>
  <c r="FB31" i="12"/>
  <c r="FS31" i="12"/>
  <c r="EZ31" i="12"/>
  <c r="FS69" i="12"/>
  <c r="FS105" i="12"/>
  <c r="FS74" i="12"/>
  <c r="FB59" i="12"/>
  <c r="EZ59" i="12" s="1"/>
  <c r="FS59" i="12"/>
  <c r="FS89" i="12"/>
  <c r="FS78" i="12"/>
  <c r="FS67" i="12"/>
  <c r="FB113" i="12"/>
  <c r="FS113" i="12"/>
  <c r="EZ113" i="12"/>
  <c r="FS20" i="12"/>
  <c r="FS80" i="12"/>
  <c r="FS93" i="12"/>
  <c r="FS25" i="12"/>
  <c r="FS104" i="12"/>
  <c r="FS24" i="12"/>
  <c r="FS112" i="12"/>
  <c r="FS106" i="12"/>
  <c r="FS103" i="12"/>
  <c r="FS32" i="12"/>
  <c r="FS61" i="12"/>
  <c r="FS77" i="12"/>
  <c r="FS102" i="12"/>
  <c r="FS110" i="12"/>
  <c r="FS117" i="12"/>
  <c r="FS18" i="12"/>
  <c r="FS73" i="12"/>
  <c r="FS21" i="12"/>
  <c r="FS68" i="12"/>
  <c r="FS39" i="12"/>
  <c r="FS96" i="12"/>
  <c r="FS75" i="12"/>
  <c r="FS47" i="12"/>
  <c r="FS88" i="12"/>
  <c r="FS79" i="12"/>
  <c r="FS42" i="12"/>
  <c r="FS54" i="12"/>
  <c r="FS19" i="12"/>
  <c r="FS29" i="12"/>
  <c r="FS84" i="12"/>
  <c r="FS111" i="12"/>
  <c r="FS43" i="12"/>
  <c r="FS55" i="12"/>
  <c r="FS53" i="12"/>
  <c r="FS83" i="12"/>
  <c r="FS101" i="12"/>
  <c r="FS26" i="12"/>
  <c r="FS33" i="12"/>
  <c r="FS38" i="12"/>
  <c r="FS36" i="12"/>
  <c r="FS99" i="12"/>
  <c r="FS46" i="12"/>
  <c r="FS44" i="12"/>
  <c r="FS76" i="12"/>
  <c r="FS27" i="12"/>
  <c r="FS108" i="12"/>
  <c r="FS50" i="12"/>
  <c r="FS37" i="12"/>
  <c r="FS57" i="12"/>
  <c r="FS95" i="12"/>
  <c r="FS60" i="12"/>
  <c r="FS116" i="12"/>
  <c r="FS65" i="12"/>
  <c r="FS86" i="12"/>
  <c r="FS63" i="12"/>
  <c r="FS90" i="12"/>
  <c r="FS70" i="12"/>
  <c r="FS100" i="12"/>
  <c r="FS52" i="12"/>
  <c r="FS28" i="12"/>
  <c r="FC22" i="12"/>
  <c r="FC19" i="12"/>
  <c r="FC47" i="12"/>
  <c r="FC110" i="12"/>
  <c r="FC108" i="12"/>
  <c r="FC75" i="12"/>
  <c r="FC117" i="12"/>
  <c r="G103" i="14"/>
  <c r="FE57" i="12"/>
  <c r="FE100" i="12"/>
  <c r="FE50" i="12"/>
  <c r="FE99" i="12"/>
  <c r="FE27" i="12"/>
  <c r="FE95" i="12"/>
  <c r="FE41" i="12"/>
  <c r="FE104" i="12"/>
  <c r="FE105" i="12"/>
  <c r="FE38" i="12"/>
  <c r="FE20" i="12"/>
  <c r="FE34" i="12"/>
  <c r="FE77" i="12"/>
  <c r="FE49" i="12"/>
  <c r="FE76" i="12"/>
  <c r="FE81" i="12"/>
  <c r="FE24" i="12"/>
  <c r="FE74" i="12"/>
  <c r="FE116" i="12"/>
  <c r="FE44" i="12"/>
  <c r="FE75" i="12"/>
  <c r="FE85" i="12"/>
  <c r="FE113" i="12"/>
  <c r="FE33" i="12"/>
  <c r="FE37" i="12"/>
  <c r="FE61" i="12"/>
  <c r="FJ30" i="12"/>
  <c r="FJ53" i="12"/>
  <c r="FJ57" i="12"/>
  <c r="FJ104" i="12"/>
  <c r="FJ96" i="12"/>
  <c r="FJ44" i="12"/>
  <c r="FJ54" i="12"/>
  <c r="FJ86" i="12"/>
  <c r="FJ100" i="12"/>
  <c r="FJ47" i="12"/>
  <c r="FJ55" i="12"/>
  <c r="FJ103" i="12"/>
  <c r="FJ19" i="12"/>
  <c r="FJ48" i="12"/>
  <c r="FJ110" i="12"/>
  <c r="FJ24" i="12"/>
  <c r="FJ28" i="12"/>
  <c r="FJ92" i="12"/>
  <c r="FJ111" i="12"/>
  <c r="FJ25" i="12"/>
  <c r="FJ51" i="12"/>
  <c r="FJ95" i="12"/>
  <c r="FJ116" i="12"/>
  <c r="FJ42" i="12"/>
  <c r="FJ68" i="12"/>
  <c r="FJ106" i="12"/>
  <c r="FJ36" i="12"/>
  <c r="FJ72" i="12"/>
  <c r="FJ97" i="12"/>
  <c r="FJ115" i="12"/>
  <c r="FJ38" i="12"/>
  <c r="FJ75" i="12"/>
  <c r="FJ71" i="12"/>
  <c r="FJ114" i="12"/>
  <c r="FJ78" i="12"/>
  <c r="FJ91" i="12"/>
  <c r="FJ18" i="12"/>
  <c r="FJ33" i="12"/>
  <c r="FJ67" i="12"/>
  <c r="FJ88" i="12"/>
  <c r="FJ35" i="12"/>
  <c r="FJ73" i="12"/>
  <c r="FJ93" i="12"/>
  <c r="FJ20" i="12"/>
  <c r="FJ52" i="12"/>
  <c r="FJ108" i="12"/>
  <c r="FJ26" i="12"/>
  <c r="FJ64" i="12"/>
  <c r="FJ117" i="12"/>
  <c r="FJ22" i="12"/>
  <c r="FJ74" i="12"/>
  <c r="FJ112" i="12"/>
  <c r="FJ40" i="12"/>
  <c r="FJ83" i="12"/>
  <c r="FJ105" i="12"/>
  <c r="FJ49" i="12"/>
  <c r="FJ98" i="12"/>
  <c r="FJ43" i="12"/>
  <c r="FJ80" i="12"/>
  <c r="FJ69" i="12"/>
  <c r="FJ84" i="12"/>
  <c r="FJ58" i="12"/>
  <c r="FJ109" i="12"/>
  <c r="FJ70" i="12"/>
  <c r="FJ79" i="12"/>
  <c r="FJ32" i="12"/>
  <c r="FJ101" i="12"/>
  <c r="FJ37" i="12"/>
  <c r="FJ81" i="12"/>
  <c r="FJ87" i="12"/>
  <c r="FJ34" i="12"/>
  <c r="FJ77" i="12"/>
  <c r="FJ62" i="12"/>
  <c r="FJ107" i="12"/>
  <c r="FJ85" i="12"/>
  <c r="FJ102" i="12"/>
  <c r="FJ27" i="12"/>
  <c r="D48" i="14"/>
  <c r="FJ23" i="12"/>
  <c r="FJ46" i="12"/>
  <c r="FJ66" i="12"/>
  <c r="FJ45" i="12"/>
  <c r="FJ63" i="12"/>
  <c r="FJ61" i="12"/>
  <c r="FJ60" i="12"/>
  <c r="FJ76" i="12"/>
  <c r="FJ82" i="12"/>
  <c r="FJ90" i="12"/>
  <c r="FJ31" i="12"/>
  <c r="FJ56" i="12"/>
  <c r="FJ59" i="12"/>
  <c r="FJ39" i="12"/>
  <c r="FJ94" i="12"/>
  <c r="FJ113" i="12"/>
  <c r="FJ99" i="12"/>
  <c r="FJ21" i="12"/>
  <c r="FJ29" i="12"/>
  <c r="FJ50" i="12"/>
  <c r="FJ89" i="12"/>
  <c r="FJ65" i="12"/>
  <c r="FJ41" i="12"/>
  <c r="G94" i="14"/>
  <c r="FT82" i="12"/>
  <c r="FT113" i="12"/>
  <c r="D53" i="14"/>
  <c r="FT43" i="12"/>
  <c r="FT88" i="12"/>
  <c r="FT34" i="12"/>
  <c r="FT75" i="12"/>
  <c r="FT115" i="12"/>
  <c r="FT71" i="12"/>
  <c r="FT99" i="12"/>
  <c r="FT50" i="12"/>
  <c r="FT74" i="12"/>
  <c r="FT26" i="12"/>
  <c r="FT42" i="12"/>
  <c r="FT92" i="12"/>
  <c r="FT58" i="12"/>
  <c r="FT59" i="12"/>
  <c r="FT84" i="12"/>
  <c r="FT62" i="12"/>
  <c r="FT87" i="12"/>
  <c r="FT90" i="12"/>
  <c r="FT97" i="12"/>
  <c r="FT93" i="12"/>
  <c r="FT116" i="12"/>
  <c r="FT44" i="12"/>
  <c r="FT37" i="12"/>
  <c r="FT79" i="12"/>
  <c r="FT19" i="12"/>
  <c r="FT94" i="12"/>
  <c r="FT60" i="12"/>
  <c r="FT63" i="12"/>
  <c r="FT95" i="12"/>
  <c r="FT68" i="12"/>
  <c r="FT109" i="12"/>
  <c r="FT111" i="12"/>
  <c r="FT47" i="12"/>
  <c r="FT106" i="12"/>
  <c r="FT48" i="12"/>
  <c r="FT64" i="12"/>
  <c r="FT98" i="12"/>
  <c r="FT69" i="12"/>
  <c r="FT73" i="12"/>
  <c r="FT81" i="12"/>
  <c r="FT83" i="12"/>
  <c r="FT104" i="12"/>
  <c r="FT117" i="12"/>
  <c r="FT21" i="12"/>
  <c r="FT39" i="12"/>
  <c r="FT57" i="12"/>
  <c r="FT23" i="12"/>
  <c r="FT45" i="12"/>
  <c r="FT33" i="12"/>
  <c r="FT108" i="12"/>
  <c r="FT96" i="12"/>
  <c r="FT107" i="12"/>
  <c r="FT25" i="12"/>
  <c r="FT66" i="12"/>
  <c r="FT91" i="12"/>
  <c r="FT53" i="12"/>
  <c r="FT65" i="12"/>
  <c r="FT78" i="12"/>
  <c r="FT72" i="12"/>
  <c r="FT61" i="12"/>
  <c r="FT67" i="12"/>
  <c r="FT77" i="12"/>
  <c r="FT29" i="12"/>
  <c r="FT76" i="12"/>
  <c r="G104" i="14"/>
  <c r="FU27" i="12"/>
  <c r="FU20" i="12"/>
  <c r="FU93" i="12"/>
  <c r="FU100" i="12"/>
  <c r="FU43" i="12"/>
  <c r="FU91" i="12"/>
  <c r="FU115" i="12"/>
  <c r="FU83" i="12"/>
  <c r="FU116" i="12"/>
  <c r="FU29" i="12"/>
  <c r="FU56" i="12"/>
  <c r="FU102" i="12"/>
  <c r="FU32" i="12"/>
  <c r="FU59" i="12"/>
  <c r="FU84" i="12"/>
  <c r="FU80" i="12"/>
  <c r="FU46" i="12"/>
  <c r="FU77" i="12"/>
  <c r="FU109" i="12"/>
  <c r="FU44" i="12"/>
  <c r="FU90" i="12"/>
  <c r="FU117" i="12"/>
  <c r="FU47" i="12"/>
  <c r="FU52" i="12"/>
  <c r="FU108" i="12"/>
  <c r="FU22" i="12"/>
  <c r="FU60" i="12"/>
  <c r="FU94" i="12"/>
  <c r="FU21" i="12"/>
  <c r="FU62" i="12"/>
  <c r="FU85" i="12"/>
  <c r="FU57" i="12"/>
  <c r="FU86" i="12"/>
  <c r="FU19" i="12"/>
  <c r="FU55" i="12"/>
  <c r="FU103" i="12"/>
  <c r="FU30" i="12"/>
  <c r="FU64" i="12"/>
  <c r="FU112" i="12"/>
  <c r="FU34" i="12"/>
  <c r="FU58" i="12"/>
  <c r="FU28" i="12"/>
  <c r="FU75" i="12"/>
  <c r="FU40" i="12"/>
  <c r="FU82" i="12"/>
  <c r="FU38" i="12"/>
  <c r="FU76" i="12"/>
  <c r="FU54" i="12"/>
  <c r="FU31" i="12"/>
  <c r="FU98" i="12"/>
  <c r="FU113" i="12"/>
  <c r="FU111" i="12"/>
  <c r="FU50" i="12"/>
  <c r="FU114" i="12"/>
  <c r="FU45" i="12"/>
  <c r="FU110" i="12"/>
  <c r="FU61" i="12"/>
  <c r="FU71" i="12"/>
  <c r="FU63" i="12"/>
  <c r="FU35" i="12"/>
  <c r="FU88" i="12"/>
  <c r="FU42" i="12"/>
  <c r="FU37" i="12"/>
  <c r="FU53" i="12"/>
  <c r="FU67" i="12"/>
  <c r="FU87" i="12"/>
  <c r="FU95" i="12"/>
  <c r="FU24" i="12"/>
  <c r="FU36" i="12"/>
  <c r="FU78" i="12"/>
  <c r="FU99" i="12"/>
  <c r="FU70" i="12"/>
  <c r="FU72" i="12"/>
  <c r="FU69" i="12"/>
  <c r="FU74" i="12"/>
  <c r="FU79" i="12"/>
  <c r="FU66" i="12"/>
  <c r="FU89" i="12"/>
  <c r="FU92" i="12"/>
  <c r="FU107" i="12"/>
  <c r="FU104" i="12"/>
  <c r="FU18" i="12"/>
  <c r="FU39" i="12"/>
  <c r="FU51" i="12"/>
  <c r="FU68" i="12"/>
  <c r="FU101" i="12"/>
  <c r="FU26" i="12"/>
  <c r="FU23" i="12"/>
  <c r="FU105" i="12"/>
  <c r="FU49" i="12"/>
  <c r="FU48" i="12"/>
  <c r="FU81" i="12"/>
  <c r="FU73" i="12"/>
  <c r="FU96" i="12"/>
  <c r="FU33" i="12"/>
  <c r="FU97" i="12"/>
  <c r="FU106" i="12"/>
  <c r="FU65" i="12"/>
  <c r="FU41" i="12"/>
  <c r="FU25" i="12"/>
  <c r="G105" i="14"/>
  <c r="FH33" i="12"/>
  <c r="FH58" i="12"/>
  <c r="FH66" i="12"/>
  <c r="FH117" i="12"/>
  <c r="FH22" i="12"/>
  <c r="FH30" i="12"/>
  <c r="FH60" i="12"/>
  <c r="FH90" i="12"/>
  <c r="FH83" i="12"/>
  <c r="FH36" i="12"/>
  <c r="FH52" i="12"/>
  <c r="FH91" i="12"/>
  <c r="FH98" i="12"/>
  <c r="FH53" i="12"/>
  <c r="FH75" i="12"/>
  <c r="FH112" i="12"/>
  <c r="FH39" i="12"/>
  <c r="FH37" i="12"/>
  <c r="FH71" i="12"/>
  <c r="FH113" i="12"/>
  <c r="FH42" i="12"/>
  <c r="FH45" i="12"/>
  <c r="FH78" i="12"/>
  <c r="FH115" i="12"/>
  <c r="FH64" i="12"/>
  <c r="FH102" i="12"/>
  <c r="FH18" i="12"/>
  <c r="FH54" i="12"/>
  <c r="FH82" i="12"/>
  <c r="FH111" i="12"/>
  <c r="FH26" i="12"/>
  <c r="FH23" i="12"/>
  <c r="FH88" i="12"/>
  <c r="FH32" i="12"/>
  <c r="FH63" i="12"/>
  <c r="FH24" i="12"/>
  <c r="FH70" i="12"/>
  <c r="FH105" i="12"/>
  <c r="FH50" i="12"/>
  <c r="FH84" i="12"/>
  <c r="FH110" i="12"/>
  <c r="FH48" i="12"/>
  <c r="FH96" i="12"/>
  <c r="FH29" i="12"/>
  <c r="FH65" i="12"/>
  <c r="FH95" i="12"/>
  <c r="FH31" i="12"/>
  <c r="FH19" i="12"/>
  <c r="FH107" i="12"/>
  <c r="FH20" i="12"/>
  <c r="FH74" i="12"/>
  <c r="FH89" i="12"/>
  <c r="FH46" i="12"/>
  <c r="FH87" i="12"/>
  <c r="FH116" i="12"/>
  <c r="FH28" i="12"/>
  <c r="FH100" i="12"/>
  <c r="FH40" i="12"/>
  <c r="FH85" i="12"/>
  <c r="FH38" i="12"/>
  <c r="FH99" i="12"/>
  <c r="FH44" i="12"/>
  <c r="FH106" i="12"/>
  <c r="FH56" i="12"/>
  <c r="FH79" i="12"/>
  <c r="FH57" i="12"/>
  <c r="FH104" i="12"/>
  <c r="FH114" i="12"/>
  <c r="FH93" i="12"/>
  <c r="FH77" i="12"/>
  <c r="FH81" i="12"/>
  <c r="FH94" i="12"/>
  <c r="FH103" i="12"/>
  <c r="FH21" i="12"/>
  <c r="FH109" i="12"/>
  <c r="FH43" i="12"/>
  <c r="D47" i="14"/>
  <c r="FH61" i="12"/>
  <c r="FH47" i="12"/>
  <c r="FH59" i="12"/>
  <c r="FH62" i="12"/>
  <c r="FH51" i="12"/>
  <c r="FH67" i="12"/>
  <c r="FH73" i="12"/>
  <c r="FH68" i="12"/>
  <c r="FH55" i="12"/>
  <c r="FH72" i="12"/>
  <c r="FH69" i="12"/>
  <c r="FH108" i="12"/>
  <c r="FH76" i="12"/>
  <c r="FH92" i="12"/>
  <c r="FH35" i="12"/>
  <c r="FH34" i="12"/>
  <c r="FH41" i="12"/>
  <c r="FH86" i="12"/>
  <c r="FH27" i="12"/>
  <c r="FH80" i="12"/>
  <c r="FH101" i="12"/>
  <c r="FH49" i="12"/>
  <c r="FH25" i="12"/>
  <c r="FH97" i="12"/>
  <c r="G92" i="14"/>
  <c r="FL34" i="12"/>
  <c r="FL64" i="12"/>
  <c r="FL92" i="12"/>
  <c r="FL88" i="12"/>
  <c r="FL22" i="12"/>
  <c r="FL53" i="12"/>
  <c r="FL73" i="12"/>
  <c r="FL80" i="12"/>
  <c r="FL32" i="12"/>
  <c r="FL56" i="12"/>
  <c r="FL77" i="12"/>
  <c r="FL82" i="12"/>
  <c r="FL41" i="12"/>
  <c r="FL69" i="12"/>
  <c r="FL78" i="12"/>
  <c r="D49" i="14"/>
  <c r="FL43" i="12"/>
  <c r="FL74" i="12"/>
  <c r="FL46" i="12"/>
  <c r="FL83" i="12"/>
  <c r="FL99" i="12"/>
  <c r="FL19" i="12"/>
  <c r="FL61" i="12"/>
  <c r="FL87" i="12"/>
  <c r="FL117" i="12"/>
  <c r="FL20" i="12"/>
  <c r="FL29" i="12"/>
  <c r="FL38" i="12"/>
  <c r="FL35" i="12"/>
  <c r="FL101" i="12"/>
  <c r="FL44" i="12"/>
  <c r="FL51" i="12"/>
  <c r="FL104" i="12"/>
  <c r="FL24" i="12"/>
  <c r="FL62" i="12"/>
  <c r="FL68" i="12"/>
  <c r="FL58" i="12"/>
  <c r="FL71" i="12"/>
  <c r="FL50" i="12"/>
  <c r="FL91" i="12"/>
  <c r="FL49" i="12"/>
  <c r="FL98" i="12"/>
  <c r="FL18" i="12"/>
  <c r="FL66" i="12"/>
  <c r="FL102" i="12"/>
  <c r="FL31" i="12"/>
  <c r="FL67" i="12"/>
  <c r="FL114" i="12"/>
  <c r="FL37" i="12"/>
  <c r="FL65" i="12"/>
  <c r="FL116" i="12"/>
  <c r="FL45" i="12"/>
  <c r="FL109" i="12"/>
  <c r="FL26" i="12"/>
  <c r="FL108" i="12"/>
  <c r="FL55" i="12"/>
  <c r="FL107" i="12"/>
  <c r="FL59" i="12"/>
  <c r="FL100" i="12"/>
  <c r="FL72" i="12"/>
  <c r="FL47" i="12"/>
  <c r="FL86" i="12"/>
  <c r="FL106" i="12"/>
  <c r="FL30" i="12"/>
  <c r="FL96" i="12"/>
  <c r="FL25" i="12"/>
  <c r="FL27" i="12"/>
  <c r="FL110" i="12"/>
  <c r="FL42" i="12"/>
  <c r="FL113" i="12"/>
  <c r="FL40" i="12"/>
  <c r="FL115" i="12"/>
  <c r="FL75" i="12"/>
  <c r="FL90" i="12"/>
  <c r="FL94" i="12"/>
  <c r="FL111" i="12"/>
  <c r="FL112" i="12"/>
  <c r="FL23" i="12"/>
  <c r="FL48" i="12"/>
  <c r="FL52" i="12"/>
  <c r="FL28" i="12"/>
  <c r="FL36" i="12"/>
  <c r="FL39" i="12"/>
  <c r="FL60" i="12"/>
  <c r="FL63" i="12"/>
  <c r="FL79" i="12"/>
  <c r="FL89" i="12"/>
  <c r="FL76" i="12"/>
  <c r="FL21" i="12"/>
  <c r="FL33" i="12"/>
  <c r="FL95" i="12"/>
  <c r="FL70" i="12"/>
  <c r="FL84" i="12"/>
  <c r="FL54" i="12"/>
  <c r="FL97" i="12"/>
  <c r="FL93" i="12"/>
  <c r="FL85" i="12"/>
  <c r="FL103" i="12"/>
  <c r="FL57" i="12"/>
  <c r="FL81" i="12"/>
  <c r="FL105" i="12"/>
  <c r="FP35" i="12"/>
  <c r="FP50" i="12"/>
  <c r="FP76" i="12"/>
  <c r="FP73" i="12"/>
  <c r="FP26" i="12"/>
  <c r="FP39" i="12"/>
  <c r="FP53" i="12"/>
  <c r="FP109" i="12"/>
  <c r="FP19" i="12"/>
  <c r="FP62" i="12"/>
  <c r="FP87" i="12"/>
  <c r="FP46" i="12"/>
  <c r="FP65" i="12"/>
  <c r="FP64" i="12"/>
  <c r="FP115" i="12"/>
  <c r="FP25" i="12"/>
  <c r="FP30" i="12"/>
  <c r="FP79" i="12"/>
  <c r="FP111" i="12"/>
  <c r="FP37" i="12"/>
  <c r="FP83" i="12"/>
  <c r="FP102" i="12"/>
  <c r="FP31" i="12"/>
  <c r="FP56" i="12"/>
  <c r="FP29" i="12"/>
  <c r="FP75" i="12"/>
  <c r="FP103" i="12"/>
  <c r="FP47" i="12"/>
  <c r="FP78" i="12"/>
  <c r="FP106" i="12"/>
  <c r="FP34" i="12"/>
  <c r="FP82" i="12"/>
  <c r="FP107" i="12"/>
  <c r="FP32" i="12"/>
  <c r="FP59" i="12"/>
  <c r="FP113" i="12"/>
  <c r="FP41" i="12"/>
  <c r="FP80" i="12"/>
  <c r="FP51" i="12"/>
  <c r="FP85" i="12"/>
  <c r="FP114" i="12"/>
  <c r="FP57" i="12"/>
  <c r="FP91" i="12"/>
  <c r="D51" i="14"/>
  <c r="FP24" i="12"/>
  <c r="FP49" i="12"/>
  <c r="FP77" i="12"/>
  <c r="FP55" i="12"/>
  <c r="FP112" i="12"/>
  <c r="FP61" i="12"/>
  <c r="FP98" i="12"/>
  <c r="FP68" i="12"/>
  <c r="FP104" i="12"/>
  <c r="FP66" i="12"/>
  <c r="FP90" i="12"/>
  <c r="FP20" i="12"/>
  <c r="FP27" i="12"/>
  <c r="FP105" i="12"/>
  <c r="FP54" i="12"/>
  <c r="FP89" i="12"/>
  <c r="FP43" i="12"/>
  <c r="FP96" i="12"/>
  <c r="FP44" i="12"/>
  <c r="FP97" i="12"/>
  <c r="FP63" i="12"/>
  <c r="FP110" i="12"/>
  <c r="FP48" i="12"/>
  <c r="FP116" i="12"/>
  <c r="FP71" i="12"/>
  <c r="FP52" i="12"/>
  <c r="FP58" i="12"/>
  <c r="FP42" i="12"/>
  <c r="FP81" i="12"/>
  <c r="FP36" i="12"/>
  <c r="FP67" i="12"/>
  <c r="FP70" i="12"/>
  <c r="FP33" i="12"/>
  <c r="FP99" i="12"/>
  <c r="FP38" i="12"/>
  <c r="FP60" i="12"/>
  <c r="FP22" i="12"/>
  <c r="FP72" i="12"/>
  <c r="FP88" i="12"/>
  <c r="FP94" i="12"/>
  <c r="FP74" i="12"/>
  <c r="FP86" i="12"/>
  <c r="FP92" i="12"/>
  <c r="FP84" i="12"/>
  <c r="FP95" i="12"/>
  <c r="FP100" i="12"/>
  <c r="FP101" i="12"/>
  <c r="FP108" i="12"/>
  <c r="FP117" i="12"/>
  <c r="FP23" i="12"/>
  <c r="FP18" i="12"/>
  <c r="FP28" i="12"/>
  <c r="FP40" i="12"/>
  <c r="FP93" i="12"/>
  <c r="FP69" i="12"/>
  <c r="FP45" i="12"/>
  <c r="FP21" i="12"/>
  <c r="J77" i="11"/>
  <c r="AR12" i="12"/>
  <c r="AQ13" i="12"/>
  <c r="N6" i="12"/>
  <c r="FG45" i="12"/>
  <c r="FG63" i="12"/>
  <c r="FG84" i="12"/>
  <c r="FG39" i="12"/>
  <c r="FG60" i="12"/>
  <c r="FG87" i="12"/>
  <c r="FG112" i="12"/>
  <c r="FG37" i="12"/>
  <c r="FG24" i="12"/>
  <c r="FG23" i="12"/>
  <c r="FG93" i="12"/>
  <c r="FG83" i="12"/>
  <c r="FG28" i="12"/>
  <c r="FG52" i="12"/>
  <c r="FG47" i="12"/>
  <c r="FG113" i="12"/>
  <c r="FG31" i="12"/>
  <c r="FG61" i="12"/>
  <c r="FG79" i="12"/>
  <c r="FG115" i="12"/>
  <c r="FG41" i="12"/>
  <c r="FG80" i="12"/>
  <c r="FG100" i="12"/>
  <c r="FG49" i="12"/>
  <c r="FG81" i="12"/>
  <c r="FG117" i="12"/>
  <c r="FG54" i="12"/>
  <c r="FG78" i="12"/>
  <c r="FG107" i="12"/>
  <c r="FG19" i="12"/>
  <c r="FG25" i="12"/>
  <c r="FG85" i="12"/>
  <c r="FG104" i="12"/>
  <c r="FG20" i="12"/>
  <c r="FG27" i="12"/>
  <c r="FG91" i="12"/>
  <c r="FG114" i="12"/>
  <c r="FG86" i="12"/>
  <c r="FG50" i="12"/>
  <c r="FG90" i="12"/>
  <c r="FG18" i="12"/>
  <c r="FG59" i="12"/>
  <c r="FG82" i="12"/>
  <c r="FG32" i="12"/>
  <c r="FG94" i="12"/>
  <c r="FG51" i="12"/>
  <c r="FG99" i="12"/>
  <c r="FG38" i="12"/>
  <c r="FG111" i="12"/>
  <c r="FG21" i="12"/>
  <c r="FG71" i="12"/>
  <c r="FG75" i="12"/>
  <c r="FG43" i="12"/>
  <c r="FG105" i="12"/>
  <c r="FG56" i="12"/>
  <c r="FG55" i="12"/>
  <c r="FG106" i="12"/>
  <c r="FG44" i="12"/>
  <c r="FG96" i="12"/>
  <c r="FG73" i="12"/>
  <c r="FG48" i="12"/>
  <c r="FG110" i="12"/>
  <c r="FG57" i="12"/>
  <c r="FG58" i="12"/>
  <c r="FG67" i="12"/>
  <c r="FG64" i="12"/>
  <c r="FG65" i="12"/>
  <c r="FG68" i="12"/>
  <c r="FG76" i="12"/>
  <c r="FG34" i="12"/>
  <c r="FG109" i="12"/>
  <c r="FG40" i="12"/>
  <c r="FG46" i="12"/>
  <c r="FG62" i="12"/>
  <c r="FG70" i="12"/>
  <c r="FG74" i="12"/>
  <c r="FG36" i="12"/>
  <c r="FG72" i="12"/>
  <c r="FG69" i="12"/>
  <c r="FG66" i="12"/>
  <c r="FG97" i="12"/>
  <c r="FG22" i="12"/>
  <c r="FG116" i="12"/>
  <c r="FG26" i="12"/>
  <c r="FG33" i="12"/>
  <c r="FG88" i="12"/>
  <c r="FG102" i="12"/>
  <c r="FG98" i="12"/>
  <c r="FG108" i="12"/>
  <c r="FG103" i="12"/>
  <c r="FG92" i="12"/>
  <c r="FG95" i="12"/>
  <c r="FG89" i="12"/>
  <c r="FG35" i="12"/>
  <c r="FG30" i="12"/>
  <c r="FG42" i="12"/>
  <c r="FG101" i="12"/>
  <c r="FG77" i="12"/>
  <c r="FG53" i="12"/>
  <c r="FG29" i="12"/>
  <c r="G100" i="14"/>
  <c r="I14" i="14"/>
  <c r="E9" i="20" s="1"/>
  <c r="G6" i="7"/>
  <c r="E7" i="20"/>
  <c r="J12" i="14"/>
  <c r="I12" i="15"/>
  <c r="E42" i="14"/>
  <c r="I13" i="14"/>
  <c r="FI56" i="12"/>
  <c r="FI26" i="12"/>
  <c r="FI62" i="12"/>
  <c r="FI68" i="12"/>
  <c r="FI88" i="12"/>
  <c r="FI39" i="12"/>
  <c r="FI76" i="12"/>
  <c r="FI112" i="12"/>
  <c r="FI72" i="12"/>
  <c r="FI84" i="12"/>
  <c r="FI79" i="12"/>
  <c r="FI22" i="12"/>
  <c r="FI58" i="12"/>
  <c r="FI80" i="12"/>
  <c r="FI49" i="12"/>
  <c r="FI89" i="12"/>
  <c r="FI96" i="12"/>
  <c r="FI19" i="12"/>
  <c r="FI61" i="12"/>
  <c r="FI99" i="12"/>
  <c r="FI33" i="12"/>
  <c r="FI64" i="12"/>
  <c r="FI81" i="12"/>
  <c r="FI51" i="12"/>
  <c r="FI73" i="12"/>
  <c r="FI114" i="12"/>
  <c r="FI18" i="12"/>
  <c r="FI31" i="12"/>
  <c r="FI67" i="12"/>
  <c r="FI90" i="12"/>
  <c r="FI35" i="12"/>
  <c r="FI70" i="12"/>
  <c r="FI30" i="12"/>
  <c r="FI48" i="12"/>
  <c r="FI82" i="12"/>
  <c r="FI25" i="12"/>
  <c r="FI86" i="12"/>
  <c r="FI116" i="12"/>
  <c r="FI32" i="12"/>
  <c r="FI95" i="12"/>
  <c r="FI50" i="12"/>
  <c r="FI87" i="12"/>
  <c r="FI57" i="12"/>
  <c r="FI107" i="12"/>
  <c r="FI60" i="12"/>
  <c r="FI110" i="12"/>
  <c r="FI55" i="12"/>
  <c r="FI113" i="12"/>
  <c r="FI66" i="12"/>
  <c r="FI78" i="12"/>
  <c r="FI115" i="12"/>
  <c r="FI63" i="12"/>
  <c r="FI111" i="12"/>
  <c r="FI65" i="12"/>
  <c r="FI24" i="12"/>
  <c r="FI36" i="12"/>
  <c r="FI83" i="12"/>
  <c r="FI38" i="12"/>
  <c r="FI92" i="12"/>
  <c r="FI46" i="12"/>
  <c r="FI85" i="12"/>
  <c r="FI59" i="12"/>
  <c r="FI28" i="12"/>
  <c r="FI75" i="12"/>
  <c r="FI52" i="12"/>
  <c r="FI37" i="12"/>
  <c r="FI44" i="12"/>
  <c r="FI106" i="12"/>
  <c r="FI54" i="12"/>
  <c r="FI71" i="12"/>
  <c r="FI77" i="12"/>
  <c r="FI94" i="12"/>
  <c r="FI100" i="12"/>
  <c r="FI47" i="12"/>
  <c r="FI34" i="12"/>
  <c r="FI91" i="12"/>
  <c r="FI101" i="12"/>
  <c r="FI104" i="12"/>
  <c r="FI103" i="12"/>
  <c r="FI109" i="12"/>
  <c r="FI97" i="12"/>
  <c r="FI108" i="12"/>
  <c r="FI20" i="12"/>
  <c r="FI27" i="12"/>
  <c r="FI41" i="12"/>
  <c r="FI45" i="12"/>
  <c r="FI29" i="12"/>
  <c r="FI40" i="12"/>
  <c r="FI53" i="12"/>
  <c r="FI98" i="12"/>
  <c r="FI23" i="12"/>
  <c r="FI74" i="12"/>
  <c r="FI105" i="12"/>
  <c r="FI43" i="12"/>
  <c r="FI117" i="12"/>
  <c r="FI42" i="12"/>
  <c r="FI93" i="12"/>
  <c r="FI69" i="12"/>
  <c r="FI21" i="12"/>
  <c r="FI102" i="12"/>
  <c r="G91" i="14"/>
  <c r="FQ24" i="12"/>
  <c r="FQ22" i="12"/>
  <c r="FQ39" i="12"/>
  <c r="FQ59" i="12"/>
  <c r="FQ84" i="12"/>
  <c r="FQ112" i="12"/>
  <c r="FQ36" i="12"/>
  <c r="FQ48" i="12"/>
  <c r="FQ75" i="12"/>
  <c r="FQ81" i="12"/>
  <c r="FQ25" i="12"/>
  <c r="FQ46" i="12"/>
  <c r="FQ21" i="12"/>
  <c r="FQ90" i="12"/>
  <c r="FQ57" i="12"/>
  <c r="FQ94" i="12"/>
  <c r="FQ93" i="12"/>
  <c r="FQ40" i="12"/>
  <c r="FQ71" i="12"/>
  <c r="FQ62" i="12"/>
  <c r="FQ105" i="12"/>
  <c r="FQ43" i="12"/>
  <c r="FQ74" i="12"/>
  <c r="FQ73" i="12"/>
  <c r="FQ117" i="12"/>
  <c r="FQ42" i="12"/>
  <c r="FQ85" i="12"/>
  <c r="FQ108" i="12"/>
  <c r="FQ35" i="12"/>
  <c r="FQ69" i="12"/>
  <c r="FQ114" i="12"/>
  <c r="FQ27" i="12"/>
  <c r="FQ58" i="12"/>
  <c r="FQ95" i="12"/>
  <c r="FQ30" i="12"/>
  <c r="FQ64" i="12"/>
  <c r="FQ77" i="12"/>
  <c r="FQ33" i="12"/>
  <c r="FQ96" i="12"/>
  <c r="FQ52" i="12"/>
  <c r="FQ87" i="12"/>
  <c r="FQ68" i="12"/>
  <c r="FQ101" i="12"/>
  <c r="FQ50" i="12"/>
  <c r="FQ107" i="12"/>
  <c r="FQ20" i="12"/>
  <c r="FQ66" i="12"/>
  <c r="FQ37" i="12"/>
  <c r="FQ67" i="12"/>
  <c r="FQ116" i="12"/>
  <c r="FQ32" i="12"/>
  <c r="FQ72" i="12"/>
  <c r="FQ79" i="12"/>
  <c r="FQ45" i="12"/>
  <c r="FQ86" i="12"/>
  <c r="FQ26" i="12"/>
  <c r="FQ99" i="12"/>
  <c r="FQ49" i="12"/>
  <c r="FQ23" i="12"/>
  <c r="FQ61" i="12"/>
  <c r="FQ80" i="12"/>
  <c r="FQ19" i="12"/>
  <c r="FQ70" i="12"/>
  <c r="FQ47" i="12"/>
  <c r="FQ97" i="12"/>
  <c r="FQ63" i="12"/>
  <c r="FQ56" i="12"/>
  <c r="FQ82" i="12"/>
  <c r="FQ53" i="12"/>
  <c r="FQ92" i="12"/>
  <c r="FQ102" i="12"/>
  <c r="FQ110" i="12"/>
  <c r="FQ111" i="12"/>
  <c r="FQ18" i="12"/>
  <c r="FQ28" i="12"/>
  <c r="FQ31" i="12"/>
  <c r="FQ34" i="12"/>
  <c r="FQ51" i="12"/>
  <c r="FQ29" i="12"/>
  <c r="FQ38" i="12"/>
  <c r="FQ44" i="12"/>
  <c r="FQ54" i="12"/>
  <c r="FQ60" i="12"/>
  <c r="FQ55" i="12"/>
  <c r="FQ76" i="12"/>
  <c r="FQ109" i="12"/>
  <c r="FQ91" i="12"/>
  <c r="FQ89" i="12"/>
  <c r="FQ78" i="12"/>
  <c r="FQ83" i="12"/>
  <c r="FQ103" i="12"/>
  <c r="FQ106" i="12"/>
  <c r="FQ100" i="12"/>
  <c r="FQ104" i="12"/>
  <c r="FQ115" i="12"/>
  <c r="FQ88" i="12"/>
  <c r="FQ113" i="12"/>
  <c r="FQ65" i="12"/>
  <c r="FQ41" i="12"/>
  <c r="FQ98" i="12"/>
  <c r="FM35" i="12"/>
  <c r="FM24" i="12"/>
  <c r="FM57" i="12"/>
  <c r="FM110" i="12"/>
  <c r="FM28" i="12"/>
  <c r="FM82" i="12"/>
  <c r="FM98" i="12"/>
  <c r="FM22" i="12"/>
  <c r="FM55" i="12"/>
  <c r="FM73" i="12"/>
  <c r="FM49" i="12"/>
  <c r="FM68" i="12"/>
  <c r="FM83" i="12"/>
  <c r="FM95" i="12"/>
  <c r="FM32" i="12"/>
  <c r="FM71" i="12"/>
  <c r="FM86" i="12"/>
  <c r="FM107" i="12"/>
  <c r="FM36" i="12"/>
  <c r="FM74" i="12"/>
  <c r="FM89" i="12"/>
  <c r="FM92" i="12"/>
  <c r="FM46" i="12"/>
  <c r="FM45" i="12"/>
  <c r="FM112" i="12"/>
  <c r="FM38" i="12"/>
  <c r="FM69" i="12"/>
  <c r="FM87" i="12"/>
  <c r="FM30" i="12"/>
  <c r="FM67" i="12"/>
  <c r="FM99" i="12"/>
  <c r="FM48" i="12"/>
  <c r="FM88" i="12"/>
  <c r="FM111" i="12"/>
  <c r="FM52" i="12"/>
  <c r="FM91" i="12"/>
  <c r="FM114" i="12"/>
  <c r="FM21" i="12"/>
  <c r="FM59" i="12"/>
  <c r="FM81" i="12"/>
  <c r="FM20" i="12"/>
  <c r="FM93" i="12"/>
  <c r="FM23" i="12"/>
  <c r="FM60" i="12"/>
  <c r="FM105" i="12"/>
  <c r="FM25" i="12"/>
  <c r="FM51" i="12"/>
  <c r="FM116" i="12"/>
  <c r="FM37" i="12"/>
  <c r="FM63" i="12"/>
  <c r="FM117" i="12"/>
  <c r="FM42" i="12"/>
  <c r="FM103" i="12"/>
  <c r="FM56" i="12"/>
  <c r="FM104" i="12"/>
  <c r="FM65" i="12"/>
  <c r="FM113" i="12"/>
  <c r="FM66" i="12"/>
  <c r="FM70" i="12"/>
  <c r="FM26" i="12"/>
  <c r="FM97" i="12"/>
  <c r="FM34" i="12"/>
  <c r="FM109" i="12"/>
  <c r="FM85" i="12"/>
  <c r="FM72" i="12"/>
  <c r="FM79" i="12"/>
  <c r="FM18" i="12"/>
  <c r="FM78" i="12"/>
  <c r="FM31" i="12"/>
  <c r="FM54" i="12"/>
  <c r="FM41" i="12"/>
  <c r="FM90" i="12"/>
  <c r="FM100" i="12"/>
  <c r="FM106" i="12"/>
  <c r="FM115" i="12"/>
  <c r="FM108" i="12"/>
  <c r="FM84" i="12"/>
  <c r="FM19" i="12"/>
  <c r="FM96" i="12"/>
  <c r="FM47" i="12"/>
  <c r="FM80" i="12"/>
  <c r="FM75" i="12"/>
  <c r="FM64" i="12"/>
  <c r="FM102" i="12"/>
  <c r="FM50" i="12"/>
  <c r="FM39" i="12"/>
  <c r="FM61" i="12"/>
  <c r="FM53" i="12"/>
  <c r="FM27" i="12"/>
  <c r="FM58" i="12"/>
  <c r="FM76" i="12"/>
  <c r="FM40" i="12"/>
  <c r="FM43" i="12"/>
  <c r="FM44" i="12"/>
  <c r="FM33" i="12"/>
  <c r="FM62" i="12"/>
  <c r="FM94" i="12"/>
  <c r="FM101" i="12"/>
  <c r="FM77" i="12"/>
  <c r="FM29" i="12"/>
  <c r="Q26" i="15"/>
  <c r="AQ12" i="12"/>
  <c r="L6" i="12"/>
  <c r="J76" i="11"/>
  <c r="AR11" i="12"/>
  <c r="J6" i="12"/>
  <c r="J75" i="11"/>
  <c r="AR10" i="12"/>
  <c r="AQ11" i="12"/>
  <c r="FV32" i="12"/>
  <c r="FV74" i="12"/>
  <c r="FV103" i="12"/>
  <c r="FV50" i="12"/>
  <c r="FV58" i="12"/>
  <c r="FV85" i="12"/>
  <c r="FV26" i="12"/>
  <c r="FV34" i="12"/>
  <c r="FV63" i="12"/>
  <c r="FV115" i="12"/>
  <c r="FV66" i="12"/>
  <c r="FV104" i="12"/>
  <c r="FV114" i="12"/>
  <c r="FV61" i="12"/>
  <c r="FV94" i="12"/>
  <c r="FV19" i="12"/>
  <c r="FV62" i="12"/>
  <c r="FV89" i="12"/>
  <c r="D54" i="14"/>
  <c r="FV40" i="12"/>
  <c r="FV49" i="12"/>
  <c r="FV83" i="12"/>
  <c r="FV108" i="12"/>
  <c r="FV53" i="12"/>
  <c r="FV95" i="12"/>
  <c r="FV102" i="12"/>
  <c r="FV46" i="12"/>
  <c r="FV113" i="12"/>
  <c r="FV23" i="12"/>
  <c r="FV22" i="12"/>
  <c r="FV48" i="12"/>
  <c r="FV99" i="12"/>
  <c r="FV24" i="12"/>
  <c r="FV27" i="12"/>
  <c r="FV43" i="12"/>
  <c r="FV96" i="12"/>
  <c r="FV28" i="12"/>
  <c r="FV84" i="12"/>
  <c r="FV38" i="12"/>
  <c r="FV37" i="12"/>
  <c r="FV52" i="12"/>
  <c r="FV56" i="12"/>
  <c r="FV107" i="12"/>
  <c r="FV51" i="12"/>
  <c r="FV91" i="12"/>
  <c r="FV25" i="12"/>
  <c r="FV109" i="12"/>
  <c r="FV112" i="12"/>
  <c r="FV65" i="12"/>
  <c r="FV70" i="12"/>
  <c r="FV71" i="12"/>
  <c r="FV86" i="12"/>
  <c r="FV35" i="12"/>
  <c r="FV87" i="12"/>
  <c r="FV47" i="12"/>
  <c r="FV110" i="12"/>
  <c r="FV33" i="12"/>
  <c r="FV88" i="12"/>
  <c r="FV75" i="12"/>
  <c r="FV105" i="12"/>
  <c r="FV42" i="12"/>
  <c r="FV80" i="12"/>
  <c r="FV36" i="12"/>
  <c r="FV116" i="12"/>
  <c r="FV54" i="12"/>
  <c r="FV60" i="12"/>
  <c r="FV55" i="12"/>
  <c r="FV106" i="12"/>
  <c r="FV82" i="12"/>
  <c r="FV30" i="12"/>
  <c r="FV39" i="12"/>
  <c r="FV57" i="12"/>
  <c r="FV72" i="12"/>
  <c r="FV64" i="12"/>
  <c r="FV68" i="12"/>
  <c r="FV77" i="12"/>
  <c r="FV98" i="12"/>
  <c r="FV76" i="12"/>
  <c r="FV100" i="12"/>
  <c r="FV97" i="12"/>
  <c r="FV111" i="12"/>
  <c r="FV90" i="12"/>
  <c r="FV73" i="12"/>
  <c r="FV79" i="12"/>
  <c r="FV41" i="12"/>
  <c r="FV78" i="12"/>
  <c r="FV67" i="12"/>
  <c r="FV81" i="12"/>
  <c r="FV31" i="12"/>
  <c r="FV59" i="12"/>
  <c r="FV29" i="12"/>
  <c r="FV101" i="12"/>
  <c r="FV18" i="12"/>
  <c r="FV117" i="12"/>
  <c r="FV92" i="12"/>
  <c r="FV93" i="12"/>
  <c r="FV20" i="12"/>
  <c r="FV69" i="12"/>
  <c r="FV45" i="12"/>
  <c r="FV21" i="12"/>
  <c r="FV44" i="12"/>
  <c r="FK36" i="12"/>
  <c r="FK89" i="12"/>
  <c r="FK78" i="12"/>
  <c r="FK19" i="12"/>
  <c r="FK27" i="12"/>
  <c r="FK67" i="12"/>
  <c r="FK76" i="12"/>
  <c r="FK117" i="12"/>
  <c r="FK115" i="12"/>
  <c r="FK59" i="12"/>
  <c r="FK24" i="12"/>
  <c r="FK106" i="12"/>
  <c r="FK65" i="12"/>
  <c r="FK40" i="12"/>
  <c r="FK69" i="12"/>
  <c r="FK60" i="12"/>
  <c r="H6" i="12"/>
  <c r="F6" i="12"/>
  <c r="J74" i="11"/>
  <c r="AR9" i="12" s="1"/>
  <c r="AQ10" i="12"/>
  <c r="AM11" i="12"/>
  <c r="J5" i="12"/>
  <c r="H75" i="11"/>
  <c r="AN10" i="12" s="1"/>
  <c r="AM13" i="12"/>
  <c r="H77" i="11"/>
  <c r="AN12" i="12"/>
  <c r="N5" i="12"/>
  <c r="AM10" i="12"/>
  <c r="F5" i="12"/>
  <c r="H74" i="11"/>
  <c r="AN9" i="12"/>
  <c r="H5" i="12"/>
  <c r="L5" i="12"/>
  <c r="AM12" i="12"/>
  <c r="H76" i="11"/>
  <c r="AN11" i="12"/>
  <c r="FX23" i="12"/>
  <c r="FW23" i="12"/>
  <c r="A24" i="12"/>
  <c r="G8" i="7"/>
  <c r="I13" i="15"/>
  <c r="J8" i="51" s="1"/>
  <c r="J7" i="51"/>
  <c r="Z43" i="15"/>
  <c r="G7" i="7"/>
  <c r="J12" i="15"/>
  <c r="K4" i="51" s="1"/>
  <c r="E8" i="20"/>
  <c r="FX24" i="12"/>
  <c r="A25" i="12"/>
  <c r="FX25" i="12" s="1"/>
  <c r="FW24" i="12"/>
  <c r="A26" i="12"/>
  <c r="FX26" i="12"/>
  <c r="FW25" i="12"/>
  <c r="A27" i="12"/>
  <c r="FX27" i="12"/>
  <c r="FW26" i="12"/>
  <c r="A28" i="12"/>
  <c r="A29" i="12" s="1"/>
  <c r="A30" i="12"/>
  <c r="FW27" i="12"/>
  <c r="FX28" i="12"/>
  <c r="FW28" i="12"/>
  <c r="P2" i="44"/>
  <c r="B21" i="2"/>
  <c r="B28" i="2"/>
  <c r="B27" i="2"/>
  <c r="B10" i="2"/>
  <c r="B15" i="2"/>
  <c r="E7" i="2" a="1"/>
  <c r="E23" i="2" a="1"/>
  <c r="E16" i="2" a="1"/>
  <c r="E4" i="2" a="1"/>
  <c r="E8" i="2" a="1"/>
  <c r="E22" i="2" a="1"/>
  <c r="E14" i="2" a="1"/>
  <c r="E27" i="2" a="1"/>
  <c r="E24" i="2" a="1"/>
  <c r="E9" i="2" a="1"/>
  <c r="E6" i="2" a="1"/>
  <c r="E26" i="2" a="1"/>
  <c r="E19" i="2" a="1"/>
  <c r="E17" i="2" a="1"/>
  <c r="E12" i="2" a="1"/>
  <c r="E13" i="2" a="1"/>
  <c r="E11" i="2" a="1"/>
  <c r="E15" i="2" a="1"/>
  <c r="E5" i="2" a="1"/>
  <c r="E25" i="2" a="1"/>
  <c r="E21" i="2" a="1"/>
  <c r="E28" i="2" a="1"/>
  <c r="E20" i="2" a="1"/>
  <c r="E18" i="2" a="1"/>
  <c r="E10" i="2" a="1"/>
  <c r="X14" i="15" l="1"/>
  <c r="W14" i="15"/>
  <c r="G13" i="15"/>
  <c r="G8" i="51" s="1"/>
  <c r="V14" i="15"/>
  <c r="I14" i="15"/>
  <c r="J9" i="51" s="1"/>
  <c r="G9" i="7"/>
  <c r="B31" i="2"/>
  <c r="B33" i="2"/>
  <c r="B5" i="2"/>
  <c r="E10" i="2"/>
  <c r="F10" i="2" s="1"/>
  <c r="E18" i="2"/>
  <c r="F18" i="2" s="1"/>
  <c r="E20" i="2"/>
  <c r="F20" i="2" s="1"/>
  <c r="E28" i="2"/>
  <c r="F28" i="2" s="1"/>
  <c r="E21" i="2"/>
  <c r="F21" i="2" s="1"/>
  <c r="E25" i="2"/>
  <c r="F25" i="2" s="1"/>
  <c r="E5" i="2"/>
  <c r="F5" i="2" s="1"/>
  <c r="E15" i="2"/>
  <c r="F15" i="2" s="1"/>
  <c r="E11" i="2"/>
  <c r="F11" i="2" s="1"/>
  <c r="E13" i="2"/>
  <c r="F13" i="2" s="1"/>
  <c r="E12" i="2"/>
  <c r="F12" i="2" s="1"/>
  <c r="E17" i="2"/>
  <c r="F17" i="2" s="1"/>
  <c r="E19" i="2"/>
  <c r="F19" i="2" s="1"/>
  <c r="E26" i="2"/>
  <c r="F26" i="2" s="1"/>
  <c r="E6" i="2"/>
  <c r="F6" i="2" s="1"/>
  <c r="E9" i="2"/>
  <c r="F9" i="2" s="1"/>
  <c r="E24" i="2"/>
  <c r="F24" i="2" s="1"/>
  <c r="E27" i="2"/>
  <c r="F27" i="2" s="1"/>
  <c r="E14" i="2"/>
  <c r="F14" i="2" s="1"/>
  <c r="E22" i="2"/>
  <c r="F22" i="2" s="1"/>
  <c r="E8" i="2"/>
  <c r="F8" i="2" s="1"/>
  <c r="E4" i="2"/>
  <c r="F4" i="2" s="1"/>
  <c r="E16" i="2"/>
  <c r="F16" i="2" s="1"/>
  <c r="E23" i="2"/>
  <c r="F23" i="2" s="1"/>
  <c r="E7" i="2"/>
  <c r="F7" i="2" s="1"/>
  <c r="FW29" i="12"/>
  <c r="FX29" i="12"/>
  <c r="A31" i="12"/>
  <c r="FX30" i="12"/>
  <c r="FW30" i="12"/>
  <c r="C413" i="4"/>
  <c r="C414" i="4" s="1"/>
  <c r="C415" i="4" s="1"/>
  <c r="C416" i="4" s="1"/>
  <c r="C417" i="4" s="1"/>
  <c r="C418" i="4" s="1"/>
  <c r="C419" i="4" s="1"/>
  <c r="C420" i="4" s="1"/>
  <c r="C421" i="4" s="1"/>
  <c r="C422" i="4" s="1"/>
  <c r="C423" i="4" s="1"/>
  <c r="C424" i="4" s="1"/>
  <c r="C425" i="4" s="1"/>
  <c r="C426" i="4" s="1"/>
  <c r="C427" i="4" s="1"/>
  <c r="C428" i="4" s="1"/>
  <c r="C429" i="4" s="1"/>
  <c r="C430" i="4" s="1"/>
  <c r="C431" i="4" s="1"/>
  <c r="C432" i="4" s="1"/>
  <c r="C433" i="4" s="1"/>
  <c r="C434" i="4" s="1"/>
  <c r="C435" i="4" s="1"/>
  <c r="C436" i="4" s="1"/>
  <c r="C437" i="4" s="1"/>
  <c r="C438" i="4" s="1"/>
  <c r="C439" i="4" s="1"/>
  <c r="C440" i="4" s="1"/>
  <c r="C441" i="4" s="1"/>
  <c r="C442" i="4" s="1"/>
  <c r="C444" i="4" s="1"/>
  <c r="C445" i="4" s="1"/>
  <c r="C446" i="4" s="1"/>
  <c r="C447" i="4" s="1"/>
  <c r="C448" i="4" s="1"/>
  <c r="C449" i="4" s="1"/>
  <c r="C450" i="4" s="1"/>
  <c r="C451" i="4" s="1"/>
  <c r="C452" i="4" s="1"/>
  <c r="C393" i="4"/>
  <c r="C394" i="4" s="1"/>
  <c r="C395" i="4" s="1"/>
  <c r="C396" i="4" s="1"/>
  <c r="C397" i="4" s="1"/>
  <c r="C398" i="4" s="1"/>
  <c r="C399" i="4" s="1"/>
  <c r="C400" i="4" s="1"/>
  <c r="C402" i="4" s="1"/>
  <c r="C403" i="4" s="1"/>
  <c r="C404" i="4" s="1"/>
  <c r="C405" i="4" s="1"/>
  <c r="C406" i="4" s="1"/>
  <c r="C407" i="4" s="1"/>
  <c r="C408" i="4" s="1"/>
  <c r="C409" i="4" s="1"/>
  <c r="C410" i="4" s="1"/>
  <c r="C411" i="4" s="1"/>
  <c r="E53" i="14"/>
  <c r="G95" i="14"/>
  <c r="FK49" i="12"/>
  <c r="FK112" i="12"/>
  <c r="FK70" i="12"/>
  <c r="FK45" i="12"/>
  <c r="FK92" i="12"/>
  <c r="FK47" i="12"/>
  <c r="FK57" i="12"/>
  <c r="FK93" i="12"/>
  <c r="FK100" i="12"/>
  <c r="FK32" i="12"/>
  <c r="FK99" i="12"/>
  <c r="FK95" i="12"/>
  <c r="FK48" i="12"/>
  <c r="FK52" i="12"/>
  <c r="FK81" i="12"/>
  <c r="FK94" i="12"/>
  <c r="FK43" i="12"/>
  <c r="FK39" i="12"/>
  <c r="FK38" i="12"/>
  <c r="FK41" i="12"/>
  <c r="FK28" i="12"/>
  <c r="FK104" i="12"/>
  <c r="FK64" i="12"/>
  <c r="FK80" i="12"/>
  <c r="FK109" i="12"/>
  <c r="FK87" i="12"/>
  <c r="FK66" i="12"/>
  <c r="FK72" i="12"/>
  <c r="FK73" i="12"/>
  <c r="FK77" i="12"/>
  <c r="FK101" i="12"/>
  <c r="FK50" i="12"/>
  <c r="FK97" i="12"/>
  <c r="FK37" i="12"/>
  <c r="FK114" i="12"/>
  <c r="FK96" i="12"/>
  <c r="FK98" i="12"/>
  <c r="FK105" i="12"/>
  <c r="FK90" i="12"/>
  <c r="FK107" i="12"/>
  <c r="FK74" i="12"/>
  <c r="FK108" i="12"/>
  <c r="FK51" i="12"/>
  <c r="FK18" i="12"/>
  <c r="FK103" i="12"/>
  <c r="FK26" i="12"/>
  <c r="FK62" i="12"/>
  <c r="FK29" i="12"/>
  <c r="FK21" i="12"/>
  <c r="FK91" i="12"/>
  <c r="FK22" i="12"/>
  <c r="FK46" i="12"/>
  <c r="FK33" i="12"/>
  <c r="FK34" i="12"/>
  <c r="FK75" i="12"/>
  <c r="FK82" i="12"/>
  <c r="FK113" i="12"/>
  <c r="FK44" i="12"/>
  <c r="FK116" i="12"/>
  <c r="FK55" i="12"/>
  <c r="FK110" i="12"/>
  <c r="FK71" i="12"/>
  <c r="FK68" i="12"/>
  <c r="FK20" i="12"/>
  <c r="FK53" i="12"/>
  <c r="FK111" i="12"/>
  <c r="FK42" i="12"/>
  <c r="FK35" i="12"/>
  <c r="FK102" i="12"/>
  <c r="FK30" i="12"/>
  <c r="FK88" i="12"/>
  <c r="FK25" i="12"/>
  <c r="FK79" i="12"/>
  <c r="FK58" i="12"/>
  <c r="FK56" i="12"/>
  <c r="FK61" i="12"/>
  <c r="FK31" i="12"/>
  <c r="FK84" i="12"/>
  <c r="FK23" i="12"/>
  <c r="FK54" i="12"/>
  <c r="FK86" i="12"/>
  <c r="FK83" i="12"/>
  <c r="FK63" i="12"/>
  <c r="FK85" i="12"/>
  <c r="FC41" i="12"/>
  <c r="FC33" i="12"/>
  <c r="AL107" i="12"/>
  <c r="AL100" i="12"/>
  <c r="AL56" i="12"/>
  <c r="AL65" i="12"/>
  <c r="E20" i="14"/>
  <c r="AL27" i="12"/>
  <c r="AL53" i="12"/>
  <c r="AL104" i="12"/>
  <c r="AL78" i="12"/>
  <c r="AL113" i="12"/>
  <c r="AL108" i="12"/>
  <c r="AL45" i="12"/>
  <c r="AL117" i="12"/>
  <c r="AL59" i="12"/>
  <c r="AL63" i="12"/>
  <c r="AL34" i="12"/>
  <c r="AL19" i="12"/>
  <c r="AL81" i="12"/>
  <c r="AL112" i="12"/>
  <c r="AL40" i="12"/>
  <c r="AL99" i="12"/>
  <c r="AL67" i="12"/>
  <c r="AL77" i="12"/>
  <c r="AL61" i="12"/>
  <c r="AL114" i="12"/>
  <c r="AL36" i="12"/>
  <c r="AL95" i="12"/>
  <c r="AL70" i="12"/>
  <c r="AL111" i="12"/>
  <c r="AL37" i="12"/>
  <c r="AL89" i="12"/>
  <c r="AL42" i="12"/>
  <c r="AL98" i="12"/>
  <c r="AL115" i="12"/>
  <c r="AL47" i="12"/>
  <c r="AL109" i="12"/>
  <c r="AL74" i="12"/>
  <c r="AL48" i="12"/>
  <c r="AL57" i="12"/>
  <c r="AL66" i="12"/>
  <c r="AL94" i="12"/>
  <c r="AL82" i="12"/>
  <c r="AL85" i="12"/>
  <c r="AL87" i="12"/>
  <c r="AL35" i="12"/>
  <c r="AL110" i="12"/>
  <c r="AL83" i="12"/>
  <c r="AL97" i="12"/>
  <c r="AL68" i="12"/>
  <c r="AL105" i="12"/>
  <c r="AL72" i="12"/>
  <c r="AL96" i="12"/>
  <c r="AL46" i="12"/>
  <c r="AL31" i="12"/>
  <c r="AL80" i="12"/>
  <c r="AL29" i="12"/>
  <c r="AL93" i="12"/>
  <c r="AL75" i="12"/>
  <c r="AL86" i="12"/>
  <c r="AL49" i="12"/>
  <c r="AL23" i="12"/>
  <c r="AL21" i="12"/>
  <c r="AL84" i="12"/>
  <c r="AL101" i="12"/>
  <c r="AL50" i="12"/>
  <c r="AL52" i="12"/>
  <c r="AL88" i="12"/>
  <c r="AL92" i="12"/>
  <c r="AL44" i="12"/>
  <c r="AL39" i="12"/>
  <c r="AL41" i="12"/>
  <c r="AL33" i="12"/>
  <c r="AL51" i="12"/>
  <c r="I4" i="15"/>
  <c r="J4" i="17" s="1"/>
  <c r="AL91" i="12"/>
  <c r="AL55" i="12"/>
  <c r="AL62" i="12"/>
  <c r="AL73" i="12"/>
  <c r="AL79" i="12"/>
  <c r="AL32" i="12"/>
  <c r="AL20" i="12"/>
  <c r="AL76" i="12"/>
  <c r="AL58" i="12"/>
  <c r="AL71" i="12"/>
  <c r="AL60" i="12"/>
  <c r="FC24" i="12"/>
  <c r="FC81" i="12"/>
  <c r="FC68" i="12"/>
  <c r="FC60" i="12"/>
  <c r="FC42" i="12"/>
  <c r="FC31" i="12"/>
  <c r="FC103" i="12"/>
  <c r="FC76" i="12"/>
  <c r="FC99" i="12"/>
  <c r="FC95" i="12"/>
  <c r="FC74" i="12"/>
  <c r="FC77" i="12"/>
  <c r="FC67" i="12"/>
  <c r="FC80" i="12"/>
  <c r="FC104" i="12"/>
  <c r="FC27" i="12"/>
  <c r="FC51" i="12"/>
  <c r="FC26" i="12"/>
  <c r="FC52" i="12"/>
  <c r="FC44" i="12"/>
  <c r="FC96" i="12"/>
  <c r="FC91" i="12"/>
  <c r="FC93" i="12"/>
  <c r="FC25" i="12"/>
  <c r="FC50" i="12"/>
  <c r="FC32" i="12"/>
  <c r="FC48" i="12"/>
  <c r="FC40" i="12"/>
  <c r="FC106" i="12"/>
  <c r="FC98" i="12"/>
  <c r="FC92" i="12"/>
  <c r="FC69" i="12"/>
  <c r="FC78" i="12"/>
  <c r="FC83" i="12"/>
  <c r="FC107" i="12"/>
  <c r="FC79" i="12"/>
  <c r="FC105" i="12"/>
  <c r="FC46" i="12"/>
  <c r="FC18" i="12"/>
  <c r="FC90" i="12"/>
  <c r="FC45" i="12"/>
  <c r="FC109" i="12"/>
  <c r="FC115" i="12"/>
  <c r="FC57" i="12"/>
  <c r="FC38" i="12"/>
  <c r="FC64" i="12"/>
  <c r="FC101" i="12"/>
  <c r="FC116" i="12"/>
  <c r="FC100" i="12"/>
  <c r="FC21" i="12"/>
  <c r="FC62" i="12"/>
  <c r="FC56" i="12"/>
  <c r="FC113" i="12"/>
  <c r="FC112" i="12"/>
  <c r="FC71" i="12"/>
  <c r="FC84" i="12"/>
  <c r="FC34" i="12"/>
  <c r="FC29" i="12"/>
  <c r="G87" i="14"/>
  <c r="FC73" i="12"/>
  <c r="FC86" i="12"/>
  <c r="FC55" i="12"/>
  <c r="FC36" i="12"/>
  <c r="FC102" i="12"/>
  <c r="FC54" i="12"/>
  <c r="FC30" i="12"/>
  <c r="FC43" i="12"/>
  <c r="FC97" i="12"/>
  <c r="FC87" i="12"/>
  <c r="FC88" i="12"/>
  <c r="FC85" i="12"/>
  <c r="FC35" i="12"/>
  <c r="FC111" i="12"/>
  <c r="FC82" i="12"/>
  <c r="FC37" i="12"/>
  <c r="FC63" i="12"/>
  <c r="FC65" i="12"/>
  <c r="FC23" i="12"/>
  <c r="FC94" i="12"/>
  <c r="FC53" i="12"/>
  <c r="FC49" i="12"/>
  <c r="FC72" i="12"/>
  <c r="FC61" i="12"/>
  <c r="FC59" i="12"/>
  <c r="FC114" i="12"/>
  <c r="FC20" i="12"/>
  <c r="FC70" i="12"/>
  <c r="FC66" i="12"/>
  <c r="FC89" i="12"/>
  <c r="FC58" i="12"/>
  <c r="FC28" i="12"/>
  <c r="FE39" i="12"/>
  <c r="FE51" i="12"/>
  <c r="FE31" i="12"/>
  <c r="FE70" i="12"/>
  <c r="FE111" i="12"/>
  <c r="FE25" i="12"/>
  <c r="FE58" i="12"/>
  <c r="FE93" i="12"/>
  <c r="G89" i="14"/>
  <c r="FE55" i="12"/>
  <c r="FE53" i="12"/>
  <c r="FE78" i="12"/>
  <c r="FE92" i="12"/>
  <c r="FE63" i="12"/>
  <c r="FE82" i="12"/>
  <c r="FE36" i="12"/>
  <c r="FE30" i="12"/>
  <c r="FE87" i="12"/>
  <c r="FE86" i="12"/>
  <c r="FE110" i="12"/>
  <c r="FE19" i="12"/>
  <c r="FE83" i="12"/>
  <c r="FE42" i="12"/>
  <c r="FE67" i="12"/>
  <c r="FE60" i="12"/>
  <c r="FE101" i="12"/>
  <c r="FE43" i="12"/>
  <c r="FE48" i="12"/>
  <c r="FE79" i="12"/>
  <c r="FE52" i="12"/>
  <c r="FE102" i="12"/>
  <c r="FE62" i="12"/>
  <c r="FE103" i="12"/>
  <c r="FE46" i="12"/>
  <c r="FE65" i="12"/>
  <c r="FE73" i="12"/>
  <c r="FE98" i="12"/>
  <c r="FE97" i="12"/>
  <c r="FE45" i="12"/>
  <c r="FE64" i="12"/>
  <c r="FE26" i="12"/>
  <c r="FE71" i="12"/>
  <c r="FE32" i="12"/>
  <c r="FE47" i="12"/>
  <c r="FE68" i="12"/>
  <c r="FE115" i="12"/>
  <c r="FE29" i="12"/>
  <c r="FE84" i="12"/>
  <c r="FE40" i="12"/>
  <c r="FE28" i="12"/>
  <c r="FE59" i="12"/>
  <c r="FE108" i="12"/>
  <c r="FE91" i="12"/>
  <c r="FE106" i="12"/>
  <c r="FE107" i="12"/>
  <c r="FE90" i="12"/>
  <c r="FE117" i="12"/>
  <c r="FE23" i="12"/>
  <c r="FE56" i="12"/>
  <c r="FE89" i="12"/>
  <c r="FE22" i="12"/>
  <c r="FE54" i="12"/>
  <c r="FE21" i="12"/>
  <c r="FE35" i="12"/>
  <c r="FE96" i="12"/>
  <c r="FE18" i="12"/>
  <c r="FE66" i="12"/>
  <c r="FE112" i="12"/>
  <c r="FE72" i="12"/>
  <c r="FE114" i="12"/>
  <c r="FE88" i="12"/>
  <c r="FE80" i="12"/>
  <c r="FE69" i="12"/>
  <c r="FE94" i="12"/>
  <c r="FE109" i="12"/>
  <c r="FT70" i="12"/>
  <c r="FT102" i="12"/>
  <c r="FT38" i="12"/>
  <c r="FT20" i="12"/>
  <c r="FT54" i="12"/>
  <c r="FT32" i="12"/>
  <c r="FT28" i="12"/>
  <c r="FT86" i="12"/>
  <c r="FT31" i="12"/>
  <c r="FT55" i="12"/>
  <c r="FT35" i="12"/>
  <c r="FT89" i="12"/>
  <c r="FT114" i="12"/>
  <c r="FT110" i="12"/>
  <c r="FT103" i="12"/>
  <c r="FT85" i="12"/>
  <c r="FT46" i="12"/>
  <c r="FT49" i="12"/>
  <c r="FT105" i="12"/>
  <c r="FT36" i="12"/>
  <c r="FT27" i="12"/>
  <c r="FT22" i="12"/>
  <c r="FT51" i="12"/>
  <c r="FT80" i="12"/>
  <c r="FT101" i="12"/>
  <c r="FT40" i="12"/>
  <c r="FT18" i="12"/>
  <c r="FT112" i="12"/>
  <c r="FT56" i="12"/>
  <c r="FT24" i="12"/>
  <c r="FT52" i="12"/>
  <c r="FT30" i="12"/>
  <c r="FT41" i="12"/>
  <c r="FT100" i="12"/>
  <c r="FB30" i="12"/>
  <c r="EZ30" i="12" s="1"/>
  <c r="FB72" i="12"/>
  <c r="EZ72" i="12" s="1"/>
  <c r="FB94" i="12"/>
  <c r="EZ94" i="12" s="1"/>
  <c r="FB114" i="12"/>
  <c r="EZ114" i="12" s="1"/>
  <c r="FB91" i="12"/>
  <c r="EZ91" i="12" s="1"/>
  <c r="FB71" i="12"/>
  <c r="EZ71" i="12" s="1"/>
  <c r="FB58" i="12"/>
  <c r="EZ58" i="12" s="1"/>
  <c r="FB92" i="12"/>
  <c r="EZ92" i="12" s="1"/>
  <c r="FB69" i="12"/>
  <c r="EZ69" i="12" s="1"/>
  <c r="FB89" i="12"/>
  <c r="EZ89" i="12" s="1"/>
  <c r="D44" i="14"/>
  <c r="FB20" i="12"/>
  <c r="EZ20" i="12" s="1"/>
  <c r="FB104" i="12"/>
  <c r="EZ104" i="12" s="1"/>
  <c r="FB103" i="12"/>
  <c r="EZ103" i="12" s="1"/>
  <c r="FB102" i="12"/>
  <c r="EZ102" i="12" s="1"/>
  <c r="FB73" i="12"/>
  <c r="EZ73" i="12" s="1"/>
  <c r="FB96" i="12"/>
  <c r="EZ96" i="12" s="1"/>
  <c r="FB79" i="12"/>
  <c r="EZ79" i="12" s="1"/>
  <c r="FB29" i="12"/>
  <c r="EZ29" i="12" s="1"/>
  <c r="FB55" i="12"/>
  <c r="EZ55" i="12" s="1"/>
  <c r="FB26" i="12"/>
  <c r="EZ26" i="12" s="1"/>
  <c r="FB99" i="12"/>
  <c r="EZ99" i="12" s="1"/>
  <c r="FB27" i="12"/>
  <c r="EZ27" i="12" s="1"/>
  <c r="FB57" i="12"/>
  <c r="EZ57" i="12" s="1"/>
  <c r="FB65" i="12"/>
  <c r="EZ65" i="12" s="1"/>
  <c r="FB70" i="12"/>
  <c r="EZ70" i="12" s="1"/>
  <c r="G86" i="14"/>
  <c r="FB82" i="12"/>
  <c r="EZ82" i="12" s="1"/>
  <c r="FB41" i="12"/>
  <c r="EZ41" i="12" s="1"/>
  <c r="FB23" i="12"/>
  <c r="EZ23" i="12" s="1"/>
  <c r="FB56" i="12"/>
  <c r="EZ56" i="12" s="1"/>
  <c r="FB85" i="12"/>
  <c r="EZ85" i="12" s="1"/>
  <c r="FB48" i="12"/>
  <c r="EZ48" i="12" s="1"/>
  <c r="FB22" i="12"/>
  <c r="EZ22" i="12" s="1"/>
  <c r="FB64" i="12"/>
  <c r="EZ64" i="12" s="1"/>
  <c r="FB105" i="12"/>
  <c r="EZ105" i="12" s="1"/>
  <c r="FB78" i="12"/>
  <c r="EZ78" i="12" s="1"/>
  <c r="FB80" i="12"/>
  <c r="EZ80" i="12" s="1"/>
  <c r="FB24" i="12"/>
  <c r="EZ24" i="12" s="1"/>
  <c r="FB32" i="12"/>
  <c r="EZ32" i="12" s="1"/>
  <c r="FB110" i="12"/>
  <c r="EZ110" i="12" s="1"/>
  <c r="FB21" i="12"/>
  <c r="EZ21" i="12" s="1"/>
  <c r="FB75" i="12"/>
  <c r="EZ75" i="12" s="1"/>
  <c r="FB42" i="12"/>
  <c r="EZ42" i="12" s="1"/>
  <c r="FB84" i="12"/>
  <c r="EZ84" i="12" s="1"/>
  <c r="FB53" i="12"/>
  <c r="EZ53" i="12" s="1"/>
  <c r="FB33" i="12"/>
  <c r="EZ33" i="12" s="1"/>
  <c r="FB46" i="12"/>
  <c r="EZ46" i="12" s="1"/>
  <c r="FB108" i="12"/>
  <c r="EZ108" i="12" s="1"/>
  <c r="FB95" i="12"/>
  <c r="EZ95" i="12" s="1"/>
  <c r="FB86" i="12"/>
  <c r="EZ86" i="12" s="1"/>
  <c r="FB100" i="12"/>
  <c r="EZ100" i="12" s="1"/>
  <c r="FB35" i="12"/>
  <c r="EZ35" i="12" s="1"/>
  <c r="FB97" i="12"/>
  <c r="EZ97" i="12" s="1"/>
  <c r="FB45" i="12"/>
  <c r="EZ45" i="12" s="1"/>
  <c r="FB49" i="12"/>
  <c r="EZ49" i="12" s="1"/>
  <c r="FB40" i="12"/>
  <c r="EZ40" i="12" s="1"/>
  <c r="FB109" i="12"/>
  <c r="EZ109" i="12" s="1"/>
  <c r="FB81" i="12"/>
  <c r="EZ81" i="12" s="1"/>
  <c r="FB66" i="12"/>
  <c r="EZ66" i="12" s="1"/>
  <c r="FB74" i="12"/>
  <c r="EZ74" i="12" s="1"/>
  <c r="FB67" i="12"/>
  <c r="EZ67" i="12" s="1"/>
  <c r="FB93" i="12"/>
  <c r="EZ93" i="12" s="1"/>
  <c r="FB112" i="12"/>
  <c r="EZ112" i="12" s="1"/>
  <c r="FB61" i="12"/>
  <c r="EZ61" i="12" s="1"/>
  <c r="FB117" i="12"/>
  <c r="EZ117" i="12" s="1"/>
  <c r="FB68" i="12"/>
  <c r="EZ68" i="12" s="1"/>
  <c r="FB47" i="12"/>
  <c r="EZ47" i="12" s="1"/>
  <c r="FB54" i="12"/>
  <c r="EZ54" i="12" s="1"/>
  <c r="FB111" i="12"/>
  <c r="EZ111" i="12" s="1"/>
  <c r="FB83" i="12"/>
  <c r="EZ83" i="12" s="1"/>
  <c r="FB38" i="12"/>
  <c r="EZ38" i="12" s="1"/>
  <c r="FB44" i="12"/>
  <c r="EZ44" i="12" s="1"/>
  <c r="FB50" i="12"/>
  <c r="EZ50" i="12" s="1"/>
  <c r="FB60" i="12"/>
  <c r="EZ60" i="12" s="1"/>
  <c r="FB63" i="12"/>
  <c r="EZ63" i="12" s="1"/>
  <c r="FB52" i="12"/>
  <c r="EZ52" i="12" s="1"/>
  <c r="FB25" i="12"/>
  <c r="EZ25" i="12" s="1"/>
  <c r="FB106" i="12"/>
  <c r="EZ106" i="12" s="1"/>
  <c r="FB77" i="12"/>
  <c r="EZ77" i="12" s="1"/>
  <c r="FB18" i="12"/>
  <c r="EZ18" i="12" s="1"/>
  <c r="FB39" i="12"/>
  <c r="EZ39" i="12" s="1"/>
  <c r="FB88" i="12"/>
  <c r="EZ88" i="12" s="1"/>
  <c r="FB19" i="12"/>
  <c r="EZ19" i="12" s="1"/>
  <c r="FB43" i="12"/>
  <c r="EZ43" i="12" s="1"/>
  <c r="FB101" i="12"/>
  <c r="EZ101" i="12" s="1"/>
  <c r="FB36" i="12"/>
  <c r="EZ36" i="12" s="1"/>
  <c r="FB76" i="12"/>
  <c r="EZ76" i="12" s="1"/>
  <c r="FB37" i="12"/>
  <c r="EZ37" i="12" s="1"/>
  <c r="FB116" i="12"/>
  <c r="EZ116" i="12" s="1"/>
  <c r="FB90" i="12"/>
  <c r="EZ90" i="12" s="1"/>
  <c r="FB28" i="12"/>
  <c r="EZ28" i="12" s="1"/>
  <c r="AO13" i="12"/>
  <c r="AP18" i="12" s="1"/>
  <c r="AR18" i="12" s="1"/>
  <c r="AP13" i="12"/>
  <c r="AS13" i="12" s="1"/>
  <c r="AQ18" i="12" s="1"/>
  <c r="AS18" i="12" s="1"/>
  <c r="AM36" i="12"/>
  <c r="AM34" i="12"/>
  <c r="AM109" i="12"/>
  <c r="AM77" i="12"/>
  <c r="AM64" i="12"/>
  <c r="AM44" i="12"/>
  <c r="AM59" i="12"/>
  <c r="AM69" i="12"/>
  <c r="AM19" i="12"/>
  <c r="AM114" i="12"/>
  <c r="AM45" i="12"/>
  <c r="AM90" i="12"/>
  <c r="AM102" i="12"/>
  <c r="AM65" i="12"/>
  <c r="AM39" i="12"/>
  <c r="AM40" i="12"/>
  <c r="AM26" i="12"/>
  <c r="AM106" i="12"/>
  <c r="AM105" i="12"/>
  <c r="AM100" i="12"/>
  <c r="AM61" i="12"/>
  <c r="AM54" i="12"/>
  <c r="AM116" i="12"/>
  <c r="AM22" i="12"/>
  <c r="AM52" i="12"/>
  <c r="AM37" i="12"/>
  <c r="AM67" i="12"/>
  <c r="AM66" i="12"/>
  <c r="AM48" i="12"/>
  <c r="AM53" i="12"/>
  <c r="AM89" i="12"/>
  <c r="AM51" i="12"/>
  <c r="AM50" i="12"/>
  <c r="AM32" i="12"/>
  <c r="AM43" i="12"/>
  <c r="AM63" i="12"/>
  <c r="AM20" i="12"/>
  <c r="AM57" i="12"/>
  <c r="AM42" i="12"/>
  <c r="E41" i="14"/>
  <c r="F53" i="14" s="1"/>
  <c r="AM80" i="12"/>
  <c r="AM35" i="12"/>
  <c r="AM46" i="12"/>
  <c r="AM95" i="12"/>
  <c r="AM55" i="12"/>
  <c r="AM87" i="12"/>
  <c r="AM111" i="12"/>
  <c r="AM117" i="12"/>
  <c r="AM108" i="12"/>
  <c r="AM86" i="12"/>
  <c r="AM74" i="12"/>
  <c r="AM115" i="12"/>
  <c r="AM112" i="12"/>
  <c r="AP42" i="12"/>
  <c r="AR42" i="12" s="1"/>
  <c r="AK42" i="12"/>
  <c r="AM72" i="12"/>
  <c r="AM30" i="12"/>
  <c r="X29" i="8"/>
  <c r="X30" i="8" s="1"/>
  <c r="H99" i="14"/>
  <c r="F99" i="14"/>
  <c r="G15" i="7"/>
  <c r="G45" i="7" s="1"/>
  <c r="F45" i="7"/>
  <c r="E45" i="7" s="1"/>
  <c r="AP36" i="12"/>
  <c r="AR36" i="12" s="1"/>
  <c r="N12" i="12"/>
  <c r="N10" i="12"/>
  <c r="N13" i="12"/>
  <c r="AM27" i="12"/>
  <c r="AM91" i="12"/>
  <c r="AM107" i="12"/>
  <c r="AM98" i="12"/>
  <c r="V16" i="15"/>
  <c r="V38" i="15"/>
  <c r="FD95" i="12"/>
  <c r="FD104" i="12"/>
  <c r="FD107" i="12"/>
  <c r="FD20" i="12"/>
  <c r="FD80" i="12"/>
  <c r="FD63" i="12"/>
  <c r="FD112" i="12"/>
  <c r="FD51" i="12"/>
  <c r="FD26" i="12"/>
  <c r="FD44" i="12"/>
  <c r="FD58" i="12"/>
  <c r="FD91" i="12"/>
  <c r="FD101" i="12"/>
  <c r="FD31" i="12"/>
  <c r="FD67" i="12"/>
  <c r="FD38" i="12"/>
  <c r="FD62" i="12"/>
  <c r="G88" i="14"/>
  <c r="FD71" i="12"/>
  <c r="FD114" i="12"/>
  <c r="FD105" i="12"/>
  <c r="FD30" i="12"/>
  <c r="FD93" i="12"/>
  <c r="FD78" i="12"/>
  <c r="FD42" i="12"/>
  <c r="FD65" i="12"/>
  <c r="FD89" i="12"/>
  <c r="FD18" i="12"/>
  <c r="FD21" i="12"/>
  <c r="FD57" i="12"/>
  <c r="FD74" i="12"/>
  <c r="FD24" i="12"/>
  <c r="FD103" i="12"/>
  <c r="FD28" i="12"/>
  <c r="FD82" i="12"/>
  <c r="F80" i="8"/>
  <c r="H79" i="8"/>
  <c r="H80" i="8" s="1"/>
  <c r="FR21" i="12"/>
  <c r="FR60" i="12"/>
  <c r="FR107" i="12"/>
  <c r="FR40" i="12"/>
  <c r="FD55" i="12"/>
  <c r="FD97" i="12"/>
  <c r="FD117" i="12"/>
  <c r="FD73" i="12"/>
  <c r="FD25" i="12"/>
  <c r="D51" i="7"/>
  <c r="AM73" i="12"/>
  <c r="AM104" i="12"/>
  <c r="AM81" i="12"/>
  <c r="AM78" i="12"/>
  <c r="AM110" i="12"/>
  <c r="FR31" i="12"/>
  <c r="FR82" i="12"/>
  <c r="FD46" i="12"/>
  <c r="FD33" i="12"/>
  <c r="FD43" i="12"/>
  <c r="FD60" i="12"/>
  <c r="FD77" i="12"/>
  <c r="AM56" i="12"/>
  <c r="AM68" i="12"/>
  <c r="AM71" i="12"/>
  <c r="AM76" i="12"/>
  <c r="AM101" i="12"/>
  <c r="AQ110" i="12"/>
  <c r="AS110" i="12" s="1"/>
  <c r="AK38" i="12"/>
  <c r="F90" i="14"/>
  <c r="AG1" i="12"/>
  <c r="O5" i="14" s="1"/>
  <c r="AE1" i="12"/>
  <c r="O4" i="14" s="1"/>
  <c r="AK83" i="12"/>
  <c r="FA109" i="12" l="1"/>
  <c r="FA22" i="12"/>
  <c r="FA51" i="12"/>
  <c r="FA39" i="12"/>
  <c r="W16" i="15"/>
  <c r="W38" i="15"/>
  <c r="FA111" i="12"/>
  <c r="X38" i="15"/>
  <c r="X16" i="15"/>
  <c r="AU107" i="12"/>
  <c r="AU18" i="12"/>
  <c r="AU99" i="12"/>
  <c r="AU92" i="12"/>
  <c r="AU114" i="12"/>
  <c r="AU103" i="12"/>
  <c r="AU105" i="12"/>
  <c r="AU29" i="12"/>
  <c r="AU78" i="12"/>
  <c r="AU75" i="12"/>
  <c r="AU85" i="12"/>
  <c r="AU26" i="12"/>
  <c r="AU53" i="12"/>
  <c r="AU68" i="12"/>
  <c r="AU93" i="12"/>
  <c r="AU81" i="12"/>
  <c r="AU25" i="12"/>
  <c r="AU104" i="12"/>
  <c r="AU115" i="12"/>
  <c r="AU67" i="12"/>
  <c r="AU101" i="12"/>
  <c r="AU60" i="12"/>
  <c r="AU83" i="12"/>
  <c r="AU47" i="12"/>
  <c r="AU109" i="12"/>
  <c r="AU19" i="12"/>
  <c r="AU32" i="12"/>
  <c r="AU20" i="12"/>
  <c r="AU102" i="12"/>
  <c r="AU70" i="12"/>
  <c r="AU113" i="12"/>
  <c r="AU106" i="12"/>
  <c r="AU80" i="12"/>
  <c r="AU66" i="12"/>
  <c r="AU22" i="12"/>
  <c r="AU42" i="12"/>
  <c r="AU82" i="12"/>
  <c r="AU89" i="12"/>
  <c r="AU112" i="12"/>
  <c r="AU76" i="12"/>
  <c r="AU71" i="12"/>
  <c r="AU36" i="12"/>
  <c r="AU45" i="12"/>
  <c r="AU54" i="12"/>
  <c r="AU30" i="12"/>
  <c r="AU61" i="12"/>
  <c r="AU34" i="12"/>
  <c r="AU84" i="12"/>
  <c r="AU49" i="12"/>
  <c r="AU69" i="12"/>
  <c r="AU74" i="12"/>
  <c r="AU88" i="12"/>
  <c r="AU38" i="12"/>
  <c r="AU27" i="12"/>
  <c r="AU110" i="12"/>
  <c r="AU44" i="12"/>
  <c r="AU52" i="12"/>
  <c r="AU91" i="12"/>
  <c r="AU57" i="12"/>
  <c r="AU35" i="12"/>
  <c r="AU55" i="12"/>
  <c r="AU65" i="12"/>
  <c r="AU23" i="12"/>
  <c r="AU48" i="12"/>
  <c r="AU46" i="12"/>
  <c r="AU63" i="12"/>
  <c r="AU43" i="12"/>
  <c r="AU94" i="12"/>
  <c r="AU31" i="12"/>
  <c r="AU50" i="12"/>
  <c r="AU97" i="12"/>
  <c r="AU90" i="12"/>
  <c r="AU111" i="12"/>
  <c r="AU73" i="12"/>
  <c r="AU79" i="12"/>
  <c r="AU62" i="12"/>
  <c r="AU117" i="12"/>
  <c r="AU87" i="12"/>
  <c r="AU59" i="12"/>
  <c r="AU64" i="12"/>
  <c r="AU39" i="12"/>
  <c r="AU28" i="12"/>
  <c r="AU56" i="12"/>
  <c r="AU86" i="12"/>
  <c r="AU72" i="12"/>
  <c r="AU51" i="12"/>
  <c r="AU33" i="12"/>
  <c r="AU37" i="12"/>
  <c r="AU96" i="12"/>
  <c r="AU116" i="12"/>
  <c r="AU24" i="12"/>
  <c r="AU77" i="12"/>
  <c r="AU58" i="12"/>
  <c r="AU95" i="12"/>
  <c r="AU41" i="12"/>
  <c r="AU40" i="12"/>
  <c r="AU21" i="12"/>
  <c r="AU98" i="12"/>
  <c r="AU108" i="12"/>
  <c r="AU100" i="12"/>
  <c r="FF94" i="12"/>
  <c r="FF71" i="12"/>
  <c r="FF72" i="12"/>
  <c r="FF37" i="12"/>
  <c r="FF116" i="12"/>
  <c r="FF92" i="12"/>
  <c r="FF97" i="12"/>
  <c r="FF114" i="12"/>
  <c r="FF78" i="12"/>
  <c r="FF101" i="12"/>
  <c r="FF45" i="12"/>
  <c r="FF82" i="12"/>
  <c r="FF59" i="12"/>
  <c r="FF18" i="12"/>
  <c r="FF25" i="12"/>
  <c r="FF35" i="12"/>
  <c r="FF27" i="12"/>
  <c r="FF73" i="12"/>
  <c r="FF104" i="12"/>
  <c r="FF100" i="12"/>
  <c r="FF108" i="12"/>
  <c r="FF48" i="12"/>
  <c r="FF38" i="12"/>
  <c r="FF56" i="12"/>
  <c r="FF84" i="12"/>
  <c r="FF91" i="12"/>
  <c r="FF51" i="12"/>
  <c r="FF21" i="12"/>
  <c r="FF86" i="12"/>
  <c r="FF50" i="12"/>
  <c r="FF96" i="12"/>
  <c r="FF88" i="12"/>
  <c r="D46" i="14"/>
  <c r="FF79" i="12"/>
  <c r="FF109" i="12"/>
  <c r="FF31" i="12"/>
  <c r="FF95" i="12"/>
  <c r="FF85" i="12"/>
  <c r="FF107" i="12"/>
  <c r="FF24" i="12"/>
  <c r="FF41" i="12"/>
  <c r="FF113" i="12"/>
  <c r="FF60" i="12"/>
  <c r="FF19" i="12"/>
  <c r="FF106" i="12"/>
  <c r="FF46" i="12"/>
  <c r="FF87" i="12"/>
  <c r="FF61" i="12"/>
  <c r="FF83" i="12"/>
  <c r="FF64" i="12"/>
  <c r="FF62" i="12"/>
  <c r="FF40" i="12"/>
  <c r="FF34" i="12"/>
  <c r="FF20" i="12"/>
  <c r="FF103" i="12"/>
  <c r="FF58" i="12"/>
  <c r="FF43" i="12"/>
  <c r="FF112" i="12"/>
  <c r="FF68" i="12"/>
  <c r="FF49" i="12"/>
  <c r="FF39" i="12"/>
  <c r="FF47" i="12"/>
  <c r="FF63" i="12"/>
  <c r="FF32" i="12"/>
  <c r="FF102" i="12"/>
  <c r="FF53" i="12"/>
  <c r="FF69" i="12"/>
  <c r="FF54" i="12"/>
  <c r="G90" i="14"/>
  <c r="FF90" i="12"/>
  <c r="FF77" i="12"/>
  <c r="FF36" i="12"/>
  <c r="FF22" i="12"/>
  <c r="FF29" i="12"/>
  <c r="FF81" i="12"/>
  <c r="FF89" i="12"/>
  <c r="FF57" i="12"/>
  <c r="FF117" i="12"/>
  <c r="FF115" i="12"/>
  <c r="FF98" i="12"/>
  <c r="FF65" i="12"/>
  <c r="FF80" i="12"/>
  <c r="FF99" i="12"/>
  <c r="FF67" i="12"/>
  <c r="FF33" i="12"/>
  <c r="FF44" i="12"/>
  <c r="FF23" i="12"/>
  <c r="FF28" i="12"/>
  <c r="FF42" i="12"/>
  <c r="FF110" i="12"/>
  <c r="FF30" i="12"/>
  <c r="FF111" i="12"/>
  <c r="FF76" i="12"/>
  <c r="FF105" i="12"/>
  <c r="FF75" i="12"/>
  <c r="FF74" i="12"/>
  <c r="FF26" i="12"/>
  <c r="FF55" i="12"/>
  <c r="FF66" i="12"/>
  <c r="FF52" i="12"/>
  <c r="FF93" i="12"/>
  <c r="FF70" i="12"/>
  <c r="FA19" i="12"/>
  <c r="FA38" i="12"/>
  <c r="FA66" i="12"/>
  <c r="FA46" i="12"/>
  <c r="FA105" i="12"/>
  <c r="FA57" i="12"/>
  <c r="FA20" i="12"/>
  <c r="H23" i="2"/>
  <c r="G23" i="2"/>
  <c r="G17" i="2"/>
  <c r="H17" i="2"/>
  <c r="FA88" i="12"/>
  <c r="FA83" i="12"/>
  <c r="FA81" i="12"/>
  <c r="FA33" i="12"/>
  <c r="FA64" i="12"/>
  <c r="FA27" i="12"/>
  <c r="F44" i="14"/>
  <c r="E44" i="14"/>
  <c r="G16" i="2"/>
  <c r="H16" i="2"/>
  <c r="G12" i="2"/>
  <c r="H12" i="2"/>
  <c r="FO61" i="12"/>
  <c r="FO26" i="12"/>
  <c r="FO103" i="12"/>
  <c r="FO28" i="12"/>
  <c r="FO55" i="12"/>
  <c r="FO34" i="12"/>
  <c r="FO113" i="12"/>
  <c r="FO53" i="12"/>
  <c r="FO23" i="12"/>
  <c r="FO27" i="12"/>
  <c r="FO69" i="12"/>
  <c r="FO57" i="12"/>
  <c r="FO65" i="12"/>
  <c r="FO52" i="12"/>
  <c r="FO112" i="12"/>
  <c r="FO33" i="12"/>
  <c r="FO107" i="12"/>
  <c r="FO48" i="12"/>
  <c r="FO29" i="12"/>
  <c r="FO22" i="12"/>
  <c r="FO90" i="12"/>
  <c r="FO38" i="12"/>
  <c r="FO106" i="12"/>
  <c r="FO89" i="12"/>
  <c r="FO18" i="12"/>
  <c r="FO109" i="12"/>
  <c r="FO72" i="12"/>
  <c r="FO66" i="12"/>
  <c r="FO76" i="12"/>
  <c r="FO40" i="12"/>
  <c r="FO95" i="12"/>
  <c r="FO45" i="12"/>
  <c r="FO93" i="12"/>
  <c r="FO21" i="12"/>
  <c r="G99" i="14"/>
  <c r="FO42" i="12"/>
  <c r="FO75" i="12"/>
  <c r="FO105" i="12"/>
  <c r="FO68" i="12"/>
  <c r="FO24" i="12"/>
  <c r="FO86" i="12"/>
  <c r="FO49" i="12"/>
  <c r="FO25" i="12"/>
  <c r="FO43" i="12"/>
  <c r="FO37" i="12"/>
  <c r="FO31" i="12"/>
  <c r="FO102" i="12"/>
  <c r="FO67" i="12"/>
  <c r="FO77" i="12"/>
  <c r="FO54" i="12"/>
  <c r="FO50" i="12"/>
  <c r="FO60" i="12"/>
  <c r="FO92" i="12"/>
  <c r="FO84" i="12"/>
  <c r="FO44" i="12"/>
  <c r="FO101" i="12"/>
  <c r="FO114" i="12"/>
  <c r="FO58" i="12"/>
  <c r="FO62" i="12"/>
  <c r="FO73" i="12"/>
  <c r="FO70" i="12"/>
  <c r="FO81" i="12"/>
  <c r="FO110" i="12"/>
  <c r="FO83" i="12"/>
  <c r="FO56" i="12"/>
  <c r="FO36" i="12"/>
  <c r="FO74" i="12"/>
  <c r="FO46" i="12"/>
  <c r="FO79" i="12"/>
  <c r="FO35" i="12"/>
  <c r="FO100" i="12"/>
  <c r="FO116" i="12"/>
  <c r="FO39" i="12"/>
  <c r="FO96" i="12"/>
  <c r="FO98" i="12"/>
  <c r="FO47" i="12"/>
  <c r="FO85" i="12"/>
  <c r="FO88" i="12"/>
  <c r="FO19" i="12"/>
  <c r="FO99" i="12"/>
  <c r="FO63" i="12"/>
  <c r="FO108" i="12"/>
  <c r="FO59" i="12"/>
  <c r="FO94" i="12"/>
  <c r="FO64" i="12"/>
  <c r="FO80" i="12"/>
  <c r="FO104" i="12"/>
  <c r="FO51" i="12"/>
  <c r="FO32" i="12"/>
  <c r="FO115" i="12"/>
  <c r="FO20" i="12"/>
  <c r="FO71" i="12"/>
  <c r="FO30" i="12"/>
  <c r="FO117" i="12"/>
  <c r="FO87" i="12"/>
  <c r="FO91" i="12"/>
  <c r="FO97" i="12"/>
  <c r="FO41" i="12"/>
  <c r="FO111" i="12"/>
  <c r="FO78" i="12"/>
  <c r="FO82" i="12"/>
  <c r="H13" i="2"/>
  <c r="G13" i="2"/>
  <c r="FA62" i="12"/>
  <c r="FA31" i="12"/>
  <c r="FA34" i="12"/>
  <c r="FA87" i="12"/>
  <c r="FA18" i="12"/>
  <c r="FA107" i="12"/>
  <c r="FA113" i="12"/>
  <c r="FA54" i="12"/>
  <c r="FA40" i="12"/>
  <c r="FA84" i="12"/>
  <c r="FA48" i="12"/>
  <c r="FA26" i="12"/>
  <c r="FA69" i="12"/>
  <c r="H8" i="2"/>
  <c r="G8" i="2"/>
  <c r="H11" i="2"/>
  <c r="G11" i="2"/>
  <c r="G4" i="2"/>
  <c r="H4" i="2"/>
  <c r="FA28" i="12"/>
  <c r="FA77" i="12"/>
  <c r="FA47" i="12"/>
  <c r="FA49" i="12"/>
  <c r="FA42" i="12"/>
  <c r="FA85" i="12"/>
  <c r="FA55" i="12"/>
  <c r="FA92" i="12"/>
  <c r="G28" i="14"/>
  <c r="G33" i="14"/>
  <c r="D70" i="14"/>
  <c r="G26" i="14"/>
  <c r="D67" i="14"/>
  <c r="D79" i="14"/>
  <c r="G29" i="14"/>
  <c r="D78" i="14"/>
  <c r="D73" i="14"/>
  <c r="D80" i="14"/>
  <c r="D72" i="14"/>
  <c r="G32" i="14"/>
  <c r="D81" i="14"/>
  <c r="G30" i="14"/>
  <c r="D65" i="14"/>
  <c r="D76" i="14"/>
  <c r="D62" i="14"/>
  <c r="D71" i="14"/>
  <c r="D74" i="14"/>
  <c r="D66" i="14"/>
  <c r="D61" i="14"/>
  <c r="G27" i="14"/>
  <c r="D77" i="14"/>
  <c r="G24" i="14"/>
  <c r="G25" i="14"/>
  <c r="D64" i="14"/>
  <c r="D63" i="14"/>
  <c r="D68" i="14"/>
  <c r="G31" i="14"/>
  <c r="D75" i="14"/>
  <c r="D69" i="14"/>
  <c r="G23" i="14"/>
  <c r="H22" i="2"/>
  <c r="G22" i="2"/>
  <c r="G15" i="2"/>
  <c r="H15" i="2"/>
  <c r="FA89" i="12"/>
  <c r="FA90" i="12"/>
  <c r="FA106" i="12"/>
  <c r="FA68" i="12"/>
  <c r="FA45" i="12"/>
  <c r="FA75" i="12"/>
  <c r="FA56" i="12"/>
  <c r="FA29" i="12"/>
  <c r="FA58" i="12"/>
  <c r="H14" i="2"/>
  <c r="G14" i="2"/>
  <c r="G5" i="2"/>
  <c r="H5" i="2"/>
  <c r="CL68" i="12"/>
  <c r="CL40" i="12"/>
  <c r="CL49" i="12"/>
  <c r="CL78" i="12"/>
  <c r="CL95" i="12"/>
  <c r="CL55" i="12"/>
  <c r="CL104" i="12"/>
  <c r="CL44" i="12"/>
  <c r="CL43" i="12"/>
  <c r="CL19" i="12"/>
  <c r="CL26" i="12"/>
  <c r="CL34" i="12"/>
  <c r="CL108" i="12"/>
  <c r="CL117" i="12"/>
  <c r="CL58" i="12"/>
  <c r="CL86" i="12"/>
  <c r="CL24" i="12"/>
  <c r="CL20" i="12"/>
  <c r="CL61" i="12"/>
  <c r="CL70" i="12"/>
  <c r="CL73" i="12"/>
  <c r="CL42" i="12"/>
  <c r="CL106" i="12"/>
  <c r="CL91" i="12"/>
  <c r="CL29" i="12"/>
  <c r="CL90" i="12"/>
  <c r="CL64" i="12"/>
  <c r="CL56" i="12"/>
  <c r="CL109" i="12"/>
  <c r="CL88" i="12"/>
  <c r="CL41" i="12"/>
  <c r="CL79" i="12"/>
  <c r="CL28" i="12"/>
  <c r="CL72" i="12"/>
  <c r="CL111" i="12"/>
  <c r="CL77" i="12"/>
  <c r="CL102" i="12"/>
  <c r="CL32" i="12"/>
  <c r="CL47" i="12"/>
  <c r="CL53" i="12"/>
  <c r="CL80" i="12"/>
  <c r="CL89" i="12"/>
  <c r="CL113" i="12"/>
  <c r="CL22" i="12"/>
  <c r="CL92" i="12"/>
  <c r="CL63" i="12"/>
  <c r="CL97" i="12"/>
  <c r="CL36" i="12"/>
  <c r="CL67" i="12"/>
  <c r="CL69" i="12"/>
  <c r="CL65" i="12"/>
  <c r="CL45" i="12"/>
  <c r="CL98" i="12"/>
  <c r="CL107" i="12"/>
  <c r="CL59" i="12"/>
  <c r="CL57" i="12"/>
  <c r="CL23" i="12"/>
  <c r="CL60" i="12"/>
  <c r="CL52" i="12"/>
  <c r="CL99" i="12"/>
  <c r="CL50" i="12"/>
  <c r="CL33" i="12"/>
  <c r="CL21" i="12"/>
  <c r="CL74" i="12"/>
  <c r="CL96" i="12"/>
  <c r="CL115" i="12"/>
  <c r="CL66" i="12"/>
  <c r="CL87" i="12"/>
  <c r="CL82" i="12"/>
  <c r="CL48" i="12"/>
  <c r="CL93" i="12"/>
  <c r="CL39" i="12"/>
  <c r="CL75" i="12"/>
  <c r="CL54" i="12"/>
  <c r="CL76" i="12"/>
  <c r="CL112" i="12"/>
  <c r="CL81" i="12"/>
  <c r="CL85" i="12"/>
  <c r="CL105" i="12"/>
  <c r="CL31" i="12"/>
  <c r="CL37" i="12"/>
  <c r="CL27" i="12"/>
  <c r="CL94" i="12"/>
  <c r="CL116" i="12"/>
  <c r="CL103" i="12"/>
  <c r="CL83" i="12"/>
  <c r="CL46" i="12"/>
  <c r="CL38" i="12"/>
  <c r="CL25" i="12"/>
  <c r="CL100" i="12"/>
  <c r="CL101" i="12"/>
  <c r="CL18" i="12"/>
  <c r="CL35" i="12"/>
  <c r="CL84" i="12"/>
  <c r="CL51" i="12"/>
  <c r="CL110" i="12"/>
  <c r="CL30" i="12"/>
  <c r="CL114" i="12"/>
  <c r="CL71" i="12"/>
  <c r="CL62" i="12"/>
  <c r="FA116" i="12"/>
  <c r="FA25" i="12"/>
  <c r="FA117" i="12"/>
  <c r="FA97" i="12"/>
  <c r="FA21" i="12"/>
  <c r="FA23" i="12"/>
  <c r="FA79" i="12"/>
  <c r="FA71" i="12"/>
  <c r="FA59" i="12"/>
  <c r="H27" i="2"/>
  <c r="G27" i="2"/>
  <c r="G25" i="2"/>
  <c r="H25" i="2"/>
  <c r="FA53" i="12"/>
  <c r="FA37" i="12"/>
  <c r="FA52" i="12"/>
  <c r="FA61" i="12"/>
  <c r="FA35" i="12"/>
  <c r="FA110" i="12"/>
  <c r="FA41" i="12"/>
  <c r="FA96" i="12"/>
  <c r="FA91" i="12"/>
  <c r="H24" i="2"/>
  <c r="G24" i="2"/>
  <c r="G21" i="2"/>
  <c r="H21" i="2"/>
  <c r="FA76" i="12"/>
  <c r="FA63" i="12"/>
  <c r="FA112" i="12"/>
  <c r="FA100" i="12"/>
  <c r="FA32" i="12"/>
  <c r="FA82" i="12"/>
  <c r="FA73" i="12"/>
  <c r="FA114" i="12"/>
  <c r="FA115" i="12"/>
  <c r="A32" i="12"/>
  <c r="FW31" i="12"/>
  <c r="FX31" i="12"/>
  <c r="H9" i="2"/>
  <c r="G9" i="2"/>
  <c r="G28" i="2"/>
  <c r="H28" i="2"/>
  <c r="FA36" i="12"/>
  <c r="FA60" i="12"/>
  <c r="FA93" i="12"/>
  <c r="FA86" i="12"/>
  <c r="FA24" i="12"/>
  <c r="FA102" i="12"/>
  <c r="FA94" i="12"/>
  <c r="H6" i="2"/>
  <c r="G6" i="2"/>
  <c r="H20" i="2"/>
  <c r="G20" i="2"/>
  <c r="G51" i="14"/>
  <c r="G53" i="14"/>
  <c r="G44" i="14"/>
  <c r="G47" i="14"/>
  <c r="G52" i="14"/>
  <c r="G46" i="14"/>
  <c r="G45" i="14"/>
  <c r="G49" i="14"/>
  <c r="G48" i="14"/>
  <c r="G50" i="14"/>
  <c r="G54" i="14"/>
  <c r="F45" i="14"/>
  <c r="F49" i="14"/>
  <c r="E48" i="14"/>
  <c r="F48" i="14"/>
  <c r="F51" i="14"/>
  <c r="E51" i="14"/>
  <c r="E47" i="14"/>
  <c r="F50" i="14"/>
  <c r="F54" i="14"/>
  <c r="E50" i="14"/>
  <c r="E45" i="14"/>
  <c r="E49" i="14"/>
  <c r="E54" i="14"/>
  <c r="F52" i="14"/>
  <c r="F47" i="14"/>
  <c r="E52" i="14"/>
  <c r="FA101" i="12"/>
  <c r="FA50" i="12"/>
  <c r="FA67" i="12"/>
  <c r="FA95" i="12"/>
  <c r="FA80" i="12"/>
  <c r="FA70" i="12"/>
  <c r="FA103" i="12"/>
  <c r="FA72" i="12"/>
  <c r="H26" i="2"/>
  <c r="G26" i="2"/>
  <c r="G18" i="2"/>
  <c r="H18" i="2"/>
  <c r="FA99" i="12"/>
  <c r="FA43" i="12"/>
  <c r="FA44" i="12"/>
  <c r="FA74" i="12"/>
  <c r="FA108" i="12"/>
  <c r="FA78" i="12"/>
  <c r="FA65" i="12"/>
  <c r="FA104" i="12"/>
  <c r="FA30" i="12"/>
  <c r="FA98" i="12"/>
  <c r="H7" i="2"/>
  <c r="G7" i="2"/>
  <c r="G19" i="2"/>
  <c r="H19" i="2"/>
  <c r="H10" i="2"/>
  <c r="G10" i="2"/>
  <c r="V45" i="15" l="1"/>
  <c r="J9" i="2" a="1"/>
  <c r="J9" i="2" s="1"/>
  <c r="I9" i="2" s="1"/>
  <c r="H63" i="14"/>
  <c r="F63" i="14" s="1"/>
  <c r="J20" i="2" a="1"/>
  <c r="J20" i="2" s="1"/>
  <c r="I20" i="2" s="1"/>
  <c r="B23" i="2" s="1"/>
  <c r="J22" i="2" a="1"/>
  <c r="J22" i="2" s="1"/>
  <c r="I22" i="2" s="1"/>
  <c r="F61" i="14"/>
  <c r="G61" i="14"/>
  <c r="H61" i="14"/>
  <c r="H73" i="14"/>
  <c r="F73" i="14" s="1"/>
  <c r="E46" i="14"/>
  <c r="F46" i="14"/>
  <c r="H66" i="14"/>
  <c r="F66" i="14"/>
  <c r="V44" i="15"/>
  <c r="H74" i="14"/>
  <c r="F74" i="14"/>
  <c r="G74" i="14" s="1"/>
  <c r="J25" i="2" a="1"/>
  <c r="J25" i="2" s="1"/>
  <c r="I25" i="2" s="1"/>
  <c r="H75" i="14"/>
  <c r="F75" i="14" s="1"/>
  <c r="H71" i="14"/>
  <c r="F71" i="14"/>
  <c r="H79" i="14"/>
  <c r="F79" i="14"/>
  <c r="G79" i="14"/>
  <c r="V39" i="15"/>
  <c r="J21" i="2" a="1"/>
  <c r="J21" i="2" s="1"/>
  <c r="I21" i="2" s="1"/>
  <c r="H69" i="14"/>
  <c r="F69" i="14" s="1"/>
  <c r="A33" i="12"/>
  <c r="FW32" i="12"/>
  <c r="FX32" i="12"/>
  <c r="H62" i="14"/>
  <c r="F62" i="14"/>
  <c r="G62" i="14"/>
  <c r="H67" i="14"/>
  <c r="F67" i="14"/>
  <c r="G67" i="14"/>
  <c r="V47" i="15"/>
  <c r="J10" i="2" a="1"/>
  <c r="J10" i="2" s="1"/>
  <c r="I10" i="2" s="1"/>
  <c r="B18" i="2"/>
  <c r="C10" i="6"/>
  <c r="J24" i="2" a="1"/>
  <c r="J24" i="2" s="1"/>
  <c r="I24" i="2" s="1"/>
  <c r="H68" i="14"/>
  <c r="F68" i="14" s="1"/>
  <c r="H76" i="14"/>
  <c r="F76" i="14" s="1"/>
  <c r="B6" i="2"/>
  <c r="J4" i="2" a="1"/>
  <c r="J4" i="2" s="1"/>
  <c r="I4" i="2" s="1"/>
  <c r="J12" i="2" a="1"/>
  <c r="J12" i="2" s="1"/>
  <c r="I12" i="2" s="1"/>
  <c r="J17" i="2" a="1"/>
  <c r="J17" i="2" s="1"/>
  <c r="I17" i="2" s="1"/>
  <c r="V46" i="15"/>
  <c r="J19" i="2" a="1"/>
  <c r="J19" i="2" s="1"/>
  <c r="I19" i="2" s="1"/>
  <c r="H64" i="14"/>
  <c r="F64" i="14" s="1"/>
  <c r="X47" i="15"/>
  <c r="T47" i="15"/>
  <c r="U42" i="15"/>
  <c r="T44" i="15"/>
  <c r="T40" i="15"/>
  <c r="X43" i="15"/>
  <c r="X44" i="15"/>
  <c r="W44" i="15"/>
  <c r="X39" i="15"/>
  <c r="U39" i="15"/>
  <c r="S39" i="15" s="1"/>
  <c r="T42" i="15"/>
  <c r="U48" i="15"/>
  <c r="U45" i="15"/>
  <c r="S45" i="15" s="1"/>
  <c r="X40" i="15"/>
  <c r="W40" i="15"/>
  <c r="W48" i="15"/>
  <c r="T45" i="15"/>
  <c r="X41" i="15"/>
  <c r="W41" i="15"/>
  <c r="U41" i="15"/>
  <c r="U47" i="15"/>
  <c r="S47" i="15" s="1"/>
  <c r="W45" i="15"/>
  <c r="U40" i="15"/>
  <c r="X48" i="15"/>
  <c r="X42" i="15"/>
  <c r="W46" i="15"/>
  <c r="T48" i="15"/>
  <c r="W47" i="15"/>
  <c r="U46" i="15"/>
  <c r="W42" i="15"/>
  <c r="W39" i="15"/>
  <c r="X45" i="15"/>
  <c r="T39" i="15"/>
  <c r="X46" i="15"/>
  <c r="U44" i="15"/>
  <c r="S44" i="15" s="1"/>
  <c r="U43" i="15"/>
  <c r="T41" i="15"/>
  <c r="T43" i="15"/>
  <c r="T46" i="15"/>
  <c r="R46" i="15" s="1"/>
  <c r="M48" i="15" s="1"/>
  <c r="B47" i="51" s="1"/>
  <c r="W43" i="15"/>
  <c r="J16" i="2" a="1"/>
  <c r="J16" i="2" s="1"/>
  <c r="I16" i="2" s="1"/>
  <c r="B29" i="2"/>
  <c r="V41" i="15"/>
  <c r="J27" i="2" a="1"/>
  <c r="J27" i="2" s="1"/>
  <c r="I27" i="2" s="1"/>
  <c r="H70" i="14"/>
  <c r="F70" i="14" s="1"/>
  <c r="J5" i="2" a="1"/>
  <c r="J5" i="2" s="1"/>
  <c r="I5" i="2" s="1"/>
  <c r="H81" i="14"/>
  <c r="F81" i="14" s="1"/>
  <c r="J11" i="2" a="1"/>
  <c r="J11" i="2" s="1"/>
  <c r="I11" i="2" s="1"/>
  <c r="J23" i="2" a="1"/>
  <c r="J23" i="2" s="1"/>
  <c r="I23" i="2" s="1"/>
  <c r="V43" i="15"/>
  <c r="H78" i="14"/>
  <c r="F78" i="14" s="1"/>
  <c r="V40" i="15"/>
  <c r="J18" i="2" a="1"/>
  <c r="J18" i="2" s="1"/>
  <c r="I18" i="2" s="1"/>
  <c r="J28" i="2" a="1"/>
  <c r="J28" i="2" s="1"/>
  <c r="I28" i="2" s="1"/>
  <c r="H77" i="14"/>
  <c r="F77" i="14"/>
  <c r="H72" i="14"/>
  <c r="F72" i="14"/>
  <c r="G72" i="14" s="1"/>
  <c r="B19" i="2"/>
  <c r="J8" i="2" a="1"/>
  <c r="J8" i="2" s="1"/>
  <c r="I8" i="2" s="1"/>
  <c r="V48" i="15"/>
  <c r="J6" i="2" a="1"/>
  <c r="J6" i="2" s="1"/>
  <c r="I6" i="2" s="1"/>
  <c r="C8" i="6"/>
  <c r="H65" i="14"/>
  <c r="F65" i="14"/>
  <c r="G65" i="14" s="1"/>
  <c r="J7" i="2" a="1"/>
  <c r="J7" i="2" s="1"/>
  <c r="I7" i="2" s="1"/>
  <c r="C9" i="6"/>
  <c r="J15" i="2" a="1"/>
  <c r="J15" i="2" s="1"/>
  <c r="I15" i="2" s="1"/>
  <c r="J26" i="2" a="1"/>
  <c r="J26" i="2" s="1"/>
  <c r="I26" i="2" s="1"/>
  <c r="J14" i="2" a="1"/>
  <c r="J14" i="2" s="1"/>
  <c r="I14" i="2" s="1"/>
  <c r="F80" i="14"/>
  <c r="G80" i="14"/>
  <c r="H80" i="14"/>
  <c r="J13" i="2" a="1"/>
  <c r="J13" i="2" s="1"/>
  <c r="I13" i="2" s="1"/>
  <c r="V42" i="15"/>
  <c r="S42" i="15" l="1"/>
  <c r="S43" i="15"/>
  <c r="S48" i="15"/>
  <c r="ES93" i="12"/>
  <c r="ES28" i="12"/>
  <c r="ES85" i="12"/>
  <c r="ES49" i="12"/>
  <c r="ES61" i="12"/>
  <c r="ES48" i="12"/>
  <c r="ES75" i="12"/>
  <c r="ES40" i="12"/>
  <c r="ES22" i="12"/>
  <c r="ES89" i="12"/>
  <c r="ES45" i="12"/>
  <c r="ES29" i="12"/>
  <c r="ES99" i="12"/>
  <c r="ES96" i="12"/>
  <c r="D30" i="14"/>
  <c r="ES110" i="12"/>
  <c r="ES62" i="12"/>
  <c r="ES58" i="12"/>
  <c r="ES33" i="12"/>
  <c r="ES78" i="12"/>
  <c r="ES67" i="12"/>
  <c r="ES59" i="12"/>
  <c r="ES56" i="12"/>
  <c r="ES36" i="12"/>
  <c r="ES18" i="12"/>
  <c r="ES88" i="12"/>
  <c r="ES73" i="12"/>
  <c r="ES47" i="12"/>
  <c r="ES21" i="12"/>
  <c r="ES103" i="12"/>
  <c r="ES101" i="12"/>
  <c r="ES38" i="12"/>
  <c r="ES106" i="12"/>
  <c r="ES72" i="12"/>
  <c r="ES83" i="12"/>
  <c r="ES91" i="12"/>
  <c r="ES20" i="12"/>
  <c r="ES32" i="12"/>
  <c r="ES97" i="12"/>
  <c r="ES66" i="12"/>
  <c r="ES82" i="12"/>
  <c r="ES77" i="12"/>
  <c r="ES84" i="12"/>
  <c r="ES79" i="12"/>
  <c r="ES95" i="12"/>
  <c r="ES111" i="12"/>
  <c r="ES30" i="12"/>
  <c r="ES51" i="12"/>
  <c r="ES115" i="12"/>
  <c r="ES64" i="12"/>
  <c r="ES105" i="12"/>
  <c r="ES65" i="12"/>
  <c r="ES117" i="12"/>
  <c r="ES31" i="12"/>
  <c r="ES71" i="12"/>
  <c r="ES80" i="12"/>
  <c r="ES114" i="12"/>
  <c r="ES60" i="12"/>
  <c r="ES86" i="12"/>
  <c r="ES112" i="12"/>
  <c r="ES39" i="12"/>
  <c r="ES102" i="12"/>
  <c r="ES94" i="12"/>
  <c r="ES26" i="12"/>
  <c r="ES52" i="12"/>
  <c r="ES43" i="12"/>
  <c r="ES37" i="12"/>
  <c r="ES55" i="12"/>
  <c r="ES41" i="12"/>
  <c r="ES108" i="12"/>
  <c r="ES69" i="12"/>
  <c r="ES109" i="12"/>
  <c r="ES25" i="12"/>
  <c r="ES46" i="12"/>
  <c r="ES87" i="12"/>
  <c r="ES34" i="12"/>
  <c r="ES70" i="12"/>
  <c r="ES53" i="12"/>
  <c r="ES44" i="12"/>
  <c r="ES116" i="12"/>
  <c r="ES35" i="12"/>
  <c r="ES107" i="12"/>
  <c r="ES100" i="12"/>
  <c r="ES50" i="12"/>
  <c r="ES63" i="12"/>
  <c r="ES92" i="12"/>
  <c r="ES76" i="12"/>
  <c r="ES68" i="12"/>
  <c r="ES24" i="12"/>
  <c r="ES98" i="12"/>
  <c r="ES74" i="12"/>
  <c r="ES23" i="12"/>
  <c r="ES81" i="12"/>
  <c r="ES104" i="12"/>
  <c r="ES57" i="12"/>
  <c r="ES19" i="12"/>
  <c r="ES54" i="12"/>
  <c r="ES113" i="12"/>
  <c r="ES90" i="12"/>
  <c r="ES42" i="12"/>
  <c r="ES27" i="12"/>
  <c r="G75" i="14"/>
  <c r="EQ46" i="12"/>
  <c r="EQ34" i="12"/>
  <c r="EQ103" i="12"/>
  <c r="EQ88" i="12"/>
  <c r="EQ31" i="12"/>
  <c r="EQ90" i="12"/>
  <c r="EQ100" i="12"/>
  <c r="EQ33" i="12"/>
  <c r="EQ114" i="12"/>
  <c r="EQ111" i="12"/>
  <c r="EQ45" i="12"/>
  <c r="EQ105" i="12"/>
  <c r="EQ79" i="12"/>
  <c r="EQ116" i="12"/>
  <c r="EQ68" i="12"/>
  <c r="EQ69" i="12"/>
  <c r="D29" i="14"/>
  <c r="EQ73" i="12"/>
  <c r="EQ20" i="12"/>
  <c r="EQ32" i="12"/>
  <c r="EQ47" i="12"/>
  <c r="EQ93" i="12"/>
  <c r="EQ97" i="12"/>
  <c r="EQ23" i="12"/>
  <c r="EQ18" i="12"/>
  <c r="EQ87" i="12"/>
  <c r="EQ83" i="12"/>
  <c r="EQ117" i="12"/>
  <c r="EQ95" i="12"/>
  <c r="EQ98" i="12"/>
  <c r="EQ52" i="12"/>
  <c r="EQ104" i="12"/>
  <c r="EQ57" i="12"/>
  <c r="EQ30" i="12"/>
  <c r="EQ19" i="12"/>
  <c r="EQ109" i="12"/>
  <c r="EQ115" i="12"/>
  <c r="EQ22" i="12"/>
  <c r="EQ63" i="12"/>
  <c r="EQ49" i="12"/>
  <c r="EQ67" i="12"/>
  <c r="EQ36" i="12"/>
  <c r="EQ51" i="12"/>
  <c r="EQ35" i="12"/>
  <c r="EQ27" i="12"/>
  <c r="EQ76" i="12"/>
  <c r="EQ48" i="12"/>
  <c r="EQ44" i="12"/>
  <c r="EQ106" i="12"/>
  <c r="EQ38" i="12"/>
  <c r="EQ86" i="12"/>
  <c r="EQ91" i="12"/>
  <c r="EQ21" i="12"/>
  <c r="EQ70" i="12"/>
  <c r="EQ71" i="12"/>
  <c r="EQ40" i="12"/>
  <c r="EQ28" i="12"/>
  <c r="EQ112" i="12"/>
  <c r="EQ55" i="12"/>
  <c r="EQ66" i="12"/>
  <c r="EQ24" i="12"/>
  <c r="EQ110" i="12"/>
  <c r="EQ85" i="12"/>
  <c r="EQ102" i="12"/>
  <c r="EQ50" i="12"/>
  <c r="EQ101" i="12"/>
  <c r="EQ26" i="12"/>
  <c r="EQ108" i="12"/>
  <c r="EQ78" i="12"/>
  <c r="EQ43" i="12"/>
  <c r="EQ94" i="12"/>
  <c r="EQ82" i="12"/>
  <c r="EQ42" i="12"/>
  <c r="EQ25" i="12"/>
  <c r="EQ72" i="12"/>
  <c r="EQ54" i="12"/>
  <c r="EQ39" i="12"/>
  <c r="EQ37" i="12"/>
  <c r="EQ74" i="12"/>
  <c r="EQ61" i="12"/>
  <c r="EQ81" i="12"/>
  <c r="EQ89" i="12"/>
  <c r="EQ84" i="12"/>
  <c r="EQ96" i="12"/>
  <c r="EQ64" i="12"/>
  <c r="EQ53" i="12"/>
  <c r="EQ113" i="12"/>
  <c r="EQ92" i="12"/>
  <c r="EQ56" i="12"/>
  <c r="EQ65" i="12"/>
  <c r="EQ99" i="12"/>
  <c r="EQ41" i="12"/>
  <c r="EQ59" i="12"/>
  <c r="EQ60" i="12"/>
  <c r="EQ75" i="12"/>
  <c r="EQ80" i="12"/>
  <c r="EQ62" i="12"/>
  <c r="EQ58" i="12"/>
  <c r="EQ77" i="12"/>
  <c r="EQ29" i="12"/>
  <c r="EQ107" i="12"/>
  <c r="G73" i="14"/>
  <c r="EY55" i="12"/>
  <c r="EY87" i="12"/>
  <c r="EY71" i="12"/>
  <c r="EY97" i="12"/>
  <c r="EY82" i="12"/>
  <c r="EY18" i="12"/>
  <c r="EY100" i="12"/>
  <c r="EY96" i="12"/>
  <c r="EY79" i="12"/>
  <c r="EY65" i="12"/>
  <c r="EY46" i="12"/>
  <c r="EY77" i="12"/>
  <c r="EY76" i="12"/>
  <c r="EY72" i="12"/>
  <c r="EY112" i="12"/>
  <c r="EY24" i="12"/>
  <c r="EY111" i="12"/>
  <c r="EY40" i="12"/>
  <c r="EY94" i="12"/>
  <c r="EY51" i="12"/>
  <c r="EY20" i="12"/>
  <c r="EY88" i="12"/>
  <c r="EY47" i="12"/>
  <c r="EY92" i="12"/>
  <c r="EY117" i="12"/>
  <c r="EY70" i="12"/>
  <c r="EY45" i="12"/>
  <c r="EY39" i="12"/>
  <c r="EY68" i="12"/>
  <c r="EY109" i="12"/>
  <c r="EY28" i="12"/>
  <c r="EY58" i="12"/>
  <c r="EY62" i="12"/>
  <c r="EY57" i="12"/>
  <c r="EY102" i="12"/>
  <c r="EY86" i="12"/>
  <c r="EY56" i="12"/>
  <c r="EY110" i="12"/>
  <c r="EY44" i="12"/>
  <c r="EY23" i="12"/>
  <c r="EY61" i="12"/>
  <c r="EY41" i="12"/>
  <c r="EY25" i="12"/>
  <c r="EY31" i="12"/>
  <c r="EY42" i="12"/>
  <c r="EY64" i="12"/>
  <c r="EY36" i="12"/>
  <c r="EY38" i="12"/>
  <c r="EY27" i="12"/>
  <c r="EY35" i="12"/>
  <c r="EY33" i="12"/>
  <c r="EY75" i="12"/>
  <c r="EY103" i="12"/>
  <c r="EY106" i="12"/>
  <c r="EY99" i="12"/>
  <c r="EY21" i="12"/>
  <c r="EY85" i="12"/>
  <c r="EY95" i="12"/>
  <c r="EY48" i="12"/>
  <c r="EY101" i="12"/>
  <c r="EY59" i="12"/>
  <c r="EY60" i="12"/>
  <c r="EY74" i="12"/>
  <c r="EY78" i="12"/>
  <c r="EY22" i="12"/>
  <c r="EY89" i="12"/>
  <c r="EY32" i="12"/>
  <c r="EY84" i="12"/>
  <c r="EY54" i="12"/>
  <c r="EY29" i="12"/>
  <c r="EY80" i="12"/>
  <c r="EY115" i="12"/>
  <c r="EY19" i="12"/>
  <c r="EY49" i="12"/>
  <c r="EY67" i="12"/>
  <c r="EY50" i="12"/>
  <c r="EY108" i="12"/>
  <c r="EY34" i="12"/>
  <c r="EY73" i="12"/>
  <c r="EY53" i="12"/>
  <c r="EY52" i="12"/>
  <c r="EY104" i="12"/>
  <c r="EY113" i="12"/>
  <c r="EY37" i="12"/>
  <c r="EY30" i="12"/>
  <c r="EY81" i="12"/>
  <c r="EY66" i="12"/>
  <c r="EY26" i="12"/>
  <c r="EY90" i="12"/>
  <c r="EY105" i="12"/>
  <c r="EY98" i="12"/>
  <c r="EY83" i="12"/>
  <c r="EY91" i="12"/>
  <c r="EY107" i="12"/>
  <c r="EY114" i="12"/>
  <c r="EY43" i="12"/>
  <c r="EY116" i="12"/>
  <c r="EY63" i="12"/>
  <c r="D33" i="14"/>
  <c r="EY93" i="12"/>
  <c r="EY69" i="12"/>
  <c r="G81" i="14"/>
  <c r="EH82" i="12"/>
  <c r="EH111" i="12"/>
  <c r="EH27" i="12"/>
  <c r="EH35" i="12"/>
  <c r="EH45" i="12"/>
  <c r="EH105" i="12"/>
  <c r="EH54" i="12"/>
  <c r="EH90" i="12"/>
  <c r="EH69" i="12"/>
  <c r="EH50" i="12"/>
  <c r="EH49" i="12"/>
  <c r="EH108" i="12"/>
  <c r="EH76" i="12"/>
  <c r="EH93" i="12"/>
  <c r="EH80" i="12"/>
  <c r="EH38" i="12"/>
  <c r="EH32" i="12"/>
  <c r="EH43" i="12"/>
  <c r="EH88" i="12"/>
  <c r="EH75" i="12"/>
  <c r="EH26" i="12"/>
  <c r="EH115" i="12"/>
  <c r="EH87" i="12"/>
  <c r="EH62" i="12"/>
  <c r="EH46" i="12"/>
  <c r="EH92" i="12"/>
  <c r="EH89" i="12"/>
  <c r="EH78" i="12"/>
  <c r="EH40" i="12"/>
  <c r="EH65" i="12"/>
  <c r="EH22" i="12"/>
  <c r="EH100" i="12"/>
  <c r="EH53" i="12"/>
  <c r="EH71" i="12"/>
  <c r="EH57" i="12"/>
  <c r="EH77" i="12"/>
  <c r="EH106" i="12"/>
  <c r="EH28" i="12"/>
  <c r="EH109" i="12"/>
  <c r="EH68" i="12"/>
  <c r="EH103" i="12"/>
  <c r="EH86" i="12"/>
  <c r="EH84" i="12"/>
  <c r="EH67" i="12"/>
  <c r="EH21" i="12"/>
  <c r="EH47" i="12"/>
  <c r="EH37" i="12"/>
  <c r="EH36" i="12"/>
  <c r="EH110" i="12"/>
  <c r="EH60" i="12"/>
  <c r="EH95" i="12"/>
  <c r="EH31" i="12"/>
  <c r="EH74" i="12"/>
  <c r="EH101" i="12"/>
  <c r="EH30" i="12"/>
  <c r="EH61" i="12"/>
  <c r="EH24" i="12"/>
  <c r="EH114" i="12"/>
  <c r="EH102" i="12"/>
  <c r="EH70" i="12"/>
  <c r="EH25" i="12"/>
  <c r="EH94" i="12"/>
  <c r="EH72" i="12"/>
  <c r="EH18" i="12"/>
  <c r="EH23" i="12"/>
  <c r="EH112" i="12"/>
  <c r="EH44" i="12"/>
  <c r="EH39" i="12"/>
  <c r="EH52" i="12"/>
  <c r="EH64" i="12"/>
  <c r="EH59" i="12"/>
  <c r="EH48" i="12"/>
  <c r="EH96" i="12"/>
  <c r="EH20" i="12"/>
  <c r="EH58" i="12"/>
  <c r="EH19" i="12"/>
  <c r="EH97" i="12"/>
  <c r="EH107" i="12"/>
  <c r="EH41" i="12"/>
  <c r="EH51" i="12"/>
  <c r="EH66" i="12"/>
  <c r="EH116" i="12"/>
  <c r="EH55" i="12"/>
  <c r="EH113" i="12"/>
  <c r="EH56" i="12"/>
  <c r="EH98" i="12"/>
  <c r="EH63" i="12"/>
  <c r="EH83" i="12"/>
  <c r="EH104" i="12"/>
  <c r="EH117" i="12"/>
  <c r="EH29" i="12"/>
  <c r="EH42" i="12"/>
  <c r="EH73" i="12"/>
  <c r="EH81" i="12"/>
  <c r="EH91" i="12"/>
  <c r="EH79" i="12"/>
  <c r="EH99" i="12"/>
  <c r="EH34" i="12"/>
  <c r="EH85" i="12"/>
  <c r="EH33" i="12"/>
  <c r="G64" i="14"/>
  <c r="EG117" i="12"/>
  <c r="EG69" i="12"/>
  <c r="EG35" i="12"/>
  <c r="EG29" i="12"/>
  <c r="EG64" i="12"/>
  <c r="EG33" i="12"/>
  <c r="EG58" i="12"/>
  <c r="EG82" i="12"/>
  <c r="EG65" i="12"/>
  <c r="EG79" i="12"/>
  <c r="EG60" i="12"/>
  <c r="EG88" i="12"/>
  <c r="EG109" i="12"/>
  <c r="EG62" i="12"/>
  <c r="EG66" i="12"/>
  <c r="EG95" i="12"/>
  <c r="EG112" i="12"/>
  <c r="EG53" i="12"/>
  <c r="EG93" i="12"/>
  <c r="EG40" i="12"/>
  <c r="EG105" i="12"/>
  <c r="EG83" i="12"/>
  <c r="EG25" i="12"/>
  <c r="EG70" i="12"/>
  <c r="EG77" i="12"/>
  <c r="EG24" i="12"/>
  <c r="EG89" i="12"/>
  <c r="EG81" i="12"/>
  <c r="EG18" i="12"/>
  <c r="EG86" i="12"/>
  <c r="D24" i="14"/>
  <c r="EG31" i="12"/>
  <c r="EG21" i="12"/>
  <c r="EG38" i="12"/>
  <c r="EG49" i="12"/>
  <c r="EG47" i="12"/>
  <c r="EG85" i="12"/>
  <c r="EG90" i="12"/>
  <c r="EG113" i="12"/>
  <c r="EG46" i="12"/>
  <c r="EG56" i="12"/>
  <c r="EG98" i="12"/>
  <c r="EG72" i="12"/>
  <c r="EG111" i="12"/>
  <c r="EG100" i="12"/>
  <c r="EG42" i="12"/>
  <c r="EG92" i="12"/>
  <c r="EG50" i="12"/>
  <c r="EG32" i="12"/>
  <c r="EG57" i="12"/>
  <c r="EG48" i="12"/>
  <c r="EG59" i="12"/>
  <c r="EG45" i="12"/>
  <c r="EG78" i="12"/>
  <c r="EG20" i="12"/>
  <c r="EG115" i="12"/>
  <c r="EG104" i="12"/>
  <c r="EG54" i="12"/>
  <c r="EG61" i="12"/>
  <c r="EG110" i="12"/>
  <c r="EG87" i="12"/>
  <c r="EG114" i="12"/>
  <c r="EG41" i="12"/>
  <c r="EG76" i="12"/>
  <c r="EG63" i="12"/>
  <c r="EG75" i="12"/>
  <c r="EG19" i="12"/>
  <c r="EG68" i="12"/>
  <c r="EG84" i="12"/>
  <c r="EG26" i="12"/>
  <c r="EG52" i="12"/>
  <c r="EG107" i="12"/>
  <c r="EG27" i="12"/>
  <c r="EG97" i="12"/>
  <c r="EG36" i="12"/>
  <c r="EG96" i="12"/>
  <c r="EG80" i="12"/>
  <c r="EG106" i="12"/>
  <c r="EG101" i="12"/>
  <c r="EG55" i="12"/>
  <c r="EG116" i="12"/>
  <c r="EG102" i="12"/>
  <c r="EG34" i="12"/>
  <c r="EG99" i="12"/>
  <c r="EG94" i="12"/>
  <c r="EG103" i="12"/>
  <c r="EG30" i="12"/>
  <c r="EG108" i="12"/>
  <c r="EG43" i="12"/>
  <c r="EG37" i="12"/>
  <c r="EG71" i="12"/>
  <c r="EG23" i="12"/>
  <c r="EG22" i="12"/>
  <c r="EG28" i="12"/>
  <c r="EG39" i="12"/>
  <c r="EG67" i="12"/>
  <c r="EG91" i="12"/>
  <c r="EG74" i="12"/>
  <c r="EG73" i="12"/>
  <c r="EG44" i="12"/>
  <c r="EG51" i="12"/>
  <c r="G63" i="14"/>
  <c r="EN26" i="12"/>
  <c r="EN50" i="12"/>
  <c r="EN34" i="12"/>
  <c r="EN48" i="12"/>
  <c r="EN72" i="12"/>
  <c r="EN66" i="12"/>
  <c r="EN73" i="12"/>
  <c r="EN22" i="12"/>
  <c r="EN112" i="12"/>
  <c r="EN84" i="12"/>
  <c r="EN56" i="12"/>
  <c r="EN25" i="12"/>
  <c r="EN85" i="12"/>
  <c r="EN92" i="12"/>
  <c r="EN102" i="12"/>
  <c r="EN38" i="12"/>
  <c r="EN89" i="12"/>
  <c r="EN109" i="12"/>
  <c r="EN87" i="12"/>
  <c r="EN57" i="12"/>
  <c r="EN110" i="12"/>
  <c r="EN67" i="12"/>
  <c r="EN71" i="12"/>
  <c r="EN76" i="12"/>
  <c r="EN116" i="12"/>
  <c r="EN23" i="12"/>
  <c r="EN37" i="12"/>
  <c r="EN51" i="12"/>
  <c r="EN63" i="12"/>
  <c r="EN20" i="12"/>
  <c r="EN18" i="12"/>
  <c r="EN115" i="12"/>
  <c r="EN113" i="12"/>
  <c r="EN33" i="12"/>
  <c r="EN95" i="12"/>
  <c r="EN21" i="12"/>
  <c r="EN43" i="12"/>
  <c r="EN78" i="12"/>
  <c r="EN107" i="12"/>
  <c r="EN108" i="12"/>
  <c r="EN64" i="12"/>
  <c r="EN36" i="12"/>
  <c r="EN62" i="12"/>
  <c r="EN45" i="12"/>
  <c r="EN88" i="12"/>
  <c r="EN69" i="12"/>
  <c r="EN29" i="12"/>
  <c r="EN32" i="12"/>
  <c r="EN49" i="12"/>
  <c r="EN74" i="12"/>
  <c r="EN41" i="12"/>
  <c r="EN117" i="12"/>
  <c r="EN70" i="12"/>
  <c r="EN77" i="12"/>
  <c r="EN106" i="12"/>
  <c r="EN97" i="12"/>
  <c r="EN101" i="12"/>
  <c r="EN86" i="12"/>
  <c r="EN44" i="12"/>
  <c r="EN94" i="12"/>
  <c r="EN58" i="12"/>
  <c r="EN83" i="12"/>
  <c r="EN60" i="12"/>
  <c r="EN99" i="12"/>
  <c r="EN65" i="12"/>
  <c r="EN39" i="12"/>
  <c r="EN53" i="12"/>
  <c r="EN35" i="12"/>
  <c r="EN40" i="12"/>
  <c r="EN68" i="12"/>
  <c r="EN105" i="12"/>
  <c r="EN46" i="12"/>
  <c r="EN81" i="12"/>
  <c r="EN98" i="12"/>
  <c r="EN79" i="12"/>
  <c r="EN61" i="12"/>
  <c r="EN42" i="12"/>
  <c r="EN82" i="12"/>
  <c r="EN27" i="12"/>
  <c r="EN90" i="12"/>
  <c r="EN52" i="12"/>
  <c r="EN103" i="12"/>
  <c r="EN24" i="12"/>
  <c r="EN91" i="12"/>
  <c r="EN100" i="12"/>
  <c r="EN28" i="12"/>
  <c r="EN30" i="12"/>
  <c r="EN96" i="12"/>
  <c r="EN104" i="12"/>
  <c r="EN59" i="12"/>
  <c r="EN75" i="12"/>
  <c r="EN19" i="12"/>
  <c r="EN111" i="12"/>
  <c r="EN31" i="12"/>
  <c r="EN114" i="12"/>
  <c r="EN54" i="12"/>
  <c r="EN93" i="12"/>
  <c r="EN80" i="12"/>
  <c r="EN47" i="12"/>
  <c r="EN55" i="12"/>
  <c r="G70" i="14"/>
  <c r="I5" i="14"/>
  <c r="EV89" i="12"/>
  <c r="EV54" i="12"/>
  <c r="EV64" i="12"/>
  <c r="EV67" i="12"/>
  <c r="EV105" i="12"/>
  <c r="EV20" i="12"/>
  <c r="EV18" i="12"/>
  <c r="EV107" i="12"/>
  <c r="EV48" i="12"/>
  <c r="EV99" i="12"/>
  <c r="EV68" i="12"/>
  <c r="EV31" i="12"/>
  <c r="EV80" i="12"/>
  <c r="EV85" i="12"/>
  <c r="EV57" i="12"/>
  <c r="EV46" i="12"/>
  <c r="EV23" i="12"/>
  <c r="EV43" i="12"/>
  <c r="EV95" i="12"/>
  <c r="EV26" i="12"/>
  <c r="EV44" i="12"/>
  <c r="EV59" i="12"/>
  <c r="EV24" i="12"/>
  <c r="EV50" i="12"/>
  <c r="EV98" i="12"/>
  <c r="EV81" i="12"/>
  <c r="EV82" i="12"/>
  <c r="EV103" i="12"/>
  <c r="EV28" i="12"/>
  <c r="EV45" i="12"/>
  <c r="EV37" i="12"/>
  <c r="EV62" i="12"/>
  <c r="EV94" i="12"/>
  <c r="EV51" i="12"/>
  <c r="EV109" i="12"/>
  <c r="EV22" i="12"/>
  <c r="EV75" i="12"/>
  <c r="EV42" i="12"/>
  <c r="EV38" i="12"/>
  <c r="EV40" i="12"/>
  <c r="EV63" i="12"/>
  <c r="EV39" i="12"/>
  <c r="EV72" i="12"/>
  <c r="EV93" i="12"/>
  <c r="EV25" i="12"/>
  <c r="EV91" i="12"/>
  <c r="EV41" i="12"/>
  <c r="EV35" i="12"/>
  <c r="EV27" i="12"/>
  <c r="EV78" i="12"/>
  <c r="EV34" i="12"/>
  <c r="EV32" i="12"/>
  <c r="EV101" i="12"/>
  <c r="EV65" i="12"/>
  <c r="EV76" i="12"/>
  <c r="EV30" i="12"/>
  <c r="EV21" i="12"/>
  <c r="EV111" i="12"/>
  <c r="EV104" i="12"/>
  <c r="EV114" i="12"/>
  <c r="EV69" i="12"/>
  <c r="EV66" i="12"/>
  <c r="EV36" i="12"/>
  <c r="EV19" i="12"/>
  <c r="EV88" i="12"/>
  <c r="EV60" i="12"/>
  <c r="EV29" i="12"/>
  <c r="EV110" i="12"/>
  <c r="EV61" i="12"/>
  <c r="EV116" i="12"/>
  <c r="EV71" i="12"/>
  <c r="EV55" i="12"/>
  <c r="EV106" i="12"/>
  <c r="EV49" i="12"/>
  <c r="EV92" i="12"/>
  <c r="EV58" i="12"/>
  <c r="EV96" i="12"/>
  <c r="EV100" i="12"/>
  <c r="EV70" i="12"/>
  <c r="EV77" i="12"/>
  <c r="EV33" i="12"/>
  <c r="EV73" i="12"/>
  <c r="EV53" i="12"/>
  <c r="EV115" i="12"/>
  <c r="EV74" i="12"/>
  <c r="EV87" i="12"/>
  <c r="EV117" i="12"/>
  <c r="EV79" i="12"/>
  <c r="EV90" i="12"/>
  <c r="EV113" i="12"/>
  <c r="EV102" i="12"/>
  <c r="EV108" i="12"/>
  <c r="EV56" i="12"/>
  <c r="EV52" i="12"/>
  <c r="EV47" i="12"/>
  <c r="EV112" i="12"/>
  <c r="EV84" i="12"/>
  <c r="EV86" i="12"/>
  <c r="EV83" i="12"/>
  <c r="EV97" i="12"/>
  <c r="G78" i="14"/>
  <c r="ET73" i="12"/>
  <c r="ET97" i="12"/>
  <c r="ET59" i="12"/>
  <c r="ET20" i="12"/>
  <c r="ET24" i="12"/>
  <c r="ET42" i="12"/>
  <c r="ET32" i="12"/>
  <c r="ET66" i="12"/>
  <c r="ET62" i="12"/>
  <c r="ET114" i="12"/>
  <c r="ET82" i="12"/>
  <c r="ET112" i="12"/>
  <c r="ET107" i="12"/>
  <c r="ET34" i="12"/>
  <c r="ET100" i="12"/>
  <c r="ET69" i="12"/>
  <c r="ET28" i="12"/>
  <c r="ET41" i="12"/>
  <c r="ET77" i="12"/>
  <c r="ET96" i="12"/>
  <c r="ET44" i="12"/>
  <c r="ET84" i="12"/>
  <c r="ET43" i="12"/>
  <c r="ET91" i="12"/>
  <c r="ET104" i="12"/>
  <c r="ET55" i="12"/>
  <c r="ET60" i="12"/>
  <c r="ET26" i="12"/>
  <c r="ET83" i="12"/>
  <c r="ET65" i="12"/>
  <c r="ET106" i="12"/>
  <c r="ET56" i="12"/>
  <c r="ET109" i="12"/>
  <c r="ET85" i="12"/>
  <c r="ET68" i="12"/>
  <c r="ET39" i="12"/>
  <c r="ET51" i="12"/>
  <c r="ET31" i="12"/>
  <c r="ET110" i="12"/>
  <c r="ET72" i="12"/>
  <c r="ET76" i="12"/>
  <c r="ET105" i="12"/>
  <c r="ET90" i="12"/>
  <c r="ET40" i="12"/>
  <c r="ET57" i="12"/>
  <c r="ET35" i="12"/>
  <c r="ET53" i="12"/>
  <c r="ET38" i="12"/>
  <c r="ET25" i="12"/>
  <c r="ET61" i="12"/>
  <c r="ET64" i="12"/>
  <c r="ET89" i="12"/>
  <c r="ET63" i="12"/>
  <c r="ET115" i="12"/>
  <c r="ET101" i="12"/>
  <c r="ET81" i="12"/>
  <c r="ET113" i="12"/>
  <c r="ET50" i="12"/>
  <c r="ET21" i="12"/>
  <c r="ET45" i="12"/>
  <c r="ET71" i="12"/>
  <c r="ET94" i="12"/>
  <c r="ET117" i="12"/>
  <c r="ET29" i="12"/>
  <c r="ET98" i="12"/>
  <c r="ET80" i="12"/>
  <c r="ET33" i="12"/>
  <c r="ET23" i="12"/>
  <c r="ET27" i="12"/>
  <c r="ET111" i="12"/>
  <c r="ET37" i="12"/>
  <c r="ET87" i="12"/>
  <c r="ET92" i="12"/>
  <c r="ET19" i="12"/>
  <c r="ET30" i="12"/>
  <c r="ET86" i="12"/>
  <c r="ET58" i="12"/>
  <c r="ET78" i="12"/>
  <c r="ET79" i="12"/>
  <c r="ET46" i="12"/>
  <c r="ET18" i="12"/>
  <c r="ET88" i="12"/>
  <c r="ET74" i="12"/>
  <c r="ET108" i="12"/>
  <c r="ET75" i="12"/>
  <c r="ET36" i="12"/>
  <c r="ET95" i="12"/>
  <c r="ET22" i="12"/>
  <c r="ET54" i="12"/>
  <c r="ET52" i="12"/>
  <c r="ET47" i="12"/>
  <c r="ET70" i="12"/>
  <c r="ET116" i="12"/>
  <c r="ET103" i="12"/>
  <c r="ET102" i="12"/>
  <c r="ET49" i="12"/>
  <c r="ET93" i="12"/>
  <c r="ET67" i="12"/>
  <c r="ET48" i="12"/>
  <c r="ET99" i="12"/>
  <c r="G76" i="14"/>
  <c r="EL52" i="12"/>
  <c r="EL80" i="12"/>
  <c r="EL57" i="12"/>
  <c r="EL63" i="12"/>
  <c r="EL49" i="12"/>
  <c r="EL37" i="12"/>
  <c r="EL105" i="12"/>
  <c r="EL79" i="12"/>
  <c r="EL84" i="12"/>
  <c r="EL71" i="12"/>
  <c r="EL93" i="12"/>
  <c r="EL27" i="12"/>
  <c r="EL98" i="12"/>
  <c r="EL68" i="12"/>
  <c r="EL44" i="12"/>
  <c r="EL111" i="12"/>
  <c r="EL88" i="12"/>
  <c r="EL103" i="12"/>
  <c r="EL54" i="12"/>
  <c r="EL62" i="12"/>
  <c r="EL19" i="12"/>
  <c r="EL18" i="12"/>
  <c r="EL82" i="12"/>
  <c r="EL83" i="12"/>
  <c r="EL28" i="12"/>
  <c r="EL24" i="12"/>
  <c r="EL78" i="12"/>
  <c r="EL20" i="12"/>
  <c r="EL97" i="12"/>
  <c r="EL38" i="12"/>
  <c r="EL89" i="12"/>
  <c r="EL64" i="12"/>
  <c r="EL34" i="12"/>
  <c r="EL77" i="12"/>
  <c r="EL51" i="12"/>
  <c r="EL87" i="12"/>
  <c r="EL112" i="12"/>
  <c r="EL56" i="12"/>
  <c r="EL59" i="12"/>
  <c r="EL81" i="12"/>
  <c r="EL42" i="12"/>
  <c r="EL92" i="12"/>
  <c r="EL96" i="12"/>
  <c r="EL23" i="12"/>
  <c r="EL35" i="12"/>
  <c r="EL46" i="12"/>
  <c r="EL116" i="12"/>
  <c r="EL74" i="12"/>
  <c r="EL95" i="12"/>
  <c r="EL99" i="12"/>
  <c r="EL50" i="12"/>
  <c r="EL41" i="12"/>
  <c r="EL22" i="12"/>
  <c r="EL110" i="12"/>
  <c r="EL102" i="12"/>
  <c r="EL76" i="12"/>
  <c r="EL32" i="12"/>
  <c r="EL60" i="12"/>
  <c r="EL39" i="12"/>
  <c r="EL33" i="12"/>
  <c r="EL91" i="12"/>
  <c r="EL47" i="12"/>
  <c r="EL48" i="12"/>
  <c r="EL114" i="12"/>
  <c r="EL85" i="12"/>
  <c r="EL53" i="12"/>
  <c r="EL90" i="12"/>
  <c r="EL61" i="12"/>
  <c r="EL106" i="12"/>
  <c r="EL36" i="12"/>
  <c r="EL94" i="12"/>
  <c r="EL109" i="12"/>
  <c r="EL100" i="12"/>
  <c r="EL115" i="12"/>
  <c r="EL26" i="12"/>
  <c r="EL43" i="12"/>
  <c r="EL69" i="12"/>
  <c r="EL66" i="12"/>
  <c r="EL72" i="12"/>
  <c r="EL31" i="12"/>
  <c r="EL86" i="12"/>
  <c r="EL45" i="12"/>
  <c r="EL104" i="12"/>
  <c r="EL101" i="12"/>
  <c r="EL21" i="12"/>
  <c r="EL25" i="12"/>
  <c r="EL67" i="12"/>
  <c r="EL108" i="12"/>
  <c r="EL75" i="12"/>
  <c r="EL70" i="12"/>
  <c r="EL65" i="12"/>
  <c r="EL55" i="12"/>
  <c r="EL58" i="12"/>
  <c r="EL107" i="12"/>
  <c r="EL40" i="12"/>
  <c r="EL30" i="12"/>
  <c r="EL117" i="12"/>
  <c r="EL113" i="12"/>
  <c r="EL73" i="12"/>
  <c r="EL29" i="12"/>
  <c r="G68" i="14"/>
  <c r="EM35" i="12"/>
  <c r="EM78" i="12"/>
  <c r="EM37" i="12"/>
  <c r="EM102" i="12"/>
  <c r="EM79" i="12"/>
  <c r="EM28" i="12"/>
  <c r="EM101" i="12"/>
  <c r="EM107" i="12"/>
  <c r="EM83" i="12"/>
  <c r="EM39" i="12"/>
  <c r="EM87" i="12"/>
  <c r="EM56" i="12"/>
  <c r="EM60" i="12"/>
  <c r="EM27" i="12"/>
  <c r="EM81" i="12"/>
  <c r="EM42" i="12"/>
  <c r="EM68" i="12"/>
  <c r="EM50" i="12"/>
  <c r="EM73" i="12"/>
  <c r="EM36" i="12"/>
  <c r="EM106" i="12"/>
  <c r="EM44" i="12"/>
  <c r="EM108" i="12"/>
  <c r="EM116" i="12"/>
  <c r="EM97" i="12"/>
  <c r="EM96" i="12"/>
  <c r="EM92" i="12"/>
  <c r="EM95" i="12"/>
  <c r="EM80" i="12"/>
  <c r="EM20" i="12"/>
  <c r="EM85" i="12"/>
  <c r="EM33" i="12"/>
  <c r="EM89" i="12"/>
  <c r="EM18" i="12"/>
  <c r="EM40" i="12"/>
  <c r="EM53" i="12"/>
  <c r="EM54" i="12"/>
  <c r="EM112" i="12"/>
  <c r="EM63" i="12"/>
  <c r="EM88" i="12"/>
  <c r="EM52" i="12"/>
  <c r="EM98" i="12"/>
  <c r="EM48" i="12"/>
  <c r="EM111" i="12"/>
  <c r="EM75" i="12"/>
  <c r="EM113" i="12"/>
  <c r="EM104" i="12"/>
  <c r="EM72" i="12"/>
  <c r="EM114" i="12"/>
  <c r="EM103" i="12"/>
  <c r="EM45" i="12"/>
  <c r="EM55" i="12"/>
  <c r="EM74" i="12"/>
  <c r="EM22" i="12"/>
  <c r="EM76" i="12"/>
  <c r="EM110" i="12"/>
  <c r="EM47" i="12"/>
  <c r="EM21" i="12"/>
  <c r="EM46" i="12"/>
  <c r="EM84" i="12"/>
  <c r="EM91" i="12"/>
  <c r="EM19" i="12"/>
  <c r="EM100" i="12"/>
  <c r="EM43" i="12"/>
  <c r="EM86" i="12"/>
  <c r="EM23" i="12"/>
  <c r="EM93" i="12"/>
  <c r="EM90" i="12"/>
  <c r="EM109" i="12"/>
  <c r="EM62" i="12"/>
  <c r="EM32" i="12"/>
  <c r="EM94" i="12"/>
  <c r="EM49" i="12"/>
  <c r="EM38" i="12"/>
  <c r="EM34" i="12"/>
  <c r="EM30" i="12"/>
  <c r="EM25" i="12"/>
  <c r="EM41" i="12"/>
  <c r="EM65" i="12"/>
  <c r="EM115" i="12"/>
  <c r="EM57" i="12"/>
  <c r="EM117" i="12"/>
  <c r="EM105" i="12"/>
  <c r="EM67" i="12"/>
  <c r="EM59" i="12"/>
  <c r="EM29" i="12"/>
  <c r="EM64" i="12"/>
  <c r="EM70" i="12"/>
  <c r="EM24" i="12"/>
  <c r="EM51" i="12"/>
  <c r="EM71" i="12"/>
  <c r="EM69" i="12"/>
  <c r="EM99" i="12"/>
  <c r="EM77" i="12"/>
  <c r="EM66" i="12"/>
  <c r="D27" i="14"/>
  <c r="EM61" i="12"/>
  <c r="EM58" i="12"/>
  <c r="EM31" i="12"/>
  <c r="EM26" i="12"/>
  <c r="EM82" i="12"/>
  <c r="G69" i="14"/>
  <c r="S40" i="15"/>
  <c r="R42" i="15"/>
  <c r="M44" i="15" s="1"/>
  <c r="B43" i="51" s="1"/>
  <c r="V49" i="15"/>
  <c r="EI117" i="12"/>
  <c r="EI39" i="12"/>
  <c r="EI96" i="12"/>
  <c r="EI24" i="12"/>
  <c r="EI105" i="12"/>
  <c r="EI108" i="12"/>
  <c r="EI73" i="12"/>
  <c r="EI50" i="12"/>
  <c r="EI90" i="12"/>
  <c r="EI19" i="12"/>
  <c r="EI93" i="12"/>
  <c r="EI34" i="12"/>
  <c r="EI103" i="12"/>
  <c r="EI111" i="12"/>
  <c r="EI82" i="12"/>
  <c r="EI97" i="12"/>
  <c r="EI32" i="12"/>
  <c r="EI26" i="12"/>
  <c r="EI56" i="12"/>
  <c r="EI30" i="12"/>
  <c r="EI76" i="12"/>
  <c r="EI101" i="12"/>
  <c r="EI21" i="12"/>
  <c r="EI115" i="12"/>
  <c r="EI43" i="12"/>
  <c r="EI112" i="12"/>
  <c r="EI106" i="12"/>
  <c r="EI83" i="12"/>
  <c r="EI51" i="12"/>
  <c r="EI49" i="12"/>
  <c r="EI66" i="12"/>
  <c r="EI113" i="12"/>
  <c r="EI35" i="12"/>
  <c r="EI29" i="12"/>
  <c r="EI114" i="12"/>
  <c r="EI104" i="12"/>
  <c r="EI110" i="12"/>
  <c r="EI38" i="12"/>
  <c r="EI80" i="12"/>
  <c r="EI31" i="12"/>
  <c r="EI85" i="12"/>
  <c r="EI60" i="12"/>
  <c r="EI58" i="12"/>
  <c r="EI53" i="12"/>
  <c r="EI46" i="12"/>
  <c r="EI48" i="12"/>
  <c r="EI116" i="12"/>
  <c r="EI78" i="12"/>
  <c r="EI25" i="12"/>
  <c r="EI36" i="12"/>
  <c r="EI23" i="12"/>
  <c r="EI94" i="12"/>
  <c r="EI92" i="12"/>
  <c r="EI77" i="12"/>
  <c r="EI20" i="12"/>
  <c r="EI64" i="12"/>
  <c r="EI75" i="12"/>
  <c r="EI74" i="12"/>
  <c r="EI88" i="12"/>
  <c r="EI87" i="12"/>
  <c r="EI81" i="12"/>
  <c r="EI55" i="12"/>
  <c r="EI63" i="12"/>
  <c r="EI100" i="12"/>
  <c r="EI72" i="12"/>
  <c r="EI79" i="12"/>
  <c r="EI67" i="12"/>
  <c r="EI62" i="12"/>
  <c r="EI33" i="12"/>
  <c r="EI18" i="12"/>
  <c r="EI70" i="12"/>
  <c r="EI65" i="12"/>
  <c r="EI69" i="12"/>
  <c r="EI28" i="12"/>
  <c r="EI84" i="12"/>
  <c r="EI89" i="12"/>
  <c r="EI109" i="12"/>
  <c r="D25" i="14"/>
  <c r="EI91" i="12"/>
  <c r="EI37" i="12"/>
  <c r="EI68" i="12"/>
  <c r="EI47" i="12"/>
  <c r="EI45" i="12"/>
  <c r="EI61" i="12"/>
  <c r="EI57" i="12"/>
  <c r="EI52" i="12"/>
  <c r="EI95" i="12"/>
  <c r="EI102" i="12"/>
  <c r="EI40" i="12"/>
  <c r="EI98" i="12"/>
  <c r="EI22" i="12"/>
  <c r="EI27" i="12"/>
  <c r="EI59" i="12"/>
  <c r="EI42" i="12"/>
  <c r="EI99" i="12"/>
  <c r="EI86" i="12"/>
  <c r="EI107" i="12"/>
  <c r="EI41" i="12"/>
  <c r="EI44" i="12"/>
  <c r="EI54" i="12"/>
  <c r="EI71" i="12"/>
  <c r="EK48" i="12"/>
  <c r="EK44" i="12"/>
  <c r="EK102" i="12"/>
  <c r="EK85" i="12"/>
  <c r="EK88" i="12"/>
  <c r="EK51" i="12"/>
  <c r="D26" i="14"/>
  <c r="EK101" i="12"/>
  <c r="EK22" i="12"/>
  <c r="EK33" i="12"/>
  <c r="EK62" i="12"/>
  <c r="EK103" i="12"/>
  <c r="EK83" i="12"/>
  <c r="EK43" i="12"/>
  <c r="EK32" i="12"/>
  <c r="EK73" i="12"/>
  <c r="EK18" i="12"/>
  <c r="EK57" i="12"/>
  <c r="EK80" i="12"/>
  <c r="EK42" i="12"/>
  <c r="EK105" i="12"/>
  <c r="EK81" i="12"/>
  <c r="EK40" i="12"/>
  <c r="EK49" i="12"/>
  <c r="EK56" i="12"/>
  <c r="EK46" i="12"/>
  <c r="EK114" i="12"/>
  <c r="EK35" i="12"/>
  <c r="EK76" i="12"/>
  <c r="EK116" i="12"/>
  <c r="EK117" i="12"/>
  <c r="EK34" i="12"/>
  <c r="EK24" i="12"/>
  <c r="EK78" i="12"/>
  <c r="EK100" i="12"/>
  <c r="EK38" i="12"/>
  <c r="EK111" i="12"/>
  <c r="EK93" i="12"/>
  <c r="EK69" i="12"/>
  <c r="EK58" i="12"/>
  <c r="EK112" i="12"/>
  <c r="EK45" i="12"/>
  <c r="EK87" i="12"/>
  <c r="EK68" i="12"/>
  <c r="EK28" i="12"/>
  <c r="EK55" i="12"/>
  <c r="EK59" i="12"/>
  <c r="EK23" i="12"/>
  <c r="EK96" i="12"/>
  <c r="EK31" i="12"/>
  <c r="EK47" i="12"/>
  <c r="EK65" i="12"/>
  <c r="EK19" i="12"/>
  <c r="EK115" i="12"/>
  <c r="EK67" i="12"/>
  <c r="EK77" i="12"/>
  <c r="EK74" i="12"/>
  <c r="EK113" i="12"/>
  <c r="EK39" i="12"/>
  <c r="EK91" i="12"/>
  <c r="EK72" i="12"/>
  <c r="EK63" i="12"/>
  <c r="EK25" i="12"/>
  <c r="EK30" i="12"/>
  <c r="EK84" i="12"/>
  <c r="EK82" i="12"/>
  <c r="EK21" i="12"/>
  <c r="EK108" i="12"/>
  <c r="EK27" i="12"/>
  <c r="EK89" i="12"/>
  <c r="EK110" i="12"/>
  <c r="EK104" i="12"/>
  <c r="EK97" i="12"/>
  <c r="EK106" i="12"/>
  <c r="EK94" i="12"/>
  <c r="EK75" i="12"/>
  <c r="EK95" i="12"/>
  <c r="EK36" i="12"/>
  <c r="EK64" i="12"/>
  <c r="EK107" i="12"/>
  <c r="EK41" i="12"/>
  <c r="EK86" i="12"/>
  <c r="EK37" i="12"/>
  <c r="EK50" i="12"/>
  <c r="EK26" i="12"/>
  <c r="EK79" i="12"/>
  <c r="EK20" i="12"/>
  <c r="EK66" i="12"/>
  <c r="EK60" i="12"/>
  <c r="EK92" i="12"/>
  <c r="EK109" i="12"/>
  <c r="EK52" i="12"/>
  <c r="EK61" i="12"/>
  <c r="EK71" i="12"/>
  <c r="EK90" i="12"/>
  <c r="EK53" i="12"/>
  <c r="EK99" i="12"/>
  <c r="EK70" i="12"/>
  <c r="EK98" i="12"/>
  <c r="EK54" i="12"/>
  <c r="EK29" i="12"/>
  <c r="S41" i="15"/>
  <c r="D31" i="14"/>
  <c r="EU31" i="12"/>
  <c r="EU47" i="12"/>
  <c r="EU50" i="12"/>
  <c r="EU99" i="12"/>
  <c r="EU76" i="12"/>
  <c r="EU21" i="12"/>
  <c r="EU100" i="12"/>
  <c r="EU29" i="12"/>
  <c r="EU75" i="12"/>
  <c r="EU83" i="12"/>
  <c r="EU60" i="12"/>
  <c r="EU59" i="12"/>
  <c r="EU54" i="12"/>
  <c r="EU80" i="12"/>
  <c r="EU98" i="12"/>
  <c r="EU71" i="12"/>
  <c r="EU49" i="12"/>
  <c r="EU93" i="12"/>
  <c r="EU28" i="12"/>
  <c r="EU42" i="12"/>
  <c r="EU26" i="12"/>
  <c r="EU22" i="12"/>
  <c r="EU39" i="12"/>
  <c r="EU41" i="12"/>
  <c r="EU109" i="12"/>
  <c r="EU34" i="12"/>
  <c r="EU102" i="12"/>
  <c r="EU89" i="12"/>
  <c r="EU19" i="12"/>
  <c r="EU112" i="12"/>
  <c r="EU43" i="12"/>
  <c r="EU101" i="12"/>
  <c r="EU111" i="12"/>
  <c r="EU45" i="12"/>
  <c r="EU70" i="12"/>
  <c r="EU65" i="12"/>
  <c r="EU88" i="12"/>
  <c r="EU40" i="12"/>
  <c r="EU57" i="12"/>
  <c r="EU74" i="12"/>
  <c r="EU36" i="12"/>
  <c r="EU23" i="12"/>
  <c r="EU81" i="12"/>
  <c r="EU73" i="12"/>
  <c r="EU62" i="12"/>
  <c r="EU55" i="12"/>
  <c r="EU27" i="12"/>
  <c r="EU95" i="12"/>
  <c r="EU18" i="12"/>
  <c r="EU107" i="12"/>
  <c r="EU115" i="12"/>
  <c r="EU46" i="12"/>
  <c r="EU91" i="12"/>
  <c r="EU64" i="12"/>
  <c r="EU63" i="12"/>
  <c r="EU67" i="12"/>
  <c r="EU94" i="12"/>
  <c r="EU33" i="12"/>
  <c r="EU117" i="12"/>
  <c r="EU96" i="12"/>
  <c r="EU103" i="12"/>
  <c r="EU58" i="12"/>
  <c r="EU77" i="12"/>
  <c r="EU85" i="12"/>
  <c r="EU92" i="12"/>
  <c r="EU69" i="12"/>
  <c r="EU104" i="12"/>
  <c r="EU48" i="12"/>
  <c r="EU113" i="12"/>
  <c r="EU97" i="12"/>
  <c r="EU37" i="12"/>
  <c r="EU66" i="12"/>
  <c r="EU52" i="12"/>
  <c r="EU32" i="12"/>
  <c r="EU87" i="12"/>
  <c r="EU84" i="12"/>
  <c r="EU108" i="12"/>
  <c r="EU61" i="12"/>
  <c r="EU20" i="12"/>
  <c r="EU44" i="12"/>
  <c r="EU25" i="12"/>
  <c r="EU86" i="12"/>
  <c r="EU110" i="12"/>
  <c r="EU38" i="12"/>
  <c r="EU56" i="12"/>
  <c r="EU78" i="12"/>
  <c r="EU82" i="12"/>
  <c r="EU68" i="12"/>
  <c r="EU53" i="12"/>
  <c r="EU30" i="12"/>
  <c r="EU90" i="12"/>
  <c r="EU116" i="12"/>
  <c r="EU105" i="12"/>
  <c r="EU35" i="12"/>
  <c r="EU106" i="12"/>
  <c r="EU72" i="12"/>
  <c r="EU114" i="12"/>
  <c r="EU79" i="12"/>
  <c r="EU24" i="12"/>
  <c r="EU51" i="12"/>
  <c r="G77" i="14"/>
  <c r="W49" i="15"/>
  <c r="Z42" i="15"/>
  <c r="Z44" i="15" s="1"/>
  <c r="EO51" i="12"/>
  <c r="EO33" i="12"/>
  <c r="EO78" i="12"/>
  <c r="EO47" i="12"/>
  <c r="EO113" i="12"/>
  <c r="EO88" i="12"/>
  <c r="EO41" i="12"/>
  <c r="EO90" i="12"/>
  <c r="EO85" i="12"/>
  <c r="EO23" i="12"/>
  <c r="EO80" i="12"/>
  <c r="EO60" i="12"/>
  <c r="EO27" i="12"/>
  <c r="EO79" i="12"/>
  <c r="EO101" i="12"/>
  <c r="EO49" i="12"/>
  <c r="EO45" i="12"/>
  <c r="EO64" i="12"/>
  <c r="EO46" i="12"/>
  <c r="EO58" i="12"/>
  <c r="EO62" i="12"/>
  <c r="EO76" i="12"/>
  <c r="EO112" i="12"/>
  <c r="EO18" i="12"/>
  <c r="EO116" i="12"/>
  <c r="EO92" i="12"/>
  <c r="EO86" i="12"/>
  <c r="EO105" i="12"/>
  <c r="EO59" i="12"/>
  <c r="EO66" i="12"/>
  <c r="EO70" i="12"/>
  <c r="EO81" i="12"/>
  <c r="EO61" i="12"/>
  <c r="EO97" i="12"/>
  <c r="EO77" i="12"/>
  <c r="EO32" i="12"/>
  <c r="EO104" i="12"/>
  <c r="EO74" i="12"/>
  <c r="EO98" i="12"/>
  <c r="EO43" i="12"/>
  <c r="EO25" i="12"/>
  <c r="EO94" i="12"/>
  <c r="EO52" i="12"/>
  <c r="EO22" i="12"/>
  <c r="EO31" i="12"/>
  <c r="EO21" i="12"/>
  <c r="EO89" i="12"/>
  <c r="EO93" i="12"/>
  <c r="EO103" i="12"/>
  <c r="EO96" i="12"/>
  <c r="EO68" i="12"/>
  <c r="EO83" i="12"/>
  <c r="EO44" i="12"/>
  <c r="EO55" i="12"/>
  <c r="EO102" i="12"/>
  <c r="EO37" i="12"/>
  <c r="EO99" i="12"/>
  <c r="EO87" i="12"/>
  <c r="EO106" i="12"/>
  <c r="EO69" i="12"/>
  <c r="EO24" i="12"/>
  <c r="EO36" i="12"/>
  <c r="EO57" i="12"/>
  <c r="D28" i="14"/>
  <c r="EO75" i="12"/>
  <c r="EO82" i="12"/>
  <c r="EO53" i="12"/>
  <c r="EO114" i="12"/>
  <c r="EO100" i="12"/>
  <c r="EO95" i="12"/>
  <c r="EO34" i="12"/>
  <c r="EO71" i="12"/>
  <c r="EO111" i="12"/>
  <c r="EO42" i="12"/>
  <c r="EO54" i="12"/>
  <c r="EO108" i="12"/>
  <c r="EO50" i="12"/>
  <c r="EO72" i="12"/>
  <c r="EO65" i="12"/>
  <c r="EO48" i="12"/>
  <c r="EO67" i="12"/>
  <c r="EO115" i="12"/>
  <c r="EO19" i="12"/>
  <c r="EO20" i="12"/>
  <c r="EO63" i="12"/>
  <c r="EO107" i="12"/>
  <c r="EO29" i="12"/>
  <c r="EO84" i="12"/>
  <c r="EO35" i="12"/>
  <c r="EO56" i="12"/>
  <c r="EO109" i="12"/>
  <c r="EO110" i="12"/>
  <c r="EO73" i="12"/>
  <c r="EO30" i="12"/>
  <c r="EO38" i="12"/>
  <c r="EO91" i="12"/>
  <c r="EO28" i="12"/>
  <c r="EO117" i="12"/>
  <c r="EO39" i="12"/>
  <c r="EO40" i="12"/>
  <c r="EO26" i="12"/>
  <c r="EJ18" i="12"/>
  <c r="EJ48" i="12"/>
  <c r="EJ54" i="12"/>
  <c r="EJ62" i="12"/>
  <c r="EJ58" i="12"/>
  <c r="EJ68" i="12"/>
  <c r="EJ114" i="12"/>
  <c r="EJ94" i="12"/>
  <c r="EJ109" i="12"/>
  <c r="EJ40" i="12"/>
  <c r="EJ92" i="12"/>
  <c r="EJ44" i="12"/>
  <c r="EJ91" i="12"/>
  <c r="EJ37" i="12"/>
  <c r="EJ74" i="12"/>
  <c r="EJ69" i="12"/>
  <c r="EJ53" i="12"/>
  <c r="EJ43" i="12"/>
  <c r="EJ110" i="12"/>
  <c r="EJ45" i="12"/>
  <c r="EJ90" i="12"/>
  <c r="EJ66" i="12"/>
  <c r="EJ65" i="12"/>
  <c r="EJ88" i="12"/>
  <c r="EJ31" i="12"/>
  <c r="EJ55" i="12"/>
  <c r="EJ95" i="12"/>
  <c r="EJ25" i="12"/>
  <c r="EJ60" i="12"/>
  <c r="EJ67" i="12"/>
  <c r="EJ51" i="12"/>
  <c r="EJ83" i="12"/>
  <c r="EJ97" i="12"/>
  <c r="EJ103" i="12"/>
  <c r="EJ23" i="12"/>
  <c r="EJ46" i="12"/>
  <c r="EJ93" i="12"/>
  <c r="EJ71" i="12"/>
  <c r="EJ104" i="12"/>
  <c r="EJ105" i="12"/>
  <c r="EJ112" i="12"/>
  <c r="EJ36" i="12"/>
  <c r="EJ56" i="12"/>
  <c r="EJ47" i="12"/>
  <c r="EJ101" i="12"/>
  <c r="EJ117" i="12"/>
  <c r="EJ96" i="12"/>
  <c r="EJ102" i="12"/>
  <c r="EJ64" i="12"/>
  <c r="EJ100" i="12"/>
  <c r="EJ21" i="12"/>
  <c r="EJ20" i="12"/>
  <c r="EJ63" i="12"/>
  <c r="EJ113" i="12"/>
  <c r="EJ85" i="12"/>
  <c r="EJ80" i="12"/>
  <c r="EJ79" i="12"/>
  <c r="EJ106" i="12"/>
  <c r="EJ32" i="12"/>
  <c r="EJ77" i="12"/>
  <c r="EJ111" i="12"/>
  <c r="EJ87" i="12"/>
  <c r="EJ19" i="12"/>
  <c r="EJ24" i="12"/>
  <c r="EJ108" i="12"/>
  <c r="EJ73" i="12"/>
  <c r="EJ70" i="12"/>
  <c r="EJ39" i="12"/>
  <c r="EJ50" i="12"/>
  <c r="EJ86" i="12"/>
  <c r="EJ38" i="12"/>
  <c r="EJ29" i="12"/>
  <c r="EJ76" i="12"/>
  <c r="EJ107" i="12"/>
  <c r="EJ72" i="12"/>
  <c r="EJ115" i="12"/>
  <c r="EJ57" i="12"/>
  <c r="EJ116" i="12"/>
  <c r="EJ27" i="12"/>
  <c r="EJ33" i="12"/>
  <c r="EJ61" i="12"/>
  <c r="EJ59" i="12"/>
  <c r="EJ89" i="12"/>
  <c r="EJ49" i="12"/>
  <c r="EJ34" i="12"/>
  <c r="EJ82" i="12"/>
  <c r="EJ84" i="12"/>
  <c r="EJ42" i="12"/>
  <c r="EJ98" i="12"/>
  <c r="EJ35" i="12"/>
  <c r="EJ52" i="12"/>
  <c r="EJ41" i="12"/>
  <c r="EJ22" i="12"/>
  <c r="EJ30" i="12"/>
  <c r="EJ99" i="12"/>
  <c r="EJ78" i="12"/>
  <c r="EJ28" i="12"/>
  <c r="EJ26" i="12"/>
  <c r="EJ75" i="12"/>
  <c r="EJ81" i="12"/>
  <c r="EF32" i="12"/>
  <c r="EF40" i="12"/>
  <c r="EF63" i="12"/>
  <c r="EF98" i="12"/>
  <c r="EF49" i="12"/>
  <c r="EF94" i="12"/>
  <c r="EF38" i="12"/>
  <c r="EF46" i="12"/>
  <c r="EF70" i="12"/>
  <c r="EF71" i="12"/>
  <c r="EF45" i="12"/>
  <c r="EF57" i="12"/>
  <c r="EF89" i="12"/>
  <c r="EF36" i="12"/>
  <c r="EF42" i="12"/>
  <c r="EF44" i="12"/>
  <c r="EF68" i="12"/>
  <c r="EF27" i="12"/>
  <c r="EF86" i="12"/>
  <c r="EF54" i="12"/>
  <c r="EF78" i="12"/>
  <c r="EF116" i="12"/>
  <c r="EF25" i="12"/>
  <c r="EF90" i="12"/>
  <c r="EF33" i="12"/>
  <c r="EF109" i="12"/>
  <c r="EF107" i="12"/>
  <c r="EF26" i="12"/>
  <c r="EF117" i="12"/>
  <c r="EF101" i="12"/>
  <c r="EF62" i="12"/>
  <c r="EF35" i="12"/>
  <c r="EF79" i="12"/>
  <c r="EF66" i="12"/>
  <c r="EF80" i="12"/>
  <c r="EF85" i="12"/>
  <c r="EF105" i="12"/>
  <c r="EF67" i="12"/>
  <c r="EF23" i="12"/>
  <c r="EF108" i="12"/>
  <c r="EF37" i="12"/>
  <c r="EF102" i="12"/>
  <c r="EF47" i="12"/>
  <c r="EF112" i="12"/>
  <c r="EF53" i="12"/>
  <c r="EF30" i="12"/>
  <c r="EF29" i="12"/>
  <c r="EF55" i="12"/>
  <c r="EF74" i="12"/>
  <c r="EF84" i="12"/>
  <c r="EF28" i="12"/>
  <c r="EF75" i="12"/>
  <c r="EF91" i="12"/>
  <c r="EF21" i="12"/>
  <c r="EF113" i="12"/>
  <c r="EF51" i="12"/>
  <c r="EF65" i="12"/>
  <c r="EF87" i="12"/>
  <c r="EF69" i="12"/>
  <c r="EF64" i="12"/>
  <c r="EF82" i="12"/>
  <c r="EF115" i="12"/>
  <c r="EF76" i="12"/>
  <c r="EF39" i="12"/>
  <c r="EF104" i="12"/>
  <c r="EF83" i="12"/>
  <c r="EF95" i="12"/>
  <c r="EF72" i="12"/>
  <c r="EF110" i="12"/>
  <c r="EF99" i="12"/>
  <c r="EF50" i="12"/>
  <c r="EF56" i="12"/>
  <c r="EF114" i="12"/>
  <c r="EF81" i="12"/>
  <c r="EF18" i="12"/>
  <c r="EF88" i="12"/>
  <c r="EF96" i="12"/>
  <c r="EF48" i="12"/>
  <c r="EF34" i="12"/>
  <c r="EF19" i="12"/>
  <c r="EF59" i="12"/>
  <c r="EF60" i="12"/>
  <c r="EF103" i="12"/>
  <c r="EF73" i="12"/>
  <c r="EF93" i="12"/>
  <c r="EF97" i="12"/>
  <c r="EF58" i="12"/>
  <c r="EF31" i="12"/>
  <c r="EF41" i="12"/>
  <c r="EF100" i="12"/>
  <c r="EF43" i="12"/>
  <c r="EF111" i="12"/>
  <c r="EF24" i="12"/>
  <c r="EF20" i="12"/>
  <c r="EF77" i="12"/>
  <c r="EF92" i="12"/>
  <c r="EF22" i="12"/>
  <c r="EF52" i="12"/>
  <c r="EF106" i="12"/>
  <c r="EF61" i="12"/>
  <c r="G71" i="14"/>
  <c r="EX93" i="12"/>
  <c r="EX116" i="12"/>
  <c r="EX115" i="12"/>
  <c r="EX70" i="12"/>
  <c r="EX27" i="12"/>
  <c r="EX33" i="12"/>
  <c r="EX81" i="12"/>
  <c r="EX18" i="12"/>
  <c r="EX35" i="12"/>
  <c r="EX110" i="12"/>
  <c r="EX56" i="12"/>
  <c r="EX42" i="12"/>
  <c r="EX102" i="12"/>
  <c r="EX111" i="12"/>
  <c r="EX100" i="12"/>
  <c r="EX87" i="12"/>
  <c r="EX83" i="12"/>
  <c r="EX106" i="12"/>
  <c r="EX60" i="12"/>
  <c r="EX54" i="12"/>
  <c r="EX37" i="12"/>
  <c r="EX46" i="12"/>
  <c r="EX101" i="12"/>
  <c r="EX58" i="12"/>
  <c r="EX86" i="12"/>
  <c r="EX49" i="12"/>
  <c r="EX24" i="12"/>
  <c r="EX71" i="12"/>
  <c r="EX98" i="12"/>
  <c r="EX62" i="12"/>
  <c r="EX90" i="12"/>
  <c r="EX88" i="12"/>
  <c r="EX89" i="12"/>
  <c r="EX99" i="12"/>
  <c r="EX43" i="12"/>
  <c r="EX82" i="12"/>
  <c r="EX117" i="12"/>
  <c r="EX103" i="12"/>
  <c r="EX34" i="12"/>
  <c r="EX20" i="12"/>
  <c r="EX84" i="12"/>
  <c r="EX19" i="12"/>
  <c r="EX22" i="12"/>
  <c r="EX94" i="12"/>
  <c r="EX65" i="12"/>
  <c r="EX113" i="12"/>
  <c r="EX52" i="12"/>
  <c r="EX92" i="12"/>
  <c r="EX59" i="12"/>
  <c r="EX50" i="12"/>
  <c r="EX51" i="12"/>
  <c r="EX53" i="12"/>
  <c r="EX109" i="12"/>
  <c r="EX95" i="12"/>
  <c r="EX57" i="12"/>
  <c r="EX112" i="12"/>
  <c r="EX104" i="12"/>
  <c r="EX76" i="12"/>
  <c r="EX66" i="12"/>
  <c r="EX47" i="12"/>
  <c r="EX96" i="12"/>
  <c r="EX28" i="12"/>
  <c r="EX69" i="12"/>
  <c r="EX114" i="12"/>
  <c r="EX38" i="12"/>
  <c r="EX67" i="12"/>
  <c r="EX55" i="12"/>
  <c r="EX30" i="12"/>
  <c r="EX44" i="12"/>
  <c r="EX78" i="12"/>
  <c r="EX73" i="12"/>
  <c r="EX45" i="12"/>
  <c r="EX107" i="12"/>
  <c r="EX105" i="12"/>
  <c r="EX85" i="12"/>
  <c r="EX25" i="12"/>
  <c r="EX63" i="12"/>
  <c r="EX40" i="12"/>
  <c r="EX36" i="12"/>
  <c r="EX75" i="12"/>
  <c r="EX61" i="12"/>
  <c r="EX72" i="12"/>
  <c r="EX48" i="12"/>
  <c r="EX31" i="12"/>
  <c r="EX97" i="12"/>
  <c r="EX21" i="12"/>
  <c r="EX80" i="12"/>
  <c r="EX26" i="12"/>
  <c r="EX41" i="12"/>
  <c r="EX68" i="12"/>
  <c r="EX108" i="12"/>
  <c r="EX64" i="12"/>
  <c r="EX32" i="12"/>
  <c r="EX39" i="12"/>
  <c r="EX23" i="12"/>
  <c r="EX74" i="12"/>
  <c r="EX29" i="12"/>
  <c r="EX77" i="12"/>
  <c r="EX91" i="12"/>
  <c r="EX79" i="12"/>
  <c r="S46" i="15"/>
  <c r="R45" i="15"/>
  <c r="M47" i="15" s="1"/>
  <c r="B46" i="51" s="1"/>
  <c r="R40" i="15"/>
  <c r="M42" i="15" s="1"/>
  <c r="B41" i="51" s="1"/>
  <c r="A34" i="12"/>
  <c r="FW33" i="12"/>
  <c r="FX33" i="12"/>
  <c r="G66" i="14"/>
  <c r="ER85" i="12"/>
  <c r="ER52" i="12"/>
  <c r="ER78" i="12"/>
  <c r="ER48" i="12"/>
  <c r="ER29" i="12"/>
  <c r="ER26" i="12"/>
  <c r="ER105" i="12"/>
  <c r="ER83" i="12"/>
  <c r="ER112" i="12"/>
  <c r="ER101" i="12"/>
  <c r="ER25" i="12"/>
  <c r="ER111" i="12"/>
  <c r="ER57" i="12"/>
  <c r="ER75" i="12"/>
  <c r="ER74" i="12"/>
  <c r="ER32" i="12"/>
  <c r="ER115" i="12"/>
  <c r="ER76" i="12"/>
  <c r="ER116" i="12"/>
  <c r="ER65" i="12"/>
  <c r="ER94" i="12"/>
  <c r="ER47" i="12"/>
  <c r="ER87" i="12"/>
  <c r="ER31" i="12"/>
  <c r="ER80" i="12"/>
  <c r="ER23" i="12"/>
  <c r="ER55" i="12"/>
  <c r="ER71" i="12"/>
  <c r="ER110" i="12"/>
  <c r="ER64" i="12"/>
  <c r="ER40" i="12"/>
  <c r="ER102" i="12"/>
  <c r="ER73" i="12"/>
  <c r="ER59" i="12"/>
  <c r="ER84" i="12"/>
  <c r="ER58" i="12"/>
  <c r="ER79" i="12"/>
  <c r="ER91" i="12"/>
  <c r="ER92" i="12"/>
  <c r="ER96" i="12"/>
  <c r="ER63" i="12"/>
  <c r="ER34" i="12"/>
  <c r="ER43" i="12"/>
  <c r="ER60" i="12"/>
  <c r="ER82" i="12"/>
  <c r="ER68" i="12"/>
  <c r="ER39" i="12"/>
  <c r="ER44" i="12"/>
  <c r="ER24" i="12"/>
  <c r="ER20" i="12"/>
  <c r="ER51" i="12"/>
  <c r="ER97" i="12"/>
  <c r="ER103" i="12"/>
  <c r="ER90" i="12"/>
  <c r="ER46" i="12"/>
  <c r="ER61" i="12"/>
  <c r="ER70" i="12"/>
  <c r="ER21" i="12"/>
  <c r="ER104" i="12"/>
  <c r="ER42" i="12"/>
  <c r="ER117" i="12"/>
  <c r="ER77" i="12"/>
  <c r="ER93" i="12"/>
  <c r="ER53" i="12"/>
  <c r="ER37" i="12"/>
  <c r="ER66" i="12"/>
  <c r="ER62" i="12"/>
  <c r="ER56" i="12"/>
  <c r="ER50" i="12"/>
  <c r="ER22" i="12"/>
  <c r="ER36" i="12"/>
  <c r="ER72" i="12"/>
  <c r="ER38" i="12"/>
  <c r="ER33" i="12"/>
  <c r="ER113" i="12"/>
  <c r="ER88" i="12"/>
  <c r="ER99" i="12"/>
  <c r="ER54" i="12"/>
  <c r="ER106" i="12"/>
  <c r="ER69" i="12"/>
  <c r="ER86" i="12"/>
  <c r="ER30" i="12"/>
  <c r="ER27" i="12"/>
  <c r="ER41" i="12"/>
  <c r="ER18" i="12"/>
  <c r="ER49" i="12"/>
  <c r="ER19" i="12"/>
  <c r="ER28" i="12"/>
  <c r="ER98" i="12"/>
  <c r="ER67" i="12"/>
  <c r="ER109" i="12"/>
  <c r="ER108" i="12"/>
  <c r="ER81" i="12"/>
  <c r="ER95" i="12"/>
  <c r="ER45" i="12"/>
  <c r="ER107" i="12"/>
  <c r="ER89" i="12"/>
  <c r="ER114" i="12"/>
  <c r="ER35" i="12"/>
  <c r="ER100" i="12"/>
  <c r="EE45" i="12"/>
  <c r="EC45" i="12" s="1"/>
  <c r="EE18" i="12"/>
  <c r="EC18" i="12" s="1"/>
  <c r="EE63" i="12"/>
  <c r="EC63" i="12" s="1"/>
  <c r="EE78" i="12"/>
  <c r="EC78" i="12" s="1"/>
  <c r="EE20" i="12"/>
  <c r="EC20" i="12" s="1"/>
  <c r="EE113" i="12"/>
  <c r="EC113" i="12" s="1"/>
  <c r="EE74" i="12"/>
  <c r="EC74" i="12" s="1"/>
  <c r="EE82" i="12"/>
  <c r="EC82" i="12" s="1"/>
  <c r="EE91" i="12"/>
  <c r="EC91" i="12" s="1"/>
  <c r="EE29" i="12"/>
  <c r="EC29" i="12" s="1"/>
  <c r="EE86" i="12"/>
  <c r="EC86" i="12" s="1"/>
  <c r="EE100" i="12"/>
  <c r="EC100" i="12" s="1"/>
  <c r="EE77" i="12"/>
  <c r="EC77" i="12" s="1"/>
  <c r="EE85" i="12"/>
  <c r="EC85" i="12" s="1"/>
  <c r="EE47" i="12"/>
  <c r="EC47" i="12" s="1"/>
  <c r="EE79" i="12"/>
  <c r="EC79" i="12" s="1"/>
  <c r="EE68" i="12"/>
  <c r="EC68" i="12" s="1"/>
  <c r="EE75" i="12"/>
  <c r="EC75" i="12" s="1"/>
  <c r="EE71" i="12"/>
  <c r="EC71" i="12" s="1"/>
  <c r="EE70" i="12"/>
  <c r="EC70" i="12" s="1"/>
  <c r="EE42" i="12"/>
  <c r="EC42" i="12" s="1"/>
  <c r="EE93" i="12"/>
  <c r="EC93" i="12" s="1"/>
  <c r="EE101" i="12"/>
  <c r="EC101" i="12" s="1"/>
  <c r="EE98" i="12"/>
  <c r="EC98" i="12" s="1"/>
  <c r="EE34" i="12"/>
  <c r="EC34" i="12" s="1"/>
  <c r="EE33" i="12"/>
  <c r="EE87" i="12"/>
  <c r="EC87" i="12" s="1"/>
  <c r="EE65" i="12"/>
  <c r="EC65" i="12" s="1"/>
  <c r="EE89" i="12"/>
  <c r="EC89" i="12" s="1"/>
  <c r="EE31" i="12"/>
  <c r="EC31" i="12" s="1"/>
  <c r="EE26" i="12"/>
  <c r="EC26" i="12" s="1"/>
  <c r="EE38" i="12"/>
  <c r="EC38" i="12" s="1"/>
  <c r="EE110" i="12"/>
  <c r="EC110" i="12" s="1"/>
  <c r="EE81" i="12"/>
  <c r="EC81" i="12" s="1"/>
  <c r="EE80" i="12"/>
  <c r="EC80" i="12" s="1"/>
  <c r="EE54" i="12"/>
  <c r="EC54" i="12" s="1"/>
  <c r="EE103" i="12"/>
  <c r="EC103" i="12" s="1"/>
  <c r="EE19" i="12"/>
  <c r="EC19" i="12" s="1"/>
  <c r="EE69" i="12"/>
  <c r="EC69" i="12" s="1"/>
  <c r="EE67" i="12"/>
  <c r="EC67" i="12" s="1"/>
  <c r="EE59" i="12"/>
  <c r="EC59" i="12" s="1"/>
  <c r="EE50" i="12"/>
  <c r="EC50" i="12" s="1"/>
  <c r="EE107" i="12"/>
  <c r="EC107" i="12" s="1"/>
  <c r="EE108" i="12"/>
  <c r="EC108" i="12" s="1"/>
  <c r="EE116" i="12"/>
  <c r="EC116" i="12" s="1"/>
  <c r="EE28" i="12"/>
  <c r="EC28" i="12" s="1"/>
  <c r="EE76" i="12"/>
  <c r="EC76" i="12" s="1"/>
  <c r="EE83" i="12"/>
  <c r="EC83" i="12" s="1"/>
  <c r="EE61" i="12"/>
  <c r="EE117" i="12"/>
  <c r="EC117" i="12" s="1"/>
  <c r="EE95" i="12"/>
  <c r="EC95" i="12" s="1"/>
  <c r="EE46" i="12"/>
  <c r="EC46" i="12" s="1"/>
  <c r="EE109" i="12"/>
  <c r="EC109" i="12" s="1"/>
  <c r="EE32" i="12"/>
  <c r="EC32" i="12" s="1"/>
  <c r="EE84" i="12"/>
  <c r="EC84" i="12" s="1"/>
  <c r="EE114" i="12"/>
  <c r="EC114" i="12" s="1"/>
  <c r="EE96" i="12"/>
  <c r="EC96" i="12" s="1"/>
  <c r="EE35" i="12"/>
  <c r="EC35" i="12" s="1"/>
  <c r="EE56" i="12"/>
  <c r="EE43" i="12"/>
  <c r="EC43" i="12" s="1"/>
  <c r="D23" i="14"/>
  <c r="EE73" i="12"/>
  <c r="EC73" i="12" s="1"/>
  <c r="EE112" i="12"/>
  <c r="EC112" i="12" s="1"/>
  <c r="EE66" i="12"/>
  <c r="EC66" i="12" s="1"/>
  <c r="EE37" i="12"/>
  <c r="EC37" i="12" s="1"/>
  <c r="EE36" i="12"/>
  <c r="EC36" i="12" s="1"/>
  <c r="EE51" i="12"/>
  <c r="EC51" i="12" s="1"/>
  <c r="EE106" i="12"/>
  <c r="EC106" i="12" s="1"/>
  <c r="EE41" i="12"/>
  <c r="EC41" i="12" s="1"/>
  <c r="EE21" i="12"/>
  <c r="EE27" i="12"/>
  <c r="EC27" i="12" s="1"/>
  <c r="EE97" i="12"/>
  <c r="EC97" i="12" s="1"/>
  <c r="EE99" i="12"/>
  <c r="EC99" i="12" s="1"/>
  <c r="EE60" i="12"/>
  <c r="EC60" i="12" s="1"/>
  <c r="EE102" i="12"/>
  <c r="EC102" i="12" s="1"/>
  <c r="EE104" i="12"/>
  <c r="EC104" i="12" s="1"/>
  <c r="EE30" i="12"/>
  <c r="EC30" i="12" s="1"/>
  <c r="EE92" i="12"/>
  <c r="EC92" i="12" s="1"/>
  <c r="EE115" i="12"/>
  <c r="EC115" i="12" s="1"/>
  <c r="EE23" i="12"/>
  <c r="EC23" i="12" s="1"/>
  <c r="EE52" i="12"/>
  <c r="EC52" i="12" s="1"/>
  <c r="EE72" i="12"/>
  <c r="EC72" i="12" s="1"/>
  <c r="EE88" i="12"/>
  <c r="EC88" i="12" s="1"/>
  <c r="EE62" i="12"/>
  <c r="EC62" i="12" s="1"/>
  <c r="EE58" i="12"/>
  <c r="EC58" i="12" s="1"/>
  <c r="EE44" i="12"/>
  <c r="EE105" i="12"/>
  <c r="EC105" i="12" s="1"/>
  <c r="EE64" i="12"/>
  <c r="EC64" i="12" s="1"/>
  <c r="EE57" i="12"/>
  <c r="EC57" i="12" s="1"/>
  <c r="EE48" i="12"/>
  <c r="EE111" i="12"/>
  <c r="EC111" i="12" s="1"/>
  <c r="EE39" i="12"/>
  <c r="EC39" i="12" s="1"/>
  <c r="EE49" i="12"/>
  <c r="EC49" i="12" s="1"/>
  <c r="EE25" i="12"/>
  <c r="EE22" i="12"/>
  <c r="EC22" i="12" s="1"/>
  <c r="EE90" i="12"/>
  <c r="EC90" i="12" s="1"/>
  <c r="EE40" i="12"/>
  <c r="EC40" i="12" s="1"/>
  <c r="EE55" i="12"/>
  <c r="EC55" i="12" s="1"/>
  <c r="EE24" i="12"/>
  <c r="EC24" i="12" s="1"/>
  <c r="EE94" i="12"/>
  <c r="EE53" i="12"/>
  <c r="EC53" i="12" s="1"/>
  <c r="R44" i="15"/>
  <c r="M46" i="15" s="1"/>
  <c r="B45" i="51" s="1"/>
  <c r="R39" i="15"/>
  <c r="M41" i="15" s="1"/>
  <c r="B40" i="51" s="1"/>
  <c r="EW109" i="12"/>
  <c r="EW44" i="12"/>
  <c r="EW57" i="12"/>
  <c r="EW67" i="12"/>
  <c r="EW48" i="12"/>
  <c r="EW104" i="12"/>
  <c r="EW94" i="12"/>
  <c r="EW70" i="12"/>
  <c r="EW27" i="12"/>
  <c r="EW38" i="12"/>
  <c r="EW81" i="12"/>
  <c r="EW35" i="12"/>
  <c r="EW60" i="12"/>
  <c r="EW45" i="12"/>
  <c r="EW59" i="12"/>
  <c r="EW29" i="12"/>
  <c r="EW56" i="12"/>
  <c r="EW22" i="12"/>
  <c r="EW65" i="12"/>
  <c r="EW77" i="12"/>
  <c r="EW53" i="12"/>
  <c r="EW31" i="12"/>
  <c r="EW88" i="12"/>
  <c r="EW89" i="12"/>
  <c r="EW49" i="12"/>
  <c r="EW86" i="12"/>
  <c r="EW107" i="12"/>
  <c r="EW73" i="12"/>
  <c r="EW61" i="12"/>
  <c r="EW95" i="12"/>
  <c r="EW79" i="12"/>
  <c r="EW26" i="12"/>
  <c r="EW91" i="12"/>
  <c r="EW63" i="12"/>
  <c r="EW72" i="12"/>
  <c r="EW117" i="12"/>
  <c r="EW41" i="12"/>
  <c r="EW99" i="12"/>
  <c r="EW51" i="12"/>
  <c r="EW116" i="12"/>
  <c r="EW33" i="12"/>
  <c r="EW113" i="12"/>
  <c r="EW39" i="12"/>
  <c r="EW55" i="12"/>
  <c r="EW103" i="12"/>
  <c r="EW36" i="12"/>
  <c r="EW112" i="12"/>
  <c r="EW23" i="12"/>
  <c r="EW84" i="12"/>
  <c r="EW24" i="12"/>
  <c r="EW115" i="12"/>
  <c r="EW92" i="12"/>
  <c r="EW69" i="12"/>
  <c r="EW96" i="12"/>
  <c r="EW90" i="12"/>
  <c r="EW40" i="12"/>
  <c r="EW37" i="12"/>
  <c r="EW43" i="12"/>
  <c r="EW82" i="12"/>
  <c r="EW50" i="12"/>
  <c r="EW105" i="12"/>
  <c r="EW100" i="12"/>
  <c r="EW111" i="12"/>
  <c r="EW21" i="12"/>
  <c r="EW34" i="12"/>
  <c r="EW52" i="12"/>
  <c r="EW110" i="12"/>
  <c r="EW75" i="12"/>
  <c r="EW114" i="12"/>
  <c r="EW47" i="12"/>
  <c r="EW98" i="12"/>
  <c r="EW46" i="12"/>
  <c r="EW28" i="12"/>
  <c r="EW78" i="12"/>
  <c r="EW18" i="12"/>
  <c r="EW74" i="12"/>
  <c r="EW58" i="12"/>
  <c r="EW93" i="12"/>
  <c r="EW32" i="12"/>
  <c r="EW97" i="12"/>
  <c r="EW30" i="12"/>
  <c r="EW64" i="12"/>
  <c r="EW108" i="12"/>
  <c r="EW20" i="12"/>
  <c r="EW101" i="12"/>
  <c r="EW54" i="12"/>
  <c r="EW102" i="12"/>
  <c r="EW42" i="12"/>
  <c r="D32" i="14"/>
  <c r="EW83" i="12"/>
  <c r="EW106" i="12"/>
  <c r="EW87" i="12"/>
  <c r="EW76" i="12"/>
  <c r="EW80" i="12"/>
  <c r="EW62" i="12"/>
  <c r="EW68" i="12"/>
  <c r="EW19" i="12"/>
  <c r="EW85" i="12"/>
  <c r="EW25" i="12"/>
  <c r="EW71" i="12"/>
  <c r="EW66" i="12"/>
  <c r="R48" i="15"/>
  <c r="M50" i="15" s="1"/>
  <c r="B49" i="51" s="1"/>
  <c r="B14" i="2"/>
  <c r="B30" i="2"/>
  <c r="R43" i="15"/>
  <c r="M45" i="15" s="1"/>
  <c r="B44" i="51" s="1"/>
  <c r="R47" i="15"/>
  <c r="M49" i="15" s="1"/>
  <c r="B48" i="51" s="1"/>
  <c r="X49" i="15"/>
  <c r="R41" i="15"/>
  <c r="M43" i="15" s="1"/>
  <c r="B42" i="51" s="1"/>
  <c r="B20" i="2"/>
  <c r="EP79" i="12"/>
  <c r="EP105" i="12"/>
  <c r="EP47" i="12"/>
  <c r="EP107" i="12"/>
  <c r="EP81" i="12"/>
  <c r="EP112" i="12"/>
  <c r="EP76" i="12"/>
  <c r="EP40" i="12"/>
  <c r="EP116" i="12"/>
  <c r="EP35" i="12"/>
  <c r="EP55" i="12"/>
  <c r="EP65" i="12"/>
  <c r="EP52" i="12"/>
  <c r="EP27" i="12"/>
  <c r="EP68" i="12"/>
  <c r="EP37" i="12"/>
  <c r="EP88" i="12"/>
  <c r="EP41" i="12"/>
  <c r="EP59" i="12"/>
  <c r="EP73" i="12"/>
  <c r="EP97" i="12"/>
  <c r="EP98" i="12"/>
  <c r="EP36" i="12"/>
  <c r="EP106" i="12"/>
  <c r="EP96" i="12"/>
  <c r="EP67" i="12"/>
  <c r="EP101" i="12"/>
  <c r="EP43" i="12"/>
  <c r="EP104" i="12"/>
  <c r="EP110" i="12"/>
  <c r="EP86" i="12"/>
  <c r="EP102" i="12"/>
  <c r="EP93" i="12"/>
  <c r="EP56" i="12"/>
  <c r="EP91" i="12"/>
  <c r="EP22" i="12"/>
  <c r="EP80" i="12"/>
  <c r="EP92" i="12"/>
  <c r="EP99" i="12"/>
  <c r="EP54" i="12"/>
  <c r="EP85" i="12"/>
  <c r="EP46" i="12"/>
  <c r="EP48" i="12"/>
  <c r="EP100" i="12"/>
  <c r="EP23" i="12"/>
  <c r="EP89" i="12"/>
  <c r="EP57" i="12"/>
  <c r="EP53" i="12"/>
  <c r="EP38" i="12"/>
  <c r="EP82" i="12"/>
  <c r="EP60" i="12"/>
  <c r="EP63" i="12"/>
  <c r="EP18" i="12"/>
  <c r="EP90" i="12"/>
  <c r="EP66" i="12"/>
  <c r="EP58" i="12"/>
  <c r="EP30" i="12"/>
  <c r="EP25" i="12"/>
  <c r="EP61" i="12"/>
  <c r="EP32" i="12"/>
  <c r="EP44" i="12"/>
  <c r="EP115" i="12"/>
  <c r="EP83" i="12"/>
  <c r="EP77" i="12"/>
  <c r="EP51" i="12"/>
  <c r="EP42" i="12"/>
  <c r="EP29" i="12"/>
  <c r="EP28" i="12"/>
  <c r="EP95" i="12"/>
  <c r="EP19" i="12"/>
  <c r="EP20" i="12"/>
  <c r="EP109" i="12"/>
  <c r="EP71" i="12"/>
  <c r="EP103" i="12"/>
  <c r="EP84" i="12"/>
  <c r="EP111" i="12"/>
  <c r="EP39" i="12"/>
  <c r="EP69" i="12"/>
  <c r="EP24" i="12"/>
  <c r="EP72" i="12"/>
  <c r="EP94" i="12"/>
  <c r="EP78" i="12"/>
  <c r="EP117" i="12"/>
  <c r="EP75" i="12"/>
  <c r="EP50" i="12"/>
  <c r="EP108" i="12"/>
  <c r="EP74" i="12"/>
  <c r="EP21" i="12"/>
  <c r="EP34" i="12"/>
  <c r="EP64" i="12"/>
  <c r="EP49" i="12"/>
  <c r="EP33" i="12"/>
  <c r="EP70" i="12"/>
  <c r="EP45" i="12"/>
  <c r="EP26" i="12"/>
  <c r="EP113" i="12"/>
  <c r="EP31" i="12"/>
  <c r="EP62" i="12"/>
  <c r="EP114" i="12"/>
  <c r="EP87" i="12"/>
  <c r="E23" i="7"/>
  <c r="F23" i="7" s="1"/>
  <c r="G23" i="7" s="1"/>
  <c r="E20" i="7"/>
  <c r="F20" i="7" s="1"/>
  <c r="G20" i="7" s="1"/>
  <c r="E22" i="7"/>
  <c r="F22" i="7" s="1"/>
  <c r="G22" i="7" s="1"/>
  <c r="E18" i="7"/>
  <c r="E24" i="7"/>
  <c r="F24" i="7" s="1"/>
  <c r="G24" i="7" s="1"/>
  <c r="E19" i="7"/>
  <c r="F19" i="7" s="1"/>
  <c r="G19" i="7" s="1"/>
  <c r="E21" i="7"/>
  <c r="F21" i="7" s="1"/>
  <c r="G21" i="7" s="1"/>
  <c r="EC44" i="12" l="1"/>
  <c r="EC33" i="12"/>
  <c r="F31" i="14"/>
  <c r="E31" i="14"/>
  <c r="E26" i="14"/>
  <c r="F26" i="14"/>
  <c r="EC25" i="12"/>
  <c r="EC21" i="12"/>
  <c r="ED22" i="12" s="1"/>
  <c r="E28" i="14"/>
  <c r="F28" i="14"/>
  <c r="I5" i="15"/>
  <c r="E21" i="14"/>
  <c r="J5" i="14"/>
  <c r="J5" i="15" s="1"/>
  <c r="K4" i="17" s="1"/>
  <c r="D44" i="20"/>
  <c r="E49" i="20" s="1"/>
  <c r="I6" i="14"/>
  <c r="I6" i="15" s="1"/>
  <c r="J6" i="17" s="1"/>
  <c r="E29" i="14"/>
  <c r="F29" i="14"/>
  <c r="E23" i="14"/>
  <c r="F23" i="14"/>
  <c r="EC56" i="12"/>
  <c r="A35" i="12"/>
  <c r="FW34" i="12"/>
  <c r="FX34" i="12"/>
  <c r="F25" i="14"/>
  <c r="E25" i="14"/>
  <c r="E24" i="14"/>
  <c r="F24" i="14"/>
  <c r="EC94" i="12"/>
  <c r="EC48" i="12"/>
  <c r="F18" i="7"/>
  <c r="G18" i="7" s="1"/>
  <c r="E46" i="7"/>
  <c r="D40" i="51"/>
  <c r="E40" i="51"/>
  <c r="G40" i="51"/>
  <c r="F40" i="51"/>
  <c r="H40" i="51"/>
  <c r="C40" i="51"/>
  <c r="A17" i="18" s="1"/>
  <c r="I40" i="51"/>
  <c r="F27" i="14"/>
  <c r="E27" i="14"/>
  <c r="E33" i="14"/>
  <c r="F33" i="14"/>
  <c r="F30" i="14"/>
  <c r="E30" i="14"/>
  <c r="EC61" i="12"/>
  <c r="F32" i="14"/>
  <c r="E32" i="14"/>
  <c r="ED90" i="12" l="1"/>
  <c r="ED113" i="12"/>
  <c r="ED104" i="12"/>
  <c r="ED58" i="12"/>
  <c r="ED91" i="12"/>
  <c r="ED72" i="12"/>
  <c r="ED26" i="12"/>
  <c r="ED69" i="12"/>
  <c r="ED94" i="12"/>
  <c r="ED24" i="12"/>
  <c r="ED112" i="12"/>
  <c r="ED117" i="12"/>
  <c r="ED36" i="12"/>
  <c r="ED71" i="12"/>
  <c r="ED95" i="12"/>
  <c r="ED64" i="12"/>
  <c r="ED20" i="12"/>
  <c r="ED92" i="12"/>
  <c r="ED42" i="12"/>
  <c r="ED25" i="12"/>
  <c r="ED73" i="12"/>
  <c r="ED102" i="12"/>
  <c r="ED89" i="12"/>
  <c r="ED70" i="12"/>
  <c r="ED116" i="12"/>
  <c r="ED105" i="12"/>
  <c r="ED59" i="12"/>
  <c r="ED38" i="12"/>
  <c r="ED96" i="12"/>
  <c r="B49" i="20"/>
  <c r="E52" i="20"/>
  <c r="B52" i="20" s="1"/>
  <c r="ED109" i="12"/>
  <c r="ED108" i="12"/>
  <c r="ED41" i="12"/>
  <c r="ED68" i="12"/>
  <c r="ED61" i="12"/>
  <c r="F46" i="7"/>
  <c r="E47" i="7"/>
  <c r="E48" i="7" s="1"/>
  <c r="ED78" i="12"/>
  <c r="ED37" i="12"/>
  <c r="ED115" i="12"/>
  <c r="ED114" i="12"/>
  <c r="ED52" i="12"/>
  <c r="ED29" i="12"/>
  <c r="ED110" i="12"/>
  <c r="ED85" i="12"/>
  <c r="ED54" i="12"/>
  <c r="ED55" i="12"/>
  <c r="ED79" i="12"/>
  <c r="ED30" i="12"/>
  <c r="ED106" i="12"/>
  <c r="ED49" i="12"/>
  <c r="Z21" i="15"/>
  <c r="J5" i="17"/>
  <c r="ED93" i="12"/>
  <c r="ED80" i="12"/>
  <c r="ED107" i="12"/>
  <c r="ED34" i="12"/>
  <c r="ED100" i="12"/>
  <c r="ED98" i="12"/>
  <c r="ED83" i="12"/>
  <c r="ED51" i="12"/>
  <c r="ED19" i="12"/>
  <c r="ED48" i="12"/>
  <c r="ED65" i="12"/>
  <c r="ED57" i="12"/>
  <c r="ED75" i="12"/>
  <c r="ED23" i="12"/>
  <c r="ED86" i="12"/>
  <c r="ED81" i="12"/>
  <c r="ED82" i="12"/>
  <c r="ED45" i="12"/>
  <c r="ED43" i="12"/>
  <c r="ED77" i="12"/>
  <c r="ED63" i="12"/>
  <c r="ED111" i="12"/>
  <c r="ED67" i="12"/>
  <c r="ED53" i="12"/>
  <c r="ED31" i="12"/>
  <c r="ED39" i="12"/>
  <c r="ED27" i="12"/>
  <c r="ED28" i="12"/>
  <c r="ED33" i="12"/>
  <c r="ED97" i="12"/>
  <c r="ED103" i="12"/>
  <c r="ED47" i="12"/>
  <c r="ED46" i="12"/>
  <c r="ED50" i="12"/>
  <c r="ED101" i="12"/>
  <c r="ED60" i="12"/>
  <c r="ED99" i="12"/>
  <c r="ED35" i="12"/>
  <c r="ED76" i="12"/>
  <c r="ED44" i="12"/>
  <c r="FX35" i="12"/>
  <c r="FW35" i="12"/>
  <c r="A36" i="12"/>
  <c r="ED62" i="12"/>
  <c r="ED40" i="12"/>
  <c r="ED87" i="12"/>
  <c r="ED66" i="12"/>
  <c r="ED32" i="12"/>
  <c r="ED56" i="12"/>
  <c r="ED74" i="12"/>
  <c r="ED18" i="12"/>
  <c r="ED21" i="12"/>
  <c r="ED88" i="12"/>
  <c r="ED84" i="12"/>
  <c r="FW36" i="12" l="1"/>
  <c r="FX36" i="12"/>
  <c r="A37" i="12"/>
  <c r="W24" i="15"/>
  <c r="X17" i="15"/>
  <c r="X24" i="15"/>
  <c r="X26" i="15"/>
  <c r="T26" i="15"/>
  <c r="R26" i="15" s="1"/>
  <c r="M28" i="15" s="1"/>
  <c r="B49" i="17" s="1"/>
  <c r="U19" i="15"/>
  <c r="W21" i="15"/>
  <c r="U22" i="15"/>
  <c r="W26" i="15"/>
  <c r="W23" i="15"/>
  <c r="W19" i="15"/>
  <c r="T18" i="15"/>
  <c r="U24" i="15"/>
  <c r="T19" i="15"/>
  <c r="W25" i="15"/>
  <c r="U26" i="15"/>
  <c r="X22" i="15"/>
  <c r="X21" i="15"/>
  <c r="T24" i="15"/>
  <c r="T20" i="15"/>
  <c r="T17" i="15"/>
  <c r="X19" i="15"/>
  <c r="X18" i="15"/>
  <c r="X20" i="15"/>
  <c r="U17" i="15"/>
  <c r="U18" i="15"/>
  <c r="X25" i="15"/>
  <c r="X23" i="15"/>
  <c r="W18" i="15"/>
  <c r="W20" i="15"/>
  <c r="W22" i="15"/>
  <c r="T22" i="15"/>
  <c r="R22" i="15" s="1"/>
  <c r="M24" i="15" s="1"/>
  <c r="B45" i="17" s="1"/>
  <c r="T25" i="15"/>
  <c r="U20" i="15"/>
  <c r="T23" i="15"/>
  <c r="U23" i="15"/>
  <c r="U25" i="15"/>
  <c r="W17" i="15"/>
  <c r="U21" i="15"/>
  <c r="S21" i="15" s="1"/>
  <c r="T21" i="15"/>
  <c r="V23" i="15"/>
  <c r="V18" i="15"/>
  <c r="V22" i="15"/>
  <c r="V25" i="15"/>
  <c r="V20" i="15"/>
  <c r="V19" i="15"/>
  <c r="V21" i="15"/>
  <c r="V24" i="15"/>
  <c r="V26" i="15"/>
  <c r="V17" i="15"/>
  <c r="F50" i="7"/>
  <c r="G46" i="7"/>
  <c r="G50" i="7" s="1"/>
  <c r="G51" i="7" s="1"/>
  <c r="S18" i="15" l="1"/>
  <c r="R19" i="15"/>
  <c r="M21" i="15" s="1"/>
  <c r="B42" i="17" s="1"/>
  <c r="S25" i="15"/>
  <c r="S24" i="15"/>
  <c r="R21" i="15"/>
  <c r="M23" i="15" s="1"/>
  <c r="B44" i="17" s="1"/>
  <c r="S26" i="15"/>
  <c r="X27" i="15"/>
  <c r="R18" i="15"/>
  <c r="M20" i="15" s="1"/>
  <c r="B41" i="17" s="1"/>
  <c r="R23" i="15"/>
  <c r="M25" i="15" s="1"/>
  <c r="B46" i="17" s="1"/>
  <c r="V27" i="15"/>
  <c r="S20" i="15"/>
  <c r="FX37" i="12"/>
  <c r="A38" i="12"/>
  <c r="FW37" i="12"/>
  <c r="S17" i="15"/>
  <c r="R25" i="15"/>
  <c r="M27" i="15" s="1"/>
  <c r="B48" i="17" s="1"/>
  <c r="R17" i="15"/>
  <c r="M19" i="15" s="1"/>
  <c r="B40" i="17" s="1"/>
  <c r="Z20" i="15"/>
  <c r="Z22" i="15" s="1"/>
  <c r="W27" i="15"/>
  <c r="S23" i="15"/>
  <c r="R20" i="15"/>
  <c r="M22" i="15" s="1"/>
  <c r="B43" i="17" s="1"/>
  <c r="S22" i="15"/>
  <c r="R24" i="15"/>
  <c r="M26" i="15" s="1"/>
  <c r="B47" i="17" s="1"/>
  <c r="E50" i="7"/>
  <c r="F51" i="7"/>
  <c r="E51" i="7" s="1"/>
  <c r="S19" i="15"/>
  <c r="I40" i="17" l="1"/>
  <c r="G40" i="17"/>
  <c r="F40" i="17"/>
  <c r="D40" i="17"/>
  <c r="C40" i="17"/>
  <c r="A5" i="18" s="1"/>
  <c r="E40" i="17"/>
  <c r="H40" i="17"/>
  <c r="A39" i="12"/>
  <c r="FX38" i="12"/>
  <c r="FW38" i="12"/>
  <c r="A40" i="12" l="1"/>
  <c r="FX39" i="12"/>
  <c r="FW39" i="12"/>
  <c r="A41" i="12" l="1"/>
  <c r="FW40" i="12"/>
  <c r="FX40" i="12"/>
  <c r="FW41" i="12" l="1"/>
  <c r="FX41" i="12"/>
  <c r="A42" i="12"/>
  <c r="FW42" i="12" l="1"/>
  <c r="FX42" i="12"/>
  <c r="A43" i="12"/>
  <c r="FW43" i="12" l="1"/>
  <c r="FX43" i="12"/>
  <c r="A44" i="12"/>
  <c r="A45" i="12" l="1"/>
  <c r="FW44" i="12"/>
  <c r="FX44" i="12"/>
  <c r="A46" i="12" l="1"/>
  <c r="FX45" i="12"/>
  <c r="FW45" i="12"/>
  <c r="A47" i="12" l="1"/>
  <c r="FX46" i="12"/>
  <c r="FW46" i="12"/>
  <c r="FW47" i="12" l="1"/>
  <c r="A48" i="12"/>
  <c r="FX47" i="12"/>
  <c r="A49" i="12" l="1"/>
  <c r="FX48" i="12"/>
  <c r="FW48" i="12"/>
  <c r="A50" i="12" l="1"/>
  <c r="FW49" i="12"/>
  <c r="FX49" i="12"/>
  <c r="A51" i="12" l="1"/>
  <c r="FW50" i="12"/>
  <c r="FX50" i="12"/>
  <c r="A52" i="12" l="1"/>
  <c r="FW51" i="12"/>
  <c r="FX51" i="12"/>
  <c r="A53" i="12" l="1"/>
  <c r="FX52" i="12"/>
  <c r="FW52" i="12"/>
  <c r="FX53" i="12" l="1"/>
  <c r="FW53" i="12"/>
  <c r="A54" i="12"/>
  <c r="FX54" i="12" l="1"/>
  <c r="FW54" i="12"/>
  <c r="A55" i="12"/>
  <c r="FW55" i="12" l="1"/>
  <c r="FX55" i="12"/>
  <c r="A56" i="12"/>
  <c r="FW56" i="12" l="1"/>
  <c r="FX56" i="12"/>
  <c r="A57" i="12"/>
  <c r="A58" i="12" l="1"/>
  <c r="FX57" i="12"/>
  <c r="FW57" i="12"/>
  <c r="A59" i="12" l="1"/>
  <c r="FW58" i="12"/>
  <c r="FX58" i="12"/>
  <c r="FW59" i="12" l="1"/>
  <c r="FX59" i="12"/>
  <c r="A60" i="12"/>
  <c r="A61" i="12" l="1"/>
  <c r="FW60" i="12"/>
  <c r="FX60" i="12"/>
  <c r="A62" i="12" l="1"/>
  <c r="FX61" i="12"/>
  <c r="FW61" i="12"/>
  <c r="A63" i="12" l="1"/>
  <c r="FX62" i="12"/>
  <c r="FW62" i="12"/>
  <c r="A64" i="12" l="1"/>
  <c r="FW63" i="12"/>
  <c r="FX63" i="12"/>
  <c r="A65" i="12" l="1"/>
  <c r="FW64" i="12"/>
  <c r="FX64" i="12"/>
  <c r="FX65" i="12" l="1"/>
  <c r="FW65" i="12"/>
  <c r="A66" i="12"/>
  <c r="FX66" i="12" l="1"/>
  <c r="FW66" i="12"/>
  <c r="A67" i="12"/>
  <c r="FW67" i="12" l="1"/>
  <c r="FX67" i="12"/>
  <c r="A68" i="12"/>
  <c r="FW68" i="12" l="1"/>
  <c r="FX68" i="12"/>
  <c r="A69" i="12"/>
  <c r="A70" i="12" l="1"/>
  <c r="FW69" i="12"/>
  <c r="FX69" i="12"/>
  <c r="A71" i="12" l="1"/>
  <c r="FX70" i="12"/>
  <c r="FW70" i="12"/>
  <c r="FX71" i="12" l="1"/>
  <c r="FW71" i="12"/>
  <c r="A72" i="12"/>
  <c r="FW72" i="12" l="1"/>
  <c r="FX72" i="12"/>
  <c r="A73" i="12"/>
  <c r="FW73" i="12" l="1"/>
  <c r="FX73" i="12"/>
  <c r="A74" i="12"/>
  <c r="A75" i="12" l="1"/>
  <c r="FX74" i="12"/>
  <c r="FW74" i="12"/>
  <c r="A76" i="12" l="1"/>
  <c r="FW75" i="12"/>
  <c r="FX75" i="12"/>
  <c r="A77" i="12" l="1"/>
  <c r="FW76" i="12"/>
  <c r="FX76" i="12"/>
  <c r="FX77" i="12" l="1"/>
  <c r="FW77" i="12"/>
  <c r="A78" i="12"/>
  <c r="FW78" i="12" l="1"/>
  <c r="FX78" i="12"/>
  <c r="A79" i="12"/>
  <c r="FX79" i="12" l="1"/>
  <c r="A80" i="12"/>
  <c r="FW79" i="12"/>
  <c r="A81" i="12" l="1"/>
  <c r="FW80" i="12"/>
  <c r="FX80" i="12"/>
  <c r="A82" i="12" l="1"/>
  <c r="FX81" i="12"/>
  <c r="FW81" i="12"/>
  <c r="A83" i="12" l="1"/>
  <c r="FW82" i="12"/>
  <c r="FX82" i="12"/>
  <c r="FX83" i="12" l="1"/>
  <c r="FW83" i="12"/>
  <c r="A84" i="12"/>
  <c r="FW84" i="12" l="1"/>
  <c r="FX84" i="12"/>
  <c r="A85" i="12"/>
  <c r="FW85" i="12" l="1"/>
  <c r="FX85" i="12"/>
  <c r="A86" i="12"/>
  <c r="FW86" i="12" l="1"/>
  <c r="FX86" i="12"/>
  <c r="A87" i="12"/>
  <c r="FW87" i="12" l="1"/>
  <c r="FX87" i="12"/>
  <c r="A88" i="12"/>
  <c r="A89" i="12" l="1"/>
  <c r="FW88" i="12"/>
  <c r="FX88" i="12"/>
  <c r="FX89" i="12" l="1"/>
  <c r="A90" i="12"/>
  <c r="FW89" i="12"/>
  <c r="A91" i="12" l="1"/>
  <c r="FW90" i="12"/>
  <c r="FX90" i="12"/>
  <c r="A92" i="12" l="1"/>
  <c r="FW91" i="12"/>
  <c r="FX91" i="12"/>
  <c r="A93" i="12" l="1"/>
  <c r="FW92" i="12"/>
  <c r="FX92" i="12"/>
  <c r="A94" i="12" l="1"/>
  <c r="FW93" i="12"/>
  <c r="FX93" i="12"/>
  <c r="A95" i="12" l="1"/>
  <c r="FX94" i="12"/>
  <c r="FW94" i="12"/>
  <c r="FX95" i="12" l="1"/>
  <c r="FW95" i="12"/>
  <c r="A96" i="12"/>
  <c r="FW96" i="12" l="1"/>
  <c r="FX96" i="12"/>
  <c r="A97" i="12"/>
  <c r="FW97" i="12" l="1"/>
  <c r="FX97" i="12"/>
  <c r="A98" i="12"/>
  <c r="FX98" i="12" l="1"/>
  <c r="FW98" i="12"/>
  <c r="A99" i="12"/>
  <c r="FX99" i="12" l="1"/>
  <c r="A100" i="12"/>
  <c r="FW99" i="12"/>
  <c r="A101" i="12" l="1"/>
  <c r="FW100" i="12"/>
  <c r="FX100" i="12"/>
  <c r="FX101" i="12" l="1"/>
  <c r="FW101" i="12"/>
  <c r="A102" i="12"/>
  <c r="A103" i="12" l="1"/>
  <c r="FX102" i="12"/>
  <c r="FW102" i="12"/>
  <c r="A104" i="12" l="1"/>
  <c r="FX103" i="12"/>
  <c r="FW103" i="12"/>
  <c r="A105" i="12" l="1"/>
  <c r="FX104" i="12"/>
  <c r="FW104" i="12"/>
  <c r="A106" i="12" l="1"/>
  <c r="FW105" i="12"/>
  <c r="FX105" i="12"/>
  <c r="A107" i="12" l="1"/>
  <c r="FX106" i="12"/>
  <c r="FW106" i="12"/>
  <c r="FW107" i="12" l="1"/>
  <c r="FX107" i="12"/>
  <c r="A108" i="12"/>
  <c r="FX108" i="12" l="1"/>
  <c r="FW108" i="12"/>
  <c r="A109" i="12"/>
  <c r="FW109" i="12" l="1"/>
  <c r="A110" i="12"/>
  <c r="FX109" i="12"/>
  <c r="A111" i="12" l="1"/>
  <c r="FX110" i="12"/>
  <c r="FW110" i="12"/>
  <c r="A112" i="12" l="1"/>
  <c r="FX111" i="12"/>
  <c r="FW111" i="12"/>
  <c r="A113" i="12" l="1"/>
  <c r="FX112" i="12"/>
  <c r="FW112" i="12"/>
  <c r="FX113" i="12" l="1"/>
  <c r="FW113" i="12"/>
  <c r="A114" i="12"/>
  <c r="FW114" i="12" l="1"/>
  <c r="FX114" i="12"/>
  <c r="A115" i="12"/>
  <c r="A116" i="12"/>
  <c r="FW116" i="12" l="1"/>
  <c r="FX116" i="12"/>
  <c r="A117" i="12"/>
  <c r="FX115" i="12"/>
  <c r="FW115" i="12"/>
  <c r="FX117" i="12" l="1"/>
  <c r="FW117" i="12"/>
  <c r="B10" i="22"/>
  <c r="B5" i="22"/>
  <c r="B1" i="22" s="1"/>
  <c r="D8" i="22"/>
  <c r="E8" i="22"/>
  <c r="E49" i="51"/>
  <c r="E46" i="51"/>
  <c r="G8" i="22"/>
  <c r="B11" i="22"/>
  <c r="F8" i="22"/>
  <c r="H8" i="22"/>
  <c r="C8" i="22"/>
  <c r="H46" i="51"/>
  <c r="G48" i="51"/>
  <c r="F46" i="51"/>
  <c r="D43" i="51"/>
  <c r="D45" i="51"/>
  <c r="C41" i="51"/>
  <c r="E45" i="51"/>
  <c r="C45" i="51"/>
  <c r="A22" i="18" s="1"/>
  <c r="H49" i="51"/>
  <c r="H44" i="51"/>
  <c r="C44" i="51"/>
  <c r="C42" i="51"/>
  <c r="E44" i="51"/>
  <c r="D46" i="51"/>
  <c r="D48" i="51"/>
  <c r="D49" i="51"/>
  <c r="H45" i="51"/>
  <c r="D44" i="51"/>
  <c r="G42" i="51"/>
  <c r="I41" i="51"/>
  <c r="C48" i="51"/>
  <c r="C43" i="51"/>
  <c r="A20" i="18" s="1"/>
  <c r="E41" i="51"/>
  <c r="F41" i="51"/>
  <c r="C49" i="51"/>
  <c r="A26" i="18" s="1"/>
  <c r="F44" i="51"/>
  <c r="I48" i="51"/>
  <c r="G45" i="51"/>
  <c r="G46" i="51"/>
  <c r="E43" i="51"/>
  <c r="I46" i="51"/>
  <c r="H41" i="51"/>
  <c r="I49" i="17"/>
  <c r="I42" i="51"/>
  <c r="H47" i="51"/>
  <c r="G47" i="51"/>
  <c r="E47" i="51"/>
  <c r="F47" i="51"/>
  <c r="C47" i="51"/>
  <c r="H48" i="51"/>
  <c r="H43" i="51"/>
  <c r="F45" i="51"/>
  <c r="G41" i="51"/>
  <c r="E48" i="51"/>
  <c r="I43" i="51"/>
  <c r="G43" i="51"/>
  <c r="I49" i="51"/>
  <c r="D41" i="51"/>
  <c r="C46" i="51"/>
  <c r="A23" i="18" s="1"/>
  <c r="F42" i="51"/>
  <c r="I47" i="51"/>
  <c r="F48" i="51"/>
  <c r="G49" i="51"/>
  <c r="D42" i="51"/>
  <c r="G44" i="51"/>
  <c r="D47" i="51"/>
  <c r="F49" i="51"/>
  <c r="I45" i="51"/>
  <c r="F43" i="51"/>
  <c r="I44" i="51"/>
  <c r="E42" i="51"/>
  <c r="H42" i="51"/>
  <c r="D43" i="17"/>
  <c r="G42" i="17"/>
  <c r="E49" i="17"/>
  <c r="F49" i="17"/>
  <c r="F45" i="17"/>
  <c r="H49" i="17"/>
  <c r="D49" i="17"/>
  <c r="G49" i="17"/>
  <c r="D42" i="17"/>
  <c r="H43" i="17"/>
  <c r="H42" i="17"/>
  <c r="C49" i="17"/>
  <c r="A14" i="18" s="1"/>
  <c r="I45" i="17"/>
  <c r="I42" i="17"/>
  <c r="C42" i="17"/>
  <c r="C45" i="17"/>
  <c r="G45" i="17"/>
  <c r="D48" i="17"/>
  <c r="H46" i="17"/>
  <c r="E43" i="17"/>
  <c r="C48" i="17"/>
  <c r="A13" i="18" s="1"/>
  <c r="F42" i="17"/>
  <c r="E48" i="17"/>
  <c r="G43" i="17"/>
  <c r="G46" i="17"/>
  <c r="E45" i="17"/>
  <c r="H45" i="17"/>
  <c r="D45" i="17"/>
  <c r="E42" i="17"/>
  <c r="I43" i="17"/>
  <c r="I44" i="17"/>
  <c r="E44" i="17"/>
  <c r="E41" i="17"/>
  <c r="F46" i="17"/>
  <c r="C44" i="17"/>
  <c r="I47" i="17"/>
  <c r="G41" i="17"/>
  <c r="C46" i="17"/>
  <c r="H44" i="17"/>
  <c r="F41" i="17"/>
  <c r="I41" i="17"/>
  <c r="D41" i="17"/>
  <c r="F48" i="17"/>
  <c r="F43" i="17"/>
  <c r="D44" i="17"/>
  <c r="F44" i="17"/>
  <c r="E46" i="17"/>
  <c r="G47" i="17"/>
  <c r="I46" i="17"/>
  <c r="C47" i="17"/>
  <c r="A12" i="18" s="1"/>
  <c r="C41" i="17"/>
  <c r="A6" i="18" s="1"/>
  <c r="G48" i="17"/>
  <c r="D46" i="17"/>
  <c r="H48" i="17"/>
  <c r="H47" i="17"/>
  <c r="C43" i="17"/>
  <c r="A8" i="18" s="1"/>
  <c r="I48" i="17"/>
  <c r="D47" i="17"/>
  <c r="F47" i="17"/>
  <c r="G44" i="17"/>
  <c r="E47" i="17"/>
  <c r="H41" i="17"/>
  <c r="A21" i="18" l="1"/>
  <c r="A25" i="18"/>
  <c r="A10" i="18"/>
  <c r="A18" i="18"/>
  <c r="A7" i="18"/>
  <c r="A11" i="18"/>
  <c r="A24" i="18"/>
  <c r="A9" i="18"/>
  <c r="A19"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tc={3B947149-B857-4707-B827-9EDD159F302E}</author>
    <author>tc={734AB3CA-ECDD-4F07-861F-5D57D7AECF9A}</author>
  </authors>
  <commentList>
    <comment ref="Y17" authorId="0" shapeId="0" xr:uid="{00000000-0006-0000-0D00-000001000000}">
      <text>
        <t>[Threaded comment]
Your version of Excel allows you to read this threaded comment; however, any edits to it will get removed if the file is opened in a newer version of Excel. Learn more: https://go.microsoft.com/fwlink/?linkid=870924
Comment:
    Default is 100%, if significant event and a two step is utilized then suggest use of "Yes/No" assumption curve or a binomial curve.</t>
      </text>
    </comment>
    <comment ref="Z17" authorId="1" shapeId="0" xr:uid="{00000000-0006-0000-0D00-000002000000}">
      <text>
        <t>[Threaded comment]
Your version of Excel allows you to read this threaded comment; however, any edits to it will get removed if the file is opened in a newer version of Excel. Learn more: https://go.microsoft.com/fwlink/?linkid=870924
Comment:
    Default is 1, if significant event and a two step is utilized then suggest use of "Yes/No" assumption curve or a binomial curve.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tc={2D4313C2-E7C3-4F54-9474-509813339751}</author>
    <author>tc={6FFE8484-7FD8-4213-B804-735AA096A88B}</author>
  </authors>
  <commentList>
    <comment ref="E60" authorId="0" shapeId="0" xr:uid="{00000000-0006-0000-0E00-000001000000}">
      <text>
        <t>[Threaded comment]
Your version of Excel allows you to read this threaded comment; however, any edits to it will get removed if the file is opened in a newer version of Excel. Learn more: https://go.microsoft.com/fwlink/?linkid=870924
Comment:
    These are populated from the forecast above.</t>
      </text>
    </comment>
    <comment ref="F60" authorId="1" shapeId="0" xr:uid="{00000000-0006-0000-0E00-000002000000}">
      <text>
        <t>[Threaded comment]
Your version of Excel allows you to read this threaded comment; however, any edits to it will get removed if the file is opened in a newer version of Excel. Learn more: https://go.microsoft.com/fwlink/?linkid=870924
Comment:
    This is rounded for presentation purposes. This way the numbers will match the TPCS.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<sst xmlns="http://schemas.openxmlformats.org/spreadsheetml/2006/main" count="4645" uniqueCount="1447">
  <si>
    <t>Dustin Sawyers (NWW)</t>
  </si>
  <si>
    <t>Change Made By</t>
  </si>
  <si>
    <t>Description</t>
  </si>
  <si>
    <t>Date</t>
  </si>
  <si>
    <t>Change Control Log</t>
  </si>
  <si>
    <t>THE HARD STUFF</t>
  </si>
  <si>
    <t>Spell check and clean up the risk model tab.  Eliminate duplicates and restatements as much as possible.  No sense in carrying forward multiple descriptions of the same thing.</t>
  </si>
  <si>
    <t>AFTER THE MEETING</t>
  </si>
  <si>
    <t>AT THE MEETING</t>
  </si>
  <si>
    <t>There is a sample meeting agenda and the risk checklist included to help.</t>
  </si>
  <si>
    <t>Quick Instructions for Using This Template</t>
  </si>
  <si>
    <t>Remaining Activities</t>
  </si>
  <si>
    <t>Meeting Agenda</t>
  </si>
  <si>
    <t>1)  Good Morning and Project Intro</t>
  </si>
  <si>
    <t>a)  Risk Analysis</t>
  </si>
  <si>
    <t>b)  How it Fits in project Execution/Management</t>
  </si>
  <si>
    <t>c)  Measured</t>
  </si>
  <si>
    <t>5)  Start Risk Register Development  (Note PDT crossover)</t>
  </si>
  <si>
    <t>a)  Brainstorming (Potential Risk Events)</t>
  </si>
  <si>
    <t>b)  Event Description, Discussion, Effect (Cost and/or Schedule), POC</t>
  </si>
  <si>
    <t>c)  Restacking (Likelihood/Impact)  and Ranges</t>
  </si>
  <si>
    <t>d)  Identification of Top Risk Elements</t>
  </si>
  <si>
    <t>6)  End Risk Register Development</t>
  </si>
  <si>
    <t>7)  Clean up and Distribute Risk Register for PDT buy in on risks captured at meeting</t>
  </si>
  <si>
    <t>9)  Sensitivity Analysis/ Probability Curves</t>
  </si>
  <si>
    <t>10)  Reality Check Results</t>
  </si>
  <si>
    <t>11)  Calculate Contingencies and Risk Items</t>
  </si>
  <si>
    <t>13)  Write Risk Report</t>
  </si>
  <si>
    <t>8)  Develop Risk Model - Quantitative Analysis of Risks</t>
  </si>
  <si>
    <t>12)  Development of Risk Mitigation / Risk Reduction Measures</t>
  </si>
  <si>
    <t>Coordination with PWD/ FMD and FEAD</t>
  </si>
  <si>
    <t>TO</t>
  </si>
  <si>
    <t>N</t>
  </si>
  <si>
    <t xml:space="preserve">Funding </t>
  </si>
  <si>
    <t>Access requirements</t>
  </si>
  <si>
    <t>SCIF?</t>
  </si>
  <si>
    <t>Is this a secured space/ facility</t>
  </si>
  <si>
    <t>Maintenance</t>
  </si>
  <si>
    <t>Janitorial</t>
  </si>
  <si>
    <t>Clearances</t>
  </si>
  <si>
    <t>Supported Command special requirements</t>
  </si>
  <si>
    <t>TURNOVER (TO)</t>
  </si>
  <si>
    <t>j.  Security  requirements - Escort</t>
  </si>
  <si>
    <t>EQ</t>
  </si>
  <si>
    <t>i.  Badging requirements (Non-Standard) (NAVSEA-CIA) Airfield</t>
  </si>
  <si>
    <t>h.  Base Security  requirements</t>
  </si>
  <si>
    <t>g.  Badging requirements (Standard)</t>
  </si>
  <si>
    <t>f.  Digging, Burn, and Hot work permits</t>
  </si>
  <si>
    <t>e.  Process Base Pass Requests</t>
  </si>
  <si>
    <t>d.  Utility/road outages</t>
  </si>
  <si>
    <t>c.  Arrange telephone connections</t>
  </si>
  <si>
    <t>b.  Lay down areas</t>
  </si>
  <si>
    <t>a.  Temp utility hook-up</t>
  </si>
  <si>
    <t>Perform base/contractor coordination:</t>
  </si>
  <si>
    <t>Other:</t>
  </si>
  <si>
    <t>General maintenance access considered in design</t>
  </si>
  <si>
    <t>Equipment deliveries and safe storage areas defined</t>
  </si>
  <si>
    <t>Requirements fully understood by customer/others and design confidence in equipment</t>
  </si>
  <si>
    <t>Sufficient space, sizing and utility requirements/redundancies is considered for equipment?</t>
  </si>
  <si>
    <t>a.  Integrated equipment- operating rooms, security, life safety systems</t>
  </si>
  <si>
    <t xml:space="preserve">Compatibility and Sole Source </t>
  </si>
  <si>
    <t>Conveyance systems – IT coordination, Network access requirements (pharmacy robots)</t>
  </si>
  <si>
    <t>b.  Adequate Network connections - exponential growth in requirements in last few years.</t>
  </si>
  <si>
    <t>a.  Wi-Fi- Televisions/cable</t>
  </si>
  <si>
    <t>Communications and Information Technologies (IT)</t>
  </si>
  <si>
    <t>Design flexibility to support changing technologies</t>
  </si>
  <si>
    <t>Risk of equipment change due to technology advances, or changing requirements. (Surgery, Laboratory, communications/IT equipment.)</t>
  </si>
  <si>
    <t>a.  Foreign national access—Kitchen equipment past Lesson Learned</t>
  </si>
  <si>
    <t>Medical, Kitchen, Administrative, Maintenance, Other</t>
  </si>
  <si>
    <t>Gov’t furnished equipment, design, purchase, delivery and install</t>
  </si>
  <si>
    <t>Timing of follow on contracts is considered in overall schedule.</t>
  </si>
  <si>
    <t xml:space="preserve">Coordination between stakeholders and contractors </t>
  </si>
  <si>
    <t>Design phase (%) and confidence</t>
  </si>
  <si>
    <t>EQUIPMENT LIST</t>
  </si>
  <si>
    <t>EQUIPMENT (EQ)</t>
  </si>
  <si>
    <t>CC</t>
  </si>
  <si>
    <t>Status of Initial Outfitting and Transition (IO&amp;T) contract, involvement, coordination with construction contractor</t>
  </si>
  <si>
    <t xml:space="preserve">Work windows/outages required for resting /commissioning identified </t>
  </si>
  <si>
    <t>Recertification/Commissioning due to rework or delay</t>
  </si>
  <si>
    <t>Central utility plant (CUP) adjustments as new buildings brought on line- (staged or legacy campus)</t>
  </si>
  <si>
    <t>Post commissioning maintenance prior to turnover- Medgas leakdown, MRI exercising, Genset Fuels, Consumables for testing, Spares</t>
  </si>
  <si>
    <t>Identification of Commissioning Agent and responsibilities clearly defined/understood by stakeholders</t>
  </si>
  <si>
    <t xml:space="preserve">Unique coordination requirements for personnel or materials (X-ray source)  </t>
  </si>
  <si>
    <t>a.  Labs, pharmacy, medical systems, HVAC, fire, emergency generators, etc.</t>
  </si>
  <si>
    <t>Items requiring commissioning/certification identified in P&amp;S/project documentation</t>
  </si>
  <si>
    <t>COMMISSIONING / CERTIFICATION (CC)</t>
  </si>
  <si>
    <t>Special Equipment</t>
  </si>
  <si>
    <t>SA</t>
  </si>
  <si>
    <t>Specialty Design</t>
  </si>
  <si>
    <t>CO</t>
  </si>
  <si>
    <t>Specialty Construction</t>
  </si>
  <si>
    <t>Timing of Mission Need vs execution</t>
  </si>
  <si>
    <t>Experience</t>
  </si>
  <si>
    <t>Level of safety</t>
  </si>
  <si>
    <t>Safety personnel</t>
  </si>
  <si>
    <t>Safety</t>
  </si>
  <si>
    <t>Security  requirements - Escort</t>
  </si>
  <si>
    <t>Base Access (CONUS/OCONUS)- Security Background checks, timing, coordination, responsiveness, long term contact cost to maintain</t>
  </si>
  <si>
    <t>Badging requirements (Non-Standard) (NAVSEA-CIA) Airfield</t>
  </si>
  <si>
    <t>Badging requirements (Standard)</t>
  </si>
  <si>
    <t>Digging, Burn, and Hot work permits</t>
  </si>
  <si>
    <t>Process Base Pass Requests</t>
  </si>
  <si>
    <t>Utility/road outages</t>
  </si>
  <si>
    <t>Arrange telephone connections</t>
  </si>
  <si>
    <t>Lay down areas</t>
  </si>
  <si>
    <t>Temp utility hook-up</t>
  </si>
  <si>
    <t>Coordinate telecommunication equipment and distribution requirements with the Installation's Base Communications Officer.</t>
  </si>
  <si>
    <t>Confirm list of personal property equipment associated with this projects attached in EPG.  For each unit (e.g., generator) or type (e.g., desks) of personal property equipment listed, the following information should be provided:
- Description.
- Rough order of magnitude (ROM) cost estimate.
- Budget Submitting Office (BSO) responsible for programming funding.
- Funding source (e.g.,  OPN, O&amp;MN).
- Fiscal year (FY) of funding appropriation.
- Date of start of installation (usually but not always after completion of the project).
- Date installations completed (satisfy user/operator mission needs).
For major electronic systems, coordinate with the Space and Naval Warfare Systems Command (SPAWAR).  For crane systems, coordinate with the Navy Crane Center and PWD Weight Handling
Division.</t>
  </si>
  <si>
    <t>Equipment List</t>
  </si>
  <si>
    <t>Warranty Period considerations Administration/follow on support</t>
  </si>
  <si>
    <t>Final 1354</t>
  </si>
  <si>
    <t>Delay in turnover/construction could cause construction budget to bear O&amp;M costs</t>
  </si>
  <si>
    <t>Fuels &amp; O&amp;M costs accounted for commissioning and for final top off prior to turnover</t>
  </si>
  <si>
    <t>e.  Maintenance of turned over spaces- janitorial, exercising MRI,  etc.</t>
  </si>
  <si>
    <t>d.  Security during construction/Joint Occupancy</t>
  </si>
  <si>
    <t xml:space="preserve">c.  Key control/lock </t>
  </si>
  <si>
    <t>b.  Med Gas</t>
  </si>
  <si>
    <t>a.  Janitorial</t>
  </si>
  <si>
    <t>Does customer understand turnover/occupancy requirements</t>
  </si>
  <si>
    <t>System testing and commissioning delays</t>
  </si>
  <si>
    <t>i.  Security Concerns during Joint Occupancy</t>
  </si>
  <si>
    <t xml:space="preserve">h.  Liability insurance coverage </t>
  </si>
  <si>
    <t>g.  Rework due to damage</t>
  </si>
  <si>
    <t>f.  Security/safety of completed work</t>
  </si>
  <si>
    <t>e.  Staging of materials</t>
  </si>
  <si>
    <t>d.  Backup utilities</t>
  </si>
  <si>
    <t>c.  Protection from construction impacts</t>
  </si>
  <si>
    <t xml:space="preserve">b.  People management  </t>
  </si>
  <si>
    <t xml:space="preserve">a.  Functioning utilities intact  </t>
  </si>
  <si>
    <t>Occupancy during construction, Joint Occupancy/IO&amp;T</t>
  </si>
  <si>
    <t>Sufficient construction schedule durations (sequencing, phasing, concurrent activities, float, production rates)</t>
  </si>
  <si>
    <t>Consideration for standard weather impacts and or abnormal weather conditions</t>
  </si>
  <si>
    <t>Differing site conditions, contract modification and claim potential</t>
  </si>
  <si>
    <t>Material availability and delivery</t>
  </si>
  <si>
    <t>Special equipment and equipment availability</t>
  </si>
  <si>
    <t>Contractor provided infrastructure (for government use)</t>
  </si>
  <si>
    <t xml:space="preserve">Permits, licenses, submittal approvals </t>
  </si>
  <si>
    <t>Defects with existing infrastructure (customer wanting project to pay)</t>
  </si>
  <si>
    <t>Timely coordination, approvals, and delivery of critical GFE to support design/construction</t>
  </si>
  <si>
    <t>Changes in security posture during construction- Internal or External</t>
  </si>
  <si>
    <t>Site security Escort requirements- risk of variation in stated requirements</t>
  </si>
  <si>
    <t>Site security (can vary due to security posture, stage of construction, Joint occupancy, other activities in area, etc.)</t>
  </si>
  <si>
    <t>Congested site access, staging areas and restrictions</t>
  </si>
  <si>
    <t>Expected number of Requests for Information (RFI), tracking system, and ability/timeliness to respond</t>
  </si>
  <si>
    <t>Adequate laydown site available or Just in Time Delivery</t>
  </si>
  <si>
    <t>Accelerated contract schedule</t>
  </si>
  <si>
    <t>Safe storage of existing equipment and replacement (remodels)</t>
  </si>
  <si>
    <t>Innovative or complex project construction</t>
  </si>
  <si>
    <t>New Facility or Rehabilitation</t>
  </si>
  <si>
    <t>Elevators</t>
  </si>
  <si>
    <t>Cranes</t>
  </si>
  <si>
    <t>Vertical transportation equipment</t>
  </si>
  <si>
    <t>Boilers</t>
  </si>
  <si>
    <t>Structural steel, welding</t>
  </si>
  <si>
    <t>Concrete, masonry, stucco</t>
  </si>
  <si>
    <t>Roofing</t>
  </si>
  <si>
    <t>HVAC, TABS, DALTS, controls</t>
  </si>
  <si>
    <t>Provide technical expertise and ensure certification (QC Specialty)</t>
  </si>
  <si>
    <t>Warranty issue potential (specialized systems)</t>
  </si>
  <si>
    <t>Safety hazards</t>
  </si>
  <si>
    <t>Environment/Site/Location</t>
  </si>
  <si>
    <t>Furniture, Fixtures and Equipment (FFE)</t>
  </si>
  <si>
    <t>j.  Quantity/Type of Sampling &amp; Testing</t>
  </si>
  <si>
    <t>i.  Quantity of GFM/GFE (Specialized construction or systems)</t>
  </si>
  <si>
    <t>h.  Renovation/Repair</t>
  </si>
  <si>
    <t>g.  Critical end use of facility</t>
  </si>
  <si>
    <t xml:space="preserve">f.  Potential interruptions to base operations </t>
  </si>
  <si>
    <t>e.  Size ($ Cost)</t>
  </si>
  <si>
    <t>d.  Multi-disciplined (Specialized Acceptance)</t>
  </si>
  <si>
    <t>c.  Environmental Hazard (UXO, POL, Asbestos, Lead, etc.)</t>
  </si>
  <si>
    <t>b.  Schedule/Phasing</t>
  </si>
  <si>
    <t>a.  Prototype/Unique construction</t>
  </si>
  <si>
    <t>Complexity / Financial Risk</t>
  </si>
  <si>
    <t>ESS - SPAWAR vs Contractor</t>
  </si>
  <si>
    <t>NCTAMS LANT</t>
  </si>
  <si>
    <t>Differing site conditions</t>
  </si>
  <si>
    <t>Unusual transportation haul distances</t>
  </si>
  <si>
    <t xml:space="preserve">Critical fabrication and delivery </t>
  </si>
  <si>
    <t>Limited transportation / haul routes available</t>
  </si>
  <si>
    <t>Transportation / haul routes constricted or unusable during periods of time</t>
  </si>
  <si>
    <t>Productivity of critical work items</t>
  </si>
  <si>
    <t>Regulatory / operational work windows or outage periods</t>
  </si>
  <si>
    <t>Restricted schedule, accelerated schedule impacts</t>
  </si>
  <si>
    <t>Adequate staging areas</t>
  </si>
  <si>
    <t>Unidentified hazardous waste</t>
  </si>
  <si>
    <t>Historic change order or modification growth</t>
  </si>
  <si>
    <t>Consideration for standard weather impact</t>
  </si>
  <si>
    <t>In-water work</t>
  </si>
  <si>
    <t>Permit and environmental work windows</t>
  </si>
  <si>
    <t>Subcontractor capabilities/ availability</t>
  </si>
  <si>
    <t>Conflicts with other contracts/ projects</t>
  </si>
  <si>
    <t>Innovative project construction</t>
  </si>
  <si>
    <t>Inadequate skilled trades available for labor force</t>
  </si>
  <si>
    <t>Site access / restrictions (highways, bridges, dams, water, overhead / underground utilities)</t>
  </si>
  <si>
    <t>Rural / remote locale/ overseas</t>
  </si>
  <si>
    <t>Delivery issues (Customs, fuels, high security/items-explosives, SCIF components)</t>
  </si>
  <si>
    <t>TR</t>
  </si>
  <si>
    <t>Timely delivery of critical GFE</t>
  </si>
  <si>
    <t>Weather Impacts</t>
  </si>
  <si>
    <t>Labor Shortages</t>
  </si>
  <si>
    <t>Escorts</t>
  </si>
  <si>
    <t>Staging Area  of construction</t>
  </si>
  <si>
    <t>Restricted Work Windows</t>
  </si>
  <si>
    <t>CONSTRUCTION (CO)</t>
  </si>
  <si>
    <t>Authority to Operate (ATO)</t>
  </si>
  <si>
    <t>CS</t>
  </si>
  <si>
    <t>Platform Enclave -FEC Level</t>
  </si>
  <si>
    <t>Platform Enclave -Installation Level</t>
  </si>
  <si>
    <t>Wireless</t>
  </si>
  <si>
    <t>Fiber connectivity</t>
  </si>
  <si>
    <t>Coordination w/ ESS -SPAWAR?</t>
  </si>
  <si>
    <t>Clearances required to perform work</t>
  </si>
  <si>
    <t>Requirements partially defined</t>
  </si>
  <si>
    <t>Requirements defined fully</t>
  </si>
  <si>
    <t>ES</t>
  </si>
  <si>
    <t>CYBERSECURITY (CS)</t>
  </si>
  <si>
    <t>Internet</t>
  </si>
  <si>
    <t>UT</t>
  </si>
  <si>
    <t>Cable</t>
  </si>
  <si>
    <t>Known and unknown utility impacts</t>
  </si>
  <si>
    <t>Records / as-built availability / inaccuracies</t>
  </si>
  <si>
    <t>Fiber</t>
  </si>
  <si>
    <t>Communications</t>
  </si>
  <si>
    <t>Fire Water</t>
  </si>
  <si>
    <t>Electrical</t>
  </si>
  <si>
    <t>Sewer</t>
  </si>
  <si>
    <t>Water</t>
  </si>
  <si>
    <t>Availability/ Capacity/Condition</t>
  </si>
  <si>
    <t>UTILITIES</t>
  </si>
  <si>
    <t>UTILITIES (UT)</t>
  </si>
  <si>
    <t xml:space="preserve">Unexpected escalation on key materials </t>
  </si>
  <si>
    <t>g. Red Zone Turnover</t>
  </si>
  <si>
    <t>f. Fuels &amp; O&amp;M costs accounted for  commissioning and for final top off prior to turnover</t>
  </si>
  <si>
    <t>e. Maintenance of turned over spaces- janitorial, exercising MRI,  etc.</t>
  </si>
  <si>
    <t>d. Security during construction/Joint Occupancy</t>
  </si>
  <si>
    <t xml:space="preserve">c. Key control/lock </t>
  </si>
  <si>
    <t>b. Med Gas</t>
  </si>
  <si>
    <t>a. Janitorial</t>
  </si>
  <si>
    <t>IMS reflects reasonable durations for "other" required activities</t>
  </si>
  <si>
    <t>Estimate and schedule reflecting “most likely” occurrence (base schedule accuracy)</t>
  </si>
  <si>
    <t>Schedule depicts logical construction sequencing, resourcing phasing and parallel activities</t>
  </si>
  <si>
    <t>Schedule portrays critical construction features, matching estimate productivity</t>
  </si>
  <si>
    <t>Adequate schedule depicting all major/critical project features</t>
  </si>
  <si>
    <t>Prime and subcontractor structure matches likely acquisition strategy- Often subcontracting is 2-3 levels deep</t>
  </si>
  <si>
    <t>Estimate includes local quotes for special material and equipment</t>
  </si>
  <si>
    <t>E/S considers long-lead items</t>
  </si>
  <si>
    <t>Estimate reflects local material and delivery costs</t>
  </si>
  <si>
    <t>Estimate reasonableness of crews, productivities, multiple subcontractors</t>
  </si>
  <si>
    <t>Estimate reflects local or imported labor (market-bearing, overtime &amp; subsistence)</t>
  </si>
  <si>
    <t>Estimate includes waste, excess &amp; drop off quantities</t>
  </si>
  <si>
    <t>Estimate includes escalation on long term contracts: labor and materials</t>
  </si>
  <si>
    <t>Estimate includes exceptions, exclusions or qualifications</t>
  </si>
  <si>
    <t>Estimate Assumptions exclude necessary project costs</t>
  </si>
  <si>
    <t>Estimate(s) quality and confidence when developed by others</t>
  </si>
  <si>
    <t>Estimate confidence of lesser designed features</t>
  </si>
  <si>
    <t>Estimate confidence in large and critical quantities</t>
  </si>
  <si>
    <t>E/S Developed in sufficient detail (level of confidence)</t>
  </si>
  <si>
    <t>Parametric estimates adequate for design complexity</t>
  </si>
  <si>
    <t>E/S Developed for current scope and design level</t>
  </si>
  <si>
    <t>Consideration for testing and commissioning of systems prior to customer receipt</t>
  </si>
  <si>
    <t>Estimate basis: parametric models or project specific detailed development</t>
  </si>
  <si>
    <t>ESTIMATE &amp; SCHEDULE RISKS (ES)</t>
  </si>
  <si>
    <t>FE</t>
  </si>
  <si>
    <t>Adequacy or Reliability of infrastructure required (base fire loop/pumps don’t work)</t>
  </si>
  <si>
    <t>Fire suppression system- review plan, training, integration of local responders</t>
  </si>
  <si>
    <t>Fire suppression system- unique requirements, exotic fuels, atriums, ATFP integration</t>
  </si>
  <si>
    <t>Fire Suppression system- zones, integration with existing facilities, Egress during construction considerations.</t>
  </si>
  <si>
    <t>Coordination required with Jurisdictional authority and or responders (fire marshal)/ Fire Department</t>
  </si>
  <si>
    <t>FIRE PROTECTION (FE)</t>
  </si>
  <si>
    <t>ME</t>
  </si>
  <si>
    <t>Corrosion control</t>
  </si>
  <si>
    <t>Thermal Expansion considerations</t>
  </si>
  <si>
    <t>Seismic Requirements</t>
  </si>
  <si>
    <t>SCIF considerations and isolation</t>
  </si>
  <si>
    <t>Balancing requirements- dampers, valves, etc.</t>
  </si>
  <si>
    <t>HVAC integration with ATFP requirements</t>
  </si>
  <si>
    <t>Zones and pressure differentials- positive, neutral, negative</t>
  </si>
  <si>
    <t>HVAC- bubble tight SS vs galvanized ducting or other special requirements</t>
  </si>
  <si>
    <t>Equipment piping supply/discharge materials selection adequate- Sanitizers, Steam, treated water.</t>
  </si>
  <si>
    <t>Access panels in hard ceilings, shafts, etc.</t>
  </si>
  <si>
    <t>Requirement and design confidence</t>
  </si>
  <si>
    <t>Maintenance access</t>
  </si>
  <si>
    <t xml:space="preserve">Flexibility to adjust to technology changes </t>
  </si>
  <si>
    <t>Metering of mechanical systems</t>
  </si>
  <si>
    <t>Fuel Sources - availability/suitability</t>
  </si>
  <si>
    <t xml:space="preserve">Controls types, integration with legacy system requirements </t>
  </si>
  <si>
    <t>Long Lead Items Identified</t>
  </si>
  <si>
    <t>Special mechanical equipment- biohazard labs, specialty items-vet clinics</t>
  </si>
  <si>
    <t>Radiation on shielding on waste piping</t>
  </si>
  <si>
    <t>Special systems, medical support, gas</t>
  </si>
  <si>
    <t>Utility demands (HVAC, plumbing, fire suppression, water, sewer demands)</t>
  </si>
  <si>
    <t>MECHANICAL (ME)</t>
  </si>
  <si>
    <t>EE</t>
  </si>
  <si>
    <t>ESS – Electronic Security Systems</t>
  </si>
  <si>
    <t>UMCS</t>
  </si>
  <si>
    <t>Cathodic Protection</t>
  </si>
  <si>
    <t>Metering requirements</t>
  </si>
  <si>
    <t>Communications (SIPR and NIPR) Requirement</t>
  </si>
  <si>
    <t>Lightening Protection</t>
  </si>
  <si>
    <t xml:space="preserve">High Electro Magnetic Pulse (HEMP) requirements/shielding </t>
  </si>
  <si>
    <t>SCIF requirements/isolation/loading</t>
  </si>
  <si>
    <t>Overall load calculations for facilities/suitability of existing power grid</t>
  </si>
  <si>
    <t>Lighting systems specifications, color, type, vs commercial availability</t>
  </si>
  <si>
    <t>Power Quality- Reliability and Harmonics</t>
  </si>
  <si>
    <t>Emergency Generator requirements</t>
  </si>
  <si>
    <t>Includes interior security requirements</t>
  </si>
  <si>
    <t>Special Systems- ATFP integration</t>
  </si>
  <si>
    <t>Uninterruptable Power System (UPS) Requirements</t>
  </si>
  <si>
    <t>Power demands (lighting, communications, IT systems, safety and alarms)</t>
  </si>
  <si>
    <t>ELECTRICAL (EE)</t>
  </si>
  <si>
    <t>SD</t>
  </si>
  <si>
    <t>Envelope/facade integration with structural requirements</t>
  </si>
  <si>
    <t xml:space="preserve">Progressive Collapse and ATFP requirements in structure </t>
  </si>
  <si>
    <t>Hurricane requirements</t>
  </si>
  <si>
    <t>Seismic requirements clearly defined</t>
  </si>
  <si>
    <t>Environmental loads (weather, wind, seismic, security, snow loads)</t>
  </si>
  <si>
    <t>Design complexity impacts</t>
  </si>
  <si>
    <t>STRUCTURAL (SD)</t>
  </si>
  <si>
    <t>CV</t>
  </si>
  <si>
    <t>Material Testing and Lab plan adequate</t>
  </si>
  <si>
    <t>Low Impact Development Requirements</t>
  </si>
  <si>
    <t>Latent Site Defects- past use, infrastructure</t>
  </si>
  <si>
    <t xml:space="preserve">Adequate access for Constructability </t>
  </si>
  <si>
    <t>Site access for patients, employees, contractors during construction.</t>
  </si>
  <si>
    <t>Anti-Terrorism Force Protection (ATFP) Compliance with standoffs, access requirements, loading docks, etc.</t>
  </si>
  <si>
    <t>Potential for future additions/expansion</t>
  </si>
  <si>
    <t xml:space="preserve">Site information in general (site age, as-builts, utilities, cultural resources, site hazardous waste) </t>
  </si>
  <si>
    <t>Unknown Utilities</t>
  </si>
  <si>
    <t xml:space="preserve">Level Coordination with other projects in area, and coordination with the campus masterplan. </t>
  </si>
  <si>
    <t xml:space="preserve">Utilities (water, sewer, drainage) </t>
  </si>
  <si>
    <t>Building site layout accommodates all needs (layout, utilities, drainage, and traffic)</t>
  </si>
  <si>
    <t>Geotechnical Sampling sufficiency- potential for variations across site?</t>
  </si>
  <si>
    <t>CIVIL / SITE DESIGN (CV)</t>
  </si>
  <si>
    <t>AI</t>
  </si>
  <si>
    <t>Draft 1354</t>
  </si>
  <si>
    <t>Historical compliance/local codes etc.</t>
  </si>
  <si>
    <t xml:space="preserve">ABA – Architectural Barrier Act (formerly known as ADA)  </t>
  </si>
  <si>
    <t>BIM- quality and cost of model- (this may still not result in adequate clash detection due to stacking of tolerances)</t>
  </si>
  <si>
    <t>Special considerations for behavioral health areas on hardware, finishes, etc.</t>
  </si>
  <si>
    <t>LEED certification Level- “LEED equivalent” and problems this presents are understood</t>
  </si>
  <si>
    <t>Allowances for final finishes and dimensional tolerances in standard materials included and adequate for room sizing?</t>
  </si>
  <si>
    <t>Building/room numbering methodology (design vs final post construction)</t>
  </si>
  <si>
    <t>Sustainability requirements defined</t>
  </si>
  <si>
    <t>Sound Pressure Level (SPL) level requirements and testing requirements- Doors, walls, floors etc. What is true SPL reduction required?</t>
  </si>
  <si>
    <t>Façade interface with building envelope- deflections, coordination etc.</t>
  </si>
  <si>
    <t>Includes interior security requirements- (Armory, SCIF, IT, Pharmacy- class 3, 4 meds)</t>
  </si>
  <si>
    <t>Flexibility and potential for future additions</t>
  </si>
  <si>
    <t>Medical/Hazard Waste and disposal areas</t>
  </si>
  <si>
    <t>Elevators and pedestrian conveyance</t>
  </si>
  <si>
    <t>Flooring and IT considerations</t>
  </si>
  <si>
    <t>Fixtures, Furnishings &amp; Equipment FFE- Coordination? Acquisition approach?</t>
  </si>
  <si>
    <t>Definition of space requirements/sizing of structure and authorization document validation</t>
  </si>
  <si>
    <t>Interior spatial layout meets requirements and is deemed acceptable by occupant management.</t>
  </si>
  <si>
    <t>Exterior facade meets local community requirements/restrictions.</t>
  </si>
  <si>
    <t>ARCHITECTURAL &amp; INTERIOR (AI)</t>
  </si>
  <si>
    <t>Threat Classification</t>
  </si>
  <si>
    <t>Construction Security Team (Construction Surveillance)</t>
  </si>
  <si>
    <t>Cleared American Guards</t>
  </si>
  <si>
    <t>Cleared American Workers</t>
  </si>
  <si>
    <t>Vault(s)</t>
  </si>
  <si>
    <t>Built in Field</t>
  </si>
  <si>
    <t>Modular</t>
  </si>
  <si>
    <t>Purpose/ Use(s)</t>
  </si>
  <si>
    <t>Additional requirements</t>
  </si>
  <si>
    <t>Location</t>
  </si>
  <si>
    <t>Size</t>
  </si>
  <si>
    <t>Access Control</t>
  </si>
  <si>
    <t>RF Shielding</t>
  </si>
  <si>
    <t>Red/Black</t>
  </si>
  <si>
    <t>HOST NATION</t>
  </si>
  <si>
    <t xml:space="preserve">Local agency/regulator issues </t>
  </si>
  <si>
    <t>HN</t>
  </si>
  <si>
    <t>Critical studies incomplete or inconclusive that could significantly impact scope and cost. (Site stability)</t>
  </si>
  <si>
    <t>NATO</t>
  </si>
  <si>
    <t>Coordination?</t>
  </si>
  <si>
    <t>Host Nation Approval Required?</t>
  </si>
  <si>
    <t>HOST NATION (HN)</t>
  </si>
  <si>
    <t>Identify permits that will be required before operations can start (air, water, etc.).</t>
  </si>
  <si>
    <t>EN</t>
  </si>
  <si>
    <t>Determine whether bodies of water near this project site could be adversely impacted by this project.  If so, explain.</t>
  </si>
  <si>
    <t>Determine if environmental problems have occurred at the project site or nearby.  If so, explain.</t>
  </si>
  <si>
    <t>Determine if this project could adversely impact nearby facilities on the installation or off-base and/or members of the public.  If so, explain.</t>
  </si>
  <si>
    <t>Determine if the site and/or the facilities involved with this project are of historic significance.  If so, explain.</t>
  </si>
  <si>
    <t>p.  Coastal Zone Management Act (CZMA.</t>
  </si>
  <si>
    <t>o.  Sikes Act (requires military installations be managed for multipurpose uses and public access unless inconsistent with mission requirements.</t>
  </si>
  <si>
    <t>n.  Wilderness Act (applies to federal land that has retained its primeval character without permanent improvements or human habitation.</t>
  </si>
  <si>
    <t>m.  Wild Free-Roaming Horses and Burros Act (protects unbranded and unclaimed horses and burros on public lands from capture,
branding, harassment, and death.</t>
  </si>
  <si>
    <t>I.  Marine Mammal Protection Act</t>
  </si>
  <si>
    <t>k.  Migratory Bird Treaty Act</t>
  </si>
  <si>
    <t>j.  Endangered Species Act</t>
  </si>
  <si>
    <t>i.  Archeological Resources Protection Act, American Indian Religious Freedom Act, Native American Graves Protection and Repatriation
Act, Native American agreement's</t>
  </si>
  <si>
    <t>h.  National Historic Preservation Act (NHPA. Sect 106.  This usually involves consultation and negotiations with the applicable State Historic Preservation Office (SHPO..</t>
  </si>
  <si>
    <t>g.  Comprehensive Environmental Response, Compensation, and Liability Act (CERCLA.</t>
  </si>
  <si>
    <t>f.  Occupational Safety &amp; Health Administration (OSHA.</t>
  </si>
  <si>
    <t>e.  Resource Conservation and Recovery Act (RCRA.</t>
  </si>
  <si>
    <t>d.  Low Impact Development</t>
  </si>
  <si>
    <t>c.  National Pollution Discharge Elimination System</t>
  </si>
  <si>
    <t>b.  Clean Water Act</t>
  </si>
  <si>
    <t>a.  Clean Air Act</t>
  </si>
  <si>
    <t>Identify any cultural or historical recourses that could be or will be
impacted by this project.  If any, provide the status of required
actions.</t>
  </si>
  <si>
    <t>Determine the level of NEPA required for this project (i.e., CATEX,
EA, EIS).   Develop a timeline for completion of the NEPA documentation.</t>
  </si>
  <si>
    <t>ENVIRONMENTAL &amp; CULTURAL/HISTORICAL RESOURCES (EN)</t>
  </si>
  <si>
    <t>Is joint use applicable?</t>
  </si>
  <si>
    <t>PS</t>
  </si>
  <si>
    <t>Identify Installation Appearance Plans requirements.</t>
  </si>
  <si>
    <t>Confirm that the Basic Facility Requirements (BFR) support this project and is attached in EPG.</t>
  </si>
  <si>
    <t>FACILITY PLANNING DATA</t>
  </si>
  <si>
    <t>Determine if FAA/ ICAO approval be required for this project.  If so, explain and provide status of approval.</t>
  </si>
  <si>
    <t>SI</t>
  </si>
  <si>
    <t xml:space="preserve">Height restrictions? </t>
  </si>
  <si>
    <t>Impacts to local community?</t>
  </si>
  <si>
    <t>Determine if this project cause acoustic/noise problems that are a concern to safety and/or health or that are considered an off-base nuisance.  If so, explain. (Example aircraft noise)</t>
  </si>
  <si>
    <t>Air Installations Compatibility Use Zones (AICUZ).  If so, explain.</t>
  </si>
  <si>
    <t>Confirm environmental, historical and cultural resources impact issues  are addressed.  If there are any potential "showstoppers" (such as wetlands mitigation, State Historic Preservation Officer (SHPO) consultation, cultural resources issues, installation restoration clean-up, and Anti-Terrorist/ Force Protection) (AT/FP) requirements) associated with the preferred site, describe the issues in detail.</t>
  </si>
  <si>
    <t>Determine if this project's site in an appropriate land use area as identified in the latest installation master plan or Regional Shore Infrastructure Plan.  If not, explain why not.</t>
  </si>
  <si>
    <t>Bandwidth Coordinator for emitters</t>
  </si>
  <si>
    <t>Site approval received. (If not what impact is there). Is there another suitable site?</t>
  </si>
  <si>
    <t>Determine if there any potential nuclear radiation issues.</t>
  </si>
  <si>
    <t xml:space="preserve">Determine if the Explosive Safety Quantity Distance arcs and other NOSSNDDESB issues be a factor for this project.  </t>
  </si>
  <si>
    <t>Determine if Electromagnetic Interference (EMI) or Electromagnetic Radiation is a potential impact to personnel, equipment, ordnance, etc.</t>
  </si>
  <si>
    <t>Confirm appropriate planning studies have been completed and are attached to EPG Project.  If not completed, list and provide status.</t>
  </si>
  <si>
    <t>Determine whether this project needs National Capital Region Approval (Washington, DC) or other local approvals.  If so, provide the status.</t>
  </si>
  <si>
    <t>Are any waivers required?</t>
  </si>
  <si>
    <t>Determine if the project is sited in a 100- year floodplain.  If so, explain why this is the preferred site and describe any mitigation features and their costs that will be needed to protect this capital investment.</t>
  </si>
  <si>
    <t>Unexploded Ordinance (Site Clearance)</t>
  </si>
  <si>
    <t>SITE IDENTIFICATION &amp; APPROVAL (SI)</t>
  </si>
  <si>
    <t>Relocations identified facility</t>
  </si>
  <si>
    <t>Relocations identified utility</t>
  </si>
  <si>
    <t>Environmental mitigation needs identified</t>
  </si>
  <si>
    <t>Real estate / easement acquisition</t>
  </si>
  <si>
    <t>PLANNING-SITE (PS)</t>
  </si>
  <si>
    <t>Has the J&amp;As been approved?</t>
  </si>
  <si>
    <t>CA</t>
  </si>
  <si>
    <t>Are there any proposed J&amp;A (Justification and Approval)</t>
  </si>
  <si>
    <t>Acquisition size and various source selection requirements/approvals</t>
  </si>
  <si>
    <t>Market conditions and anticipated bidding climate</t>
  </si>
  <si>
    <t xml:space="preserve">Acquisition strategy or mega-project size decreasing competition </t>
  </si>
  <si>
    <t>Numerous separate contracts vice one large contract (Consolidation)</t>
  </si>
  <si>
    <t>Consolidation/ bundling of multiple projects</t>
  </si>
  <si>
    <t>Requirements for SDB and 8(a) contracts and subcontracts</t>
  </si>
  <si>
    <t xml:space="preserve">Adequate Contract Capacity Available </t>
  </si>
  <si>
    <t>Resource Availability of Source Selection/Evaluation Process</t>
  </si>
  <si>
    <t>Changing Acquisition Strategy</t>
  </si>
  <si>
    <t>Acquisition Strategy Determined?</t>
  </si>
  <si>
    <t>Qualified Contractors with Secure Facilities</t>
  </si>
  <si>
    <t>Will this be a Classified contract?</t>
  </si>
  <si>
    <t>CONTRACT ACQUISITION RISKS (CA)</t>
  </si>
  <si>
    <t>Are there any Key unknowns that could alter the design? Any additional studies required?  Cost and schedule for these?</t>
  </si>
  <si>
    <t>EX</t>
  </si>
  <si>
    <t>Project is supporting a system that is under development and functional requirements could change.</t>
  </si>
  <si>
    <t>Local country requirements- sponsors, work visas, Third Country National (TCN) restrictions</t>
  </si>
  <si>
    <t>Customer needs/anticipated workload and IMS-- (deployment, surge, etc.)</t>
  </si>
  <si>
    <t>Market conditions and bidding competition</t>
  </si>
  <si>
    <t>Conflicts with other projects, contracts and/or utilities</t>
  </si>
  <si>
    <t>c.  Phased IO&amp;T</t>
  </si>
  <si>
    <t>b.  Certification delays, lags</t>
  </si>
  <si>
    <t>a.  Swing Space Requirements</t>
  </si>
  <si>
    <t xml:space="preserve">Phased construction </t>
  </si>
  <si>
    <t>Project scope, criteria or design change potential (design and construction periods)</t>
  </si>
  <si>
    <t>Direct client support requirements</t>
  </si>
  <si>
    <t xml:space="preserve">Priorities change on existing program </t>
  </si>
  <si>
    <t>EXTERNAL RISKS (EX)</t>
  </si>
  <si>
    <t>Change in Conditions onsite/ regional (terrorist attack, weather events)</t>
  </si>
  <si>
    <t>PM</t>
  </si>
  <si>
    <t xml:space="preserve">Insufficient time to plan, accelerated schedules (design/acquisition/construction) </t>
  </si>
  <si>
    <t>Implementation of VE Recommendations</t>
  </si>
  <si>
    <t>A/E/C Consultant or contractor delays</t>
  </si>
  <si>
    <t xml:space="preserve">Risk due to accelerated schedule </t>
  </si>
  <si>
    <t>Risk to exceeding current project schedule Milestones</t>
  </si>
  <si>
    <t>Product development by several sources or entities (virtual or remote efforts)</t>
  </si>
  <si>
    <t>ABILITY TO EXECUTE</t>
  </si>
  <si>
    <t>Ongoing/ new changes to project and requirements by Supported Command.</t>
  </si>
  <si>
    <t>Priorities change on existing program</t>
  </si>
  <si>
    <t>Project scope definition is unclear or incomplete</t>
  </si>
  <si>
    <t>SCOPE AND OBJECTIVES</t>
  </si>
  <si>
    <t>PROJECT &amp; PROGRAM MANAGEMENT (PM)</t>
  </si>
  <si>
    <t>Risk/Opportunity Event</t>
  </si>
  <si>
    <t>Ref #</t>
  </si>
  <si>
    <t>RT</t>
  </si>
  <si>
    <t>Include?</t>
  </si>
  <si>
    <r>
      <t xml:space="preserve">Coordinate Electronic Security Systems  (ESS) </t>
    </r>
    <r>
      <rPr>
        <i/>
        <sz val="11"/>
        <rFont val="Calibri"/>
        <family val="2"/>
        <scheme val="minor"/>
      </rPr>
      <t xml:space="preserve">I </t>
    </r>
    <r>
      <rPr>
        <sz val="11"/>
        <rFont val="Calibri"/>
        <family val="2"/>
        <scheme val="minor"/>
      </rPr>
      <t>Physical Security Equipment (PSE) including Intrusion Detection Systems (IDS) with NAVFACHQ Cl ATFP, User/Opera tor, and Installation's BCO.</t>
    </r>
  </si>
  <si>
    <t>Risk Checklist (MILCON)</t>
  </si>
  <si>
    <t>Consideration for unknown/unidentified risks</t>
  </si>
  <si>
    <t xml:space="preserve">Labor disruptions </t>
  </si>
  <si>
    <t xml:space="preserve">Political factors change at local, state or federal </t>
  </si>
  <si>
    <t xml:space="preserve">Stakeholders demand schedule or quality over funds available </t>
  </si>
  <si>
    <t xml:space="preserve">Influential stakeholders request additional needs to serve other purposes </t>
  </si>
  <si>
    <t>New stakeholders emerge and demand changes</t>
  </si>
  <si>
    <t xml:space="preserve">Stakeholders request late changes </t>
  </si>
  <si>
    <t>c. Phased IO&amp;T</t>
  </si>
  <si>
    <t>b. Certification delays, lags</t>
  </si>
  <si>
    <t>a. Swing Space Requirements</t>
  </si>
  <si>
    <t>Escalation Exceeds CWWICS or assumed factors</t>
  </si>
  <si>
    <t xml:space="preserve">Adequacy of project funding (incremental, phasing or full funding) </t>
  </si>
  <si>
    <t xml:space="preserve"> Other:</t>
  </si>
  <si>
    <t>What is truly the  first operational day of facility?</t>
  </si>
  <si>
    <t>Who develops and maintains?  When is this team member onboard? (Usually in IO&amp;T contract)</t>
  </si>
  <si>
    <t>Responsibility for the Integrated Master Schedule (IMS)</t>
  </si>
  <si>
    <t>Schedule matches PDT plan</t>
  </si>
  <si>
    <t>E/S considers potential for multi-tiered subcontractors</t>
  </si>
  <si>
    <t>E/S inclusion of hidden contingency</t>
  </si>
  <si>
    <t>E/S Considers specialties in construction and electrical/mechanical systems</t>
  </si>
  <si>
    <t>E/S reflects contract strategy/structure- are markups applied correctly based on most likely acquisition?</t>
  </si>
  <si>
    <t>E/S addresses potential for partial occupation (personnel, utilities, interior, exterior)</t>
  </si>
  <si>
    <t xml:space="preserve">E/S of the complete program current/updated representing a true Total Project Cost for the project. </t>
  </si>
  <si>
    <t>E/S captures scope for all project features- Does it really represent a complete, usable, and  constructible approach to complete the project?</t>
  </si>
  <si>
    <t>Loss of Key Sub-Contractors</t>
  </si>
  <si>
    <t>Ability of the contractor to deliver adequate workforce</t>
  </si>
  <si>
    <t>Site staff decision-making ability/authority/timeliness</t>
  </si>
  <si>
    <t>Warrant level of onsite contracting staff and approval chain hierarchy</t>
  </si>
  <si>
    <t xml:space="preserve"> Pre-Construction/Partnering/cooperation between contractor, USACE, and stakeholders.</t>
  </si>
  <si>
    <t>Contractors approach to the schedule- Typically works easy items first- Usually the critical path of the project goes through the most complex items in the project- IE the trauma center/vertical tower, but the contractor chooses to start on the admin building first and ends up delaying project completion due to inadequate detail in early schedules.</t>
  </si>
  <si>
    <t>Defects/errors in design</t>
  </si>
  <si>
    <t>Adequate QA/QC</t>
  </si>
  <si>
    <t>Adequate site supervision</t>
  </si>
  <si>
    <t>Adequate Contractor Construction Staff</t>
  </si>
  <si>
    <t>i. Security Concerns during Joint Occupancy</t>
  </si>
  <si>
    <t xml:space="preserve">h. Liability insurance coverage </t>
  </si>
  <si>
    <t>g. Rework due to damage</t>
  </si>
  <si>
    <t>f. Security/safety of completed work</t>
  </si>
  <si>
    <t>e. Staging of materials</t>
  </si>
  <si>
    <t>d. backup utilities</t>
  </si>
  <si>
    <t>c. protection from construction impacts</t>
  </si>
  <si>
    <t xml:space="preserve">b. people management  </t>
  </si>
  <si>
    <t xml:space="preserve">a. functioning utilities intact  </t>
  </si>
  <si>
    <t>Sufficient Internet capabilities/infrastructure to support Resident Management System (RMS) and other requirements.</t>
  </si>
  <si>
    <t>Inadequate housing/utilities to support labor force</t>
  </si>
  <si>
    <t>Conflicts with other contracts for resources- internal and external to the project</t>
  </si>
  <si>
    <t>Inefficient contractor and/or subcontractors</t>
  </si>
  <si>
    <t>USACE staff skills for processing modification, Claims, RFI</t>
  </si>
  <si>
    <t>Skilled Gov’t construction management staff for contracts</t>
  </si>
  <si>
    <t>RG</t>
  </si>
  <si>
    <t>Certifications required/identified and included in cost/schedule- Pharmacy, armory, Biohazard, Specialized equipment</t>
  </si>
  <si>
    <t>Pressure to compress the study and permitting activities</t>
  </si>
  <si>
    <t>New permits or new information required</t>
  </si>
  <si>
    <t xml:space="preserve">Reviewing agencies delayed or take longer than expected </t>
  </si>
  <si>
    <t>Adequate budget/funding for specialized staff (IE No budget for Archeologist but building on a known historical site)</t>
  </si>
  <si>
    <t xml:space="preserve">Lack of specialized staff (biology, anthropology, archeology, etc.) </t>
  </si>
  <si>
    <t>Status of any other permits required</t>
  </si>
  <si>
    <t>State Historical Preservation Office concerns</t>
  </si>
  <si>
    <t>Restrictions imposed in approved documents/permits? Need for amendments to previously approved documents?</t>
  </si>
  <si>
    <t>Accuracy of current approved documents- is project footprint correct in NEPA documentation? Are there scope items promised/included in completed documents?</t>
  </si>
  <si>
    <t>Team understanding of NEPA and FONSI assumptions and requirements</t>
  </si>
  <si>
    <t xml:space="preserve">Status of critical environmental and regulatory studies National Environmental Policy ACT( NEPA) and the Finding of Non-Significant Impact (FONSI) </t>
  </si>
  <si>
    <t>Established requirements for initial project studies and potential impacts</t>
  </si>
  <si>
    <t>REGULATORY ENVIRONMENTAL RISKS (RG)</t>
  </si>
  <si>
    <t>LD</t>
  </si>
  <si>
    <t>Risk of site footprint growing beyond the planned real estate footprint?</t>
  </si>
  <si>
    <t>Transition plan for signage- Department Of Transportation (DOT), base, city (customer responsibility)</t>
  </si>
  <si>
    <t>Relocations identified and coordinated</t>
  </si>
  <si>
    <t xml:space="preserve">Freeway, railroad agreements and impacts </t>
  </si>
  <si>
    <t>Right-of-way analysis in question, or right of way is required(utilities)</t>
  </si>
  <si>
    <t>Confidence in estimated cost and schedule to acquire/resolve real estate</t>
  </si>
  <si>
    <t>Ancillary owner rights, ownerships in question</t>
  </si>
  <si>
    <t>Real Estate plan defined (status, purchases, agreements, easement acquisition)</t>
  </si>
  <si>
    <t>LANDS AND DAMAGES (LD)</t>
  </si>
  <si>
    <t>COMMISSIONING/CERTIFICATION (CC)</t>
  </si>
  <si>
    <t>Maintenance of fire suppression during construction/turnover</t>
  </si>
  <si>
    <t>Coordination required with Jurisdictional authority and or responders (fire marshal)</t>
  </si>
  <si>
    <t>Identification of designer of record for Fire/Life Safety</t>
  </si>
  <si>
    <t>Mockups- what are really needed?  Adequate time in schedule? Are adequate cost and testing requirements included?- (fire, sound, critical areas)</t>
  </si>
  <si>
    <t>LEED certification Level- “leed equivalent” and problems this presents are understood</t>
  </si>
  <si>
    <t>Need for waivers or any non-standard design issues that could cause delay</t>
  </si>
  <si>
    <t>Independent External Peer Review (IEPR) Coordination, Cost, and timing considerations</t>
  </si>
  <si>
    <t>Required coordination with industry by law (Navigation/Ports and Harbors)</t>
  </si>
  <si>
    <t xml:space="preserve">Regulatory/Statutory agreements known and understood-Buy American Act, Berry Amendment (domestic specialty metals), "stan" countries agreements on concrete supply- compliance </t>
  </si>
  <si>
    <t>Government Furnished Materials or Equipment</t>
  </si>
  <si>
    <t>Existing contracts that may require coordination (Utility plant adjustments)</t>
  </si>
  <si>
    <t>Sole source type items identified</t>
  </si>
  <si>
    <t>Special requirements of preferred providers- electrical water utilities etc.  (KAHRAMMA in Qatar or other base requirements)</t>
  </si>
  <si>
    <t xml:space="preserve">Host Nation vs USA or International Codes and requirements  </t>
  </si>
  <si>
    <t>ATFP Standoffs and Coordination</t>
  </si>
  <si>
    <t>Security requirements for the facility</t>
  </si>
  <si>
    <t>Need for design exceptions or waivers</t>
  </si>
  <si>
    <t>Inaccurate or risky design assumptions on technical issues</t>
  </si>
  <si>
    <t>Mission critical facility requirements (water, power, sewage, garbage, food)</t>
  </si>
  <si>
    <t>Design confidence by external review and others (timing, quality)</t>
  </si>
  <si>
    <t>Design use of latest confirmed criteria or changes in criteria are forthcoming. What is regulation/code cycle or update schedule?</t>
  </si>
  <si>
    <t>Quality/Skills/Size of design team (in over their heads? Too small? Responsiveness?  (8a on a mega project)</t>
  </si>
  <si>
    <t>Innovative design, highly complex, first of a kind, or prototypes</t>
  </si>
  <si>
    <t>Ongoing work (contracts) as compared to future work (contracts)</t>
  </si>
  <si>
    <t>Validation of programming data (is there sufficient funding, was all scope considered at programming?)</t>
  </si>
  <si>
    <t>Overall design development stage, incomplete or preliminary</t>
  </si>
  <si>
    <t>GENERAL TECHNICAL RISKS (TR)</t>
  </si>
  <si>
    <t xml:space="preserve"> Acquisition size and various source selection requirements/approvals</t>
  </si>
  <si>
    <t xml:space="preserve"> Bid schedule- Betterments vs Options- maximum value for customer considerations</t>
  </si>
  <si>
    <t xml:space="preserve"> Design-Build, vs Design-Bid-Build, vs ECI and possible effects on project</t>
  </si>
  <si>
    <t xml:space="preserve"> Joint Venture Contractor bidding </t>
  </si>
  <si>
    <t xml:space="preserve"> Market conditions and anticipated bidding climate</t>
  </si>
  <si>
    <t xml:space="preserve"> Acquisition strategy results in greater scope risk (Design Build, performance specs, best-value, ECI, cost-plus, contractor bonding…)</t>
  </si>
  <si>
    <t xml:space="preserve"> Acquisition strategy or mega-project size decreasing competition </t>
  </si>
  <si>
    <t xml:space="preserve"> Numerous separate contracts vice one large contract (Consolidation)</t>
  </si>
  <si>
    <t xml:space="preserve"> Acquisition planning to accommodate funding stream or anticipated strategy</t>
  </si>
  <si>
    <t xml:space="preserve"> Requirements for SDB and 8(a) contracts and subcontracts both USACE and bidders</t>
  </si>
  <si>
    <t xml:space="preserve"> Expiration of contracts required (Design, MATOC, SATOC, etc.)</t>
  </si>
  <si>
    <t xml:space="preserve"> Adequate Contract Capacity Available </t>
  </si>
  <si>
    <t xml:space="preserve"> Cost Thresholds for Principle Assistant Responsible for Contracting (PARC) Coordination/Approvals and Consolidation</t>
  </si>
  <si>
    <t xml:space="preserve"> Resource Availability of Source Selection/Evaluation Process</t>
  </si>
  <si>
    <t xml:space="preserve"> Changing Acquisition Strategy</t>
  </si>
  <si>
    <t xml:space="preserve"> Undefined acquisition strategy</t>
  </si>
  <si>
    <t xml:space="preserve"> Lack of acquisition planning support/involvement</t>
  </si>
  <si>
    <t xml:space="preserve"> Other </t>
  </si>
  <si>
    <t xml:space="preserve"> Project transfer between Gov’t agencies</t>
  </si>
  <si>
    <t xml:space="preserve"> Specialized training requirements</t>
  </si>
  <si>
    <t xml:space="preserve"> Commissioning and or special turnover requirements</t>
  </si>
  <si>
    <t xml:space="preserve"> Special Software Needs</t>
  </si>
  <si>
    <t xml:space="preserve"> Other funding sources- gift, other agency funds (ATFP, Hazmat) – how to address reliability/use/tracking etc.</t>
  </si>
  <si>
    <t xml:space="preserve"> Supervision and Administration (S&amp;A) rate varies from the standard rates</t>
  </si>
  <si>
    <t xml:space="preserve"> Megaproject controls- Team and staffing levels and cost to support</t>
  </si>
  <si>
    <t xml:space="preserve"> Priorities change on existing program</t>
  </si>
  <si>
    <t xml:space="preserve"> Multiple agencies coordination/regulator issues </t>
  </si>
  <si>
    <t xml:space="preserve"> Unexpected/Unknown requirements causing delays in obtaining approvals, decisions</t>
  </si>
  <si>
    <t xml:space="preserve"> Architect, Engineer, Consultant or Contractor delays </t>
  </si>
  <si>
    <t xml:space="preserve"> Timely response to critical decisions by PM and/or management</t>
  </si>
  <si>
    <t>b.  Change Control Plan Developed -Design and Construction Phases</t>
  </si>
  <si>
    <t xml:space="preserve">a.  Risk Management Plan current and updated </t>
  </si>
  <si>
    <t xml:space="preserve"> Adequacy of the Project Management Plan</t>
  </si>
  <si>
    <t xml:space="preserve"> Insufficient time to plan, accelerated schedules (design/acquisition/construction) </t>
  </si>
  <si>
    <t xml:space="preserve"> Coordination/communication difficulties with team</t>
  </si>
  <si>
    <t xml:space="preserve"> Functional and Technical labor availability/workload (design and construction)</t>
  </si>
  <si>
    <t xml:space="preserve"> Reprogramming Risk</t>
  </si>
  <si>
    <t xml:space="preserve"> Project competing with other projects, funding and resources</t>
  </si>
  <si>
    <t xml:space="preserve"> Funding profile for proposed schedule of events: design, acquisition, construction</t>
  </si>
  <si>
    <t xml:space="preserve"> Product development by several sources or entities (virtual or remote efforts)</t>
  </si>
  <si>
    <t xml:space="preserve"> Control over sufficient staff sizing and project priorities</t>
  </si>
  <si>
    <t xml:space="preserve"> Unanticipated project manager workload </t>
  </si>
  <si>
    <t xml:space="preserve"> Skilled staff able and prepared to manage to cost and schedule: earned value of design/construction</t>
  </si>
  <si>
    <t xml:space="preserve"> Sufficient project management staff over design, acquisition and construction</t>
  </si>
  <si>
    <t xml:space="preserve"> Design to Cost or Cost to Design</t>
  </si>
  <si>
    <t xml:space="preserve"> Project budget inadequate for scope required</t>
  </si>
  <si>
    <t xml:space="preserve"> Project scope definition is unclear or incomplete</t>
  </si>
  <si>
    <t xml:space="preserve"> Project purpose and objectives are insufficiently defined </t>
  </si>
  <si>
    <t>Risk Checklist (Civil Works)</t>
  </si>
  <si>
    <t>Project Scope:</t>
  </si>
  <si>
    <t>Date:</t>
  </si>
  <si>
    <t>Document Type:</t>
  </si>
  <si>
    <t>DD1391</t>
  </si>
  <si>
    <t>Project Location:</t>
  </si>
  <si>
    <t>Project:</t>
  </si>
  <si>
    <t>TBD</t>
  </si>
  <si>
    <t>District:</t>
  </si>
  <si>
    <t>Project Details</t>
  </si>
  <si>
    <t>Report Title:</t>
  </si>
  <si>
    <t>KEEP</t>
  </si>
  <si>
    <t>RANGE</t>
  </si>
  <si>
    <t>N/A</t>
  </si>
  <si>
    <t>PROGRAMMED AMOUNT ( IF KNOWN)</t>
  </si>
  <si>
    <t>Total Construction Management</t>
  </si>
  <si>
    <t>Total Planning, Engineering &amp; Design</t>
  </si>
  <si>
    <t>*</t>
  </si>
  <si>
    <t>Total Construction Estimate</t>
  </si>
  <si>
    <t>Real Estate</t>
  </si>
  <si>
    <t>FIXED DOLLAR RISK ADD (EQUALLY DISPERSED TO ALL, MUST INCLUDE JUSTIFICATION SEE BELOW)</t>
  </si>
  <si>
    <t>XX</t>
  </si>
  <si>
    <t>S&amp;A</t>
  </si>
  <si>
    <t>DDC Costs</t>
  </si>
  <si>
    <t>Miscellaneous</t>
  </si>
  <si>
    <t>G Sitework</t>
  </si>
  <si>
    <t>F Special Construction and Demolition</t>
  </si>
  <si>
    <t xml:space="preserve"> </t>
  </si>
  <si>
    <t>E Equipment and Furnishings</t>
  </si>
  <si>
    <t>D Services</t>
  </si>
  <si>
    <t>C Interiors</t>
  </si>
  <si>
    <t>B Shell</t>
  </si>
  <si>
    <t>A Substructure</t>
  </si>
  <si>
    <t>Base Cost</t>
  </si>
  <si>
    <t>Feature of Work</t>
  </si>
  <si>
    <t>Schedule Duration:</t>
  </si>
  <si>
    <t>Meeting Date:</t>
  </si>
  <si>
    <t>TOTALS</t>
  </si>
  <si>
    <t>TOTAL</t>
  </si>
  <si>
    <t>Base Schedule</t>
  </si>
  <si>
    <t>Base Estimate</t>
  </si>
  <si>
    <t>Base Estimate Summary</t>
  </si>
  <si>
    <t>Follow-Up Discussions (Individual or Group Discussions)</t>
  </si>
  <si>
    <t>Role / Discipline</t>
  </si>
  <si>
    <t>Office</t>
  </si>
  <si>
    <t>Name</t>
  </si>
  <si>
    <t>Attendance</t>
  </si>
  <si>
    <t>through</t>
  </si>
  <si>
    <t>Technical Lead</t>
  </si>
  <si>
    <t>Risk Register Meeting</t>
  </si>
  <si>
    <t>Risk Facilitator</t>
  </si>
  <si>
    <t>CSRA Risk Register Meeting Attendance</t>
  </si>
  <si>
    <t>∞</t>
  </si>
  <si>
    <t>High Range</t>
  </si>
  <si>
    <t>Low Range</t>
  </si>
  <si>
    <t>Schedule Impacts</t>
  </si>
  <si>
    <t>Cost Impacts</t>
  </si>
  <si>
    <t>High Impact</t>
  </si>
  <si>
    <t>Low Impact</t>
  </si>
  <si>
    <t>Impact</t>
  </si>
  <si>
    <t>If event
occurrence is…</t>
  </si>
  <si>
    <t>Unlikely</t>
  </si>
  <si>
    <t>Possible</t>
  </si>
  <si>
    <t>Likely</t>
  </si>
  <si>
    <t>Very Likely</t>
  </si>
  <si>
    <t>Certain</t>
  </si>
  <si>
    <t>This sheet defines what the impacts are based on their cost. This is crucial to define what truly negligible, marginal, moderate, etc. are. Fill this out before the meeting so that you can show what the ranges to be concerned are.</t>
  </si>
  <si>
    <t>Percent's above are based on 10 events, and are considered approximate, judgment should be used for final grouping dependent on # of occurrences, project size, flexibility and complexity.</t>
  </si>
  <si>
    <t>Likelihood</t>
  </si>
  <si>
    <t>% of Project Cost or Schedule Change</t>
  </si>
  <si>
    <t>Impact or Consequence of Occurrence</t>
  </si>
  <si>
    <t>Medium</t>
  </si>
  <si>
    <t>Low</t>
  </si>
  <si>
    <t>High</t>
  </si>
  <si>
    <t>RELOOK AT BASIS OF ESTIMATE</t>
  </si>
  <si>
    <t>Critical</t>
  </si>
  <si>
    <t>Significant</t>
  </si>
  <si>
    <t>Moderate</t>
  </si>
  <si>
    <t>Marginal</t>
  </si>
  <si>
    <t>Negligible</t>
  </si>
  <si>
    <t>Likelihood of
Occurrence</t>
  </si>
  <si>
    <t>Risk Matrix</t>
  </si>
  <si>
    <t>Needs Rated</t>
  </si>
  <si>
    <t>Low
% Occurrence</t>
  </si>
  <si>
    <t>High
% Occurrence</t>
  </si>
  <si>
    <t>per Cost
Event Exceeds</t>
  </si>
  <si>
    <t>per Schedule
Event Exceeds</t>
  </si>
  <si>
    <t>then it's likelihood is
thought to be between…</t>
  </si>
  <si>
    <t>Definition</t>
  </si>
  <si>
    <t>Likelihood of Occurrence</t>
  </si>
  <si>
    <t>Cost Impact</t>
  </si>
  <si>
    <t>Schedule Impact</t>
  </si>
  <si>
    <t>then it's impact to total project cost is thought to be between…</t>
  </si>
  <si>
    <t>then it's impact to total project schedule is thought to be between…</t>
  </si>
  <si>
    <t>Cost / Schedule Impact Percentages Converted to Cost / Schedule Ranges</t>
  </si>
  <si>
    <t>Round up to nearest…</t>
  </si>
  <si>
    <t>Select From List</t>
  </si>
  <si>
    <t>Project Cost</t>
  </si>
  <si>
    <t>Cost Engineering</t>
  </si>
  <si>
    <t>N/A -Not Modeled</t>
  </si>
  <si>
    <t>14 - Estimate and Schedule Risks (ES)</t>
  </si>
  <si>
    <t>7 - General Technical Risk (TR)</t>
  </si>
  <si>
    <t>Project Cost &amp; Schedule</t>
  </si>
  <si>
    <t>Customer</t>
  </si>
  <si>
    <t>2 - Scope and Objectives (SC)</t>
  </si>
  <si>
    <t>Construction</t>
  </si>
  <si>
    <t>Uniform</t>
  </si>
  <si>
    <t>13 - Construction (CO)</t>
  </si>
  <si>
    <t>4 - External Risks (EX)</t>
  </si>
  <si>
    <t>Civil/Site Design</t>
  </si>
  <si>
    <t>Project Management</t>
  </si>
  <si>
    <t>1 - Project &amp; Program Management (PM)</t>
  </si>
  <si>
    <t>Environmental Compliance</t>
  </si>
  <si>
    <t>33 - Regulatory And Environmental (ENV)</t>
  </si>
  <si>
    <t>Architectural</t>
  </si>
  <si>
    <t>11 - Architectural and Interior (AI)</t>
  </si>
  <si>
    <t>12 - Civil/Site Design (CV)</t>
  </si>
  <si>
    <t>19 - Structural (SD)</t>
  </si>
  <si>
    <t>21 - Environmental &amp; Cultural/Historical Resources (EC)</t>
  </si>
  <si>
    <t>Hydrology/Hydraulic Design</t>
  </si>
  <si>
    <t>Structural Design</t>
  </si>
  <si>
    <t>Geotechnical Design</t>
  </si>
  <si>
    <t>Mechanical Design</t>
  </si>
  <si>
    <t>16 - Mechanical (ME)</t>
  </si>
  <si>
    <t>15 - Electrical (EE)</t>
  </si>
  <si>
    <t>Electrical Design</t>
  </si>
  <si>
    <t>5 - Contract Acquisition Risks (CA)</t>
  </si>
  <si>
    <t>Schedule HV</t>
  </si>
  <si>
    <t>Schedule LV</t>
  </si>
  <si>
    <t>Cost HV</t>
  </si>
  <si>
    <t>Cost LV</t>
  </si>
  <si>
    <t>Risk Item Name for Chart</t>
  </si>
  <si>
    <t>Risk Item for Lookup</t>
  </si>
  <si>
    <t>ROM Schedule Risk @ 90%</t>
  </si>
  <si>
    <t>ROM Schedule Risk @ 80%</t>
  </si>
  <si>
    <t>ROM Schedule Risk @ 50%</t>
  </si>
  <si>
    <t>ROM Cost Risk @ 90%</t>
  </si>
  <si>
    <t>ROM Cost Risk @ 80%</t>
  </si>
  <si>
    <t>ROM Cost Risk @ 50%</t>
  </si>
  <si>
    <t>ROM Schedule of Risk Item @ 90% CL</t>
  </si>
  <si>
    <t>ROM Schedule of Risk Item @ 80% CL</t>
  </si>
  <si>
    <t>ROM Schedule of Risk Item @ 50% CL</t>
  </si>
  <si>
    <t>Schedule Impact ROM @ 90% w/o Risk Item</t>
  </si>
  <si>
    <t>Schedule Impact ROM @ 80% w/o Risk Item</t>
  </si>
  <si>
    <t>Schedule Impact ROM @ 50% w/o Risk Item</t>
  </si>
  <si>
    <t>Schedule Forecast w/o Risk Item</t>
  </si>
  <si>
    <t>ROM Cost of Risk Item @ 90% CL</t>
  </si>
  <si>
    <t>ROM Cost of Risk Item @ 80% CL</t>
  </si>
  <si>
    <t>ROM Cost of Risk Item @ 50% CL</t>
  </si>
  <si>
    <t>Cost Impact ROM @ 90% w/o Risk Item</t>
  </si>
  <si>
    <t>Cost Impact ROM @ 80% w/o Risk Item</t>
  </si>
  <si>
    <t>Cost Impact ROM @ 50% w/o Risk Item</t>
  </si>
  <si>
    <t>Cost Forecast w/o Risk Item</t>
  </si>
  <si>
    <t>Check Schedule Impact</t>
  </si>
  <si>
    <t>Check Cost Impact</t>
  </si>
  <si>
    <t>Schedule Impact Range (±)</t>
  </si>
  <si>
    <t>Construction Contract Duration</t>
  </si>
  <si>
    <t>Suggested Risk Reduction Measures
(Avoid, Escalate, Exploit, Transfer/Share, Mitigate/Enhance, or Accept)</t>
  </si>
  <si>
    <t>Risk Quantification Discussions</t>
  </si>
  <si>
    <t>Schedule Risk</t>
  </si>
  <si>
    <t>Cost Risk</t>
  </si>
  <si>
    <t>Event Prob (PCS)</t>
  </si>
  <si>
    <t>Likely (S)</t>
  </si>
  <si>
    <t>Likely (C)</t>
  </si>
  <si>
    <t>Affected Project Component</t>
  </si>
  <si>
    <t>Responsibility/ POC</t>
  </si>
  <si>
    <t>Correlation to Other(s)</t>
  </si>
  <si>
    <t>Schedule Variance Distribution</t>
  </si>
  <si>
    <t>Cost Variance Distribution</t>
  </si>
  <si>
    <t>Risk Level (S)</t>
  </si>
  <si>
    <t>Impact (S)</t>
  </si>
  <si>
    <t>Risk Level (C)</t>
  </si>
  <si>
    <t>Impact (C)</t>
  </si>
  <si>
    <t>Risk Event Description</t>
  </si>
  <si>
    <t>Risk Type</t>
  </si>
  <si>
    <t>REF</t>
  </si>
  <si>
    <t>Other Information</t>
  </si>
  <si>
    <t>Project Schedule</t>
  </si>
  <si>
    <t>Risk Rating</t>
  </si>
  <si>
    <t>Cost &amp; Schedule Impacts</t>
  </si>
  <si>
    <t>Probability of Occurrence</t>
  </si>
  <si>
    <t>Information</t>
  </si>
  <si>
    <r>
      <t>Cost Impact Range (</t>
    </r>
    <r>
      <rPr>
        <b/>
        <sz val="11"/>
        <rFont val="Calibri"/>
        <family val="2"/>
        <scheme val="minor"/>
      </rPr>
      <t>±)</t>
    </r>
  </si>
  <si>
    <t>Risk Register</t>
  </si>
  <si>
    <t>Low Variance (C)</t>
  </si>
  <si>
    <t>High Variance  (C)</t>
  </si>
  <si>
    <t>Low Variance (S)</t>
  </si>
  <si>
    <t>High Variance (S)</t>
  </si>
  <si>
    <t>Low Variance (CS)</t>
  </si>
  <si>
    <t>Likely (CS)</t>
  </si>
  <si>
    <t>High Variance (CS)</t>
  </si>
  <si>
    <t>Low Variance (TC)</t>
  </si>
  <si>
    <t>Likely (TC)</t>
  </si>
  <si>
    <t>High Variance (TC)</t>
  </si>
  <si>
    <t>TWO STEP (Cost &amp; Schedule)</t>
  </si>
  <si>
    <t>6.  Variance Distribution refers to the behavior of the individual risk item with respect to its potential effects on Project Cost and Schedule.  For example, an item with clearly defined parameters and a solid most likely scenario would probably follow a triangular or normal distribution.  A risk item for which the PDT has little data or probability of modeling with respect to effects on cost or schedule (i.e. "anyone's guess") would probably follow a uniform or discrete uniform distribution.</t>
  </si>
  <si>
    <t>* Likelihood, Impact, and Risk Level to be verified through market research &amp; analysis (conducted by cost engineer).</t>
  </si>
  <si>
    <t>Risk Register Legend</t>
  </si>
  <si>
    <t>Contingency %</t>
  </si>
  <si>
    <t>Baseline w/ Contingency</t>
  </si>
  <si>
    <t>Contingency Value</t>
  </si>
  <si>
    <t>Model Output</t>
  </si>
  <si>
    <t>Baseline Duration</t>
  </si>
  <si>
    <t>Percentile</t>
  </si>
  <si>
    <t>PROJECT CONTINGENCY
(BASELINE SCHEDULE)</t>
  </si>
  <si>
    <t>Contingency Summary Table - Schedule</t>
  </si>
  <si>
    <t xml:space="preserve"> Contingency Value</t>
  </si>
  <si>
    <t>Baseline TPC</t>
  </si>
  <si>
    <t>PROJECT CONTINGENCY
(BASELINE ESTIMATE)</t>
  </si>
  <si>
    <t>Contingency Summary Table - Cost</t>
  </si>
  <si>
    <t>Contingency</t>
  </si>
  <si>
    <t>Confidence Level</t>
  </si>
  <si>
    <t>Program Amount</t>
  </si>
  <si>
    <t>Contingency on Base Schedule</t>
  </si>
  <si>
    <t>Risk Distributions</t>
  </si>
  <si>
    <t>Contingency on Base Estimate</t>
  </si>
  <si>
    <t>Confidence
Level</t>
  </si>
  <si>
    <t>Contingency
Value</t>
  </si>
  <si>
    <t xml:space="preserve"> - PROJECT COST CONTINGENCY DEVELOPMENT -</t>
  </si>
  <si>
    <t>- PROJECT SCHEDULE CONTINGENCY (DURATION) DEVELOPMENT -</t>
  </si>
  <si>
    <t>Cost Contingency Analysis</t>
  </si>
  <si>
    <t>Schedule Contingency Analysis</t>
  </si>
  <si>
    <t>- Top Schedule Risk Drivers &amp; Ranges -</t>
  </si>
  <si>
    <t>- Top Cost Risk Drivers &amp; Ranges -</t>
  </si>
  <si>
    <t>Top Schedule Risks</t>
  </si>
  <si>
    <t>Schedule Look Up Formulas from 'H-Risk Register-Model' for Charts</t>
  </si>
  <si>
    <t>- Top Schedule Risk Drivers by Confidence Levels -</t>
  </si>
  <si>
    <t>Top Cost Risks</t>
  </si>
  <si>
    <t>Rank</t>
  </si>
  <si>
    <t>Cost Look Up Formulas from 'H-Risk Register-Model' for Charts</t>
  </si>
  <si>
    <t>- Top Cost Risk Drivers by Confidence Levels -</t>
  </si>
  <si>
    <t>Schedule</t>
  </si>
  <si>
    <t>Cost</t>
  </si>
  <si>
    <t>Risk Level</t>
  </si>
  <si>
    <t>TOP SCHEDULE RISKS</t>
  </si>
  <si>
    <t>TOP COST RISKS</t>
  </si>
  <si>
    <t>Location:</t>
  </si>
  <si>
    <t>Estimate Contingency</t>
  </si>
  <si>
    <t>Base Schedule Start Date</t>
  </si>
  <si>
    <t>Base Schedule Finish Date</t>
  </si>
  <si>
    <t>Base Schedule Duration</t>
  </si>
  <si>
    <t>Schedule Contingency Duration</t>
  </si>
  <si>
    <t>Make any charts for the report that are not already included so that you can update them later.</t>
  </si>
  <si>
    <t>Other Costs Not subject to S&amp;A</t>
  </si>
  <si>
    <t>E&amp;F Equipment- Paid from Project Funds</t>
  </si>
  <si>
    <t>MIPRS- Paid from Project Funds</t>
  </si>
  <si>
    <t>G90 Miscellaneous Site Construction</t>
  </si>
  <si>
    <t>G50 Site Communications</t>
  </si>
  <si>
    <t>G40 Electrical Site Improvements</t>
  </si>
  <si>
    <t>G30 Liquid and Gas Site Utilities</t>
  </si>
  <si>
    <t>G20 Site Improvements</t>
  </si>
  <si>
    <t>G10 Site Preparation</t>
  </si>
  <si>
    <t>F30 Demolition</t>
  </si>
  <si>
    <t>F20 Facility Remediation</t>
  </si>
  <si>
    <t>F10 Special Construction</t>
  </si>
  <si>
    <t>E20 Equipment</t>
  </si>
  <si>
    <t>E10 Equipment</t>
  </si>
  <si>
    <t>D80 Integrated Automation</t>
  </si>
  <si>
    <t>D70 Electronic Safety and Security</t>
  </si>
  <si>
    <t>D60 Communications</t>
  </si>
  <si>
    <t>D50 Electrical</t>
  </si>
  <si>
    <t>D40 Fire Protection</t>
  </si>
  <si>
    <t>D30 Heating, Ventilation, and Air Conditioning (HVAC)</t>
  </si>
  <si>
    <t>D20 Plumbing</t>
  </si>
  <si>
    <t>D10 Conveying</t>
  </si>
  <si>
    <t>C20 Interior Finishes</t>
  </si>
  <si>
    <t>C10 Interior Construction</t>
  </si>
  <si>
    <t>B30 Exterior Horizontal Enclosures</t>
  </si>
  <si>
    <t>B20 Exterior Vertical Enclosures</t>
  </si>
  <si>
    <t>B10 Superstructure</t>
  </si>
  <si>
    <t>A90 Substructure Related Activities</t>
  </si>
  <si>
    <t>A60 Water and Gas Mitigation</t>
  </si>
  <si>
    <t>A40 Slabs On Grade</t>
  </si>
  <si>
    <t>A20 Subgrade Enclosures</t>
  </si>
  <si>
    <t>A10 Foundations</t>
  </si>
  <si>
    <t>MILCON</t>
  </si>
  <si>
    <t>35 - Life Safety (LS)</t>
  </si>
  <si>
    <t>34 - Turnover (TO)</t>
  </si>
  <si>
    <t>32 - Commissioning/Certification (CC)</t>
  </si>
  <si>
    <t>31 - Safety (SA)</t>
  </si>
  <si>
    <t>29 - Equipment List (EQ)</t>
  </si>
  <si>
    <t>28 - Complexity/Financial Risk (CF)</t>
  </si>
  <si>
    <t>27 - Cybersecurity (CS)</t>
  </si>
  <si>
    <t>26 - Utilities (UT)</t>
  </si>
  <si>
    <t>25 - Hazardous Materials (HZ)</t>
  </si>
  <si>
    <t>24 - Fire Protection (FE)</t>
  </si>
  <si>
    <t>23 - Sensitive Compartmented Information Facility (SCIF)</t>
  </si>
  <si>
    <t>Yes-No</t>
  </si>
  <si>
    <t>22 - Host Nation (HN)</t>
  </si>
  <si>
    <t>20 - Facility Planning Data (FP)</t>
  </si>
  <si>
    <t>18 - Hydraulics / Hydrology (HH)</t>
  </si>
  <si>
    <t>TASB</t>
  </si>
  <si>
    <t>Single Event (2 Step)</t>
  </si>
  <si>
    <t>17 - Geotechnical / Geology (GG)</t>
  </si>
  <si>
    <t>Programs</t>
  </si>
  <si>
    <t>Construction Period</t>
  </si>
  <si>
    <t>Planning</t>
  </si>
  <si>
    <t>Solicitation</t>
  </si>
  <si>
    <t>Office of Counsel</t>
  </si>
  <si>
    <t xml:space="preserve">Design  </t>
  </si>
  <si>
    <t>DD3086</t>
  </si>
  <si>
    <t>10 - Relocations (RL)</t>
  </si>
  <si>
    <t>Local Sponsor</t>
  </si>
  <si>
    <t>9 - Lands and Damages Risk (RE)</t>
  </si>
  <si>
    <t>Design Charrette</t>
  </si>
  <si>
    <t>8 - Site Identification &amp; Approval (SI)</t>
  </si>
  <si>
    <t>PED - 95%</t>
  </si>
  <si>
    <t>PED - 65%</t>
  </si>
  <si>
    <t>6 - Planning-Site (PS)</t>
  </si>
  <si>
    <t>Included within Other Risk/Model Item</t>
  </si>
  <si>
    <t>PED - 35%</t>
  </si>
  <si>
    <t>Discrete Uniform</t>
  </si>
  <si>
    <t>Unrated</t>
  </si>
  <si>
    <t>Report Update</t>
  </si>
  <si>
    <t>Custom</t>
  </si>
  <si>
    <t>3 - Ability to Execute (AB)</t>
  </si>
  <si>
    <t>Contracting</t>
  </si>
  <si>
    <t>Binomial</t>
  </si>
  <si>
    <t>Feasibility (TSP) - For Milestone #2</t>
  </si>
  <si>
    <t>Contract Cost &amp; Schedule</t>
  </si>
  <si>
    <t>BetaPERT</t>
  </si>
  <si>
    <t>Feasibility (Alternatives) - For Milestone #1</t>
  </si>
  <si>
    <t>Contract Schedule</t>
  </si>
  <si>
    <t>Beta</t>
  </si>
  <si>
    <t>Reconnaissance</t>
  </si>
  <si>
    <t>Contract Cost</t>
  </si>
  <si>
    <t>Y</t>
  </si>
  <si>
    <t>PD</t>
  </si>
  <si>
    <t>APC</t>
  </si>
  <si>
    <t>POC</t>
  </si>
  <si>
    <t>Distri</t>
  </si>
  <si>
    <t>LikeH</t>
  </si>
  <si>
    <t>Include</t>
  </si>
  <si>
    <t>Products</t>
  </si>
  <si>
    <t>Responsibility/POC</t>
  </si>
  <si>
    <t>Distributions</t>
  </si>
  <si>
    <t xml:space="preserve">This is the drop down master list for all sheets Do not delete.. If you need something insert it </t>
  </si>
  <si>
    <t>01 - LANDS AND DAMAGES</t>
  </si>
  <si>
    <t>02 - RELOCATIONS</t>
  </si>
  <si>
    <t>03 - RESERVOIRS</t>
  </si>
  <si>
    <t>04 - DAMS</t>
  </si>
  <si>
    <t>05 - LOCKS</t>
  </si>
  <si>
    <t>06 - FISH AND WILDLIFE FACILITIES</t>
  </si>
  <si>
    <t>07 - POWER PLANT</t>
  </si>
  <si>
    <t>08 - ROADS, RAILROADS, AND BRIDGES</t>
  </si>
  <si>
    <t>10 - BREAKWATERS AND SEAWALLS</t>
  </si>
  <si>
    <t>09 - CHANNELS AND CANALS</t>
  </si>
  <si>
    <t>11 - LEVEES AND FLOODWALLS</t>
  </si>
  <si>
    <t>12 - NAVIGATION, PORTS AND HARBORS</t>
  </si>
  <si>
    <t>13 - PUMPING PLANT</t>
  </si>
  <si>
    <t>14 - RECREATION FACILITIES</t>
  </si>
  <si>
    <t>15 - FLOODWAY CONTROL AND DIVERSION STRUCTURES</t>
  </si>
  <si>
    <t>16 - BANK STABILIZATION</t>
  </si>
  <si>
    <t>17 - BEACH REPLENISHMENT</t>
  </si>
  <si>
    <t>18 - CULTURAL RESOURCE PRESERVATION</t>
  </si>
  <si>
    <t>19 - BUILDINGS, GROUNDS, AND UTILITIES</t>
  </si>
  <si>
    <t>20 - PERMANENT OPERATING EQUIPMENT</t>
  </si>
  <si>
    <t>30 - PLANNING, ENGINEERING, AND DESIGN</t>
  </si>
  <si>
    <t>31 - CONSTRUCTION MANAGEMENT</t>
  </si>
  <si>
    <t>32 - HAZARDOUS AND TOXIC WASTE</t>
  </si>
  <si>
    <t>Top Cost Risks:  Copy/Paste for Report</t>
  </si>
  <si>
    <t>Top Schedule Risks:  Copy/Paste for Report</t>
  </si>
  <si>
    <t>Cost from Schedule Impacts</t>
  </si>
  <si>
    <t>Event Risk Info</t>
  </si>
  <si>
    <t>Cost Risk Modeling</t>
  </si>
  <si>
    <t>Schedule Risk Modeling</t>
  </si>
  <si>
    <t>Confidence Level:</t>
  </si>
  <si>
    <t>Additional Documentation</t>
  </si>
  <si>
    <t>Evaluation of Cost/Schedule Impacts</t>
  </si>
  <si>
    <t>Modeled?</t>
  </si>
  <si>
    <t>Check Impacts?</t>
  </si>
  <si>
    <t>Cost Forecasts &amp; Confidence Levels without Risk Item</t>
  </si>
  <si>
    <t>Schedule Forecasts &amp; Confidence Levels without Risk Item</t>
  </si>
  <si>
    <t>ROM Cost Impact of Risk Item &amp; Ranking</t>
  </si>
  <si>
    <t>ROM Schedule Impact of Risk Item &amp; Ranking</t>
  </si>
  <si>
    <t>Lookup Information for Automated Charts</t>
  </si>
  <si>
    <t>Worksheet/Cell</t>
  </si>
  <si>
    <t>Cost Range</t>
  </si>
  <si>
    <t>Round Schedule</t>
  </si>
  <si>
    <t>Round Cost</t>
  </si>
  <si>
    <t>Cost Risk Sum</t>
  </si>
  <si>
    <t>Schedule Risk Sum</t>
  </si>
  <si>
    <t>Mitigation</t>
  </si>
  <si>
    <t>Risk Register Report Last Column</t>
  </si>
  <si>
    <t>Risk Register Report First Column</t>
  </si>
  <si>
    <t>Hide Risk Register Column Start</t>
  </si>
  <si>
    <t>Hide Risk Register Column End</t>
  </si>
  <si>
    <t>Top Cost Risks Start</t>
  </si>
  <si>
    <t>Top Cost Risks End</t>
  </si>
  <si>
    <t>Top Schedule Risks Start</t>
  </si>
  <si>
    <t>Top Schedule Risks End</t>
  </si>
  <si>
    <t>Location of Information</t>
  </si>
  <si>
    <t>Programmed Amount Ceiling</t>
  </si>
  <si>
    <t>WBS / Feature of Work</t>
  </si>
  <si>
    <t>Contingencies</t>
  </si>
  <si>
    <t>59 - CONTINGENCIES FROM CSRA MODEL</t>
  </si>
  <si>
    <t>59 - CONTINGENCIES NOT FROM CSRA MODEL</t>
  </si>
  <si>
    <t>Project Development Phase:</t>
  </si>
  <si>
    <t xml:space="preserve"> Cost &amp; Schedule Summary for Risk Register Development</t>
  </si>
  <si>
    <t>Schedule Start:</t>
  </si>
  <si>
    <t>Schedule Finish:</t>
  </si>
  <si>
    <t>Schedule Contingency:</t>
  </si>
  <si>
    <t>Month/Year</t>
  </si>
  <si>
    <t>BEFORE THE CSRA MEETING:</t>
  </si>
  <si>
    <t>FIXED DOLLAR RISK ADD (EQUALLY DISPERSED TO ALL, MUST INCLUDE JUSTIFICATION SEE BELOW)*</t>
  </si>
  <si>
    <t>* Fixed Dollar Risk Add: (Allows for additional risk to be added to the risk analysis.  Must include justification.</t>
  </si>
  <si>
    <t>Included
Within
CSRA Model</t>
  </si>
  <si>
    <t>Not Included
Within
CSRA Model</t>
  </si>
  <si>
    <t>SUMMARY
&amp;
TOTALS</t>
  </si>
  <si>
    <t>Duration:</t>
  </si>
  <si>
    <r>
      <t xml:space="preserve">1.  </t>
    </r>
    <r>
      <rPr>
        <b/>
        <sz val="11"/>
        <rFont val="Calibri"/>
        <family val="2"/>
        <scheme val="minor"/>
      </rPr>
      <t>Risk/Opportunity</t>
    </r>
    <r>
      <rPr>
        <sz val="11"/>
        <rFont val="Calibri"/>
        <family val="2"/>
        <scheme val="minor"/>
      </rPr>
      <t xml:space="preserve"> identified with reference to the Risk Identification Checklist and through deliberation and study of the PDT.</t>
    </r>
  </si>
  <si>
    <r>
      <t xml:space="preserve">2.  </t>
    </r>
    <r>
      <rPr>
        <b/>
        <sz val="11"/>
        <rFont val="Calibri"/>
        <family val="2"/>
        <scheme val="minor"/>
      </rPr>
      <t>Discussions and Concerns</t>
    </r>
    <r>
      <rPr>
        <sz val="11"/>
        <rFont val="Calibri"/>
        <family val="2"/>
        <scheme val="minor"/>
      </rPr>
      <t xml:space="preserve"> elaborates on Risk/Opportunity Events and includes any assumptions or findings (should contain information pertinent to eventual study and analysis of event's impact to project).</t>
    </r>
  </si>
  <si>
    <r>
      <t xml:space="preserve">3.  </t>
    </r>
    <r>
      <rPr>
        <b/>
        <sz val="11"/>
        <rFont val="Calibri"/>
        <family val="2"/>
        <scheme val="minor"/>
      </rPr>
      <t>Likelihood</t>
    </r>
    <r>
      <rPr>
        <sz val="11"/>
        <rFont val="Calibri"/>
        <family val="2"/>
        <scheme val="minor"/>
      </rPr>
      <t xml:space="preserve"> is a measure of the probability of the event occurring -- </t>
    </r>
    <r>
      <rPr>
        <b/>
        <sz val="11"/>
        <rFont val="Calibri"/>
        <family val="2"/>
        <scheme val="minor"/>
      </rPr>
      <t>Unlikely</t>
    </r>
    <r>
      <rPr>
        <sz val="11"/>
        <rFont val="Calibri"/>
        <family val="2"/>
        <scheme val="minor"/>
      </rPr>
      <t xml:space="preserve">, </t>
    </r>
    <r>
      <rPr>
        <b/>
        <sz val="11"/>
        <rFont val="Calibri"/>
        <family val="2"/>
        <scheme val="minor"/>
      </rPr>
      <t>Possible, Likely</t>
    </r>
    <r>
      <rPr>
        <sz val="11"/>
        <rFont val="Calibri"/>
        <family val="2"/>
        <scheme val="minor"/>
      </rPr>
      <t xml:space="preserve">, </t>
    </r>
    <r>
      <rPr>
        <b/>
        <sz val="11"/>
        <rFont val="Calibri"/>
        <family val="2"/>
        <scheme val="minor"/>
      </rPr>
      <t xml:space="preserve">Very Likely, or Certain.  </t>
    </r>
    <r>
      <rPr>
        <sz val="11"/>
        <rFont val="Calibri"/>
        <family val="2"/>
        <scheme val="minor"/>
      </rPr>
      <t>The likelihood of the even generally will be the same for both Cost and Schedule, regardless of impact.</t>
    </r>
  </si>
  <si>
    <r>
      <t xml:space="preserve">4.  </t>
    </r>
    <r>
      <rPr>
        <b/>
        <sz val="11"/>
        <rFont val="Calibri"/>
        <family val="2"/>
        <scheme val="minor"/>
      </rPr>
      <t>Impact</t>
    </r>
    <r>
      <rPr>
        <sz val="11"/>
        <rFont val="Calibri"/>
        <family val="2"/>
        <scheme val="minor"/>
      </rPr>
      <t xml:space="preserve"> is a measure of the event's effect on project objectives with relation to scope, cost, and/or schedule -- </t>
    </r>
    <r>
      <rPr>
        <b/>
        <sz val="11"/>
        <rFont val="Calibri"/>
        <family val="2"/>
        <scheme val="minor"/>
      </rPr>
      <t>Negligible</t>
    </r>
    <r>
      <rPr>
        <sz val="11"/>
        <rFont val="Calibri"/>
        <family val="2"/>
        <scheme val="minor"/>
      </rPr>
      <t>,</t>
    </r>
    <r>
      <rPr>
        <b/>
        <sz val="11"/>
        <rFont val="Calibri"/>
        <family val="2"/>
        <scheme val="minor"/>
      </rPr>
      <t xml:space="preserve"> Marginal, Moderate, Significant</t>
    </r>
    <r>
      <rPr>
        <sz val="11"/>
        <rFont val="Calibri"/>
        <family val="2"/>
        <scheme val="minor"/>
      </rPr>
      <t>,</t>
    </r>
    <r>
      <rPr>
        <b/>
        <sz val="11"/>
        <rFont val="Calibri"/>
        <family val="2"/>
        <scheme val="minor"/>
      </rPr>
      <t xml:space="preserve"> or Critical.  </t>
    </r>
    <r>
      <rPr>
        <sz val="11"/>
        <rFont val="Calibri"/>
        <family val="2"/>
        <scheme val="minor"/>
      </rPr>
      <t>Impacts on Project Cost may vary in severity from impacts on Project Schedule.</t>
    </r>
  </si>
  <si>
    <r>
      <t xml:space="preserve">5.  </t>
    </r>
    <r>
      <rPr>
        <b/>
        <sz val="11"/>
        <rFont val="Calibri"/>
        <family val="2"/>
        <scheme val="minor"/>
      </rPr>
      <t>Risk Level</t>
    </r>
    <r>
      <rPr>
        <sz val="11"/>
        <rFont val="Calibri"/>
        <family val="2"/>
        <scheme val="minor"/>
      </rPr>
      <t xml:space="preserve"> is the resultant of Likelihood and Impact </t>
    </r>
    <r>
      <rPr>
        <b/>
        <sz val="11"/>
        <rFont val="Calibri"/>
        <family val="2"/>
        <scheme val="minor"/>
      </rPr>
      <t>Low</t>
    </r>
    <r>
      <rPr>
        <sz val="11"/>
        <rFont val="Calibri"/>
        <family val="2"/>
        <scheme val="minor"/>
      </rPr>
      <t xml:space="preserve">, </t>
    </r>
    <r>
      <rPr>
        <b/>
        <sz val="11"/>
        <rFont val="Calibri"/>
        <family val="2"/>
        <scheme val="minor"/>
      </rPr>
      <t>Medium</t>
    </r>
    <r>
      <rPr>
        <sz val="11"/>
        <rFont val="Calibri"/>
        <family val="2"/>
        <scheme val="minor"/>
      </rPr>
      <t xml:space="preserve">, or </t>
    </r>
    <r>
      <rPr>
        <b/>
        <sz val="11"/>
        <rFont val="Calibri"/>
        <family val="2"/>
        <scheme val="minor"/>
      </rPr>
      <t>High</t>
    </r>
    <r>
      <rPr>
        <sz val="11"/>
        <rFont val="Calibri"/>
        <family val="2"/>
        <scheme val="minor"/>
      </rPr>
      <t>. Refer to the matrix located at top of page.</t>
    </r>
  </si>
  <si>
    <r>
      <t xml:space="preserve">7.  </t>
    </r>
    <r>
      <rPr>
        <b/>
        <sz val="11"/>
        <rFont val="Calibri"/>
        <family val="2"/>
        <scheme val="minor"/>
      </rPr>
      <t>Responsibility or POC</t>
    </r>
    <r>
      <rPr>
        <sz val="11"/>
        <rFont val="Calibri"/>
        <family val="2"/>
        <scheme val="minor"/>
      </rPr>
      <t xml:space="preserve"> is the entity responsible as the Subject Matter Expert (SME) for action, monitoring, or information on the PDT for the identified risk or opportunity.</t>
    </r>
  </si>
  <si>
    <r>
      <t xml:space="preserve">8.  </t>
    </r>
    <r>
      <rPr>
        <b/>
        <sz val="11"/>
        <rFont val="Calibri"/>
        <family val="2"/>
        <scheme val="minor"/>
      </rPr>
      <t>Correlation</t>
    </r>
    <r>
      <rPr>
        <sz val="11"/>
        <rFont val="Calibri"/>
        <family val="2"/>
        <scheme val="minor"/>
      </rPr>
      <t xml:space="preserve"> recognizes those risk events that may be related to one another.  Care should be given to ensure the risks are handled correctly without a "double counting."</t>
    </r>
  </si>
  <si>
    <r>
      <t xml:space="preserve">9.  </t>
    </r>
    <r>
      <rPr>
        <b/>
        <sz val="11"/>
        <rFont val="Calibri"/>
        <family val="2"/>
        <scheme val="minor"/>
      </rPr>
      <t>Affected Project Component</t>
    </r>
    <r>
      <rPr>
        <sz val="11"/>
        <rFont val="Calibri"/>
        <family val="2"/>
        <scheme val="minor"/>
      </rPr>
      <t xml:space="preserve"> identifies the specific item of the project to which the risk directly or strongly correlates.</t>
    </r>
  </si>
  <si>
    <r>
      <t xml:space="preserve">10.  </t>
    </r>
    <r>
      <rPr>
        <b/>
        <sz val="11"/>
        <rFont val="Calibri"/>
        <family val="2"/>
        <scheme val="minor"/>
      </rPr>
      <t>Project Implications</t>
    </r>
    <r>
      <rPr>
        <sz val="11"/>
        <rFont val="Calibri"/>
        <family val="2"/>
        <scheme val="minor"/>
      </rPr>
      <t xml:space="preserve"> identifies whether or not the risk item affects project cost, project schedule, or both.  The PDT is responsible for conducting studies for both Project Cost and for Project Schedule.</t>
    </r>
  </si>
  <si>
    <r>
      <t xml:space="preserve">11.  </t>
    </r>
    <r>
      <rPr>
        <b/>
        <sz val="11"/>
        <rFont val="Calibri"/>
        <family val="2"/>
        <scheme val="minor"/>
      </rPr>
      <t>Results</t>
    </r>
    <r>
      <rPr>
        <sz val="11"/>
        <rFont val="Calibri"/>
        <family val="2"/>
        <scheme val="minor"/>
      </rPr>
      <t xml:space="preserve"> of the risk identification process are studied and further developed by the Cost Engineer, then analyzed through the Monte Carlo Analysis Method for Cost (Contingency) and Schedule (Escalation) Growth.</t>
    </r>
  </si>
  <si>
    <t>RISK REGISTER RISK LEVEL</t>
  </si>
  <si>
    <t xml:space="preserve">Risk No. </t>
  </si>
  <si>
    <t>Low Variance</t>
  </si>
  <si>
    <t>High Variance</t>
  </si>
  <si>
    <t>Check with Project Contingency Total</t>
  </si>
  <si>
    <t>Sum of Contingency in Table to the Left</t>
  </si>
  <si>
    <t>of Total Risk</t>
  </si>
  <si>
    <t>% of Total Contingency</t>
  </si>
  <si>
    <t>Feasibility (CWRB) - For Milestone #4</t>
  </si>
  <si>
    <t>Current Working Estimate</t>
  </si>
  <si>
    <t>CSRA FOR THE FY22 CURRENT WORKING ESTIMATE</t>
  </si>
  <si>
    <t>ESTIMATE AMOUNT</t>
  </si>
  <si>
    <t>UNIT PRICE</t>
  </si>
  <si>
    <t>UNIT</t>
  </si>
  <si>
    <t>QUANTITY</t>
  </si>
  <si>
    <t>DESCRIPTION</t>
  </si>
  <si>
    <t>CLIN</t>
  </si>
  <si>
    <t>TON</t>
  </si>
  <si>
    <t>SY</t>
  </si>
  <si>
    <t>JOB</t>
  </si>
  <si>
    <t>EA</t>
  </si>
  <si>
    <t>CY</t>
  </si>
  <si>
    <t>Remaining Construction</t>
  </si>
  <si>
    <t>LS</t>
  </si>
  <si>
    <t>Modifications to Date</t>
  </si>
  <si>
    <t>Options</t>
  </si>
  <si>
    <t>Base</t>
  </si>
  <si>
    <t>Awarded</t>
  </si>
  <si>
    <t>0002A</t>
  </si>
  <si>
    <t>0002B</t>
  </si>
  <si>
    <t>0003D</t>
  </si>
  <si>
    <t>0015C</t>
  </si>
  <si>
    <t>0021E</t>
  </si>
  <si>
    <t>Mobilization and Demobilization - USACE Estimate</t>
  </si>
  <si>
    <t>Surveys - Pre-Dredging Hazard Survey</t>
  </si>
  <si>
    <t>Debris Removal from Channel - Up to 20 Tons Total</t>
  </si>
  <si>
    <t>Dredging - Channel Deepening (Maintenance) - Sta. 132+67 to 185+23</t>
  </si>
  <si>
    <t>Dredging - Channel Deepening (New Work) - Sta. 132+67 to 185+23</t>
  </si>
  <si>
    <t>Debris Removal from Bend Easing Sta. 147+73 to 159+83</t>
  </si>
  <si>
    <t>Dredging - Bend Easing (Maintenance) Sta. 147+73 to 159+83</t>
  </si>
  <si>
    <t>Dredging - Bend Easing Deepening (New Work) Sta. 147+73 to 159+83</t>
  </si>
  <si>
    <t>Shoreline Protection - Rip Rap</t>
  </si>
  <si>
    <t>Shoreline Protection - Geotextile Fabric</t>
  </si>
  <si>
    <t>Shoreline Protection - Ancillary Work</t>
  </si>
  <si>
    <t>ODMDS Monitor Surveys</t>
  </si>
  <si>
    <t>As-Built and Record Drawings</t>
  </si>
  <si>
    <t>Debris Removal from Channel Sta. 62+00 to 132+67</t>
  </si>
  <si>
    <t>Dredging - Channel Deepening (Maintenance) Sta. 62+00 to 132+67</t>
  </si>
  <si>
    <t>Dredging - Channel Deepening (New Work) Sta. 62+00 to 132+67</t>
  </si>
  <si>
    <t>Debris Removal from Channel Sta. -180+00 to 62+00</t>
  </si>
  <si>
    <t>Dredging - Channel Deepening (Maintenance) Sta. -180+00 to 62+00</t>
  </si>
  <si>
    <t>Dredging - Channel Deepening (New Work) Sta. -180+00 to 62+00</t>
  </si>
  <si>
    <t>Mobilization and Demobilization</t>
  </si>
  <si>
    <t>Debris Removal from Channel Sta. -340+00 to -180+00</t>
  </si>
  <si>
    <t>Dredging - Channel Deepening (Maintenance) Sta. -340+00 to -180+00</t>
  </si>
  <si>
    <t>Dredging - Channel Deepening (New Work) Sta. -340+00 to -180+00</t>
  </si>
  <si>
    <t>Mobilization and Demobilization Sea Turtle Trawling and Relocation</t>
  </si>
  <si>
    <t>Turtle Deflector Device and Endangered Species Observers</t>
  </si>
  <si>
    <t>Sea Turtle Trawling and Relocation</t>
  </si>
  <si>
    <t>Debris Removal from Channel Sta. -218+00 to 256+25</t>
  </si>
  <si>
    <t>Dredging - Channel Deepening (New Work) Sta. -218+00 to 256+25</t>
  </si>
  <si>
    <t>DAY</t>
  </si>
  <si>
    <t>Schedule No. 1 (Reach 2 Improvements)</t>
  </si>
  <si>
    <t>Option No. 1 (Reach 1A Channel Deepening)</t>
  </si>
  <si>
    <t>Option No. 2 (Reach 1B Channel Deepening)</t>
  </si>
  <si>
    <t>Option No. 3 (Reach 1C Channel Deepening)</t>
  </si>
  <si>
    <t>Option No. 4 (Reach 4 Channel Deepening)</t>
  </si>
  <si>
    <t>Option No. 5 (Additional Turtle Trawler)</t>
  </si>
  <si>
    <t>Crystal Ball Data</t>
  </si>
  <si>
    <t>Workbook Variables</t>
  </si>
  <si>
    <t>Last Var Column</t>
  </si>
  <si>
    <t xml:space="preserve">    Name:</t>
  </si>
  <si>
    <t xml:space="preserve">    Value:</t>
  </si>
  <si>
    <t>Worksheet Data</t>
  </si>
  <si>
    <t>Last Data Column Used</t>
  </si>
  <si>
    <t>Sheet Ref</t>
  </si>
  <si>
    <t>Sheet Guid</t>
  </si>
  <si>
    <t>Deleted sheet count</t>
  </si>
  <si>
    <t>Last row used</t>
  </si>
  <si>
    <t>Data blocks</t>
  </si>
  <si>
    <t>1336952e-b211-4694-b667-130aa9294537</t>
  </si>
  <si>
    <t>CB_Block_0</t>
  </si>
  <si>
    <t>Decisioneering:7.0.0.0</t>
  </si>
  <si>
    <t>a27905c2-8638-4000-b9e5-bd1207c9cd33</t>
  </si>
  <si>
    <t>CB_Block_7.0.0.0:1</t>
  </si>
  <si>
    <t>CB_Block_7.0.0.0:2</t>
  </si>
  <si>
    <t>CB_Block_7.0.0.0:4</t>
  </si>
  <si>
    <t>CB_Block_7.0.0.0:3</t>
  </si>
  <si>
    <t>CB_Block_7.0.0.0:5</t>
  </si>
  <si>
    <t>f5dd8486-43d8-4446-8716-9ee9fdff0c22</t>
  </si>
  <si>
    <t>XXX</t>
  </si>
  <si>
    <t>In-Person, Virtual, Partial, Invited</t>
  </si>
  <si>
    <t>CB_Block_7.0.0.0:7</t>
  </si>
  <si>
    <t>CB_Block_7.0.0.0:6</t>
  </si>
  <si>
    <t>CB_Block_7.0.0.0:8</t>
  </si>
  <si>
    <t>Project Name</t>
  </si>
  <si>
    <t>Walla Walla, WA</t>
  </si>
  <si>
    <t>Brief description of project scope.</t>
  </si>
  <si>
    <t>Awarded Contract #1 (Still Under Construction but Nearly Complete)</t>
  </si>
  <si>
    <t>Awarded Contract #2 (Still Under Construction but Nearly Complete)</t>
  </si>
  <si>
    <t>Contract #3 - Scope of Work / Bid Items</t>
  </si>
  <si>
    <t>Fixed Dollar Risk Add</t>
  </si>
  <si>
    <t>Duration with Contingency</t>
  </si>
  <si>
    <t>Base Estimate by CL for Chart</t>
  </si>
  <si>
    <t>Base Schedule by CL for Chart</t>
  </si>
  <si>
    <t>Cost with
Contingency</t>
  </si>
  <si>
    <t>• Added change control log</t>
  </si>
  <si>
    <t>• Corrected note "C" on 'A-Quick instructions" worksheet.  Previously referenced cell K46 for programmed amount but changed to cell H46.</t>
  </si>
  <si>
    <t>Description of Changes</t>
  </si>
  <si>
    <t>Project Contingency</t>
  </si>
  <si>
    <t>Sensitivity Charts</t>
  </si>
  <si>
    <t>CSRA Assumptions</t>
  </si>
  <si>
    <t>Cost Risk Dashboard</t>
  </si>
  <si>
    <t>Schedule Risk Dashboard</t>
  </si>
  <si>
    <t>Cell</t>
  </si>
  <si>
    <t>Prepare yourself by reviewing the project data- the report, cost estimate, schedule etc.</t>
  </si>
  <si>
    <t>Develop the main Cost &amp; Schedule Risk Analysis report which summarizes the results.  The NWW Cost MXC has a template already developed for both Civil Works &amp; MILCON that you can use.</t>
  </si>
  <si>
    <t>Tab Names</t>
  </si>
  <si>
    <t>Column</t>
  </si>
  <si>
    <t>Row</t>
  </si>
  <si>
    <t>CSRA Report Appendixes</t>
  </si>
  <si>
    <t>Forecasts Starting Column</t>
  </si>
  <si>
    <t>Forecasts Ending Column</t>
  </si>
  <si>
    <t>QC Starting Column</t>
  </si>
  <si>
    <t>QC Ending Column</t>
  </si>
  <si>
    <t>APPENDIX A: BASE ESTIMATE</t>
  </si>
  <si>
    <t>APPENDIX B: BASE SCHEDULE</t>
  </si>
  <si>
    <t>APPENDIX C: CSRA DETAILS</t>
  </si>
  <si>
    <t>APPENDIX C-1: RISK DASHBOARDS</t>
  </si>
  <si>
    <t>APPENDIX C-2: CONTINGENCY SUMMARY</t>
  </si>
  <si>
    <t>APPENDIX C-7: RISK DETAILS</t>
  </si>
  <si>
    <t>APPENDIX C-3: SENSITIVITY CHARTS</t>
  </si>
  <si>
    <t>APPENDIX C-4: RISK REGISTER</t>
  </si>
  <si>
    <t>APPENDIX C-5: CSRA ASSUMPTIONS</t>
  </si>
  <si>
    <t>APPENDIX C-6: RISK REGISTER ATTENDANCE</t>
  </si>
  <si>
    <t>Risk Reduction Measures</t>
  </si>
  <si>
    <t>Automated Lookup Data for Instructions (In Case Things Move Around)</t>
  </si>
  <si>
    <t>Risk Detail Sheet Summary Range Start</t>
  </si>
  <si>
    <t>Risk Detail Sheet Summary Range End</t>
  </si>
  <si>
    <t>Major Changes
• Complete re-formatting of the document.
• 'J-Sensitivity Charts' auto populates major cost &amp; schedule risk items due to Crystal Ball forecasts added on the 'H-Risk Register-Model' worksheet.  This has replaced the Crystal Ball sensitivity charts.
• Added in optional detail sheets to aid in documentation &amp; modeling (estimate summary, schedule summary, model assumptions, example common risk for escalation, example common risk for markups, risk detail template, and example risk detail sheet for REF 1 (worksheet '1').
• See text box to the right for more details on changes.</t>
  </si>
  <si>
    <t>• Change control log versioning.
• Added instructions for source of drop-down list on 'H-Risk Register-Model' worksheet.</t>
  </si>
  <si>
    <t>Civil Works</t>
  </si>
  <si>
    <t>Program:</t>
  </si>
  <si>
    <t>MILCON Work Breakdown Structure</t>
  </si>
  <si>
    <t>Civil Works Work Breakdown Structure</t>
  </si>
  <si>
    <t>Program</t>
  </si>
  <si>
    <t>CW_WBS</t>
  </si>
  <si>
    <t>MILCON_WBS</t>
  </si>
  <si>
    <t>• Edited SC on the C1-Risk Checklist to reflect MILCON terminology guidelines for secure space.  SC was changed to SS.  Risk#107 was edited in same fashion.</t>
  </si>
  <si>
    <t>Bill Jennings (NAVFAC)</t>
  </si>
  <si>
    <t>Primary Facilities</t>
  </si>
  <si>
    <t>Supporting Facilities</t>
  </si>
  <si>
    <t>SECURE SPACE (SS)</t>
  </si>
  <si>
    <t>SS</t>
  </si>
  <si>
    <t>EMSEC/TEMPEST</t>
  </si>
  <si>
    <t>Determine whether this project will need to include secure spaces.  Some secure spaces have special security requirements such as opening restrictions, special walls, and sound attenuation.  For each secure area the following information should be provided:
- Space requirement (square feet)
- Site Security Manager (SSM) contact information (name, phone#, email) if applicable
- Construction Security Plan (CSP) if applicable</t>
  </si>
  <si>
    <t>Primary Facilities- Flight Simulator</t>
  </si>
  <si>
    <t>Primary Facilities- OPS Facility</t>
  </si>
  <si>
    <t>Site Preparations</t>
  </si>
  <si>
    <t>Site Improvements</t>
  </si>
  <si>
    <t>Site Civil/Mechanical Utilities</t>
  </si>
  <si>
    <t>Site Electrical Utilities</t>
  </si>
  <si>
    <t>Fixed Dollar Risk Add: (Allows for additional risk to be added to the risk analysis.  Must include justification.  Does not allocate to Real Estate.</t>
  </si>
  <si>
    <t>Spent through 1-OCT-2022</t>
  </si>
  <si>
    <t>Risk Not Included In CSRA</t>
  </si>
  <si>
    <t>Risk Included In CSRA</t>
  </si>
  <si>
    <t>FY2023 Current Working Estimate</t>
  </si>
  <si>
    <t>G40</t>
  </si>
  <si>
    <t>G30</t>
  </si>
  <si>
    <t>G20</t>
  </si>
  <si>
    <t>G10</t>
  </si>
  <si>
    <t>SF</t>
  </si>
  <si>
    <t>Equipment &amp; Furnishings</t>
  </si>
  <si>
    <t>E</t>
  </si>
  <si>
    <t>Services</t>
  </si>
  <si>
    <t>D</t>
  </si>
  <si>
    <t>Interiors</t>
  </si>
  <si>
    <t>C</t>
  </si>
  <si>
    <t>Shell</t>
  </si>
  <si>
    <t>B</t>
  </si>
  <si>
    <t>Substructure</t>
  </si>
  <si>
    <t>A</t>
  </si>
  <si>
    <t>Special Construction &amp; Demolition</t>
  </si>
  <si>
    <t>F</t>
  </si>
  <si>
    <t>WBS</t>
  </si>
  <si>
    <t>REV</t>
  </si>
  <si>
    <t>Civil Works only; not included on MILCON Projects.</t>
  </si>
  <si>
    <t>• Updated QC of risk items formulas to help avoid checking the low risk items without quantification.
• Editing the cost &amp; schedule ranking formula to factor in tie-breakers that have the same impact.
• End of changes for file named "CSRA Template FY2023" release.</t>
  </si>
  <si>
    <t>Operations</t>
  </si>
  <si>
    <t>• Added "Operations" to 'Responsibility/POC' column on '1-Drop Down List' worksheet.</t>
  </si>
  <si>
    <t>NAME</t>
  </si>
  <si>
    <t>Role/Discipline</t>
  </si>
  <si>
    <t>VE</t>
  </si>
  <si>
    <t>Study Manager</t>
  </si>
  <si>
    <t>Environmental</t>
  </si>
  <si>
    <t>Relocations</t>
  </si>
  <si>
    <t>Geotech</t>
  </si>
  <si>
    <t>H&amp;H</t>
  </si>
  <si>
    <t>Civil</t>
  </si>
  <si>
    <t>Structural</t>
  </si>
  <si>
    <t>Mechanical</t>
  </si>
  <si>
    <t>Scheduling</t>
  </si>
  <si>
    <t>Sponsor</t>
  </si>
  <si>
    <t>OTHER</t>
  </si>
  <si>
    <t>• Fixed some blue (input text) versus black (non-input text) throughout the worksheet.
• Put example roles/disciplines on the 'F-Meeting Attendance' worksheet similar to the ARA.</t>
  </si>
  <si>
    <t>• Updated formatting, moved confidence level being reported to 'D-Project Data' sheet.
• Added lookup data to 'L-CHARTS TO REPORT" to help automate copy/paste info into a report, etc.</t>
  </si>
  <si>
    <t>Team Discussions on Impact and Likelihood</t>
  </si>
  <si>
    <r>
      <rPr>
        <b/>
        <u/>
        <sz val="11"/>
        <color theme="1"/>
        <rFont val="Calibri"/>
        <family val="2"/>
        <scheme val="minor"/>
      </rPr>
      <t>Simulated Cost</t>
    </r>
    <r>
      <rPr>
        <b/>
        <sz val="11"/>
        <color theme="1"/>
        <rFont val="Calibri"/>
        <family val="2"/>
        <scheme val="minor"/>
      </rPr>
      <t xml:space="preserve">
Cost Risk x PCS</t>
    </r>
  </si>
  <si>
    <r>
      <t xml:space="preserve">Simulated </t>
    </r>
    <r>
      <rPr>
        <b/>
        <u/>
        <sz val="11"/>
        <color theme="1"/>
        <rFont val="Calibri"/>
        <family val="2"/>
        <scheme val="minor"/>
      </rPr>
      <t>Schedule</t>
    </r>
    <r>
      <rPr>
        <b/>
        <sz val="11"/>
        <color theme="1"/>
        <rFont val="Calibri"/>
        <family val="2"/>
        <scheme val="minor"/>
      </rPr>
      <t xml:space="preserve">
Schedule Risk x PCS</t>
    </r>
  </si>
  <si>
    <t>Cost w/o Contingency</t>
  </si>
  <si>
    <t>Number of High / Medium / Low Risk Items</t>
  </si>
  <si>
    <t>• 'H-Risk Register-Model' - Added info at the top to count the number of high-moderate-low cost &amp; schedule risks.
• 'J-Sensitivity Charts' - Added Yes/No toggle to show/hide the "Remaining Risk Items" to the sensitivity chart.  Some projects with a large number of modeled risks sometimes makes that bar look abnormal.</t>
  </si>
  <si>
    <t>30 - Perform Base/Contractor Coordination (PF)</t>
  </si>
  <si>
    <t>Escalation</t>
  </si>
  <si>
    <t>36 - Life Safety (LS)</t>
  </si>
  <si>
    <t>Escalation to Mid-Point</t>
  </si>
  <si>
    <t>% OF TOTAL</t>
  </si>
  <si>
    <t>RANK</t>
  </si>
  <si>
    <t>OR</t>
  </si>
  <si>
    <t>Pareto's Evaluation</t>
  </si>
  <si>
    <t>Remaining Items --&gt;</t>
  </si>
  <si>
    <t>Top Number of Items --&gt;</t>
  </si>
  <si>
    <t>Project Lump Sum(s)</t>
  </si>
  <si>
    <t>SIOH</t>
  </si>
  <si>
    <t>Identify proposed utility points of connection needed to support to the project, such as potable water lines, non-potable water lines, sewerage, electric, natural gas, phone, Information Technology (IT) lines, steam/hot water from central heat plant, condensate return, and cooling water from central cooling plant.</t>
  </si>
  <si>
    <t>Clearances (security, badging, access levels, lead times, varying escort   requirements (security posture))</t>
  </si>
  <si>
    <t xml:space="preserve"> - Cost Sensitivity Chart -</t>
  </si>
  <si>
    <t xml:space="preserve"> - Schedule Sensitivity Chart -</t>
  </si>
  <si>
    <t>VA</t>
  </si>
  <si>
    <t>USACE</t>
  </si>
  <si>
    <t>USAF</t>
  </si>
  <si>
    <t>NAVFAC</t>
  </si>
  <si>
    <t>Brandon Scott (NWW)</t>
  </si>
  <si>
    <t>Dustin Sawyers (CFM CES)</t>
  </si>
  <si>
    <t>Dean Hammonds (AFSEC/COSC)</t>
  </si>
  <si>
    <t>ashley.l.kennedy5.civ@us.navy.mil</t>
  </si>
  <si>
    <t>dean.hammonds@us.af.mil</t>
  </si>
  <si>
    <t>brandon.d.scott@usace.army.mil</t>
  </si>
  <si>
    <t>Ashley Kennedy (NAVFAC Atlantic)</t>
  </si>
  <si>
    <t>CSRA Template POCs</t>
  </si>
  <si>
    <t>Dustin Sawyers (VA)</t>
  </si>
  <si>
    <t>Yes</t>
  </si>
  <si>
    <t>Changes resulting from the OCT-2023 Advanced CSRA Workshop
• Updated CSRA Template POCs (one for each agency)
• 'J-Sensitivity Charts' - Added back in a spot for the Crystal Ball sensitivity charts
• Moved cost/schedule rounding from the assumptions sheet to the risk register sheet (better visibility there)
• Updated instructions per these changes</t>
  </si>
  <si>
    <t>Cost &amp; Schedule Summary + Rounding Ranges</t>
  </si>
  <si>
    <t>Triangular (LV, ML, 80%)</t>
  </si>
  <si>
    <t>㜸〱敤㕣㕢㙣ㅣ搷㜹摥戳攴㉥㜷㤶愴㐸㡢戲㘴㈹㡥捤挴㜱㝣愱㑡㡢戲ㄵ摢愹ㄵ㤶ㄷ㔱愲㑤㠹戴㐸挹づ攲㤴ㅥ敥捥㤰㈳敤捣搲㌳㐳㑡㑣㡣摡㐹㤳㌴㙤摡愶㜱摡〷愷㉥㝣改〵㈸搰〶㈸㡡ㅡ〹㥡戶㌱㝡㐹㉦㌲摡㠷昴愱㐰〲戸㐱搱㍥愴㈸〴昴挵て〱摣敦晢捦捣敥散㤲㍢愴搷㜶㑢ㄷㅣ㜹㝦㥥昹捦㌹㌳攷㥣晦㝡晥晦㡣㌳㉡㤳挹扣㠵㡢㝦㜹㜵戲㜰昳晣㐶㄰㕡敥昰㐴戵㔲戱㑡愱㔳昵㠲攱㌱摦㌷㌷㘶㥣㈰散㐰㠳晣愲㠳晡㈰户ㄸ㌸㥦戱ち㡢敢㤶ㅦ愰㔱㉥㤳㈹ㄴ㡣㉣敡昹㄰晥晡攳ㅢ㠳扤㝡㍡〱ㄶ㈶挶㘷㤷㉥攱愹昳㘱搵户㡥づ㕥搴㝤㑦㡥㡣っ㡦っ摦㜷㘲攴昸昰戱愳㠳ㄳ㙢㤵㜰捤户㑥㝡搶㕡攸㥢㤵愳㠳㜳㙢㑢ㄵ愷昴㠸戵戱㔰扤㙣㜹㈷慤愵㘳昷㉥㤹昷㍤㌰㜲摦㠹ㄳ昶㠳て㍥搰㠳㔷㘷捥㑤㡣捦昹㤶ㅤ扣㑢捦捣㜱挸昷㑤㕡㈵㠷㜳戳㉣摦昱㤶㠷㈷挶昱㕦㘲晣戸扢㝦㜸㝥挵戲㐲扥摡昲㉤慦㘴〵〶㍡㜶扢㘳㐱戰收慥㜲昱っ㜷ち㔳㉤㤹㐱㤸㜳㈷慣㑡挵㜰攳愷ㄶ摣㔹慣㕤挵摣攸㜱攷㉤㉦㜰㐲㘷摤〹㌷昲敥〲ㅥ㔴敥㜵㉦〴搶㜹搳㕢戶捥㤹慥㤵㜳㑦慦㌹攵㑥㝤㘵㍡敥㠸ㅦ㤱ㅣ㤸㑣㝦㜸㉣㜰㈷㔶㑣㕦㐶ㄴ㜰㘱㔲摡㑥昹愵挶戶户戵㝥㉥㠷㉥㙦攰㌳㙦㙦摤づ㌵ㄷ㑤扦搶㜲愸㜵换㘸昲㡤㈳戸愷㜵晢挴ㅡ㌵昶戹慢㜵ㅦ㔹捡挶搶慡㍢攲㙦㔹㔱㑣挶挸ㄳ㜴ㄱㄴ〸㐸㐰愳㐸搰㑤搰〳愰㍡晦ㅢ㔲㤲散挸慡散愲㤹㕤㕣捡㉥㤶戲㡢攵散愲㤵㕤戴戳㡢换搹挵㤵散愲㤳㕤扣㤴㕤扣㡣㌶昱㔵攸敡捡㐶搷㌷换㍦昸换ㅦ晦摤て挷晦昸摣て㉦㡦㕥昹挶戵㥥㝤㘸昴㘸㌴愸㐹摦扣〲㔶慢㜳㌱㈴㠲晦戶㤷ち〸㠵㝤挲扥摦ㅥㄹ㈹㥦㌸㘶摥㙢收㌸慤ㄴ攲㌷㌰㑡㍦摡昶搸㡦㌹㕥戹㝡㐵㘸㜷昳戸ㄹ㔸昵㠵ㅢ㡡敡挶慢㙢㕥㌹昸挰搶㤵昳愱ㄹ㕡㐷㥡敢敡て搹搴㙤ㅥ㘲㘵〵昲扥㕢㥡扢㕤㌴㉢㙢搶搸㔵㐷㔷㝦戰愹摡㥤昳慢㑢慤㙢愷㝣敢愹㕡敤愶ㄱ㡤㐱愹慤换戳㌷捤㔲㔷改㜱つ㑥慣㔴〳换㤳攱つ戹㜳㑥改戲攵捦㕢㔴㠹㔶㔹愶㝡㈳慢㈲愹ㅦ㥡昵㌰㔱㐸㙢昹挳㐹慣㝤敡㙡〸㘱戶捡ㄸ敦慡攵㠷ㅢぢ收㔲挵㍡搸搰㐴扦ㄳㄵ㠷ㅢ搰㔳搵搲㕡㌰㔱昵㐲扦㕡㘹慣ㄹ㉢慦㥢搰㌴攵戳搵戲搵搹㤹ㄱ愵〰㠵摢搱愱㔴收敥搶戲㈰㠴㐸㤰㤸㠲㝣㔳㈳摢つ㥦挷散㌰㡢㡡㐵㥥捣㝥㘴㥢㠷㜱扣愲㘳㔲㈴㌰㌱㈷摡て扥昴捥㙤ㅥ㕢愳摣㝢摢㌸㥢ㅤ㠸㘶㝦㙡摤昲挲㌳愶㔷慥㔸㝥慡昵㔳ㅣ㤱搱〷㤰扢づ㠵搰㜲昵㘸敡搴㔵戵㤱扢攲㤴挳㤵晣㡡攵㉣慦㠴挰挱㐲ㄶち㕣摡㑤㤷㜱〳㔰挶㝥㠲〱㠰㘲㌱㤳㍦挰㐶昹㈲慥㑣㡥摡㈹㐵㤶ㅢㄴ㌹晢㌵挸㜲㡦㍤攵㔴㐲㑢㉢攵㍥ㅢㄴ搱㔶㑤挸搷㑢ㄶ昵捤㤲㌶ㄸ〷散〹㜰愹改㜸攱㐶㕤㙥㌷㐹㠹㘶愲㍤㕤戰敢㜴〱㔵㐱愳㍥㐸㤱㌵㌰㑤㤳㌶㐸㙦㥣㘰㈲㡡㐱㡡㘵挷㤳ㅢ㤹㡣敤㔳㜴〴摡㈷㤹㤰慤㡦戵搶ㄱ㘴昶捤㑣捡㑥㉤攵㜱㑦㥢㙤攵换㙢㙤㜶㈳ㄶ捥㌸㐸㜰㠸攰㈶㠲挳〰敡摦愱攱愸攵㔰㙥扣㡣て攰摥戸㤹攰㠳〰搰㑦〶㜵㑥愴慡攸㐳敤挴㡦㘴扢㕥昸挹攲ㄴ㙢㔵㐴捦戸收㘷昶扡㐲攸挸敢摣ㅤ戶戶㔳㙣散㐷㕢昳㘶㜲㍡攴挸㤴愶挹戹㙥搳㌴戹㄰㙣摡愶摤扡ㄵ㕤㡤㐱㠲て〱ㄴ㡤てㄳ挲戸搰攱摤㤹㐷㑦㤷昲㝤攱ㄶ㘹㘷愸㑤〳ㅦ㌱㌲户〰㈹㑡㙥搳昶㘵捦㠷愶㍢㌸㘴扦敦㝤攸愳慤攵㍢㈲㝡㤳摤摣戳㍢㡣ㄷ扤㑤㉦晡㌶㠸㤷晡㐱㑢ㅢ㜳㍢慡㡤㡦ㄲ摣〱搰㘴㘳戸晢㝥扢㤱〲㜱㡢摤〴攵昶㌳敡㈲㕥敥挲挶慡㈵ㄶ愸挷㕥㌰晤㘵㉢㐴〴㘳㝡ㄲ扥㜰搵昷慤ち㌶戵㘵㐱㜰晦㜲愸ㄱㄹ㑣昹㔵㤷昸㍤ㅦ㌹㜸㕦ㄸ㠶捥捥㙣㐷愶挹㐷㑥昱㌵ㄳ㌱愷〴攷搰〶摦摢㕡㐹㈴㍡㌵戲ㄷ晢愵敦㉦昷㌴㐹ㅢ㥡攴㉥㉣慢㜱㌷〰戴㠴晡攷㤶ㅡ攵㈸㥢晤㤴㌴㙢昴㔸ㄹ攱㑢搹㥤㌴挵㄰㌷改㤱㙥ㅤ戰ㅤ㐷晣㈰攸㜵攷ㅤ户愶㉣扡摤㌹换㉦㈱戶攰㔴慣愲づ换㔲搵散改㡡昷㠹慥攸攸搸戴㥦㑥㠹慦〹㥦㌴㘹㠹㔴㘹㑦慤㑣搹㡢搷㤹㡡㘱㐸㉡㤵㤴搰㔰㑤〳㤱昳搸㜶㑦挵戴愱㘲敥挱挲ㄹ挷〸㐶〸㡥〳攴㕥㠷愶搹改挲㌳ㅤ搶戵捥㤰昶攲㘲愶㐰㌲㐸㠸昰㕡㑢㘵㜵㠲慦昹ㄸ挱晤〰㑤敥て〳㤰㈹㡣㈸㈴㑦㌰愲愴㌱散㡢㡥㜵㠵㍣戰捦㐶㘲㘹㘲㉤〸慢㉥㌳㑢扤昶㘴昵㕣㌵㥣㜴㠲㔵㘴愲〶散愸昰搸㡡攵㠱扢㝣昸㍥㑤戸敡敡慡㔵㌶散昹敡ㅡ㔴摢昴攴㙥搸㤸㘳㌹攰㑢捡摥㍣慢㜰戵户㍦挶㈳ㄴ㔶㕡攲慤㡣挶敥㈸晡捤㑤㕦㕦㝤㐵ㄷ㥣戰㘲㜵摢㕡攸㔸㉥搸㔸㐵㘴づ捡㕤昶挲㡡㙦㔹㤳扤昶㘹摦㈹㔷ㅣ捦㈲㌱攰㘳㌲㔹㌷㘳㉤㈳㑢㌰㔷㘵づ戰敡昵摡ぢ扥改〵慢㈶ㄳ㡡ㅢ晢ㅢ敥㈴㉤㤲戳挷ㅤ㉦挰㙢㠴㡡㉣昷搹昳㉢搵㉢挸搸慥戹摥㘹㜳㌵搸ㄵ㔴㈱搳敢㑢㐸愳戲㉡㥢㔵㠵㙣愱㕤晡㜰㐳㥥挹㔰昶㍡〹㠴㔶㤹ㅣ㘳收㈹搶㥢㝥㝤㤴愳愱㥦捥㌱昵㈰㝢㔴㐳㜶愴㙡㘱㑡慡昱㈰晢㝣ㅣ攰攱搳ㄷ愶敢㤹戹㜷㤴戳捥㌱捡㥦愲攳㠵㉤㙡㠹㄰挶攸昶㘹㔶㈱㡥㥣〳〹〴挵㜹搷捣㝥㐵㕢摡㤰晢昶搵㡢㔳挸㈴昵搸㌳收㤲㔵㐱㍥摡㌵挳㝤晡㠶㙥慣㙢㔶㠲愸㙥愲敡扡㈶㔹㡢㙣㌹㕦㌲挹挱㘳㙢㘱昵慣攳ㄹ㌶㠰昰㕦㠴㌲慦〲㘵㕥ㄵ㔴㡦㝤㥥愹㐱㈹昳㔹搵㘵搳㜷挲ㄵ搷㈹ㄵ㜸挳昴摤慥攰㐹〸㌹㌵㙦㝣挵㍡㘳戰挹㥢扦〰㤷㉤ㄸ〶戹㠷愱㐷戹㜴㈴㍦㌸㌷慢昲昸愷摡っ㉣㐱挱㐸愴搴㜸〸㑦换挹改〸愸ㅣ戹慥挷㘷㌰慥㍦〳㡣㔶㐲愴㝡ち㡢㈰㉡㤸㔰昲っ㜱攷敤ぢ㥥ㄳ㠲㝡愴搸㤴ㄳ㑥〶㈰㌹〰㡡戲扤㍤㈲㔴㑤㜴ㅡ慡㔹㠵㕢㌷㔷㌵㤸㠹㕢㌶搷㈷敤挶㐷戶愸搶ㄶ㈵㘱㐸戶㙢㈴㤶㘵㡢㌱敥㈶㔳愳挴㜰挷搶㐶愵㠵㑤敢敢㑥㉤昲づっ㤳昰㑣挶昸㠴㌰ちㄲ扤㤱㡤㘲捣㍥㥤㍤ㄲㄹㅢ晡〰㐵摡㈹㡤敢㡤㔲㠲搳㌸㜶㔲戶㡡搱ㅤ攴㝢㕦㔴㥣㕤ぢㅢ㙡捣慢〳㔱捤㔸愵㌲敢挱㑢㈸㤹㝥㜹㤷㠸㌴收愶㉤㡣㐸㘷扢搶㕦㉦㙦㐲㄰㈳㌱㘴㕡㈴㈵づっ㌱㠴㜰㈵㌲慡昴捥㝡戹搴㌵㜴㠱㜷㘷㉤搳ㄳち捣㠷攵㐹㙢㕤摣戰扡㈷㍦㈰ㅤ㙡扢㐵搱愳㠶㍤戶ㄴ挰愴㠷搴攳㔱㐹〴摣戰捦㌳㉣㠵㐳っ㔰扢㔱㘹慥ㄴ㈲戵㕢㝢〰㜷〶扢㠷㍡㔸ㄱ㥤㍡愱㜷㐶つ㥡㑦㘱摣挶㐹㔰㜶摡愴㈸ㄴ愹㉤搷㝦㡤慡㙦㍣捦敢昷㐷㌳㜱㈱ㄲ㈲愶扢㔲扣〷㄰㌷㤹㤹愴ㄴつ挴〹㜳慤搹㐴㘹昵挴㌸扡ㄸ扤㜴昹晣㄰愷㜸㤸换敡愳搸㔴㜰捥㉤㜴㘰㑤㉢ㅢ晢散㘹慦㔴㔹㉢㕢㘲㡡㘳㕤㉤ㄶ㜹㔷搰㑢㡥〰㙡㘹㑡㔹㤷㘸㔱愶戱㤵攲㤴㐹愴昶晤㙥㘳ㄴ摤㐵挹攱ㄹ摡昴㌱〱㤹ㄲ㤶㤳㠴搸愶㜳ち昴て昷搷て㌰挸攱㌹愸戴㑤㈸敡戲ㄹ㥣挷慢㘵㤱㐵摡ㄲ捤㘶慡㌳㔵晡散〹搴ㄹ㐷愳㜶〵㡤㌰㑦慤昰昲㜹㌸㈳㙤㑡〷ㅦ㤲戹ㅥ㘵㜷慦㍦㈳户㤹敢㈰㠵㔰㐰㌱挷换㕤㔰〶慢ち㐱愲挳㥤慤㝢摤㡡搹㕦㝡摥挶ㄸ㠰㘲ㅡ㤸づ㉤㕡㙡〷㘷〲攵敤ㅤ㥣㕢搱㉡㈵㐳㥡㑣愶㌲㐷㌹㠰㠰㍤㠸〶㘹攲㐶㝡愱ち㈳ㄴㅥ㤰㠳㘱昱搹挴㈱ㄷ㕢愰慡㝦戰〹㌹㘷㠶㌸晥攲ㅤ㙥㐲㡦㤵换㜴㜷ㄱ㥦摢ㄵ㔴挵搱つ敤㡥ㅥ㘸㍡㤴㈵㜳愲㝦㜷㕢㔳㐵㜴㔸昰昸攴昰ㄹ㌳㉣慤捣㠷ㅢ晡攰㔶扢㉣㤱晢づ攲ㄱ㕢扥㥤㍥㜳愷挷㠳愸敢㕣晢攲㘵慦㝡挵㤳㜱攵〲㥥晡〳㠷攰〸㘵ㄷ〷㔹捣扣㠵㝦㜲㘵㌳戹㍦挵ㄳ㜷㌲㙣㍥愰ㅥ㈰攱㜳攴㉡ㅡ㔳昸换㈴昵㈰晥愶昰ち晣昷摡挹〱昲捡㠱㈶㕥ㄱ㘵戰挷㉣摥昲扢挶㉣敡摢㈰㉤ㄹ〶〴㡦て㠹㘴㌳敡㕢戸㈱搱㐱〳㄰捥㤸㈶〴昹㍥㠴扦㈹攴ㄳ㠵ㅥㅤ昵攰挱㤰晦㍦㤴㡡愵㝡㑢戱晡㕦㄰㙡昵㉡㠸㈱㘴〲㑤㙡㜲愹晥愴㤱㑣㌳㥡㑣㡡㐷㐲㐴㤶捦㐶〵摥攴㤸慡㝤㕢㐹㜱捥㙢㙦㌳晡㥥ㅦ晥晤㍦摣㡣捥㠲挲扣挴㕦㐳摡敤㜶㤴㙢敥㐲挷㈶㜷㠱㠹㝣㜱ㄷ收搸㠷ㄹ㝤敤㉥㐴昱㤰昳㐰㙣敦㉥㌰捦㤷攲ㄴ㈶搲慥㠹㄰〷㜷㘳〷㕤挶捡捥攰㄰慥ㄵ㈰户て〳ㄶ㑣㈰㍡㜵㘸㌳㝡捥昴㑤昷戰攰㑦晢ㄶっ㥢扦㠰㔳摤搲㠵㍤㡥㙣㔹㈳㥤戶㠸㕢挴ㄱ昷扤搸捡捥捥戲㠳㔲晡搲愱㝣㔵㔰昹㜷㄰㌵㔱摣㐳㘴㍥㝢攰㥢愷晦昵㌳㕦ㄸ攵挹戵㠸㔷㜳㑣ㄵ户㤳扥愷㕦㠱〴㙦攲搰挸㡤晣㐸攷㉣㍥㔷㜲㔶㉢搶戸改㡢㐷ㄴㄸ㙥㕣搴㡣㤷㘰㑣捤㝣扢挱摤挴ㄹ〸敤㙥づ㌷㠵㍥攵㈳㈷〹ㄷづ㈷〶㉥昱扤㌸㠵愸㕡ㅡ戳㌶㍤捦摣ㅦ挲ㅣ扤捤㠱㌴㝡㡣摣㠱昲㔲敡て㘲㝢愷ㄱ㤹捣〹㔸㌴扤慤㔴㍣〲㄰㙢㈹攴㈲挸㈱挹㑤つて〷㠸㤶扡㠰㐲敥ㅥ㠰㤴㉣㕢㜳扡㤷戱㠱㍤㈵㘰搵づ〰戶昹㐱ぢ㔶ㄱ㔴㡣攳昲敤敥㙥ㄹち㠸㑤ㄳ搳戶攲搳㕣㐴㐱㌶㌲㐴㡣挴搸挷㔰㠸慦摣㜱㤴㜶ㅣ㥡攲㑢㝡㕤㥤㠴搳㠲㥤㜳ㄹ㜷㉢扡愷扣㌵㥣〲㠱㥤挹㡢挱昰昶ㄳ㡤捤愹攴敢㜴搳愲㐶ㄱ昶改㘲慤㔳㜷㔴〵㥢攵ㅤ挶づㄵ㠹㐰㝥㌵挴晡愱晡愳㙦㙣慥愱㡤昳扡㌰㐱晥攰㝦摤㤲㈲搸㜸㉢㈵〶ㅡ㜶㐷慤ち晡愸昸攳攸挲㐹㘷㤴㔱㉦捡扤㘲扥㍡㤶慣㡥散㈶晢捦㑣戶㐸搶㈷搹㥢㈹敤〶晢晦㈹㈰戶戵晦敡㐱昶挵捦㜸㈲㉡㠸㜳捡㕣捡戶改ㅢ慥〸愲摣㐸攴挸㈶搹㤰㈲搳摦扡㌴㡦て㔹㜵戵㘸㜰挴挰㍡㥢㡦㐹搴晡搲户敤㙥愹〰㤹㈷捡晤㌶㔴㔰换晥㡤㝡㉢摥改收㝦ㄶㅤて㥣㜵㑡㝥㌵愸摡攱攰㍣ㄲ挰㠳晣づ捤㠶捦㌳愶㕥㙥㔶㙡户㘱㈵㝡㥥㐴㥦㜳戳㔰搸攷慣昰摤捡㑢㌲换戰戳慣〶扦㐹敡㑦愴㥡㘸ㅤ㠲ㅢ散㐷搷捣ち㍥㘳㥤㐵摣㌳㈴㙡㔷ㄸ㍢ㅤ㝤㙥㍥慤挱愵挳㜹慤㐷㄰ㅢ戲㉡挳㐸㤴挹ㄴ㍥昵㘹慥㙢昳ㅡ㌴戶㡤收ㄶ戰㘵㝢昱户㘲敥㐵搰㜴㘷㙦㘹㘴ㄹ扥㤳㕦㈷ㄷ㡤㈵㐲㙣慥㐷昱㜷攷挱㕡㍥㙤〰㝣ㅥ㝤摣捤愰搸㔰〵愱戴ㅤ㘴挲㑢攸慡挶〸昰㌳捡㔱㠱㌷㡡ㄱ㍦㡡愲晡㑤㑣㡢〲㠰㌲昶㠰〰慤戹晡㜹㌴搳ㄱ〴㌶挶㐵慥㔶㔳㈸挸昳㔷㔰㈰㤳昱愷ㄸ㐸㄰慣㤳挴㜲摦㉡搸㑢〹㙣㍦㌷慦㤴㜸攳㌲㐰㙦㠷攲㘶㠵㝣㕤㔴扦㡥㌷扥㠸㥦㕥㍦㤷㌸㙣㕥㘴㔳㠲戲㤱戴〵㡡㥢ㄲ㤹搱搷搰愱㌶愳㔵㘰㕢捦攸慢㘸扡㜹㐶㜴㈷㘴㤴挹攷昷挷收挸〸昸敡㤰㘰㡤㘰ㅤ愰㍦㙥搹㐷㐵换戹攴㜵攲攲摢愴㌵慥㝦㡡晥扥㌱晡晡㌵㕥晦㌹慡㐴戵愲慡㜱ㄶ㔴慤㌲㡢㉦㈷㘷戱〱㙣敢㔹㝣㘹慢㔹昴㍦㠱㍥戲慡㥦㐵〱慢㑡敥㤳㔹㍤㡤〲ㄷ㤴㍦㔵㡡戱昱っ㜰㥦改㈷慢㐸摦㥦㐳愱户愳㥦愴㘵㥣挷㜸㠶攰㔹㠲捦ㄱ㝣㥥攰攷〹扥㐰昰㐵㠰㘲㍦㈹㉥㡤扦㐴摣㉦㄰㝣㤹攰ㄷ〹㝥㠹攰㉢〴扦っ㔰散㈷㈳㐸攳㕦㈱敥㔷〹扥㑡昰㙢〴㕦㈳㜸㡥攰敢〰挵ㅣ昹攳愷㕢㥢㐹㝡挱昱昷扤挸㜸㌴㝣挸㝢ちㅦ收㙥㘴搱扦〳晦㕦㠲㥣搸昴捥散挷摢㝢㔶散㔷搳㈴攷㉡㔸晣㜷昰ㅣ㔲愴ㅥ㐸攵ㄳ㡦攰㔷㠰㕣㤱摢㠵㕥扦㠱㐲㑣慦ㅣ㤹㉦攵㜳㉤昱㜲㜹戴㤵㙢㥡搷攱昵扣昶㙤ち㙥ㄴ㔷摦ㄵㅡㅥ㔳攲昷捦㉤つ㜳扥捤㌳ㅢ敡㔲㉣っ㘷捥㐴㔱捤㑣㌶捡㈲㐲ㄸ㜵戲㠴挲换㠵㔴㑥摣昸㡦㕥慤〷摢㔰㠱ぢㄲ慢ㅢ㔳挸愵昱㑡摣昸㌸扥戳㤳㌶㜸戲扥摥㠸ㅢ㔳ㄹ㐸攳攵戸昱㡦㡦ㅦ慥㌵㡥㘵㕦㍦㌹㐷挱㑣搹戱挸ㅥ㉥昱捤㝤ㅦ㥡攷㙣㝡㐱摤戶㐶㤳ㄱ攵㌰㐰㐵晣愰ㅥㅣ敦昱昱搵晢っ㑥慢攱㔰て㑣愵晥㥦㕦㑣攳ㄴ摢愴ㄹ㥡昸愸㝤ㅤ挷〷㝣㐳敥搸㌹㙦捦晡㐰㜴搹搳〱㜶挶攵㕤挵㈲㜰敡㍡昵晡㙥㤳㘶㐹搹〰搴搷㈳㑥㝢㘶㜹㉡愸㍤ㄷ㐰㔲㘵㥤捡㡡㈹㥢㜹戶捥㌳挶ぢ㈰づ㑣ㄳ㈰ぢ挶㙦〱敡搴ㅡ捦㥦㘷晡愹㜳㐵愱扥挸㡡㤷〸㕥〶㈸㉡㉡㔸昲㐱晥ㄵ㠰扥昸㝦㍤㌲戸㉥㔱慦慣晡㜴晣戲㈴ㅢㄹ扦挳づ扦ぢ搰㠱㐰扣㡡㤸戰㘸晣ㅥ㌰㠹㤷㉡㉡㙢慡㑣昵㌸㥥㐲㍤㐵㉤㔲㔴捦挶攸挷㈲㌴㌷〲㐵昵戹ㄸ㝤㌱㐲ㅦㄴ昴攷㘳昴㠵〸㝤㐸搰㔴晡昲散㠵〸㝤愷愰㘹〶〴㍤ㅦ愱敦ㄲ昴ㄷ㘳昴昹〸㑤攳㔷挸〳攰㝡昳㉤㐵㑢㈱摤ㅥ㡤敡昵㐸㘹㍢〴㍤ㄷ愱昵㐸㘹㑤〴㍤ㅢ愱昵㐸㘹㕦〴㝤㉥㐲敢㤱搲攲〸晡㙣㠴搶㈳晤㑡㡣㥥㠹搰㝡愴戴㑡搲晡㤱〸捤㤱ㄶㄵ慤㤳愰ㅦ㡥搰㝡㠰戴㔷㠲㥥㡥搰㝡㠰戴㘰㠲㠶ち㤲㠵搷〳愴㑤ㄳ昴改〸慤〷㐸㉢㈷攸愹〸慤〷㐸扢㈷攸㔳ㄱ㕡て昰敢㌱㝡㌲㐲换〰晢㘹㈴㠴挱晥っ〵攳捦〹晥〲愰㤸㈳㘳敥㔸㐲挸扦㙤晡㥡摦㐵㔷㐵戶攷㌳㡣搷愲〲㙦ㄴ㜹㕥㘶昲㠹㘸挸て〱㔱挸收搵㑢㜱挵挹愸攲愴㔴㈸昵㜲㕣昱㔰㔴㌱ち㠴昱搷〰㡡扣捦㌹ㄹ㝦挳㍢戲扣扣昰㝢㔱㐱㕥挸㌵㤰ㄷ㍥搰昴㐲慥㡢㔴摣摦昴㐲慥㤵㔴㝣㉣昹挲㝦攰㐳扦㑢㠰㕦㠳㥦搶晦ㅡ㌰戲摥慦愳搰摢搱挷戱搱㠵捡㕥㔵愵㈷换㑦㍥昹㘶㕦攷攰㤱捥挷㝦愶攷昹㌷晥晥㐷捦㝤晦㠹㤳晦昱㤳ㄷ㕥昸晥扦㍤㜷敤㈷摦㔹㍡昹扤㔷㕥昹慢㠷㕦扣昶愳晤昶㑢搹㔷摦㥣㜹改改㤱换㑦㍦㘵㕦戸晢昴搳㥦扣昴攸挸摣つ㐳ㅤㅤ㕤㕤㜷っ晣敤㑤㜷昶㍦晢搴户搴㙢晦㜲挸㔳㌲㕤扣愰㜱ㄸ㥣戶っ攳ㅦ㔱挰㌰㌸攲昷㜴ㄸ㥣慥㉣搴戱㘸愱挶㠱愰扢挲〱㐸挵㍤㡤ㄵ摤晦〳㔹㠹㝥晢</t>
  </si>
  <si>
    <t>PLEASE TYPE FIRST RISK OVER THE TOP OF THIS ONE</t>
  </si>
  <si>
    <t>㜸〱敤㕣㕤㙣ㅣ搷㜵摥扢攴㉥㜷㤶愴㐸㑢戲㘴㈹㡥捤挴㜱晣㐳㤵ㄶ㘵㉢戶㔳㉢㉡㝦㐴㠹㌶㈵搲㈲㈵㍢㠸㔳㝡戸㍢㐳㡥戴㌳㑢捦捣㔲㘲㘲搴㑥㥡摦㈶㙤ㅡ㈷㝤㜰敢挲㍦㙤〲戴㘸ぢ攴愱㐶㠲愶慤つ戴㑤搱摡㘸ㅦ搲㠷〲㝤㜰㠳愰㝤㘸㔰〸敤㡢ㅦ〲戸摦㜷敥捣敥散㤲㍢愴搷㜶㑢ㄷㅣ㜹て敦㥣㝢敦捣扤昷晣摥㜳敥㌸愳㌲㤹捣㕢戸昸㤷㔷㌷ぢ㌷捥慦〷愱攵㡥㑣㔴㉢ㄵ慢ㄴ㍡㔵㉦ㄸㄹ昳㝤㜳㝤挶〹挲㉥㌴挸㉦㍡愸て㜲㡢㠱昳ㄹ慢戰戸㘶昹〱ㅡ攵㌲㤹㐲挱挸愲㥥て攱㙦㌰扥㌱搸慢慦ㅢ㘰㘱㘲㝣㜶改ㄲ㥥㍡ㅦ㔶㝤敢挸搰㐵摤昷挴攸攸挸攸挸㍤挷㐷㡦㡤ㅣ㍤㌲㌴㔱慢㠴㌵摦㍡攱㔹戵搰㌷㉢㐷㠶收㙡㑢ㄵ愷昴㤰戵扥㔰扤㙣㜹㈷慣愵愳㜷㉦㤹昷摣㌷㝡捦昱攳昶晤昷摦搷㠷㔷㘷捥㑤㡣捦昹㤶ㅤ扣㑢捦捣㜱挸昷㑣㕡㈵㠷㜳戳㉣摦昱㤶㐷㈶挶昱㕦㘲晣戸扢㜷㘴㝥挵戲㐲扥摡昲㉤慦㘴〵〶㍡昶扡㘳㐱㔰㜳㔷戹㜸㠶㍢㠵愹㤶捣㈰捣戹ㄳ㔶愵㘲戸昱㔳ぢ敥㉣搶慥㘲慥昷戹昳㤶ㄷ㌸愱戳收㠴敢㜹㜷〱て㉡昷扢ㄷ〲敢扣改㉤㕢攷㑣搷捡戹愷㙢㑥戹㕢㕦㤹慥摢攲㐷㈴〷㈶搳ㅦㄹぢ摣㠹ㄵ搳㤷ㄱ〵㕣㤸㤴戶㔳㝥愹戹敤㉤敤㥦换愱换ㅢ昸捣㕢摢户㐳捤㐵搳慦户ㅣ㙥摦㌲㥡㝣昳〸敥㙡摦㍥戱㐶捤㝤敥㘸摦㐷㤶戲戹戵敡㡤昸㕢㔶ㄴ㤳㌱昲〴㍤〴〵〲ㄲ搰㈸ㄲ昴ㄲ昴〱愸敥晦㠶㤴㈴㍢戲㉡扢㘸㘶ㄷ㤷戲㡢愵散㘲㌹扢㘸㘵ㄷ敤散攲㜲㜶㜱㈵扢攸㘴ㄷ㉦㘵ㄷ㉦愳㑤㝣ㄵ㝡㝡戲搱㜵昹㘲敤摢㕦扦㌶㜵敥搹㍦㝣攵扦㐶扥昷戳㥦昶敤㐱愳㠷愳㐱㑤晡收ㄵ戰㕡㠳㡢㈱ㄱ晣户戵㔴㐰㈸散攳昶扤昶攸㘸昹昸㔱昳㙥㌳挷㘹愵㄰扦㠹㔱〶搱戶捦㝥挴昱捡搵㉢㐲扢ㅢ挷捤挰㙡㉣摣㜰㔴㌷㕥慤㜹攵攰〳㥢㔷捥㠷㘶㘸ㅤ㙥慤㙢㍣㘴㐳户㜹㠸㤵ㄵ挸晢㙥㙡敤㜶搱慣搴慣戱慢㡥慥晥㘰㑢戵㍢攷㔷㤷摡搷㑥昹搶ㄳ昵摡つ㈳ㅡ㠳㔲㕢㤳㘷㙦㤸愵慥搲攳ㅡ㥡㔸愹〶㤶㈷挳ㅢ㜶攷㥣搲㘵换㥦户愸ㄲ慤戲㑣昵㝡㔶㐵㔲㍦㍣敢㘱愲㤰搶昲㠷㤳㔸晢搴搵㄰挲㙣㤵㌱摥㔵换て搷ㄷ捣愵㡡㜵愰愹㠹㝥㈷㉡づ㌵愱愷慡愵㕡㌰㔱昵㐲扦㕡㘹慥ㄹ㉢慦㤹搰㌴攵戳搵戲搵摤㥤ㄱ愵〰㠵摢搵愵㔴收捥昶戲㈰㠴㐸㤰㤸㠲㝣㐳㌳摢㡤㥣挷散㌰㡢㡡㐵㥥捣㝥㘴㡢㠷㜱扣愲㘳㔲㈴㌰㌱㈷摡て扥昴昶㉤ㅥ㕢愷摣㝢摢㌸㥢摤ㄷ捤晥搴㥡攵㠵㘷㑣慦㕣戱晣㔴敢愷㌸㈲㘳〰㈰㜷つち愱敤敡搱搴愹慢㙡㍤㜷挵㈹㠷㉢昹ㄵ换㔹㕥〹㠱㠳㠵㉣ㄴ戸戴ㅢ㉥攳㍡愰㡣扤〴晢〰㡡挵㑣㝥㍦ㅢ攵㡢戸㌲㌹㙡愷ㄴ㔹㙥㔲攴散搷㈴换㝤昶㤴㔳〹㉤慤㤴〷㙣㔰㐴㕢㌵㈱㕦㍦㔹搴㌷㑢摡㘰散户㈷挰愵愶攳㠵敢つ戹摤㈰㈵㥡㠹㜶㜵挱㡥搳〵㔴〵捤晡㈰㐵搶挰㌴㉤摡㈰扤㜱㠲㠹㈸〶㈹㤶ㅤ㑦㙥㘶㌲戶㑦搱ㄱ㘸㥦㘴㐲戶㍥摡㕥㐷㤰搹㌷㌲㈹㍢戵㤵挷㕤㙤戶㤹㉦慦戵搹昵㔸㌸攳〰挱㐱㠲ㅢ〸づ〱愸㝦㠳㠶愳㤶㐳戹昹㌲㍥㠰㝢攳㐶㠲て〲㐰㍦ㄹ搴㌹㤱慡愲て戵ㅤ㍦㤲敤晡攱㈷㡢㔳慣㔵ㄱ㍤攳扡㥦搹敦ち愱㈳慦㜳㘷搸摡㙥戱戱ㅦ㙤捦㥢挹改㤰㈳㔳㥡㈶攷扡㐵搳攴㐲戰㘹㠷㜶敢㘶㜴㌵㠶〸㍥〴㔰㌴㍥㑣〸攳㐲㠷㜷㝢ㅥ㍤㕤捡昷㠵㕢愴㥤愱づつ㝣挴挸摣〲愴㈸戹つ摢㤷㕤ㅦ㥡敥攰戰晤扥昷愱㡦戴㤷敦㠸攸㉤㜶㜳搷敥㌰㕥昴㌶扤攸㕢㈰㕥敡㕦摡摡㤸㕢㔱㙤㝣㤴攰㌶㠰ㄶㅢ挳摤昷摢㡤ㄴ㠸㕢散㈶㈸户㤷㔱ㄷ昱㜲ㄷ搶㔷㉤戱㐰㝤昶㠲改㉦㕢㈱㈲ㄸ搳㤳昰㠵慢扥㙦㔵戰愹㉤ぢ㠲晢㤷㠳捤挸㘰捡慦扡挴敦晡挸挱晢挲㌰㜴㜷㘷扢㌲㉤㍥㜲㡡慦㤹㠸㌹㈵㌸㠷㌶昸敥昶㑡㈲搱愹㤹扤搸㉦㝤㝦戹慢㐹㍡搰㈴㜷㘰㔹㡤㍢〱愰㈵搴㍦戵搵㈸㐷搸散ㄷ愴㔹戳挷捡〸㕦捡敥愴㈵㠶戸㐱㡦昴敡㠰敤㌸攲〷㐱扦㍢敦戸㜵㘵搱敢捥㔹㝥〹戱〵愷㘲ㄵ㜵㔸㤶慡㘶㔷㔷扣㑦㜴㐵㔷搷㠶晤㜴㑡㝣㑤昸愴㐵㑢愴㑡㝢㙡㘵捡㕥扣挱㔴っ㐳㔲愹愴㠴㠶敡ㅡ㠸㥣挷戶扢㉡愶〳ㄵ㜳ㄷㄶ捥㌸㑡㌰㑡㜰っ㈰昷㍡㌴捤㜶ㄷ㥥改戰㥥㌵㠶戴ㄷㄷ㌳〵㤲㐱㐲㠴慦戵㔵㔶挷昹㥡㡦ㄱ摣ぢ搰攲晥㌰〰㤹挲㠸㐲昲〴㈳㑡ㅡ挳扥攸㔸㔷挸〳㝢㙣㈴㤶㈶㙡㐱㔸㜵㤹㔹敡户㈷慢攷慡攱愴ㄳ慣㈲ㄳ戵捦㡥ち㡦慣㔸ㅥ戸换㠷敦搳㠲慢慥慥㕡㘵挳㥥慦搶愰摡愶㈷㜷挲挶ㅣ换〱㕦㔲昶收㔹㠵慢戳晤㌱ㅥ愱戰搲ㄲ㙦㘵㌴㜶㕢搱㙦㙥晡〶ㅡ㉢扡攰㠴ㄵ慢搷搶㐲挷㜲挱挶㉡㈲㜳㔰敥戱ㄷ㔶㝣换㥡散户㑦晢㑥戹攲㜸ㄶ㠹〱ㅦ㤳挹扡ㄹ㙢ㄹ㔹㠲戹㉡㜳㠰㔵慦摦㕥昰㑤㉦㔸㌵㤹㔰㕣摦摢㜴㈷㘹㤱㥣㍤敥㜸〱㕥㈳㔴㘴㜹挰㥥㕦愹㕥㐱挶戶收㝡愷捤搵㘰㐷㔰㠵㑣慦㉦㈱㡤捡慡㙣㔶ㄵ戲㠵㑥改挳つ㜹㈶㐳搹敢㈶㄰㕡㘵㜲㡣㤹愷㔸㙦晡昵㔱㡥㠶㝥㍡挷搴㠷散㔱ㅤ搹㤵慡㠵㈹愹挶晤散昳㜱㠰〷㑦㕦㤸㙥㘴收摥㔱捥㍡挷㈸㝦㡡㡥ㄷ戶愸㈷㐲ㄸ愳摢愳㔹㠵㌸㜲づ㈴㄰ㄴ攷㕤㉢晢ㄵ㙤㘹㐳敥摢搳㈸㑥㈱㤳搴㘷捦㤸㑢㔶〵昹㘸搷っ昷攸ㅢ扡戱慥㔹〹愲扡㠹慡敢㥡㘴㉤戲攵㝣挹㈴〷㡦搵挲敡㔹挷㌳㙣〰攱扦〸㘵㕥〵捡扣㉡愸㍥晢㍣㔳㠳㔲收戳慡换愶敦㠴㉢慥㔳㉡昰㠶改扢ㅤ挱㤳㄰㜲㙡摥昸㡡㜵挶㔰㡢㌷㝦〱㉥㕢㌰〲㜲㡦㐰㡦㜲改㐸㝥㜰㙥㔶攵昱㑦㜵ㄸ㔸㠲㠲㤱㐸愹昱〰㥥㤶㤳搳ㄱ㔰㌹㜲㕤㡢捦㘰㕣㝢ちㄸ慤㠴㐸昵ㄴㄶ㐱㔴㌰愱攴ㄹ攲捥摢ㄷ㍣㈷〴昵㐸戱㈹㈷㥣っ㐰㜲〰ㄴ㘵㝢㝢㔸愸㥡攸㌴㕣户ち㌷㙦慣㙡㌲ㄳ㌷㙤慣㑦摡㡤㡦㙣㔲慤㉤㑡挲㤰㙣搵㐸㉣换㈶㘳摣㐹愶㐶㠹攱㡥慤㡤㑡ぢ㥢㌶搶㥤㕡攴ㅤㄸ㈶攱㤹㡣昱〹㘱ㄴ㈴㝡㈳ㅢ挵㤸㝤㍡㝢㈴㌲㌶昴〱㡡戴㔳ㅡ搷ㅦ愵〴愷㜱散愴㙣ㄵ愳㍢挸昷㥥愸㌸㕢ぢ㥢㙡捣慢晢愲㥡戱㑡㘵搶㠳㤷㔰㌲晤昲づㄱ㘹捣㑤㕢ㄸ㤱捥㑥慤扦㕥摥㠴㈰㐶㘲挸戴㐸㑡ㅣㄸ㘲〸攱㑡㘴㔴改㥤昵㜳愹敢攸〲敦捥㕡愶㈷ㄴ㤸て换㤳搶㥡戸㘱つ㑦㝥㥦㜴愸敦ㄶ㐵㡦ㅡ昶搸㔲〰㤳ㅥ㔲㡦㐷㈵ㄱ㜰挳㍥捦戰ㄴづ㌱㐰敤㐶愵戹㔲㠸搴㙥晤〱摣ㄹ散ㅣ敡㘰㐵㜴敡㠴摥ㄹ㌵㘸㍥㠵㜱㥢㈷㐱搹改㤰愲㔰愴戶㕣晦㜹㔲晤昶戳扣晥攰㘴㈶㉥㐴㐲挴㜴㔷㡡昷〰攲㈶㌳㤳㤴愲㝤㜱挲㕣㙢㌶㔱㕡㝤㌱㡥㉥㐶㍦㕤㍥㍦挴㈹ㅥ收戲〶㈸㌶ㄵ㥣㜳ぢㅤ㔸搳捡晡ㅥ㝢摡㉢㔵㙡㘵㑢㑣㜱慣慢挵㈲敦〸㝡挹ㄱ㐰㉤㑤㈹敢ㄲ㉤捡㌴戶㔲㥣㌲㠹搴戹摦㙤㥣㐴㜷㔱㜲㜸㠶㌶㝤㑣㐰愶㠴攵㈴㈱戶攱㥣〲晤挳扤㡤〳っ㜲㜸づ㉡㙤〳㡡扡㙣〶攷昱敡㔹㘴㤱戶㐴戳㤹敡㑣㤵㍥㝢〲㜵挶搱愸ㅤ㐱㈳捣㔳㉢扣㝣ㅥ捥㐸㠷搲挱㠷㘴慥㐵搹摤㙢㑦挹㙤收ㅡ㐸㈱ㄴ㔰捣昱㜲ㄷ㤴挱慡㐲㤰攸㜰㘷ㅢ㕥户㘲昶㤷㥥户㌱〶愰㤸〶愶㐳㡢㤶摡挱㤹㐰㜹㙢〷攷㘶戴㑡挹㤰㈶㤳愹捣㔱敥㐳挰ㅥ㐴㠳㌴㜱㈳扤㔰㠵ㄱち昷换挱戰昸㙣攲戰㡢㉤㔰搵㍦搰㠲㥣㌳㐳ㅣ㝦昱づ戵愰挷捡㘵扡扢㠸捦敤〸慡攲攸㠶㜶㐷昷户ㅣ捡㤲㌹搱扦扢愵愵㈲㍡㉣㜸㙣㜲攴㡣ㄹ㤶㔶收挳㜵㝤㜰慢㔳㤶挸晤㄰昱㠸㑤摦㑥㥦戹摢攳㐱搴㌵慥㝤昱戲㔷扤攲挹戸㜲〱㑦晤㠱㐳㜰㠴戲㠷㠳㉣㘶摥挲㍦戹戲㤹摣㥦攱㠹摢ㄹ㌶ㅦ搰〸㤰昰㌹㜲ㄵ㡤㈹晣㘵㤲㝡〸㝦㔳㜸〵晥㝢晤攴〰㜹㘵㝦ぢ慦㠸㌲搸㘵ㄶ㙦昹㕤㘳ㄶ昵〳㤰㤶っ〳㠲挷㠷㐴戲ㄹ昵㝤摣㤰攸愰〱〸㘷㑣ㄳ㠲㝣ㅦ挲摦ㄴ昲㠹㐲㡦㡥㝡昰㘰挸晦ㅦ㑡挵㔲扤愹㔸晤㉦〸戵㝡ㄹ挴㄰㌲㠱㈶㜵戹㔴㝦摡㑣愶ㄹ㑤㈶挵㈳㈱㈲换㘷愳〲㙦㜲㑣搵扥慤愴㌸攷戵扢ㄹ㝤捦て晦晥ㅦ㙥㐶㘷㐱㘱㕥攲慦㈱敤㜶㉢捡㜵㜷愱㙢㠳扢挰㐴扥戸ぢ㜳散挳㡣扥㜶ㄷ愲㜸挸㜹㈰戶㜶ㄷ㤸攷㑢㜱ちㄳ㘹搷㐴㠸㠳扢戱〳㉥㘳㘵㘷㜰〸搷ち㤰摢㠷〱ぢ㈶㄰㥤㍡戸ㄱ㍤㘷晡愶㝢㐸昰愷㝤ぢ㠶捤㕦挰愹㙥改挲ㅥ㠷㌷慤㤱㑥㥢挴㉤攲㠸晢㙥㙣㘵㝢㘷搹㐱㈹㝤改㔰扥㉡愸晣㍢㠸㥡㈸敥㈱㌲㥦摤晦㈷愷晦昵㌳㕦㌸挹㤳㙢ㄱ慦收㤸㉡敥㈴㝤㑦扦〲〹摥挴愱㤱敢昹㤱捥㔹㝣慥攴慣㔶慣㜱搳ㄷ㡦㈸㌰摣戸愸ㄹ㉦挱㤸㥡昹㜶㠲扢㠹㌳㄰摡摤ㅣ㘹〹㝤捡㐷㑥ㄲ㉥ㅣ㐹っ㕣攲㝢㜱ち㔱戵㌵㘶ㅤ㝡㥥戹㍦㠶㌹㝡㥢〳㘹昶ㄸ戹〳攵愵搴ㅦ挵昶㑥㈳㌲㤹攳戰㘸㝡㕢愹㜸〴㈰搶㔲挸㐵㤰㐳㤲㥢ㅡㅥづ㄰㉤㜵〱㠵摣㕤〰㈹㔹戶搶㜴㉦㘳〳扢㑡挰慡ㅦ〰散昰㠳ㄶ慣㈲愸ㄸ挷攵㍢摤摤㌲ㄴ㄰㥢㈶愶㙤挵愷戹㠸㠲㙣㘴㠸ㄸ㡤戱㡦愰㄰㕦戹㘳㈸㙤㍢㌴挵㤷昴扢㍡〹愷〵㍢攷㌲敥㔶㜴㑦㜹㌵㥣〲㠱㥤挹㡢挱昰昶ㄲ㡤捤愹攴敢㜴搳愲㐶ㄱづ攸㘲扤㔳㙦㔴〵㥢攵ㅤ挲づㄵ㠹㐰㝥㌵挴晡攱挶愳慦㙦慤愱㡤昳㝡㌰㐱晥攰㝦摤㤴㈲搸㜸㉢㈵〶ㅡ㜶㕢慤ち晡愸昸愳攸挲㐹㘷㤴搱㈸捡扤㘲扥㍡㤶慣慥散〶晢捦㑣戶㐸搶㈷搹㥢㈹敤㈶晢晦㈹㈰戶戴晦敡㝥昶挵捦㜸㉣㉡㠸㜳捡㕣捡㤶改ㅢ慥〸愲摣㐸攴挸㈶搹㤰㈲搳摦扡㌴㡦て㔹㜵戵㘸㜰挴挰扡㕢㡦㐹搴晢搲户敤㙤慢〰㤹㈷捡晤ㅥ㔴㔰摢晥捤㝡㉢摥改收㝦ㄹㅤ昷㥦㜵㑡㝥㌵愸摡攱搰㍣ㄲ挰㐳晣づ捤㠶捦㌳愶㕥㙣㔵㙡户㘰㈵晡ㅥ㐷㥦㜳戳㔰搸攷慣昰摤捡㑢㌲换戰扤慣〶扦㐹ㅡ㑣愴㥡㘸ㅤ㠲敢散㠷㙢㘶〵㥦戱捥㈲敥ㄹㄲ戵㈳㡣㥤㡥㍥户㥥搶攰搲攱扣搶㐳㠸つ㔹㤵ㄱ㈴捡㘴ち㥦晡㌴搷戵㜵つ㥡摢㐶㜳ぢ搸戲戳昸㕢㌱昷㍣㘸扡扤户㌴戳っ摦挹慦㤳㡢挶ㄲ㈱㌶搷㈷昱㜷晢挱㕡㍥㙤ㅦ昸㍣晡戸㥢㐱戱攱ち㐲㘹摢挸㠴㤷搰㔵㡤ㄱ攰㘷㤴愳〲㙦ㄴ㈳㝥ㄴ㐵昵㍢㤸ㄶ〵〰㘵散〱〱摡㜳昵戳㘸愶㈳〸㙣㡣㡢㕣慤愶㔰㤰攷慦愰㐰㈶攳㑦㌱㤰㈰㔸㈷㠹攵扥㔵戰㤷ㄲ搸㐱㙥㕥㈹昱挶㘵㠰晥㉥挵捤ち昹扡愸扥㡤㌷㍥㡦㥦㕥㍦㤷㌸㙣㕥㘴㔳㠲戲㤱戴〵㡡㥢ㄲ㤹搱㌷搱愱㍥愳㔵㘰摢捦攸ㅢ㘸扡㜱㐶㜴㈷㘴㤴挹攷て挶收挸〸昸敡㤰愰㐶戰〶㌰ㄸ户ㅣ愰愲攵㕣昲㍡㜱昱〳搲ㅡ搷㍦㐶㝦摦㌸昹晡㙢扣㝥㜶㔲㠹㙡㐵㔵昳㉣愸㕡㘵ㄶ㕦㐹捥㘲ㅤ搸昶戳昸搲㘶戳ㄸ㝣っ㝤㘴㔵㍦㡢〲㔶㤵摣㈷戳㝡ㄲ〵㉥㈸㝦慡ㄴ㘳攳ㄹ攰㍥㌳㐸㔶㤱扥扦㠲㐲㝦搷㈰㐹换㌸㡦昱ㄴ挱搳〴㥦㈳昸㍣挱慦ㄲ㝣㠱攰㡢〰挵㐱㔲㕣ㅡ㝦㠹戸㉦ㄳ㝣㠵攰慢〴扦㐶昰㌵㠲慦〳ㄴ〷挹〸搲昸搷㠹晢つ㠲㙦㄰晣㈶挱㌷〹㥥㈱昸ㄶ㐰㌱㐷晥昸挵昶㘶㤲㕥㜰晣㝤㉦㌲ㅥ㑤ㅦ昲㥥挲㠷戹敢㔹昴敦挲晦㤷㈰㈷㌶扤㍢晢昱捥㥥ㄵ晢搵㌴挹戹ちㄶ晦ㅤ㍣㠷ㄴ㘹〴㔲昹挴挳昸ㄵ㈰㔷攴㜶愱搷㙦愱㄰搳㉢㐷收㑢昹㕣㑢扣㕣ㅥ㙤攵㥡收㜵㜸㍤慦㝤㥢㠲ㅢ挵搵㜷㠴㠶挷㤴昸晤㜳㕢挳㥣敦昰捣㠶扡ㄴぢ挳㤹㌳㔱㔴㌳㤳㡤戲㠸㄰㐶㥤㉣愱昰㜲㈱㤵ㄳ㌷晥摥换㡤㘰ㅢ㉡㜰㐱㘲㜵㘳ち戹㌴㕥㠹ㅢㅦ挳㜷㜶搲〶㑦搶搷ㅢ㜱㘳㉡〳㘹扣ㅣ㌷晥㡦㘳㠷敡㡤㘳搹搷㑦捥㔱㌰㔳㜶㉣戲㠷㑢㝣㜳㍦㠰收㌹㥢㕥㔰慦慤搱㘴㐴㌹っ㔰ㄱ㍦愸て挷㝢㝣㝣昵㍥㠳搳㙡㌸搴〳㔳愹晦攷ㄷ搳㌸挵㌶㘹㠶㈶㍥㙡㕦挳昱〱摦㤰㍢㜶捥摢戳㍥㄰㍤昶㜴㠰㥤㜱㜹㐷戱〸㥣扡㙥扤扥㕢愴㔹㔲㌶〰㡤昵㠸搳㥥㔹㥥ち敡捣〵㤰㔴㔹户戲㘲捡㘶㥥㙥昰㡣昱ㅣ㠸〳搳〴挸㠲昱扢㠰㍡戵挶昳攷㤹㐱敡㕣㔱愸捦戳攲〵㠲ㄷ〱㡡㡡ち㤶㝣㤰㝦〹㘰㈰晥㕦㡦っ慤㐹搴㉢慢㍥ㅤ扦㉣挹㐶挶敦戳挳㜷〰扡㄰㠸㔷ㄱㄳㄶ㡤敦〲㤳㜸愹愲戲愶捡㔴㡦攲㈹搴㔳搴㈲㐵昵㜴㡣㝥㈴㐲㜳㈳㔰㔴㥦㡢搱ㄷ㈳昴〱㐱㝦㍥㐶㕦㠸搰〷〵㑤愵㉦捦㕥㠸搰户ぢ㥡㘶㐰搰昳ㄱ晡づ㐱㝦㌱㐶㥦㡦搰㌴㝥㠵㍣〰慥㌷摦㔲戴ㄴ搲敤攱愸㕥㡦㤴戶㐳搰㜳ㄱ㕡㡦㤴搶㐴搰戳ㄱ㕡㡦㤴昶㐵搰攷㈲戴ㅥ㈹㉤㡥愰捦㐶㘸㍤搲慦挵攸㤹〸慤㐷㑡慢㈴慤ㅦ㡡搰ㅣ㘹㔱搱㍡〹晡挱〸慤〷㐸㝢㈵攸改〸慤〷㐸ぢ㈶㘸愸㈰㔹㜸㍤㐰摡㌴㐱㥦㡥搰㝡㠰戴㜲㠲㥥㡡搰㝡㠰戴㝢㠲㍥ㄵ愱昵〰扦ㄵ愳㈷㈳戴っ㜰㤰㐶㐲ㄸ散捦㔱㌰晥㠲攰㉦〱㡡㌹㌲收戶㈵㠴晣摢愱慦昹ち扡㉡戲㍤㥦㘱扣ㅡㄵ㜸愳挸昳㌲㤳㑦㐴㐳㝥〰㠸㐲㌶慦㕥㠸㉢㑥㐴ㄵ㈷愴㐲愹ㄷ攳㡡〷愲㡡㤳㐰ㄸ㝦つ愰挸晢㥣㤳昱㌷扣㈳换换ぢ㝦ㄴㄵ攴㠵㕣〳㜹攱㝤㉤㉦攴扡㐸挵扤㉤㉦攴㕡㐹挵挷㤲㉦晣㝢㍥昴ㄵ〲晣㥡晣戴挱㔷㠱㤱昵㝥ㅤ㠵晥慥〱㡥㡤㉥㔴昶慡㉡㍤㕥㝥晣昱㌷〷扡㠷づ㜷㍦晡㑢㝤捦扥昱㜷㍦㜹收挷㡦㥤昸昷㥦㍦昷摣㡦㝦晡捣㙢㍦晦攱搲㠹ㅦ扤昴搲㕦㍤昸晣㙢㍦搹㙢扦㤰㝤昹捤㤹ㄷ㥥ㅣ扤晣攴ㄳ昶㠵㍢㑦㍦昹挹㑢て㡦捥㕤㌷摣搵搵搳㜳摢扥扦扤攱昶挱愷㥦昸扥㝡昵㥦て㝡㑡愶㡢ㄷ㌴て㠳搳㤶㘱晣〳ちㄸ〶㐷晣㥥づ㠳搳㤵㠵㍡ㅡ㉤搴㌸㄰㜴㔷㌸〰愹戸慢戹愲昷㝦〰㠶㍥㝥㤰</t>
  </si>
  <si>
    <t>㜸〱敤㕣㕢㙣ㅣ搷㜹摥戳攴㉥㜷㤶愴㐸㡢戲㘴挹㡥捤挴㜱㝣愱㐲㡢戲ㄵ摢愹ㄵ㠵ㄷ㔱愲㑤㠹戴㐸挹づ攲㤴ㅥ敥捥㤰㈳敤捣搲㌳㐳㑡㜴㡣摡戹戹㘹搳㈴戵摤㍥戸㜵攱㑢㉦㐰㠱戶㐰㕢搴㜰搰戴㡤㠱戶㈹㕡ㅢ敤㐳晡㔰愰て㙥㔰戴てつち〱㝤㌱㡡〰敥昷晤㘷㘶㜷㜶挹ㅤ搲㙢扢愵ぢ㡥扣㍦捦晣攷㥣㤹㜳捥㝦㍤晦㝦挶ㄹ㤵挹㘴摥挵挵扦扣㍡㔹戸㘱㙥㍤〸㉤㜷㜸扣㕡愹㔸愵搰愹㝡挱昰愸敦㥢敢搳㑥㄰㜶愰㐱㝥挱㐱㝤㤰㕢〸㥣㈷慣挲挲㥡攵〷㘸㤴换㘴ち〵㈳㡢㝡㍥㠴扦晥昸挶㘰慦㥥㑥㠰昹昱戱㤹挵㡢㜸敡㕣㔸昵慤挳㠳ㄷ㜴摦攳㈳㈳挳㈳挳㜷ㅦㅢ㌹㍡㝣攴昰攰昸㙡㈵㕣昵慤攳㥥戵ㅡ晡㘶攵昰攰散敡㘲挵㈹㍤㘸慤捦㔷㉦㔹摥㜱㙢昱挸㕤㡢收摤昷㡥摣㝤散㤸㝤摦㝤昷昶攰搵㤹戳攳㘳戳扥㘵〷ㅦ搰㌳㜳ㅣ昲摤ㄳ㔶挹攱摣㉣换㜷扣愵攱昱㌱晣㤷ㄸ㍦敥敥ㄹ㥥㕢戶慣㤰慦戶㝣换㉢㔹㠱㠱㡥摤敥㘸㄰慣扡㉢㕣㍣挳㥤挴㔴㑢㘶㄰收摣㜱慢㔲㌱摣昸愹〵㜷〶㙢㔷㌱搷㝢摣㌹换ぢ㥣搰㔹㜳挲昵扣㍢㡦〷㤵㝢摤昳㠱㜵捥昴㤶慣戳愶㙢攵摣㔳慢㑥戹㔳㕦㤹㡥㕢攳㐷㈴〷㈶搳ㅦㅥつ摣昱㘵搳㤷ㄱ〵㕣㤸㤴戶㤳㝥愹戱敤捤慤㥦换愱换ㅢ昸捣㕢㕡户㐳捤〵搳慦戵ㅣ㙡摤㌲㥡㝣攳〸敥㙣摤㍥戱㐶㡤㝤㙥㙦摤㐷㤶戲戱戵敡㡥昸㕢㔶ㄴ㤳㌱昲〴㕤〴〵〲ㄲ搰㈸ㄲ㜴ㄳ昴〰愸捥晦㠲㤴㈴㍢戲㉡扢㘰㘶ㄷㄶ戳ぢ愵散㐲㌹扢㘰㘵ㄷ散散挲㔲㜶㘱㌹扢攰㘴ㄷ㉥㘶ㄷ㉥愱㑤㝣ㄵ扡扡戲搱㜵晤㑦晥攸昵㍦㝥攲搳㌳捦㍦昳摦捦㝥晥搲㉢㜶捦ㅥ㌴㝡㈸ㅡ搴㠴㙦㕥〶慢搵戹ㄸㄲ挱㝦㕢㑢〵㠴挲㍥㘶摦㘳㡦㡣㤴㡦ㅤ㌱敦㌲㜳㥣㔶ち昱ㅢㄸ愵ㅦ㙤㝢散㠷ㅤ慦㕣扤㉣戴扢㘱捣っ慣晡挲つ㐵㜵㘳搵㔵慦ㅣ㕣扦㜹攵㕣㘸㠶搶愱收扡晡㐳㌶㜴㥢㠳㔸㔹㠱扣敦挶收㙥ㄷ捣捡慡㌵㝡挵搱搵ㅦ㙢慡㜶㘷晤敡㘲敢摡㐹摦㝡扣㔶扢㘱㐴愳㔰㙡㙢昲散つ戳搴㔵㝡㕣㠳攳换搵挰昲㘴㜸㐳敥慣㔳扡㘴昹㜳ㄶ㔵愲㔵㤶愹㕥换慡㐸敡㠷㘶㍣㑣ㄴ搲㕡晥㐴ㄲ㙢㥦扣ㄲ㐲㤸慤㌲挶扢㘲昹攱晡扣戹㔸戱昶㌷㌴搱敦㐴挵挱〶昴㘴戵戴ㅡ㡣㔷扤搰慦㔶ㅡ㙢㐶换㙢㈶㌴㑤昹㑣戵㙣㜵㜶㘶㐴㈹㐰攱㜶㜴㈸㤵戹愳戵㉣〸㈱ㄲ㈴愶㈰㕦搷挸㜶挳攷㌰㍢捣愲㘲㤱㈷戳㥦摣攲㘱ㅣ慦攸㤸ㄴ〹㑣捣㠹昶㠳㉦扤㙤㡢挷搶㈸昷攱㌶捥㘶〷愲搹㥦㕣戳扣昰戴改㤵㉢㤶㥦㙡晤ㄴ㐷㘴昴〱攴慥㐲㈱戴㕣㍤㥡㍡㜵㐵慤攷㉥㍢攵㜰㌹扦㙣㌹㑢换㈱㜰戰㤰㠵〲㤷㜶挳㘵㕣〳㤴戱㤷㘰〰愰㔸捣攴昷戱㔱扥㠸㉢㤳愳㜶㑡㤱攵〶㐵捥㝥つ戲摣㘳㑦㍡㤵搰搲㑡戹捦〶㐵戴㔵ㄳ昲昵㤲㐵㝤戳愴つ挶㍥㝢ㅣ㕣㙡㍡㕥戸㕥㤷摢つ㔲愲㤹㘸㔷ㄷ散㌸㕤㐰㔵搰愸て㔲㘴つ㑣搳愴つ搲ㅢ㈷㤸㠸㘲㤰㘲搹昱攴㐶㈶㘳晢ㄴㅤ㠱昶㐹㈶㘴敢㈳慤㜵〴㤹㝤㈳㤳戲㔳㑢㜹摣搵㘶㥢昹昲㕡㥢㕤㡢㠵㌳昶ㄳㅣ㈰戸㡥攰㈰㠰晡㌷㘸㌸㙡㌹㤴ㅢ㉦攳㝡摣ㅢ㌷㄰㝣っ〰晡挹愰捥㠹㔴ㄵ㝤愸敤昸㤱㙣搷ぢ㍦㔹㥣㘲慤㡡攸ㄹ搷晣捣㕥㔷〸ㅤ㜹㥤㍢挳搶㜶㡡㡤晤㔴㙢摥㑣㑥㠷ㅣ㤹搲㌴㌹搷㉤㥡㈶ㄷ㠲㑤摢戴㕢㌷愱慢㌱㐸昰㜱㠰愲昱〹㐲ㄸㄷ㍡扣摢昳攸改㔲㝥㈴摣㈲敤っ戵㘹攰㈳㐶收ㄶ㈰㐵挹㙤搸扥散晡搰㜴〷㠷散㡦扣て㝤戸戵㝣㐷㐴㙦戲㥢扢㜶㠷昱愲昷攸㐵摦っ昱㔲晦摣搲挶摣㠲㙡攳㔳〴户〲㌴搹ㄸ敥扥摦㙢愴㐰摣㘲㌷㐱戹扤㡣扡㠸㤷㍢扦扥㘲㠹〵敡戱攷㑤㝦挹ちㄱ挱㤸㥡㠰㉦㕣昵㝤慢㠲㑤㙤㔹㄰摣扦ㅣ㘸㐴〶㤳㝥搵㈵㝥搷㐷づ㍥ㄲ㠶愱戳㌳摢㤱㘹昲㤱㔳㝣捤㐴捣㈹挱㌹戴挱㜷戵㔶ㄲ㠹㑥㡤散挵㝥改晢换㕤㑤搲㠶㈶戹ㅤ换㙡摣〱〰㉤愱晥戱愵㐶㌹捣㘶㥦㤶㘶㡤ㅥ㉢㈳㝣㈹扢㤳愶ㄸ攲〶㍤搲慤〳戶㘳㠸ㅦ〴扤敥㥣攳搶㤴㐵户㍢㙢昹㈵挴ㄶ㥣㡡㔵搴㘱㔹慡㥡㕤㕤昱ㄱ搱ㄵㅤㅤㅢ昶搳㈹昱㌵攱㤳㈶㉤㤱㉡敤愹㤵㈹㝢昱㍡㔳㌱っ㐹愵㤲ㄲㅡ慡㘹㈰㜲ㅥ摢敥慡㤸㌶㔴捣㥤㔸㌸攳〸挱〸挱㔱㠰摣㕢搰㌴摢㕤㜸愶挳扡搶ㄸ搲㕥㔸挸ㄴ㐸〶〹ㄱ扥搹㔲㔹ㅤ攳㙢㍥㐳㜰て㐰㤳晢挳〰㘴ち㈳ち挹ㄳ㡣㈸㘹っ晢㠲㘳㕤㈶て散戱㤱㔸ㅡ㕦つ挲慡换捣㔲慦㍤㔱㍤㕢つ㈷㥣㘰〵㤹愸〱㍢㉡㍣扣㙣㜹攰㉥ㅦ扥㑦ㄳ慥扡戲㘲㤵つ㝢慥扡ち搵㌶㌵戱ㄳ㌶收㔸づ昸㤲戲㌷捦㉡㕣敤敤㡦昱〸㠵㤵㤶㜸㉢愳戱摢㡡㝥㜳搳搷㔷㕦搱㜹㈷慣㔸摤戶ㄶ㍡㤶ぢ㌶㔶ㄱ㤹㠳㜲㤷㍤扦散㕢搶㐴慦㝤捡㜷捡ㄵ挷戳㐸っ昸㤸㑣搶㑤㕢㑢挸ㄲ捣㔶㤹〳慣㝡扤昶扣㙦㝡挱㡡挹㠴攲晡摥㠶㍢㐹㡢攴散㌱挷ぢ昰ㅡ愱㈲换㝤昶摣㜲昵㌲㌲戶慢慥㜷捡㕣〹㜶〴㔵挸昴晡ㄲ搲愸慣捡㘶㔵㈱㕢㘸㤷㍥摣㤰㘷㌲㤴扤㑥〲愱㔵㈶挷㤸㜹㡡昵愶㕦ㅦ攵㘸攸愷㜳㑣㍤挸ㅥ搵㤰ㅤ愹㕡㤸㤲㙡摣挷㍥㥦〵㜸攰搴昹愹㝡㘶敥㝤攵慣㜳㡣昲愷攸㜸㘱㡢㕡㈲㠴㌱扡㍤㥡㔵㠸㈳攷㐰〲㐱㜱摥㌵戳㕦搱㤶㌶攴扥㍤昵攲㈴㌲㐹㍤昶戴戹㘸㔵㤰㡦㜶捤㜰㡦扥愱ㅢ敢㥡㤵㈰慡ㅢ慦扡慥㐹搶㈲㕢捥㤵㑣㜲昰攸㙡㔸㍤攳㜸㠶つ㈰晣ㄷ愱捣㉢㐰㤹㔷〴搵㘳㥦㘳㙡㔰捡㝣㔶㜵挹昴㥤㜰搹㜵㑡〵摥㌰㝤户㈳㜸ㄲ㐲㑥捤ㅢ㕦戱捥ㄸ㙣昲收捦挳㘵ぢ㠶㐱敥㘱攸㔱㉥ㅤ挹て捥捤慡㍣晥愹㌶〳㑢㔰㌰ㄲ㈹㌵敥挷搳㜲㜲㍡〲㉡㐷慥慢昱ㄹ㡣慢㑦〱愳㤵㄰愹㥥挲㈲㠸ち㈶㤴㍣㐳摣㜹晢扣攷㠴愰ㅥ㈹㌶改㠴ㄳ〱㐸づ㠰愲㙣㙦て〹㔵ㄳ㥤㠶㙡㔶攱愶㡤㔵つ㘶攲挶㡤昵㐹扢昱挹㑤慡戵㐵㐹ㄸ㤲慤ㅡ㠹㘵搹㘴㡣㍢挹搴㈸㌱摣戱戵㔱㘹㘱搳晡扡㔳㡢扣て挳㈴㍣㤳㌱㍥㈷㡣㠲㐴㙦㘴愳ㄸ戳㑦㘷㡦㐴挶㠶㍥㐰㤱㜶㑡攳㝡愳㤴攰ㄴ㡥㥤㤴慤㘲㜴〷昹摥ㄳㄵ㘷㔶挳㠶ㅡ昳捡㐰㔴㌳㕡愹捣㜸昰ㄲ㑡愶㕦摥㈱㈲㡤戹㘹ぢ㈳搲搹慥昵搷换㥢㄰挴㐸っ㤹ㄶ㐹㠹〳㐳っ㈱㕣㠹㡣㉡扤戳㕥㉥㜵つ㕤攰摤ㄹ换昴㠴〲㜳㘱㜹挲㕡ㄳ㌷慣敥挹て㐸㠷摡㙥㔱昴愸㘱㡦㉥〶㌰改㈱昵㜸㔴ㄲ〱㌷散㜳っ㑢攱㄰〳搴㙥㔴㥡㉤㠵㐸敤搶ㅥ挰㥤挱捥愱づ㔶㐴愷㑥攸㥤㔱㠳收㔳ㄸ户㜱ㄲ㤴㥤㌶㈹ち㐵㙡换昵㥦㈷搴慦扤挰敢㜷㑦㘴攲㐲㈴㐴㑣㜷愵㜸て㈰㙥㌲㌳㐹㈹ㅡ㠸ㄳ收㕡戳㠹搲敡㠹㜱㜴㌱㝡改昲昹㈱㑥昱㌰㤷搵㐷戱愹攰㥣㕢攸挰㥡㔶搶昷搸㔳㕥愹戲㕡戶挴ㄴ挷扡㕡㉣昲㡥愰㤷ㅣ〱搴搲㤴戲㉥搱愲㑣㘱㉢挵㈹㤳㐸敤晢摤挶〹㜴ㄷ㈵㠷㘷㘸搳挷〴㘴㑡㔸㑥ㄲ㘲ㅢ捥㈹搰㍦摣㕢㍦挰㈰㠷攷愰搲㌶愰愸换愶㜱ㅥ慦㤶㐵ㄶ㘹㑢㌴㥢慥㑥㔷改戳㈷㔰愷ㅤ㡤摡ㄱ㌴挲㍣戵挲换攷攱㡣戴㈹ㅤ㝣㐸收㙡㤴摤扤晡㤴摣㘶慥㠲ㄴ㐲〱挵ㅣ㉦㜷㐱ㄹ慣㉡〴㠹づ㜷戶敥㜵㉢㘶㝦改㜹ㅢ愳〰㡡㘹㘰㍡戴㘸愹ㅤ㥣㜱㤴户㜶㜰㙥㐲慢㤴っ㘹㌲㤹捡ㅣ攵〰〲昶㈰ㅡ愴㠹ㅢ改昹㉡㡣㔰戸㑦づ㠶挵㘷ㄳ㠷㕣㙣㠱慡晥晥㈶攴慣ㄹ攲昸㡢㜷戰〹㍤㕡㉥搳摤㐵㝣㙥㐷㔰ㄵ㐷㌷戴㍢扡慦改㔰㤶捣㠹晥摤捤㑤ㄵ搱㘱挱愳ㄳ挳愷捤戰戴㍣ㄷ慥敢㠳㕢敤戲㐴敥晢㠸㐷㙣晡㜶晡捣㥤ㅥて愲慥㜱敤㡢㤷扣敡㘵㑦挶㤵ぢ㜸敡てㅣ㠲㈳㤴㕤ㅣ㘴㌱昳㉥晥挹㤵捤攴晥ㄴ㑦摣捥戰昹㠰㝡㠰㠴捦㤱慢㘸㑣攲㉦㤳搴㠳昸㥢挲㉢昰摦㙢㈷〷挸㉢晢㥡㜸㐵㤴挱㉥戳㜸㑢ㅦㄸ戳愸敦㠱戴㘴ㄸ㄰㍣㍥㈴㤲捤愸搷㜱㐳愲㠳〶㈰㥣㌱㐵〸昲㝤ㅣ㝦㔳挸㈷ち㍤㍡敡挱㠳㈱晦㝦㈸ㄵ㑢昵愶㘲昵扦㈰搴敡㌵㄰㐳挸〴㥡搴攴㔲晤㐹㈳㤹愶㌵㤹ㄴ㡦㠴㠸㉣㥦㠹ち扣挹㌱㔵晢㥥㤲攲㥣搷敥㘶昴㐳㍦晣晢㝦戸ㄹ㥤〱㠵㜹㠹扦㠶戴摢㉤㈸搷摣㠵㡥つ敥〲ㄳ昹攲㉥捣戲て㌳晡摡㕤㠸攲㈱攷㠰搸摡㕤㘰㥥㉦挵㈹㑣愴㕤ㄳ㈱づ敥挶昶扢㡣㤵㥤挶㈱㕣㉢㐰㙥ㅦ〶㉣ㄸ㐷㜴敡挰㐶昴慣改㥢敥㐱挱㥦昲㉤ㄸ㌶㝦ㅥ愷扡愵ぢ㝢ㅣ摡戴㐶㍡㙤ㄲ户㠸㈳敥扢戱㤵敤㥤㘵〷愵昴愵㐳昹慡愰昲敦㈳㙡愲戸㠷挸㝣㜹摦ㅦ㥣晡㤷㈷扥㝥㠲㈷搷㈲㕥捤㌱㔵摣㑥晡㥥㝥〵ㄲ扣㠹㐳㈳搷昲㈳㥤㌳昸㕣挹㔹愹㔸㘳愶㉦ㅥ㔱㘰戸㜱㔱㌳㕥㠲㌱㌵昳敤〴㜷ㄳ㘷㈰戴扢㌹摣ㄴ晡㤴㡦㥣㈴㕣㌸㥣ㄸ戸挴昷攲ㄴ愲㙡㘹捣摡昴㍣㜳扦て㜳昴ㅥ〷搲攸㌱㜲〷捡㑢愹摦㡢敤㥤㐶㘴㌲挷㘰搱昴戶㔲昱〸㐰慣愵㤰㡢㈰㠷㈴㌷㌵㍣ㅣ㈰㕡敡㍣ち戹㍢〱㔲戲㙣捤改㕥挶〶㜶㤵㠰㔵㍢〰搸收〷㉤㔸㐵㔰㌱㡥换户扢扢㘵㈸㈰㌶㑤㑣摢㡡㑦㜳〱〵搹挸㄰㌱ㄲ㘳ㅦ㐶㈱扥㜲㐷㔱摡㜶㘸㡡㉦改㜵㜵ㄲ㑥ぢ㜶捥㘵摣慤攸㥥昴㔶㜱ち〴㜶㈶㉦〶挳摢㑢㌴㌶愷㤲慦搳㑤㡢ㅡ㐵搸愷㡢戵㑥摤㔱ㄵ㙣㤶㜷㄰㍢㔴㈴〲昹搵㄰敢㠷敡㡦扥戶戹㠶㌶捥敢挲〴昹㠳晦㜵㘳㡡㘰攳慤㤴ㄸ㘸搸㙤戵㉡攸愳攲㡦愰ぢ㈷㥤㔱㐶扤㈸昷㡡昹敡㔸戲㍡戲ㅢ散㍦㌳搹㈲㔹㕦㘰㙦愶戴ㅢ散晦ㄷ㠱搸搲晥慢晢搸ㄷ㍦攳搱愸㈰捥㈹㜳㈹㕢愶㙦戸㈲㠸㜲㈳㤱㈳㥢㘴㐳㡡㑣㝦敢搲ㅣ㍥㘴搵搵愲挱ㄱ〳敢㙣㍥㈶㔱敢㑢摦戶扢愵〲㘴㥥㈸昷㥢㔰㐱㉤晢㌷敡慤㜸愷㥢晦㔹㜴摣㜷挶㈹昹搵愰㙡㠷㠳㜳㐸〰て昲㍢㌴ㅢ㍥捦愸㝡愵㔹愹摤㡣㤵攸㜹っ㝤捥捥㐰㘱㥦戵挲て㉡㉦挹㉣挳昶戲ㅡ晣㈶愹㍦㤱㙡愲㜵〸慥戱ㅦ㕡㌵㉢昸㡣㜵〶㜱捦㤰愸ㅤ㘱散㜴昴戹昹戴〶㤷づ攷戵ㅥ㐴㙣挸慡っ㈳㔱㈶㔳昸攲㤷戸慥捤㙢搰搸㌶㥡㕢挰㤶敤挵摦㡡戹㤷㐰搳敤扤愵㤱㘵昸㑥㝥㥤㕣㌴ㄶ〹戱戹㍥㠱扦摢て搶昲㘹〳攰昳攸攳㙥〶挵㠶㉡〸愵㙤㈳ㄳ㕥㐲㔷㌵㑡㠰㥦㔱㡥ち扣㔱㡣昸㔱ㄴ搵慦㘳㕡ㄴ〰㤴戱〷〴㘸捤搵㉦愰㤹㡥㈰戰㌱㉥㜲戵㥡㐴㐱㥥扦㡣〲㤹㡣㍦挵㐰㠲㘰㥤㈴㤶晢㔶挱㕥㑣㘰晢戹㜹愵挴ㅢ㤷〰㝡㍢ㄴ㌷㉢攴敢愲晡ㄵ扣昱㈵晣昴晡戹挴㘱昳㈲㥢ㄲ㤴㡤愴㉤㔰摣㤴挸㡣㥥㐵㠷摡㡣㔶㠰㙤㍤愳敦愲改挶ㄹ搱㥤㤰㔱㈶㥦摦ㅦ㥢㈳㈳攰慢㐳㠲㔵㠲㌵㠰晥戸㘵ㅦㄵ㉤攷㤲搷㠹㡢敦㤱搶戸晥㈱晡晢昶㠹户摥攴昵㤳ㄳ㑡㔴㉢慡ㅡ㘷㐱搵㉡戳昸㘶㜲ㄶ敢挰戶㥥挵㌳㥢捤愲晦㔱昴㤱㔵晤㌲ち㔸㔵㜲㥦捣敡㐹ㄴ戸愰晣愹㔲㡣㡤㘷㠰晢㑣㍦㔹㐵晡晥ㅣち扤ㅤ晤㈴㉤攳㍣挶㔳〴㑦ㄳ㝣㠵攰慢〴㕦㈳昸㍡挱㌷〰㡡晤愴戸㌴㝥㠶戸㥦㈷昸㈶挱㉦㄰晣㈲挱户〸㝥〹愰搸㑦㐶㤰挶摦㈶敥㍢〴摦㈵昸㘵㠲㘷〹㥥㈳㜸ㅥ愰㤸㈳㝦晣㑣㙢㌳㐹㉦㌸晥扥ㄷㄹ㡦㠶て㜹㑦攲挳摣昵㉣晡㜷攰晦㑢㤰ㄳ㥢摥㤹晤㙣㝢捦㡡晤㙡㥡攴㕣〵㡢晦㍥㥥㐳㡡搴〳愹㝣攲㈱晣ち㤰㉢㜲扢搰敢㔷㔱㠸改㤵㈳昳愵㝣慥㈵㕥㉥㡦戶㜲㑤昳㍡扣㥥搷扥㑤挱㡤攲敡㍢㐲挳㘳㑡晣晥戹愵㘱捥户㜹㘶㐳㕤㡣㠵攱昴改㈸慡㤹挹㐶㔹㐴〸愳㑥㤶㔰㜸戹㤰捡㠹ㅢ晦攱㙢昵㘰ㅢ㉡㜰㐱㘲㜵㘳ち戹㌴㕥㡥ㅢㅦ挵㜷㜶搲〶㑦搶搷摢㜱㘳㉡〳㘹扣ㄴ㌷晥㡦愳〷㙢㡤㘳搹搷㑦捥㔱㌰㔳㜶㉣戲㠷㑢㝣㜳摦㠷收㌹㥢㕥㔰户慤搱㘴㐴㌹っ㔰ㄱ㍦愸〷挷㝢㝣㝣昵㍥㡤搳㙡㌸搴〳㔳愹晦攷ㄷ㔳㌸挵㌶㘱㠶㈶㍥㙡㕦挳昱〱摦㤰㍢㜶捥摢㌳㍥㄰㕤昶㔴㠰㥤㜱㜹㐷戱〸㥣扡㑥扤扥㕢愴㔹㔲㌶〰昵昵㠸搳㥥㔹㥥ち㙡捦〵㤰㔴㔹愷戲㘲捡㘶㥥慥昳㡣昱㈲㠸〳搳〴挸㠲昱ㅢ㠰㍡戵挶昳攷㤹㝥敡㕣㔱愸㉦戱攲㘵㠲㔷〰㡡㡡ち㤶㝣㤰㝦ㄵ愰㉦晥㕦㡦っ慥㐹搴㉢慢扥ㄴ扦㉣挹㐶挶㙦戱挳㙦〳㜴㈰㄰慦㈲㈶㉣ㅡ扦〳㑣攲愵㡡捡㥡㉡㔳㍤㠲愷㔰㑦㔱㡢ㄴ搵搳㌱晡攱〸捤㡤㐰㔱㝤㈵㐶㕦㠸搰晢〵晤搵ㄸ㝤㍥㐲ㅦ㄰㌴㤵扥㍣㝢㍥㐲摦㈶㘸㥡〱㐱捦㐵攸摢〵晤㡤ㄸ㝤㉥㐲搳昸ㄵ昲〰戸摥㜹㔷搱㔲㐸户㠷愲㝡㍤㔲摡づ㐱捦㐶㘸㍤㔲㕡ㄳ㐱捦㐴㘸㍤㔲摡ㄷ㐱㥦㡤搰㝡愴戴㌸㠲㍥ㄳ愱昵㐸扦ㄵ愳愷㈳戴ㅥ㈹慤㤲戴㝥㌰㐲㜳愴㐵㐵敢㈴攸〷㈲戴ㅥ㈰敤㤵愰愷㈲戴ㅥ㈰㉤㤸愰愱㠲㘴攱昵〰㘹搳〴㝤㉡㐲敢〱搲捡〹㝡㌲㐲敢〱搲敥〹晡㘴㠴搶〳㝣㍥㐶㑦㐴㘸ㄹ㘰㍦㡤㠴㌰搸㥦愱㘰晣㌹挱㕦〰ㄴ㜳㘴捣㙤㑢〸昹户㑤㕦昳〷攸慡挸昶㝣㠶昱㐶㔴攰㡤㈲捦换㑣㍥ㄷつ昹㝥㈰ち搹扣㝡㌹慥㌸ㅥ㔵ㅣ㤷ち愵㕥㠹㉢敥㡦㉡㑥〰㘱晣ㄵ㠰㈲敦㜳㑥挶㕦昳㡥㉣㉦㉦晣㘱㔴㤰ㄷ㜲つ攴㠵昷㌶扤㤰敢㈲ㄵ昷㌴扤㤰㙢㈵ㄵ㥦㐹扥昰敦昸搰ㅦ㄰攰搷攰愷昵扦〱㡣慣昷㕢㈸昴㜶昴㜱㙣㜴愱戲㔷㔴改戱昲㘳㡦扤搳搷㌹㜸愸昳㤱捦昷扣昰昶摦晥昸戹ㅦ㍤㝡晣摦㝦晡攲㡢㍦晡搷攷摥晣改昷ㄷ㡦晦昰搵㔷晦昲㠱㤷摥晣昱㕥晢攵散㙢敦㑣扦晣攴挸愵㈷ㅦ户捦摦㜱敡挹㉦㕣㝣㘸㘴昶㥡愱㡥㡥慥慥㕢〷晥收扡摢晡㥦㝥晣㜵昵挶㍦ㅤ昰㤴㑣ㄷ㉦㘸ㅣ〶愷㉤挳昸㝢ㄴ㌰っ㡥昸㐳ㅤ〶愷㉢ぢ㜵㈴㕡愸㌱㈰攸慥㜰〰㔲㜱㘷㘳㐵昷晦〰㙥慢㝤㠲</t>
  </si>
  <si>
    <t>Shoreline Projection Surveying</t>
  </si>
  <si>
    <t>• 'H- Risk Model' - Cleared Template of example data only leaving enough to check it will run.
• 'H- Risk Model' - Added naming syntax notes over cells where Calculations and Crystal Ball Data are entered.
• 'H- Risk Model' - Highlighted the headers blue for calculated data and green to remind people where to start.
• Added Min Likely 80% to 1 Drop Down tab list on Risks and deleted the numerous extraneous risk types from drop down risk naming selections that we 99% of time do not use.
• Turned off auto display on the charts on all of the forecasts for the pareto analysis.
• Added a note on the D-Project Data  tab that shows where to enter the PROGRAMMED AMOUNT if you want to display it on the I-Project Contingency Tab.
• Added a note on the H-Risk Register- Model tabs as to where to change rounding of the  rages for the Cost &amp; Schedule impacts.
• Added a note on D-Project Data as where to set the confidence level for all of the charts/displayed values…i.e. CIVIL WORKS VS MILCON.</t>
  </si>
  <si>
    <t>If risk detail sheets are needed to help document complex risk items, recommend copying &amp; pasting the '", REF Risk Detail Template,"' tab and then renaming the new tab to the risk ID being evaluated (ex. '1', '2', '3', etc.).  Values from the detail sheets can be quickly referenced in the modeling fields of the risk register model.  Also, make sure to evaluate the cost impacts related to the schedule delays if not factored in on the detail sheet.</t>
  </si>
  <si>
    <t>Triangular</t>
  </si>
  <si>
    <t>The team needs to identify suggested risk reduction measures...Avoid, Escalate, Exploit, Transfer/Share, Mitigate/Enhance, or Accept.</t>
  </si>
  <si>
    <t>Recommend documenting risk quantification discussions if risk detail sheets are not used.  Recommend discussing logic on LV, ML, and HV assumptions regarding scope, cost, and schedule impacts.
Example:  Assume additional FOOH + EDC + CM costs during construction.</t>
  </si>
  <si>
    <t>This is a test risk.
Recommended best practices is to document what the risk is if it happens (if/then statement).</t>
  </si>
  <si>
    <t>Enter first risk in this row .. IF YOU DELETE THIS ROW IT COULD MAKE SOME OF THE FORMULAS NOT WORK.
Recommended best practice is to state what the current design, estimate, and schedule assumptions are and challenge your team on the Low Variance (LV) and High Variance (HV) ranges.</t>
  </si>
  <si>
    <t>2)  Attendees list and attendance documentation</t>
  </si>
  <si>
    <t>3)  Intro to Risk (maybe use the "cost risk quick" template</t>
  </si>
  <si>
    <t>4)  Basis of Design/Scope, Basis of Estimate/Schedule, Changes to Estimate/Schedule Basis</t>
  </si>
  <si>
    <t>Mike Jacobs (USACE) DQC Dustin</t>
  </si>
  <si>
    <t>Cost Impact ROM @ 85% w/o Risk Item</t>
  </si>
  <si>
    <t>ROM Cost of Risk Item @ 85% CL</t>
  </si>
  <si>
    <t>Schedule Impact ROM @ 85% w/o Risk Item</t>
  </si>
  <si>
    <t>ROM Schedule of Risk Item @ 85% CL</t>
  </si>
  <si>
    <t>ROM Cost Risk @ 85%</t>
  </si>
  <si>
    <t>ROM Schedule Risk @ 85%</t>
  </si>
  <si>
    <t>Cost Impact ROM @ 5% w/o Risk Item</t>
  </si>
  <si>
    <t>Cost Impact ROM @ 10% w/o Risk Item</t>
  </si>
  <si>
    <t>Cost Impact ROM @ 15% w/o Risk Item</t>
  </si>
  <si>
    <t>Cost Impact ROM @ 20% w/o Risk Item</t>
  </si>
  <si>
    <t>Cost Impact ROM @ 25% w/o Risk Item</t>
  </si>
  <si>
    <t>Cost Impact ROM @ 30% w/o Risk Item</t>
  </si>
  <si>
    <t>Cost Impact ROM @ 35% w/o Risk Item</t>
  </si>
  <si>
    <t>Cost Impact ROM @ 40% w/o Risk Item</t>
  </si>
  <si>
    <t>Cost Impact ROM @ 45% w/o Risk Item</t>
  </si>
  <si>
    <t>Cost Impact ROM @ 65% w/o Risk Item</t>
  </si>
  <si>
    <t>Cost Impact ROM @ 70% w/o Risk Item</t>
  </si>
  <si>
    <t>Cost Impact ROM @ 75% w/o Risk Item</t>
  </si>
  <si>
    <t>Cost Impact ROM @ 55% w/o Risk Item</t>
  </si>
  <si>
    <t>Cost Impact ROM @ 60% w/o Risk Item</t>
  </si>
  <si>
    <t>Cost Impact ROM @ 95% w/o Risk Item</t>
  </si>
  <si>
    <t>Cost Impact ROM @ 100% w/o Risk Item</t>
  </si>
  <si>
    <t>Cost Impact ROM @ 0% w/o Risk Item</t>
  </si>
  <si>
    <t>ROM Cost of Risk Item @ 0% CL</t>
  </si>
  <si>
    <t>ROM Cost of Risk Item @ 5% CL</t>
  </si>
  <si>
    <t>ROM Cost of Risk Item @ 10% CL</t>
  </si>
  <si>
    <t>ROM Cost of Risk Item @ 15% CL</t>
  </si>
  <si>
    <t>ROM Cost of Risk Item @ 20% CL</t>
  </si>
  <si>
    <t>ROM Cost of Risk Item @ 25% CL</t>
  </si>
  <si>
    <t>ROM Cost of Risk Item @ 30% CL</t>
  </si>
  <si>
    <t>ROM Cost of Risk Item @ 35% CL</t>
  </si>
  <si>
    <t>ROM Cost of Risk Item @ 40% CL</t>
  </si>
  <si>
    <t>ROM Cost of Risk Item @ 45% CL</t>
  </si>
  <si>
    <t>ROM Cost of Risk Item @ 55% CL</t>
  </si>
  <si>
    <t>ROM Cost of Risk Item @ 60% CL</t>
  </si>
  <si>
    <t>ROM Cost of Risk Item @ 65% CL</t>
  </si>
  <si>
    <t>ROM Cost of Risk Item @ 70% CL</t>
  </si>
  <si>
    <t>ROM Cost of Risk Item @ 75% CL</t>
  </si>
  <si>
    <t>ROM Cost of Risk Item @ 95% CL</t>
  </si>
  <si>
    <t>ROM Cost of Risk Item @ 100% CL</t>
  </si>
  <si>
    <t>Schedule Impact ROM @ 0% w/o Risk Item</t>
  </si>
  <si>
    <t>Schedule Impact ROM @ 5% w/o Risk Item</t>
  </si>
  <si>
    <t>Schedule Impact ROM @ 10% w/o Risk Item</t>
  </si>
  <si>
    <t>Schedule Impact ROM @ 15% w/o Risk Item</t>
  </si>
  <si>
    <t>Schedule Impact ROM @ 20% w/o Risk Item</t>
  </si>
  <si>
    <t>Schedule Impact ROM @ 25% w/o Risk Item</t>
  </si>
  <si>
    <t>Schedule Impact ROM @ 30% w/o Risk Item</t>
  </si>
  <si>
    <t>Schedule Impact ROM @ 35% w/o Risk Item</t>
  </si>
  <si>
    <t>Schedule Impact ROM @ 40% w/o Risk Item</t>
  </si>
  <si>
    <t>Schedule Impact ROM @ 45% w/o Risk Item</t>
  </si>
  <si>
    <t>Schedule Impact ROM @ 55% w/o Risk Item</t>
  </si>
  <si>
    <t>Schedule Impact ROM @ 60% w/o Risk Item</t>
  </si>
  <si>
    <t>Schedule Impact ROM @ 65% w/o Risk Item</t>
  </si>
  <si>
    <t>Schedule Impact ROM @ 70% w/o Risk Item</t>
  </si>
  <si>
    <t>Schedule Impact ROM @ 75% w/o Risk Item</t>
  </si>
  <si>
    <t>Schedule Impact ROM @ 95% w/o Risk Item</t>
  </si>
  <si>
    <t>Schedule Impact ROM @ 100% w/o Risk Item</t>
  </si>
  <si>
    <t>ROM Schedule of Risk Item @ 0% CL</t>
  </si>
  <si>
    <t>ROM Schedule of Risk Item @ 5% CL</t>
  </si>
  <si>
    <t>ROM Schedule of Risk Item @ 10% CL</t>
  </si>
  <si>
    <t>ROM Schedule of Risk Item @ 15% CL</t>
  </si>
  <si>
    <t>ROM Schedule of Risk Item @ 20% CL</t>
  </si>
  <si>
    <t>ROM Schedule of Risk Item @ 25% CL</t>
  </si>
  <si>
    <t>ROM Schedule of Risk Item @ 30% CL</t>
  </si>
  <si>
    <t>ROM Schedule of Risk Item @ 35% CL</t>
  </si>
  <si>
    <t>ROM Schedule of Risk Item @ 40% CL</t>
  </si>
  <si>
    <t>ROM Schedule of Risk Item @ 45% CL</t>
  </si>
  <si>
    <t>ROM Schedule of Risk Item @ 55% CL</t>
  </si>
  <si>
    <t>ROM Schedule of Risk Item @ 60% CL</t>
  </si>
  <si>
    <t>ROM Schedule of Risk Item @ 65% CL</t>
  </si>
  <si>
    <t>ROM Schedule of Risk Item @ 70% CL</t>
  </si>
  <si>
    <t>ROM Schedule of Risk Item @ 75% CL</t>
  </si>
  <si>
    <t>ROM Schedule of Risk Item @ 95% CL</t>
  </si>
  <si>
    <t>ROM Schedule of Risk Item @ 100% CL</t>
  </si>
  <si>
    <t>ROM Cost Risk @ 0%</t>
  </si>
  <si>
    <t>ROM Cost Risk @ 5%</t>
  </si>
  <si>
    <t>ROM Cost Risk @ 10%</t>
  </si>
  <si>
    <t>ROM Cost Risk @ 15%</t>
  </si>
  <si>
    <t>ROM Cost Risk @ 20%</t>
  </si>
  <si>
    <t>ROM Cost Risk @ 25%</t>
  </si>
  <si>
    <t>ROM Cost Risk @ 30%</t>
  </si>
  <si>
    <t>ROM Cost Risk @ 35%</t>
  </si>
  <si>
    <t>ROM Cost Risk @ 40%</t>
  </si>
  <si>
    <t>ROM Cost Risk @ 45%</t>
  </si>
  <si>
    <t>ROM Cost Risk @ 55%</t>
  </si>
  <si>
    <t>ROM Cost Risk @ 60%</t>
  </si>
  <si>
    <t>ROM Cost Risk @ 65%</t>
  </si>
  <si>
    <t>ROM Cost Risk @ 70%</t>
  </si>
  <si>
    <t>ROM Cost Risk @ 75%</t>
  </si>
  <si>
    <t>ROM Cost Risk @ 95%</t>
  </si>
  <si>
    <t>ROM Cost Risk @ 100%</t>
  </si>
  <si>
    <t>ROM Schedule Risk @ 0%</t>
  </si>
  <si>
    <t>ROM Schedule Risk @ 5%</t>
  </si>
  <si>
    <t>ROM Schedule Risk @ 10%</t>
  </si>
  <si>
    <t>ROM Schedule Risk @ 15%</t>
  </si>
  <si>
    <t>ROM Schedule Risk @ 20%</t>
  </si>
  <si>
    <t>ROM Schedule Risk @ 25%</t>
  </si>
  <si>
    <t>ROM Schedule Risk @ 30%</t>
  </si>
  <si>
    <t>ROM Schedule Risk @ 35%</t>
  </si>
  <si>
    <t>ROM Schedule Risk @ 40%</t>
  </si>
  <si>
    <t>ROM Schedule Risk @ 45%</t>
  </si>
  <si>
    <t>ROM Schedule Risk @ 55%</t>
  </si>
  <si>
    <t>ROM Schedule Risk @ 60%</t>
  </si>
  <si>
    <t>ROM Schedule Risk @ 65%</t>
  </si>
  <si>
    <t>ROM Schedule Risk @ 70%</t>
  </si>
  <si>
    <t>ROM Schedule Risk @ 75%</t>
  </si>
  <si>
    <t>ROM Schedule Risk @ 95%</t>
  </si>
  <si>
    <t>ROM Schedule Risk @ 100%</t>
  </si>
  <si>
    <t>Confidence Level Being Reported</t>
  </si>
  <si>
    <t>Other Confidence Level to Graph</t>
  </si>
  <si>
    <t>CB_Block_7.0.0.0:9</t>
  </si>
  <si>
    <t>09784aa0-aebc-434d-94f9-3a8bf2f70d34</t>
  </si>
  <si>
    <t>㜸〱敤㕣㕢㙣ㅣ搷㜹摥戳攴㉥㜷㤶愴㐸㡢戲㘴㈹㡥捤挴㜱㝣愱㑡㡢戲ㄵ摢愹ㄵ㠵ㄷ㔱愲㑤㠹戴㐸挹づ攲㤴ㅥ敥捥㤰㈳敤捣搲㌳㐳㑡㑣㡣㕡㐹㥣㌴捤戵㜱搲〷户㉥㝣㘹㔲愰㐰㉦攸㐳㡣〴㑤㕡ㅢ㘸㥢愲戵搱㍥愴て〵晡攰〶㐵ぢ戴㐵㈱愰㉦㝥〸攰㝥摦㝦㘶㜶㘷㤷摣㈱扤戶㕢扡攰挸晢昳捣㝦捥㤹㌹攷晣搷昳晦㘷㥣㔱㤹㑣收㉤㕣晣换慢㤳㠵ㅢ攷搶㠳搰㜲㠷挷慢㤵㡡㔵ち㥤慡ㄷっ㡦晡扥戹㍥敤〴㘱〷ㅡ攴ㄷㅣ搴〷戹㠵挰昹慣㔵㔸㔸戳晣〰㡤㜲㤹㑣愱㘰㘴㔱捦㠷昰搷ㅦ摦ㄸ散搵搳〹㌰㍦㍥㌶戳㜸ㄱ㑦㥤ぢ慢扥㜵㜸昰㠲敥㝢㝣㘴㘴㜸㘴昸㥥㘳㈳㐷㠷㡦ㅣㅥㅣ㕦慤㠴慢扥㜵摣戳㔶㐳摦慣ㅣㅥ㥣㕤㕤慣㌸愵㠷慣昵昹敡㈵换㍢㙥㉤ㅥ戹㝢搱扣攷扥㤱㝢㡥ㅤ戳敦扦晦扥ㅥ扣㍡㜳㜶㝣㙣搶户散攰㕤㝡㘶㡥㐳扥㘷挲㉡㌹㥣㥢㘵昹㡥户㌴㍣㍥㠶晦ㄲ攳挷摤扤挳㜳换㤶ㄵ昲搵㤶㙦㜹㈵㉢㌰搰戱摢ㅤつ㠲㔵㜷㠵㡢㘷戸㤳㤸㙡挹っ挲㥣㍢㙥㔵㉡㠶ㅢ㍦戵攰捥㘰敤㉡收㝡㡦㍢㘷㜹㠱ㄳ㍡㙢㑥戸㥥㜷攷昱愰㜲慦㝢㍥戰捥㤹摥㤲㜵搶㜴慤㥣㝢㙡搵㈹㜷敡㉢搳㜱㕢晣㠸攴挰㘴晡挳愳㠱㍢扥㙣晡㌲愲㠰ぢ㤳搲㜶搲㉦㌵戶扤愵昵㜳㌹㜴㜹〳㥦㜹㙢敢㜶愸戹㘰晡戵㤶㐳慤㕢㐶㤳㙦ㅣ挱㕤慤摢㈷搶愸戱捦ㅤ慤晢挸㔲㌶戶㔶摤ㄱ㝦换㡡㘲㌲㐶㥥愰㡢愰㐰㐰〲ㅡ㐵㠲㙥㠲ㅥ〰搵昹摦㤰㤲㘴㐷㔶㘵ㄷ捣散挲㘲㜶愱㤴㕤㈸㘷ㄷ慣散㠲㥤㕤㔸捡㉥㉣㘷ㄷ㥣散挲挵散挲㈵戴㠹慦㐲㔷㔷㌶扡晥晤㡢慦晣昱戵愷て㑦晦攴搰搵ㅦ㝣昷挵㌷晤㥥㍤㘸昴㜰㌴愸〹摦扣っ㔶慢㜳㌱㈴㠲晦戶㤶ち〸㠵㝤捣扥搷ㅥㄹ㈹ㅦ㍢㘲摥㙤收㌸慤ㄴ攲㌷㌰㑡㍦摡昶搸㡦㌸㕥戹㝡㔹㘸㜷攳㤸ㄹ㔸昵㠵ㅢ㡡敡挶慡慢㕥㌹昸挰收㤵㜳愱ㄹ㕡㠷㥡敢敡て搹搰㙤づ㘲㘵〵昲扥㥢㥡扢㕤㌰㉢慢搶攸ㄵ㐷㔷㝦戰愹摡㥤昵慢㡢慤㙢㈷㝤敢㠹㕡敤㠶ㄱ㡤㐲愹慤挹戳㌷捣㔲㔷改㜱つ㡥㉦㔷〳换㤳攱つ戹戳㑥改㤲攵捦㔹㔴㠹㔶㔹愶㝡㍤慢㈲愹ㅦ㥡昱㌰㔱㐸㙢昹挳㐹慣㝤昲㑡〸㘱戶捡ㄸ敦㡡攵㠷敢昳收㘲挵摡摦搰㐴扦ㄳㄵ〷ㅢ搰㤳搵搲㙡㌰㕥昵㐲扦㕡㘹慣ㄹ㉤慦㤹搰㌴攵㌳搵戲搵搹㤹ㄱ愵〰㠵摢搱愱㔴收捥搶戲㈰㠴㐸㤰㤸㠲㝣㐳㈳摢つ㥦挳散㌰㡢㡡㐵㥥捣㝥㘴㡢㠷㜱扣愲㘳㔲㈴㌰㌱㈷摡て扥昴昶㉤ㅥ㕢愳摣㝢摢㌸㥢ㅤ㠸㘶㝦㜲捤昲挲搳愶㔷慥㔸㝥慡昵㔳ㅣ㤱搱〷㤰扢〶㠵搰㜲昵㘸敡搴ㄵ戵㥥扢散㤴挳攵晣戲攵㉣㉤㠷挰挱㐲ㄶち㕣摡つ㤷㜱ㅤ㔰挶㕥㠲〱㠰㘲㌱㤳摦挷㐶昹㈲慥㑣㡥摡㈹㐵㤶ㅢㄴ㌹晢㌵挸㜲㡦㍤改㔴㐲㑢㉢攵㍥ㅢㄴ搱㔶㑤挸搷㑢ㄶ昵捤㤲㌶ㄸ晢散㜱㜰愹改㜸攱㝡㕤㙥㌷㐸㠹㘶愲㕤㕤戰攳㜴〱㔵㐱愳㍥㐸㤱㌵㌰㑤㤳㌶㐸㙦㥣㘰㈲㡡㐱㡡㘵挷㤳ㅢ㤹㡣敤㔳㜴〴摡㈷㤹㤰慤㡦戴搶ㄱ㘴昶㡤㑣捡㑥㉤攵㜱㔷㥢㙤收换㙢㙤㜶㍤ㄶ捥搸㑦㜰㠰攰〶㠲㠳〰敡㕦愱攱愸攵㔰㙥扣㡣て攰摥戸㤱攰㠳〰搰㑦〶㜵㑥愴慡攸㐳㙤挷㡦㘴扢㕥昸挹攲ㄴ㙢㔵㐴捦戸收㘷昶扡㐲攸挸敢摣ㄹ戶戶㔳㙣散㐷㕢昳㘶㜲㍡攴挸㤴愶挹戹㙥搱㌴戹㄰㙣摡愶摤扡ㄹ㕤㡤㐱㠲て〱ㄴ㡤てㄳ挲戸搰攱摤㥥㐷㑦㤷昲㝤攱ㄶ㘹㘷愸㑤〳ㅦ㌱㌲户〰㈹㑡㙥挳昶㘵搷㠷愶㍢㌸㘴扦敦㝤攸挳慤攵㍢㈲㝡㤳摤摣戵㍢㡣ㄷ扤㑤㉦晡ㄶ㠸㤷晡愷㤶㌶收㔶㔴ㅢㅦ㈵戸つ愰挹挶㜰昷晤㜶㈳〵攲ㄶ扢〹捡敤㘵搴㐵扣摣昹昵ㄵ㑢㉣㔰㡦㍤㙦晡㑢㔶㠸〸挶搴〴㝣攱慡敦㕢ㄵ㙣㙡换㠲攰晥攵㐰㈳㌲㤸昴慢㉥昱扢㍥㜲昰扥㌰っ㥤㥤搹㡥㑣㤳㡦㥣攲㙢㈶㘲㑥〹捥愱つ扥扢戵㤲㐸㜴㙡㘴㉦昶㑢摦㕦敥㙡㤲㌶㌴挹ㅤ㔸㔶攳㑥〰㘸〹昵て㉤㌵捡㘱㌶晢㈵㘹搶攸戱㌲挲㤷戲㍢㘹㡡㈱㙥搰㈳摤㍡㘰㍢㠶昸㐱搰敢捥㌹㙥㑤㔹㜴扢戳㤶㕦㐲㙣挱愹㔸㐵ㅤ㤶愵慡搹搵ㄵ敦ㄳ㕤搱搱戱㘱㍦㥤ㄲ㕦ㄳ㍥㘹搲ㄲ愹搲㥥㕡㤹戲ㄷ慦㌳ㄵ挳㤰㔴㉡㈹愱愱㥡〶㈲攷戱敤慥㡡㘹㐳挵摣㠵㠵㌳㡥㄰㡣㄰ㅣ〵挸扤づ㑤戳摤㠵㘷㍡慣㙢㡤㈱敤㠵㠵㑣㠱㘴㤰㄰攱㙢㉤㤵搵㌱扥收㘳〴昷〲㌴戹㍦っ㐰愶㌰愲㤰㍣挱㠸㤲挶戰㉦㌸搶㘵昲挰ㅥㅢ㠹愵昱搵㈰慣扡捣㉣昵摡ㄳ搵戳搵㜰挲〹㔶㤰㠹ㅡ戰愳挲㈳换㤶〷敥昲攱晢㌴攱慡㉢㉢㔶搹戰攷慡慢㔰㙤㔳ㄳ㍢㘱㘳㡥攵㠰㉦㈹㝢昳慣挲搵摥晥ㄸ㡦㔰㔸㘹㠹户㌲ㅡ扢慤攸㌷㌷㝤㝤昵ㄵ㥤㜷挲㡡搵㙤㙢愱㘳戹㘰㘳ㄵ㤱㌹㈸㜷搹昳换扥㘵㑤昴摡愷㝣愷㕣㜱㍣㡢挴㠰㡦挹㘴摤戴戵㠴㉣挱㙣㤵㌹挰慡搷㙢捦晢愶ㄷ慣㤸㑣㈸慥敦㙤戸㤳戴㐸捥ㅥ㜳扣〰慦ㄱ㉡戲摣㘷捦㉤㔷㉦㈳㘳扢敡㝡愷捣㤵㘰㐷㔰㠵㑣慦㉦㈱㡤捡慡㙣㔶ㄵ戲㠵㜶改挳つ㜹㈶㐳搹敢㈴㄰㕡㘵㜲㡣㤹愷㔸㙦晡昵㔱㡥㠶㝥㍡挷搴㠳散㔱つ搹㤱慡㠵㈹愹挶晤散昳㜱㠰〷㑦㥤㥦慡㘷收摥㔱捥㍡挷㈸㝦㡡㡥ㄷ戶愸㈵㐲ㄸ愳摢愳㔹㠵㌸㜲づ㈴㄰ㄴ攷㕤㌳晢ㄵ㙤㘹㐳敥摢㔳㉦㑥㈲㤳搴㘳㑦㥢㡢㔶〵昹㘸搷っ昷攸ㅢ扡戱慥㔹〹愲扡昱慡敢㥡㘴㉤戲攵㕣挹㈴〷㡦慥㠶搵㌳㡥㘷搸〰挲㝦ㄱ捡扣〲㤴㜹㐵㔰㍤昶㌹愶〶愵捣㘷㔵㤷㑣摦〹㤷㕤愷㔴攰つ搳㜷㍢㠲㈷㈱攴搴扣昱ㄵ敢㡣挱㈶㙦晥㍣㕣戶㘰ㄸ攴ㅥ㠶ㅥ攵搲㤱晣攰摣慣捡攳㥦㙡㌳戰〴〵㈳㤱㔲攳〱㍣㉤㈷愷㈳愰㜲攴扡ㄶ㥦挱戸昶ㄴ㌰㕡〹㤱敡㈹㉣㠲愸㘰㐲挹㌳挴㥤户捦㝢㑥〸敡㤱㘲㤳㑥㌸ㄱ㠰攴〰㈸捡昶昶㤰㔰㌵搱㘹愸㘶ㄵ㙥摥㔸搵㘰㈶㙥摡㔸㥦戴ㅢㅦ搹愴㕡㕢㤴㠴㈱搹慡㤱㔸㤶㑤挶戸㤳㑣㡤ㄲ挳ㅤ㕢ㅢ㤵ㄶ㌶慤慦㍢戵挸㍢㌰㑣挲㌳ㄹ攳ㄳ挲㈸㐸昴㐶㌶㡡㌱晢㜴昶㐸㘴㙣攸〳ㄴ㘹愷㌴慥㌷㑡〹㑥攱搸㐹搹㉡㐶㜷㤰敦㍤㔱㜱㘶㌵㙣愸㌱慦っ㐴㌵愳㤵捡㡣〷㉦愱㘴晡攵ㅤ㈲搲㤸㥢戶㌰㈲㥤敤㕡㝦扤扣〹㐱㡣挴㤰㘹㤱㤴㌸㌰挴㄰挲㤵挸愸搲㍢敢攵㔲搷搰〵摥㥤戱㑣㑦㈸㌰ㄷ㤶㈷慣㌵㜱挳敡㥥晣㠰㜴愸敤ㄶ㐵㡦ㅡ昶攸㘲〰㤳ㅥ㔲㡦㐷㈵ㄱ㜰挳㍥挷戰ㄴづ㌱㐰敤㐶愵搹㔲㠸搴㙥敤〱摣ㄹ散ㅣ敡㘰㐵㜴敡㠴摥ㄹ㌵㘸㍥㠵㜱ㅢ㈷㐱搹㘹㤳愲㔰愴戶㕣晦㜵㐲晤搶戳扣㝥晦㐴㈶㉥㐴㐲挴㜴㔷㡡昷〰攲㈶㌳㤳㤴愲㠱㌸㘱慥㌵㥢㈸慤㥥ㄸ㐷ㄷ愳㤷㉥㥦ㅦ攲ㄴて㜳㔹㝤ㄴ㥢ち捥戹㠵づ慣㘹㘵㝤㡦㍤攵㤵㉡慢㘵㑢㑣㜱慣慢挵㈲敦〸㝡挹ㄱ㐰㉤㑤㈹敢ㄲ㉤捡ㄴ戶㔲㥣㌲㠹搴扥摦㙤㥣㐰㜷㔱㜲㜸㠶㌶㝤㑣㐰愶㠴攵㈴㈱戶攱㥣〲晤挳扤昵〳っ㜲㜸づ㉡㙤〳㡡扡㙣ㅡ攷昱㙡㔹㘴㤱戶㐴戳改敡㜴㤵㍥㝢〲㜵摡搱愸ㅤ㐱㈳捣㔳㉢扣㝣ㅥ捥㐸㥢搲挱㠷㘴慥㐵搹摤㙢㑦挹㙤收ㅡ㐸㈱ㄴ㔰捣昱㜲ㄷ㤴挱慡㐲㤰攸㜰㘷敢㕥户㘲昶㤷㥥户㌱ち愰㤸〶愶㐳㡢㤶摡挱ㄹ㐷㜹㙢〷攷㘶戴㑡挹㤰㈶㤳愹捣㔱づ㈰㘰て愲㐱㥡戸㤱㥥慦挲〸㠵晢攴㘰㔸㝣㌶㜱挸挵ㄶ愸敡敦㙦㐲捥㥡㈱㡥扦㜸〷㥢搰愳攵㌲摤㕤挴攷㜶〴㔵㜱㜴㐳扢愳晢㥡づ㘵挹㥣攸摦摤搲㔴ㄱㅤㄶ㍣㍡㌱㝣摡っ㑢换㜳攱扡㍥戸搵㉥㑢攴㝥㡣㜸挴愶㙦愷捦摣改昱㈰敡ㅡ搷扥㜸挹慢㕥昶㘴㕣戹㠰愷晥挰㈱㌸㐲搹挵㐱ㄶ㌳㙦攱㥦㕣搹㑣敥㑦昱挴敤っ㥢て愸〷㐸昸ㅣ戹㡡挶㈴晥㌲㐹㍤㠸扦㈹扣〲晦扤㜶㜲㠰扣戲慦㠹㔷㐴ㄹ散㌲㡢户昴慥㌱㡢晡ㄱ㐸㑢㠶〱挱攳㐳㈲搹㡣晡㈱㙥㐸㜴搰〰㠴㌳愶〸㐱扥て攱㙦ち昹㐴愱㐷㐷㍤㜸㌰攴晦て愵㘲愹摥㔴慣晥ㄷ㠴㕡扤っ㘲〸㤹㐰㤳㥡㕣慡ㅦ㌴㤲㘹㕡㤳㐹昱㐸㠸挸昲㤹愸挰㥢ㅣ㔳戵㙦㉢㈹捥㜹敤㙥㐶摦昳挳扦晦㠷㥢搱ㄹ㔰㤸㤷昸㙢㐸扢摤㡡㜲捤㕤攸搸攰㉥㌰㤱㉦敥挲㉣晢㌰愳慦摤㠵㈸ㅥ㜲づ㠸慤摤〵收昹㔲㥣挲㐴摡㌵ㄱ攲攰㙥㙣扦换㔸搹㘹ㅣ挲戵〲攴昶㘱挰㠲㜱㐴愷づ㙣㐴捦㥡扥改ㅥㄴ晣㈹摦㠲㘱昳攷㜱慡㕢扡戰挷愱㑤㙢愴搳㈶㜱㡢㌸攲扥ㅢ㕢搹摥㔹㜶㔰㑡㕦㍡㤴慦ち㉡晦づ愲㈶㡡㝢㠸捣攷昶晤搱愹㝦晥散搳㈷㜸㜲㉤攲搵ㅣ㔳挵敤愴敦改㔷㈰挱㥢㌸㌴㜲㍤㍦搲㌹㠳捦㤵㥣㤵㡡㌵㘶晡攲ㄱ〵㠶ㅢㄷ㌵攳㈵ㄸ㔳㌳摦㑥㜰㌷㜱〶㐲扢㥢挳㑤愱㑦昹挸㐹挲㠵挳㠹㠱㑢㝣㉦㑥㈱慡㤶挶慣㑤捦㌳昷㠷㌰㐷㙦㜳㈰㡤ㅥ㈳㜷愰扣㤴晡㠳搸摥㘹㐴㈶㜳っㄶ㑤㙦㉢ㄵ㡦〰挴㕡ち戹〸㜲㐸㜲㔳挳挳〱愲愵捥愳㤰扢ぢ㈰㈵换搶㥣敥㘵㙣㘰㔷〹㔸戵〳㠰㙤㝥搰㠲㔵〴ㄵ攳戸㝣扢扢㕢㠶〲㘲搳挴戴慤昸㌴ㄷ㔰㤰㡤っㄱ㈳㌱昶ㄱㄴ攲㉢㜷ㄴ愵㙤㠷愶昸㤲㕥㔷㈷攱戴㘰攷㕣挶摤㡡敥㐹㙦ㄵ愷㐰㘰㘷昲㘲㌰扣扤㐴㘳㜳㉡昹㍡摤戴愸㔱㠴㝤扡㔸敢搴ㅤ㔵挱㘶㜹〷戱㐳㐵㈲㤰㕦つ戱㝥愸晥攸敢㥢㙢㘸攳扣㉥㑣㤰㍦昸㕦㌷愵〸㌶摥㑡㠹㠱㠶摤㔶慢㠲㍥㉡晥㈸扡㜰搲ㄹ㘵搴㡢㜲慦㤸慦㡥㈵慢㈳扢挱晥㌳㤳㉤㤲昵㈹昶㘶㑡扢挱晥㝦ㅡ㠸㉤敤扦扡㥦㝤昱㌳ㅥ㡢ち攲㥣㌲㤷戲㘵晡㠶㉢㠲㈸㌷ㄲ㌹戲㐹㌶愴挸昴户㉥捤攱㐳㔶㕤㉤ㅡㅣ㌱戰捥收㘳ㄲ戵扥昴㙤扢㕢㉡㐰收㠹㜲扦ぢㄵ搴戲㝦愳摥㡡㜷扡昹㕦㐱挷㝤㘷㥣㤲㕦つ慡㜶㌸㌸㠷〴昰㈰扦㐳戳攱昳㡣慡ㄷ㥢㤵摡㉤㔸㠹㥥挷搱攷散っㄴ昶㔹㉢㝣户昲㤲捣㌲㙣㉦慢挱㙦㤲晡ㄳ愹㈶㕡㠷攰㍡晢攱㔵戳㠲捦㔸㘷㄰昷っ㠹摡ㄱ挶㑥㐷㥦㥢㑦㙢㜰改㜰㕥敢㈱挴㠶慣捡㌰ㄲ㘵㌲㠵㑦㝦㠶敢摡扣〶㡤㙤愳戹〵㙣搹㕥晣慤㤸㝢ㅥ㌴摤摥㕢ㅡ㔹㠶敦攴搷挹㐵㘳㤱㄰㥢敢ㄳ昸扢晤㘰㉤㥦㌶〰㍥㡦㍥敥㘶㔰㙣愸㠲㔰摡㌶㌲攱㈵㜴㔵愳〴昸ㄹ攵愸挰ㅢ挵㠸ㅦ㐵㔱晤㌶愶㐵〱㐰ㄹ㝢㐰㠰搶㕣晤㉣㥡改〸〲ㅢ攳㈲㔷慢㐹ㄴ攴昹换㈸㤰挹昸㔳っ㈴〸搶㐹㘲戹㙦ㄵ散挵〴戶㥦㥢㔷㑡扣㜱〹愰户㐳㜱戳㐲扥㉥慡敦攲㡤捦攳愷搷捦㈵づ㥢ㄷ搹㤴愰㙣㈴㙤㠱攲愶㐴㘶昴㙤㜴愸捤㘸〵搸搶㌳晡ㄶ㥡㙥㥣ㄱ摤〹ㄹ㘵昲昹晤戱㌹㌲〲扥㍡㈴㔸㈵㔸〳攸㡦㕢昶㔱搱㜲㉥㜹㥤戸昸ㄱ㘹㡤敢敦愳扦㙦㥣㜸晤㌵㕥晦㜹㐲㠹㙡㐵㔵攳㉣愸㕡㘵ㄶ㕦㐹捥㘲ㅤ搸搶戳昸昲㘶戳攸㝦っ㝤㘴㔵㍦㠷〲㔶㤵摣㈷戳㝡ㄲ〵㉥㈸㝦慡ㄴ㘳攳ㄹ攰㍥搳㑦㔶㤱扥扦㡡㐲㙦㐷㍦㐹换㌸㡦昱ㄴ挱㔵㠲捦ㄳ㝣㠱攰㡢〴㑦ㄳ㝣〹愰搸㑦㡡㑢攳㉦ㄳ昷㙢〴㕦㈱昸㜵㠲慦ㄲ㝣㡤攰敢〰挵㝥㌲㠲㌴晥〶㜱摦㈴昸ㄶ挱㙦㄰㝣㥢攰ㄹ㠲敦〰ㄴ㜳攴㡦㕦㙥㙤㈶改〵挷摦昷㈲攳搱昰㈱敦㐹㝣㤸扢㥥㐵晦づ晣㝦〹㜲㘲搳㍢戳ㅦ㙦敦㔹戱㕦㑤㤳㥣慢㘰昱摦挱㜳㐸㤱㝡㈰㤵㑦㍣㠴㕦〱㜲㐵㙥ㄷ㝡晤㈶ち㌱扤㜲㘴扥㤴捦戵挴换攵搱㔶慥㘹㕥㠷搷昳摡户㈹戸㔱㕣㝤㐷㘸㜸㑣㠹摦㍦户㌴捣昹㌶捦㙣愸㡢戱㌰㥣㍥ㅤ㐵㌵㌳搹㈸㡢〸㘱搴挹ㄲち㉦ㄷ㔲㌹㜱攳㍦㜹戹ㅥ㙣㐳〵㉥㐸慣㙥㑣㈱㤷挶换㜱攳愳昸捥㑥摡攰挹晡㝡㈳㙥㑣㘵㈰㡤㤷攲挶晦㜱昴㘰慤㜱㉣晢晡挹㌹ち㘶捡㡥㐵昶㜰㠹㙦敥晢搰㍣㘷搳ぢ敡戶㌵㥡㡣㈸㠷〱㉡攲〷昵攰㜸㡦㡦慦摥愷㜱㕡つ㠷㝡㘰㉡昵晦晣㘲ち愷搸㈶捣搰挴㐷敤㙢㌸㍥攰ㅢ㜲挷捥㜹㝢挶〷愲换㥥ち戰㌳㉥敦㈸ㄶ㠱㔳搷愹搷㜷㡢㌴㑢捡〶愰扥ㅥ㜱摡㌳换㔳㐱敤戹〰㤲㉡敢㔴㔶㑣搹捣搵㍡捦ㄸ捦㠱㌸㌰㑤㠰㉣ㄸ扦〳愸㔳㙢㍣㝦㥥改愷捥ㄵ㠵晡㍣㉢㕥㈰㜸ㄱ愰愸愸㘰挹〷昹㤷〰晡攲晦昵挸攰㥡㐴扤戲敡㌳昱换㤲㙣㘴㝣㡦ㅤ扥て搰㠱㐰扣㡡㤸戰㘸晣ㅥ㌰㠹㤷㉡㉡㙢慡㑣昵㈸㥥㐲㍤㐵㉤㔲㔴㔷㘳昴㈳ㄱ㥡ㅢ㠱愲晡㝣㡣扥㄰愱昷ぢ晡ぢ㌱晡㝣㠴㍥㈰㘸㉡㝤㜹昶㝣㠴扥㕤搰㌴〳㠲㥥㡢搰㜷〸晡㑢㌱晡㕣㠴愶昱㉢攴〱㜰扤昹㤶愲愵㤰㙥て㐷昵㝡愴戴ㅤ㠲㥥㡤搰㝡愴戴㈶㠲㥥㠹搰㝡愴戴㉦㠲㍥ㅢ愱昵㐸㘹㜱〴㝤㈶㐲敢㤱㝥㉤㐶㑦㐷㘸㍤㔲㕡㈵㘹晤㔰㠴收㐸㡢㡡搶㐹搰て㐶㘸㍤㐰摡㉢㐱㑦㐵㘸㍤㐰㕡㌰㐱㐳〵挹挲敢〱搲愶〹晡㔴㠴搶〳愴㤵ㄳ昴㘴㠴搶〳愴摤ㄳ昴挹〸慤〷昸㥤ㄸ㍤ㄱ愱㘵㠰晤㌴ㄲ挲㘰㍦㐱挱昸㌳㠲㍦〷㈸收挸㤸摢㤶㄰昲㙦㥢扥收㉢攸慡挸昶㝣㠶昱㙡㔴攰㡤㈲捦换㑣㍥ㄱつ昹〱㈰ち搹扣㝡㈱慥㌸ㅥ㔵ㅣ㤷ち愵㕥㡣㉢ㅥ㠸㉡㑥〰㘱晣㈵㠰㈲敦㜳㑥挶㕦昱㡥㉣㉦㉦晣㘹㔴㤰ㄷ㜲つ攴㠵昷㌵扤㤰敢㈲ㄵ昷㌶扤㤰㙢㈵ㄵㅦ㑢扥昰㙦昹搰㔷〸昰㙢昰搳晡㕦〵㐶搶晢㜵ㄴ㝡㍢晡㌸㌶扡㔰搹㉢慡昴㜸昹昱挷摦散敢ㅣ㍣搴昹攸㈷㝢㥥㝤攳㙦㝥晥捣捦ㅥ㍢晥㙦扦㜸敥戹㥦晤换㌳慦晤攲挷㡢挷㝦晡搲㑢㝦昱攰昳慦晤㝣慦晤㐲昶攵㌷愷㕦㜸㜲攴搲㤳㑦搸攷敦㍣昵攴愷㉥㍥㍣㌲㝢摤㔰㐷㐷㔷搷㙤〳㝦㝤挳敤晤㔷㥦昸愱㝡昵ㅦて㜸㑡愶㡢ㄷ㌴づ㠳搳㤶㘱晣ㅤちㄸ〶㐷晣㥥づ㠳搳㤵㠵㍡ㄲ㉤搴ㄸ㄰㜴㔷㌸〰愹戸慢戱愲晢㝦〰㠱㤰㝥㠵</t>
  </si>
  <si>
    <t>472b1ba1-3466-46be-bf77-b2f0b22772f7</t>
  </si>
  <si>
    <t>Mike Jacobs (USACE)
Dustin Sawyers (VA)
Brandon Scott (USACE)</t>
  </si>
  <si>
    <t>dustin.sawyers@va.gov</t>
  </si>
  <si>
    <t>㜸〱捤㝣〷㝣㔴㔵昶㝦㙥㤲㜹挹㑢㈱愳㠰つ搱攸〶㉣㈰㑥㥦〹捡て㔲㈸㠱㔰㈴〱慣ㅢ愷扣㈱〳㤹ㄹ㥣㤹㐰愲扢㙢挳㡡㘵ㄵ㉣㔸㤶戵慤㙤挵㉥㐵㐱㕤ぢ㙢挳敥攲慥㙤搷摥昱愷扢愲慢昲晦㝥敦㝢㙦㌲㤹扣〱昵户晦捦㘷ㅦ捣㤹㜳捦昹摥昲捥㌹敦扤㝢敥扢㤳㈲㔱㔴㔴戴ㅤ〷扦㜹㤴㤲搹扢慤㌷㥤搱攲㘳㥡㤲㕤㕤㕡㌸ㄳ㑢㈶搲㘳ㅡ㔲愹㘰㙦㙢㉣㥤㈹〱㐰改㠸㐱㥦戶㜵愴㘳㈷㙡攵ㅤ㡢戵㔴ㅡ㈰㕢㔱㔱㜹戹㕡っ晤敥挶挷㙥ㄶ㔴搶㔲㑢㐹㠰㉡㔲ㄵ㤲㌲㤲㜲ㄲ㤵愴㠲愴㤲愴㡡愴㥡㘴㄰㐹つ㠹㥤㘴ㄷ㤲㕤㐹〶㤳っ㈱ㄹ㑡戲ㅢ〹㝢㔵昷㈰搹ㄳ愴㙡㉦㤰昶愶挶㤹愱〵㌸㠷戶㑣㌲愵㡤慥㥤慢㡦㜴㥣搳㌹挶㌹挶攳㜵扡挶㌸㐶搷㌶㜵㜷㘵扡㔳摡戸㠴搶㥤㐹〵扢㐶搷捥敡づ㜵挵挲搳戴摥昶攴㐲㉤㌱㑥ぢ㌹摣愱愰㈷攰昴㜸扤搱晡晡㠰㡤㈷攳㙡搶挲㌱㥥戵愶愵㘲㠹昹㘳㥡ㅡ昱㍦愷㉦㤴晣㌰㘰㉡愵㜵〵㘹挱搹㕡㤴㘷戹㘷扣㈱㥤敥㡥㉦愲挸㌹㉦㤹㕡㤸敥搴戴捣攴敥㔸挴㥥慢愱㈰ㄷ敡㉡〸㜵ㄱ㕡ㄵ㙦㑡㙡搱㘸㉣ㅣ搳ㄲ㤹愱㐶〱攳㐳〹晤攲㥣摢㤳㠳攲ㄳ㝢挲㕡㔷㤳搶搵〵㔱扡㍡㍥㈷慤捤づ㈶收㙢㌳㠲㜱捤ㄶ㘷㉢㈵㌸㡡㡡㑢㡢㑡㉡つ晦㔳昸㘳㜸挵昹㘳㡣搱慦㝦㍡㐷攴戶㑤㐱改扢㠸挴㕣㈱愳愱戸㈳㔸摣ㄱ㉡敥〸ㄷ㜷㐴㡡㍢戴攲㡥㘸㜱挷晣攲㡥捥攲㡥㔸㜱挷㠲攲㡥㠵挰㤸㐷㜹㔹㔹戱㜱晣㝥㙡㡦晡挰敡改㑤㉢扥ㄹ扢散㝦扦慥昶㠸㜷搰㌶摢㝦㈸㌰攴扢㘵㈷㝤㍤攳散㌳戶㌸搷戶㍣㜰㠵㜸摢㔰っ愸昱て㐳㘱昳摤㍥㘹摣㠲〵㌳㔷㡥㝤敢晤㈹㈳收晤愰昷戶㜵㝣㠵扡㉦㔹昱㤶㠱ㅢ㔴㔴㌳摣晢昱扤㡤㘷愷㍦㤸㜷昸昰昶晢〵攳㥤戱㈲摥㉣搴挵ㅢ㠶攲㥡晢㥡捥㜷晤敤慡㤶昵㌷㝦㤵㌹㜲挵攴摢挴敢㠵㙡扣㘶㈸挶㤶摦昰晤挶扤㠷㑤戹敢㠴愶㜹愹挳㝡户㜲㈴㐵㐵ㅣ搴〸㌲攲慦〶敥搳换㑢㥦ㄱ慦昴㌴慤扥攷搶慢换挲攷慦ㄱ扣晥攴愰㕥㉤搴挵ㄶ㐳戱㙥晤㤳ㅦ㑥扦晥改愶戵㕦㈸㈵昶敢㍥㤸㉢晥㔲愸挶㉢㠶攲昱挴㔳㈷㈶㉢敦㙡㕤昵昱昲挷摥㔹晤ㄶ慦㔹ㅣㅣ搴㈸㌲攲㈵〳㜷搳㠶愹㈷ㅦ㌴㝡㜶搳愹㥢戴挴㤶㠶ㅢ搷ぢ摥て攴愰㕥㉣搴挵ぢ㠶愲改㠹挸㝥摢㕢晦㍤㜵改㠵㐵㌵慦晦㕢㕤㉢㥥㉦㔴攳㌹㐳昱捣慣户㕤敦づ摦㜷搲㔵ㅢ慢敤㥢㤷㕤扡て㐷愲て捡㐹㐶㙣㌶㜰㔵㑢户晢㝢敥㕥㌳昳扥㤱摢㉥戹晢攰捦㝤㠲昷㈷㌹愸㘷ち㜵昱戴愱昸散㌷ㅢ捦摡扥摢㍢㌳㤶扤搶收扥昵敢昱挷㠹愷ち搵㜸搲㔰晣戰攲愰㠳收ㅣ㌲愶昵㡣攴扤㌷つ晦敡㥡㌶㡥㐴ㅦ㤴㥦㡣昸戳㠱㝢敤摢㘵㙦㜴㈴㠶㌵㕣㌴㝣搵㘳㔳㉥摥㙤㠹攰晤㔲づ㙡㔳愱㉥ㅥ㌷ㄴ㤱㘵慢晥㜸攷扦扥㤸㜶㘶㘵敦㝣挵昳捥㠷攲戱㐲㌵ㅥ㌵ㄴ戵㐳㥥摡㜴摥ぢ㌷㌶摦收扢昴捡ㄹ㉤㕦㥣挲㤱攸㠳ㅡ㐷㐶晣挹挰搵っ㝤㜰昶㤲㑦扦㤸扣昶慣戸扡捦㑤㐷㤵㔷㡤㠷㜶㐶㔳攳慣ㄴ敥㉣晦愱㥢㙣搵〴戶㌹ㄳ户搵ㄹ㕡收㍦搵㘶〳摡㐴㤳捤挹㜸㌰㤶昸て㌵㙡攳㙤摤晢㘳㙥㠰㝤㜷㝥攳㉥㉣㥦㝤昱收㜴㘶㔶㌰ㄵ㑦㔷挵㘹㍦㉤愵㈵挲㕡㍡敦㜶㕤ㅥ㥦ㅢ㑣昱㑥㕤㑡愶㈶慥㍦㘸㕡㈲戸挱挷㌲扤㔶㌷㜳㔱㕡㡡晦㐵㈵〷㔸㡤㑣㍡㙡㑣㐳㍡摥搴ㄹ㑣㘵㘴㠹㉥晣㜹户昱摡扣ㅥ攸戳戶㔸㝣㥡㤶㑡㘸㕤散㘴〲㥡ㅥ㤵〷㤲㡦㑢摤て搹攷愶㜹㍡昴搲㠰㘷㠳搲〸改㤸昶㔴っ捦慣敥慥㘰㙡昴昴㔸㘲摣㈱昵㝥愷搳ㄷㄸ摤ㅡ㕢愸㜵挵戴㜴㘶㥣㘳㜴挰㌱〲㡦㜷㡦捦改昵愸㑤愸愳㌶㠳㈸ㄳ㐱慡挷捤愸昳㡣摣㝦㙣敤晥㈳ㅢ㍣㑥㜵ㄲ㤵㤳㐱㠴㔸㙢〴昶㡣ㅢ㜶㜱㙦晡㌴㍥昵捣㙤㈵扦扡愵昲搰〷㠴㥣㤳戰㝥ぢ挸愱昹扤㍢摤㉥㠷搷敢ㅡ搰扤搷敤慣㜷㌸摣敡㔴昶㌰㡤搵㕢㐱晡㜵敦㔶愷㔳㌹〳㐴㠸㍢㡤敥㉦晦愰晡㤳㑦慥㝡愲㜱昹敢㕢㐲㘵㑢㝡㤷ち㍥晦ㄸ㕥捡㉣㤰㠱摤晢敡摤づ㠷挷慡晢㠰挳改㔲㡦㘰敤搹慣捥摢㑢㙥昷敥㠰摡㑥攵ㅣ㄰㈱㙥㌱扡㉦扦敥昳愷㥢慦㌹㜳捡昲〹㐳㉥扥戲搵㜵㤰攰㍣㑣摥㙢㙥㌶㄰〳ㅥ㤱㌷ㄹ㡡㡥戹捦慥搸㌸攴戶搶搳㡥扤戶挱昹扢㙤㝦ㄴ㌷ㄶ慡昱〷㐳㔱昷摡戹ㄷ〴敦扢愳昵挶挷㜶㜹改昰㡡ㄳ㔶愳㉢ㅣ㝣㔴ㅣ㐳㐶㕣㙦攰慥慦㍤㘸㑣晢㥡扤㕢㑦㍤㜶捤挷㡦㥣㜰攵㝡挱㜹愱ㅣ搴㜵㠵扡戸搶㔰ㅣ戹敢收㍤捥㝤㜶攸捣㜵㘷㙦㤸戸㜲攵愳扢㡢㙢ち搵昸扤愱㜸㙤收攷慢㑦昰敥㍡攱扣扢㝦㜸㝣晥㐷㙢㌸扦挴挱㐱〵挹㠸摦ㄹ戸搴戹昱㑦扥㥣晥㡦㘹㌷搵㝥昱㜸愰㝣散㈲挱㜹慡ㅣ搴搵㠵扡戸捡㔰㡣㔸戴昸㤳㌵攵㔵ㄳ㙦慣愸㍥改㙡㝢敢扦挴㤵㠵㙡㕣㘱㈸扥㝢昲戰㔳捦ㅡ㝦昷愴攵ㅢ收㡦っ㉣㕢昱㉢㡥㐴ㅦ搴㝣㌲攲㜲〳㜷晥慣ㅢ㠷摦㝢晢捡㈹攷扤昹㐰攳搰攱㑦捤ㄱ㥣㌷换㐱㕤㔶愸㡢㑢つ挵散㈹挱㔳㕥戹攷换㤶㔳慢换㈶づ摡㈳㜳㤰戸愴㔰㡤ㄵ㠶攲晡㔵㈷〷㕥㙤昹㙥晡㕤㡦ㅣ㌱㙥换挲捦て攳㐸昴㐱挵挹㠸㡢つ摣㐹㙦㝦㜸搶〷㈳㙦㙤㕣戶攱戲㤵扢㡥晥挷ㄸ挱㌹㠱ㅣ搴㐵㠵扡昸慤愱㤸㜶㜴㙦㘲昰㜷㍦㑣㕤昷昱㠸㙦慦ㄹ昷捤愳攲挲㐲㌵㉥㌰ㄴ攷㤶敤晢慢攸ㄱ㌳㥡㙥ㄹ㌶愱㘷攱晡户㍢㌹ㄲ㝤㔰㘹㌲攲㍣〳搷㌰昵㠴㤲㤳て慦㥢戹昱攵敦ㅦ敦㕥㜸挰㘳㐲收ㄵ㐰㈸摤㈰〳㙦㌲㑥㥦搳敦ㄸ㜰㤹昹扤捥㠰搷敢㔳ㄷ愳㡥扡㠴戵㝢㐰㜲㉦㌳㥦㕦敤愵昲㐴㄰㈱捥㌰㝡㍦愸㘷㔳换㜳昱㡤㔳㉦慤㍢㔰㍣昵敥挸㤱㠲〹㡤㌴挹搲㐲㈷㜸扡愱ㄸ㜰㝦㍡慤㔰㡤㔳つ挵挷攷㙤晢㝥㑣敢搸愶㡢户戶㥣㜰昰昷ぢ扦㐷㔷㌸ㄸ搱愷㤰ㄱ㈷ㅢ戸攸㉦づ㠸敥㔱㜹㐷敢晡慡挳慥慤㝣㜱㐵㥢㤰〹ㄶ㄰捡㘹㈰㡥〱㜷㍥て敥戰慥㠱㜷㍥愷挳敢昶晢㕣〱昵㜴搴㔲㤷戲晥ㄹ㈰戹㐶昱戸搴㌳愹㍣ぢ㐴㠸ㅥ愳晦㘷㔶昵㝣昴散㉥挷捣扣㜸晦㑢换㔶㕦㜱改〸挱㙢㑦ㅡ㘵㠹㠱ㄸ㜰敦㔹㙣㈸〶摣戶扡ぢ搵挸ㄸち㔷㌲㔴㌷晢㕥晢㡣㝢㕦摢晣愹敦戸昳ㅦ㐰㔷㌸㘸㤴昳挹㠸㤴㠱㍢愳昹㈰摦搴㔱㡢㘷㍣㜰㝡攵㜷扤㤷て㥥㉢㤸㙢捡㐱㥤㔰愸㡢㐵㠶㘲挰慤㍣㔹愸㐶挲㔰㉣攸㜵捤晢㘱挱㤳つ㤷㙥ㅣ晥攴㉦㉥攸攲〳〷〷〷戵㥣㡣攸㌲㜰扢㙥晢㜸挸㉥扦㍤㙤捡戵挵攷捣戵捤㝡㝦㥥㘰敥㉢〷戵戰㔰ㄷぢっ挵〰㈳挷ち搵攸㌴ㄴて㕤昶搰㍢〷㕥昴㔵攳㠶晢扢摦㝣晤昸㝢改㑢ㅣㅣ搴㑡㌲㈲㙡攰㙥㘹㙡㍦晣搵戲摦捦扣攵昵㙤㉦㝢づ㍦㘶戶㘰㉥㉥〷愵ㄵ敡㈲㘲㈸慥㕣㌸晤㝦〷摤㌰扡攱挱ㄹ挳づ扥攴戳攳㕦ㄱ攱㐲㌵㐲㠶㘲搱〱㜷㙤㡥㝤㜸换挴昵㉢㕦㑡㑣扣戹㉣挷㔲慢攴愰㡥㌷㜰㉦㈴㝢慥ぢ摤昷㔶敢ㅤ㉢㔷㑣㌸昷昹ㄷ㑦ㄲ㕣ㅢ㤰㠳敡㈸搴挵㉦つ挵戹㕢㡥晢晢㤶搸昰㤶㤵ㄷ扤昵攵ㅦ㠲㥢づㄶ挷ㄵ慡㜱慣愱㌸攷敥㘱挷愶慦ㅡ摤㝣攷㤵㈳搷㝥㌵㜷㙢㠸㈳搱㉤㜵〳ㄹ㜱戴㠱扢扦摣愹㥣扦晣㤱㤹搷慦扢昰㠵攳㍦㤹㜲㤲攰㕡㠵ㅣ搴㔱㠵扡㌸搲㔰昸㥢昷晤㝡挱㡣〳㈶摥扡昶收㡢昶摡晣㜰愳㤸㔷愸挶㕣㐳搱扤攱㡤敤愹搳て㘸㔹㌷㉥㜶㕤摢戶戱㔷㜱㈴晡愰㙥㈵㈳摡つ摣攳晢㝦㍣攱扥㑤㙦㑦㕦昱摥晢㑦㝥敢㜹㘸愹㡤㠹敤㑦㥦つ㜲戵㐷㤵㑢〹㔸㍢㐹摢攲㤳㤲愹㜴㐹㠹搵㙡搲㤴㘰扡㌳ㄳっ㜵㘹㍢㔴㜲㑤㐰扤㡤㠴搳〳㌱〲㠴〳㔳㙦㈷戹㠳㈲愶㤵㔲㜴㈷㐵㜷㔱挴愴㑥㡡敥愶攸ㅥ㡡㤸㔲㐹搱扤ㄴ摤㐷ㄱㄳㅡ㈹㕡㐳搱㕡㤰慡㜵㈰㐷ㄸ㉢ㅦ捤愹攰ㄲ慣敡昴愵〸㔸㈸攲扦㥤㉦ㄶ㘱慤㈸敡㡤晡愳㑥㘷挴敢〸扡㠳戶㈶㌴晢㘳㈷攱㝣㌸㔶㐵攷挵ㄲ㤱攴ㄲ㌹㉢摦扢㌱㤸搶晡㈶改愳っ㕤㘳戲㍢ㄱ㐹て戳㔶戶㘵㠲ㄹ㙤慦㝣㕤㕦㈳〳慡戵㘱〵㑢㑢换晥昶挹慦㌶㌷搸搵慤㌵昴挴㜴昵昰㍣㌵㌲㤶㘴愸戰㜶㔲㑡㍢㈱慢ㅤ㌰愲〶慣㉣㉥㤶㙤て㌸㑢㕤愵㡦慢戶愹㌳㤹搶ㄲ㜲㜸愳攲戳㘲攱㠵㕡慡㑤攳扡愴ㄶ㤱愷㍡㤴㉡㈳㙤ㅡ㌵㌳㠱ㄳ挵慡㔶㘴晦㕣㘹㜴㘲㑦㐶㑢㐴戴〸挶扢㐸㑢㘵㝡摢ㄹ㝢扢昵㠳攸㝤㐲戱㘷㍦昱愴㘴戸㍢摤㤴㑣㘴㔲挹慥晥㥡㠶挸攲㈰㔲戵挸昴㘴㐴㐳愶㔵捡愳㐸ㄴ㤵㤴〸㔱㜴戰㔵扡挳㜶搳㘳愴㈳㜲㕣㍣ㅥ㍥摦愳㝦搸㡤㤹㡤戳挳㔹㜴㘹㡣挹攲扡㥤㌴㈶摢㘵㌳〷ㄵ〶收㥣ㄳㄷ㜱㠹㍥戰㌰㕡㡥㌱敢戹晦扦攰攲攲挱挶搹㑦㕣㡣㜴㜶㑡㌰ㄱ改搲㔲㔶昷㠵散ㄲ戴攰㠸搴昵㈰戶㠹戸㠳ㄵ戴ㅥ搷摦㐴㡦攸戵㉤㠹㐵㌲㥤㑡愷ㄶ㥢摦㤹㠱っ换搴攵攵㌴敤㠰㐳攵㕣㐰摤㐰戲ㄱ愴愲愲㐸㜹㤰㈰愵㐲㝤㐸㉦ぢ愶㤳晢攲愳㍥㑣昲㈷㄰ㅢ㌳挹㥤㘶挱㥣㡤㤷㌲搹慦㡥㌷㙢搱㈰搶㥣攵戵㈵㠲戶戸扥〴摢慣愵挳㉡搳晢ㄶ㐴㙡㡦〲づ㤷ㅥ㔷㜶ㄳㄹ慤㈷搳ㅣ捣〴换攲㔸㈸㠰㡤㔴㠰㐶挹㕡㍡挷㥡搵㔲㘶搶慥㌰㑡㘸挱㉥搹㥣㔶㉡愵㐰㙦〹㘱㡢㘸㉤㉡㌱攸㡥㑦〲㘳㥦㠰㤳㔰昲挳慣㝦挲㡦㐵攵挸㘴㉤搱摥扢㐸㑢ㄳ㕥慥㔸昹㌲晢〰挸て㙥㌶㌶㌳ㅣ㥡㤳㠹㜵愵挷㘰愴㤳㔳挹敥㐵晦挹㜶搸㤶晡〸㠸㜹搸づ㐷っ晤昸㜳㠲戹㡡捡ㄶ搳㌷ㅤㅤ㐵攵ㄳ㔰愲㐴㥤㐸挲㔸㐱㘳摢昱㈵て㜵ㄳ扥㉡㜶愴戳㜱〱攲愷㉣㡥搸㠰慦㡡挳㐲敤㈹㑤慥摤㤷换〲慣㕤ㅤ攷㑢㠲㔰㌲戹㤰昱㌴㐸㤶戲㙦ㄷ㉡㡤㈵㈳㉥改ぢ㈱㑡ち慥昱㌷愰㝤攵㈹㤰敡㠶慥慥㕡戳挵戴昲㌴㐴㈵㔸捣㔱㥥〱ㄳ㜰㌹㕣㥥摡愶戶搹つ戵敤㕡㝣ㄱ摥㜰㘸戵摥ㄱ戵昱㘴愴搶昳㥢ㄹつ㜳㈷㌵㌴搵㙡㤱㔸收㤰㐳づ㜱〴ㅡ收㑣㈶㝣㑣㑦㔷扡㐷戸㘰㥤㜷昱ㄹ㌰㥢㜷ㅡ㡡〱㈹づㄷ㔱昸っ㔵㥦〳ㄱ㠷〲挶㙢ㅥ㝣晦㐳㝤〱㘵昵㐵㤲㤷㐰㜰攵㑡㙦攰挲㝤㐵㉦㡡㘹昸㤶ㄷ敥㕦〸摡〲㈲愶㠳挸㘵愰㔷挱㤸㠷ㄸ㠹昶ㄹㄳ搲慦㕣戹ㄹ攸搷搷㈱慤㔰㜷愰ㄳ㕣搹愱㙦㔵摡㔲愵昵㔴㕡㑥散㡤㠶㉤つ㌰捣㔰っ挸ㅣ㡥㐰㌵㘹㠰昷㔸㝦㑦挰慣つ昰〱晢昸㤰攴㈳㤰ㅣ〳㝣愲ㄷ挵㙣㝣㑢〳㝣㑡搰㘷㈰愲ㅤ㐴ㅡ攰㜳㌰收㈱散攸㈳㙢㠰㌶㠸〷ㅡ攰㑢㐸㉢搴ㅤ攸〴搷㤶慣っ愰ㄴ㌲㠰捤㔰っ挸攷戸㈰㈴挷晤ㅤ㠷挲ㄴ㔶〴㑤ㄱ㕦挶愸㡣〶㌱摦ㄴ昱㝡㔴㜹㔷ㄳ㜱㔳㔴㑣㔱〹㐵㘹㔳挴ㄷ㥤慡㡤愲挵㄰㐹晢㉡㉣㝤昳㐳㈱晢㤶戳㠶㑡㔲〱㤲㘳摦㉡扤㈸㤶㤸㙤㔷ㄳ㌴〸㐴昴㐲㈴敤㕢㠳㤲㜹㠸慤攸㈳㙢㕦㉥ㅡっ戴敦㘰戶愹敥㐰㈷戸愸㘰㘵摦昷搰戸㘵㠰扤㙢㈸〶慣㍦㥣㠲㤶愴㝤昷收戸㠷㜳摣愷㐳㈴㙤戲て㑢㝦㉦㘸㤳㕡搶搸㡦㘴㝦㤰ㅣ㥢搴改㐵挱㈵〰搹昶〸㠲㐶㠲㠸㌳㈱㤲㌶㌹〰㈵昳㄰㕢㜲㙤㜲〶挴〳㙤㌲㡡㙤慡㍢搰㠹戳㔰捦捡㈶㥢ぢ搹攴ㄹ㐳㌱㈰㌳㍥ㅦ㉤挹㜱㝢㌸㙥㉦挷扤摣ㄴ昹㈸昲㔳戴搲ㄴ〵㈸慡愷㘸㤵㈹ㅡ㑢搱㘱ㄴ摤㘰㡡づ愷㘸ㅣ㐵户㥡愲晦愱㘸㍣㐸改㙤㄰敤昰㐹㔹〶㐰㐵㙢㌲ㄸ㤹ㄴっ攳㙤㜶㤹昱㉥扢扣㈹ㄹ㕦㠴㘹㐱捡捥㘷㙡ㄳ㈶愳㤸攴㉥㡥㐵戴㔴㌹〵㙤㜸㐳㕦捡㜴㑣㤱昳〹挴㍦㕥昲摡㙣㤵攵㔶㝤戵㤸㙤搵ㄹ㔳戲摣ㅤ〰㉤〳摡晦攴㠸挰㜸っち㝥㉦〱㔵㈷昰㕣ㅡ㜸㝡㑣搷㜸㍥㜹㠰㐶〲㥡〸㘰〶㘷〱㘸㈶㘰㈲〱捣敥㉣〰㤳〸㤸㑣〰ㄳ㍥ぢ挰ㄴ〲㕡〸㘰㌲㘸〱㤸㑡挰㌴〲敥戶〶戴ㄲ㌰㥤〰收㡥ㄶ㉤捣㈰㘰㈶〱㑣㈷㉤〰戳〸㌸㠲〰愶㥡ㄶ㠰搹〴戴ㄱ挰散搳〲搰㑥挰ㅣ〲㤸㤹㕡〰收ㄲ㌰て挴挶㔹昰㑦挸㌶㉡〱㔷愳㜳㘳摡ㄲ㑥搰〶㐵戱ぢ愰愹㍢㥤㐹捡搹㘴㜵戴㌹㌹㈳㤹㘹㡥愵昱㐸敦ㅤㅣ㌵㤸㜹㥤㕡〲㤹㔶ち〹㔷㥥㉣戹㘸㤱ㄶ㔱愳㙤挹敥㔴㔸㙢㘹晥㙦挸挴㜰㝥㌰㥢㑣挲㡡㌱搱ㄱ㍦㉦戹挰捡愴㐰㔸攳㈸戲㌱㈵挸㥦愵捡搷㔷㌹昹㥣㘴㤹扤搷昴㔹戴㍤㤶改搲㉡愳㌲㤷㤲㝣㜹ㄴ㔶㐴晡ㅡ㈹㡢戶㜷㘲昶搶㕣ㅤ㥤㥣㡡㐵扡㘲〹㡤捥ㄸ愲㐳㕢戵昹㐸㔵㘷㈵搳㌱敥ㄱ愹㡥戶愷㠲㠹㌴㉦昰㐴戸㜷搷㝥㈵㜹㐱摢愲㡤戱㐴ㅡ摤㐸㉦㤲慦㠹戶㜵㈶㤷攰捡敤㡥㈷㈶〷ㄷ愵晦㉢扣㠲㔰㌵づ改ㅡ㔱㉣㡡㡢㐵㜹㜱昹捦昵㡦㜲㈴㕡摣扤㙦㔹扡ㄶ戱㥡㐹挵㐲摤㌴㥡散挹〵㕡㑡㈲晤㔸㘴㘳㔲㤷㍦换捦㜱㘳㕥㠲捣昱昶㝢㈱㙢戹㡣㤵捤㐸㜹ㅢ㔴㡦㐲愵慡愳㐱愶㑥㥥搳搲户㜴昴㝦摢㙢挴㌴昴㐷㘷敡㕣㥦ㅥ愴㠷ㄱ戳㜷㐶ㄵ慥㑥㐴〳㑢昹愱㔹ㄱ㤵ㄸ㐶改愰㍥㜶ㄲ搲捤慡㘸㙢㌰愴㜵㘱昹㉥ㅥ捣っ搲ぢ㕣㉣㠸〷扢搲㠶づて㡡㜸㤰㘱挷ㄷ挸㙤攱㘰㤷㔶ㅥ㙤攸捥㈴昱㔶㔶㡤㠲挸搸㌴㐴挱ㅥ㠸㠲㍤㔲㔴ㄵ㥤捤戵㉢晤㔹㠴戶㤲昳㠳愹㔸愶㌳ㅥぢ㤷戳挰昵愵晦㡡㜸挵㍤㠴慢〷收㘱摥㑦昲ㄳ㘴㍤㑤㠵扢挷㘰㐵㠷愶愳晢ㄱ搵挵㐲挱㍦昱㌳㤷㌶㜰昷㤱戳ㅦ昵㔸戴㘶攳慡㉡㙦㐷昲搸㙡敥搴摢㝡㌲㈴昲〶㈵ㅥ㈲〰ㅦ昵㌸㔰㌲昲昳㌰ㄸ昳挹挱愴戱愲㠲ㄳ〸昵㤷㔰慡ㅤ㈰㠲㑢ㄷㄶ㠰攳〹〸㠲搸ㅥ〱㈰晦㠴晢攷晡㔸ㄱ攰敢改㔲戹㌳㠱慢㄰攵挸搸攵昲㠵㑤㝡戸㌲㘷搹㐱搱㔷ㅣ捡捤敤づ㑡ㅢ㐲㐷㡢㔴攸㌷㉥㉥㙦昰ㅣ㡢戱晦慣戸㕣挹㕦㌰ㅤ搰㉤ㅡ㡢户㘹㜲㍤㐲㑣挰㄰㤴㄰㉡て㘵〴愲晤㡥㜱戳捣ㄷ晤㑤㜸搱晦㈰昴挸㉤戶攳㑢ㅥㄵㄵ㙡〴攸愲ち戱〹搴㌴〱㑦挴戰㤱〶慤ㅡ〵ㄱ捣㌹昹㠴捤㜹ㅥ㠸ㄷ㔰攴㌳愱㐸攵㍤㐸ㅥ㜹昷ㅡ昱㈲愴㜲ㄱ愹㤳㡤㌰ㅦ攵㘵㥣㜵敢〲㐸㜷敥㔶收慤散㐰㕤挸㐶㡣㠲㘰昲㙡づ㌹挷慤㕤〰愸㜱〲㤹搸㕡〰ㄲ〴㈴〹㘰慥㑢搷㉡㡢㔰戲㌴㤹摢捡㘴㈹愰㘱㌲㘶扥㘶昳㌹㈶㑢戳昹っ㥢㝦て㠰㝣㤳㌱㌵摤㠹挹㤸戸㑡㤳㉤㘶㈳捣㘰晢㤹慣〷搲㥤㥢㡣㤹㉥㠰㐵㙡㉦ㅢ㌱ち攲㔳㌰收㤰㜳㑣㜶㈲〰敡㐹〴㌲ㄵ戶〰晣㡡㠰㕦ㄳ挰散㔸㥡散㌷㈸㔹㤹っㅢ㉡㉣愲散ㄴ愰㘱戲㉦㜳㥡捦㌱搹愹㙣晥㌴㌶捦扣搶散ㅦ㉣挲戰〴㔴㍤㥤㠰愵〴㝣㙦つ㌸㠳㠰㌳〹㘰ㅡ㙣搱挲㔹〴㥣㑤〰㠳摦〲㜰づ〱攷ㄲ㐰㜳㔹〰㤶ㄱ㜰ㅥ〱扣㍡㉤〰攷ㄳ㜰〱〱挵搶㠰ぢ〹昸㉤〱㑣挰㉤㕡戸㠸㠰㡢〹㈸戵〶㉣㈷㘰〵〱㌶㙢挰㈵〴㕣㑡㠰〲㤲ㅦ㝣捣摢㘵昰㈹㤷㠱晢㈹㜳〶挱㙣㕦〶攵攵㘰〴搳晥㝥㐱㜹〵〴㍢て㑡㉥て攰㝦㤱㝡愵挱戰㈰戸㐶㘰ㅡ㈳㈷㈸慦㠲㔸扤㥡㐰慥ㅦ㔸〰㝥㐷挰㉡〲戸愴㈰㠳昲昷㘰慣㠲ㄲ摢て㉣㠲昲㕡愰ㄱ㤴㕣㘰㌰㥢㍦㤸㤲㡡㕤㌸挶敢㈰㔶慦〷ㄱ㝢攷〰愰㌱㠳昲〶〲晥㐰挰㜰㙢挰㡤〴摣㐴挰㍥㈰昹捥愸㠵㙣㈷㜷㠲晤〰㤱㐶扦㠵㡤散て搲捦攸㝦㠴㘰攷㐶慦㘳㕤㥥搰㙤〶挳㠲ㄸ〱㙡㥥㜴㡥搱㔷㐳慣摥㑥攰㐸㙢挰ㅤ〴摣㐹〰搷㉣愴搱敦〲㘳㘵㜴㙣㙦戰㌰晡㍤㐰挳攸㕣挱㌰晢捦戹ㄳ摣ぢ戱㝡ㅦ㠸昰攴〰㔰挳㌴晡ㅡ〲搶ㄲ挰㤵〸戳㠵ㅣ挰㍡〲搶ㄳ攰戳〶摣㑦挰〳〴㜰攱挲愲㠵つ〴㙣㈴㈰㘰つ㜸㤰㠰㠷〸攰㍡㠷㐵ぢてㄳ昰㈷〲挶㕡〳ㅥ㈱攰㔱〲戸㉣㘲搱挲㘳〴㍣㑥挰攱搶㠰㑤〴晣㤹㠰㜱搶㠰㈷〸㜸㤲㠰晦戱〶㍣㐵挰搳〴㡣户〶㍣㐳挰㘶㄰晢〴㄰ㅥ昶〶㤳㘹㌴㤹㈶㤳㘹㌶㤹㠹㈶㌳挹㘴㈶㥢捣ㄴ㤳攱戲㠴㙣㜰慡挹㑣㌳㤹㔶㤳㤹㙥㌲㌳㑣㘶愶挹㜰㔹㐱㔶攷搲㠲㘴戸㡥㈰ㄹ慥㈵㐸愶摤㘴戸㜸㈰㈵㜳㑤㠶慢〵㍣〴搳ㄴ昲敡戳〶挳㠲敤㔸搰晣挹摥㠰搹㉤愷挴ㄵ㔱捥㜳摢㌲扤㕤挸㉤挸㜲昲愷㜳㕣㙢搲搵挸㍥㤳愹㔲㔱㔴㥡晦㙥㉥㕢㜷ㅤ㥡慡ㅣ㤲昷摥㔳㔶愳收㘸㡣挶收挰攲㕣挱晡ㅣ㜴摦㙢ㄸ搶攱愱㍣て昹㤰改戱㜰㉡㤹㑥㐶㌳戵㙤挸㥤㙢昹ㅥ㌹㡡㑤㑣つ戶㌱㘸搱戲㑦㥥㔸㘹㠲扦㠴㔸捣㌷㍢ㄵぢㄳ挹㈵〹㌹ㅡ㕢㥡慦搳搹㥢㕡㔶挶㙥㉡昰㤱挷㉦㘰㐵晢㜱搰戰戲晡㈲㤸敡ㄲ晢㉦㡤戲昲ㄲ㤸ㄱ㑤㡤㑤戳㍢㍣扥晡戰㍢攸ぢ戹摣㈱㡦㈷攸慢て搴㍢ㅤ捥晡㠸㉢㕣慦搵晢挲㙥愷昲㜲ㄶ敡昰搴㐷㠲ㄱ㔷㌴攴〹〷㍣挱㘸㌴㄰搱㝣㍥慦㉢㔲ㅦ昵昹摣㕥㉤愴扣㤲㠵㝡挲㉥㤷换敢愸昷㠷㐲㔱㑦㔰㡢㠴㠲㔱㜷㈸散昲㜸㝤㑥㙣㑡㡤〴㤵扦㘴愱㡥愸摢攵㜶㌹〳㕡㌰攰昱㌸㕣扥㐰搰改㜲晢㠳㘱愷搷ㄱ㠸㐶摣㍥㍢搳〱㜹ㄲ㕢挰愸慦㤲晣㤵攴㙦㈰昶攳㐱愴昲㌵㡡㕥㈷㜹㠳攴㑤㄰㝢㄰㐴㉡〹捤愹挹㠶㙣ㄱ㤰ㅦ㍢㤱㘷㈳㈲㈴挲㈲㈲戴搲戲㌲㌱㈲敦攵昴㠰〴㈰晢㝥㔱㔱㈶愰慥㙤㙦戸昶挷㔵挲愸㜲㈲㠷㤵攵扥㤵㜷㜹〶敦㠱㔴搸改㙥づ㐸㜹ㅦ捣慥㑤㡤ㅤ㜸敦㘵扥〹㘳戴㉢ㅦ㐰㕥〵戹㑣㜲㘶攳慤扥昲㈱㈴㠳㈰挹㔹㐶㔰㍥㠲㙣ㄷ挸晡㙦搶戶㐷㈱㤶㌶㝢〶㕤挸摤挹晡㍥攵捦㈰ㄷ㥤㈴㤴㝦㙥㌰㉣㠸〵愰扣㐰㠵ㅤ㘷挹换〲挲㈲㤵戱捥戰ㄶ㠳㈰㘱㘸昷て捤㠵㔰换㝥扥〴㠳搰散㌲捡捡㔷㘰昴搰慣㜷㐴〳〸㌶㠷㍢攰㜳㝢挲攱㐰扤㍦攲昲晢摤愱㠰㉢ㄸ㜴㘹㥡㔳昹㘷ㄶㅡ㜲㠶㐲搸搰攲㜱戹㈳ㅥ㑦搴㕦㕦ㅦづ戹㐳㝥㑦挰ㄱ㜲昹敡㐳敥戰昲慦㉣搴ㅤ昶昹㠲〱㠷ㄶ㜴㜸㝤ㅥ㠷捦ㅦ挴㘶攸愸收愹㜷㠵〲㔱扦摢攷㔳扥捥㐲挳㑥捤攱㜶扢㕤ㄸ㠲换ㄳ〱㌴散㜴㐷㕣㈱㡦ぢ摤㝢㥤㔱㠷㍤づ愸㍣㠹㙤㘰搴㙦㐸扥㈵昹㌷㠸㍤〱㈲㤵㔶愱㤹㌴㤵㠴敡㌵㘵ㅢ慣㉥㤸捣㌰㍣挵㜷摦㙦摦捥搰㤱㈱挰㘹㠵慡㠰㔴搸搳㔰捡愶ㄹ〲㉡晤慤搲挵㉡㝤㙡捦㠰㐸愵昴㈰摦㉢敡㕢扤〷愱慡㔸っ㈵晥攳㘷㙢㉣㠱㤱㥦ㅥ㔰改挱慤攸㜰愰〷㍦㠳㜴愰〷㝢㔱㐹昶㌳ㄸ㑤挱㠳㈷ㅡ㘵㘵〸捡扡〷挳㕥㝦㌰ㅡち搷晢愲慥戰〷㥢搱㠳攱㠸ㄷㅢ㡦戴愸慢㍥攰搵戴愰㌲㌴ぢ搵摣㘱散㍢昰㠴㠳搸愴改昱攰㡥ㄱ搱㐲㠱㠸搷慦㘱㉢愷㌷攲㜴㉢扢㘵愱扥〸ㅣ〰㝦㝢ㅤ㙥㥦㈷ㄴ昴〶〲㜰㜸挴攳㡣㙡昵敥〸㜶摣㉢扢㘷愱づ摣㤸㕣摥㠰㈷敡搶敡㍤搱晡㔰挰ㄷつ戹ㅤ挱㌰挶ㄴ㠸㐴挳ㅥ晢㐹收㐹散㠱㍡敡㥥㈴㝢㤱っ〳戱晦捡㔴㕡㜹昰搷愶戲慦㈶㉢挹敡攲ㄴ㈸愵〷㕦换昵攰〸敡㐷㠲㔴搸㑦㌵㙢㕢㜹昰㌴㔳㈹㍤㌸㥢敥攲㙢㔶㜵っ〷㜵㍡㤴㍣散㑢㑤收っ㤳㌹搳㘴捥㌲㤹戳㑤收ㅣ㤳㌹搷㘴㤶㤹捣㜹㈶㜳扥挹㕣㘰㌲ㄷ㥡っ㌳㈴搹改㐵㈶挳㤴㐸㑡㤶㥢捣ち㤳戹挴㘴㉥㌵ㄸ㜱㌹ㄸ昲敡愱㌸〳㌲昲㜳〵愸㡣扡攷㉣愳㙥戳㘵搴㕤㠹㑡㌲敡摣㘸ち㔱㜷㤵㔱㔶㍣㈸敢㔱㠷摢㠳户ㅥ㍦㥦っ㍡扤㐱㡦搷ㄳ慡挷昳㉡ㄲ㜲㠵㈳㈱㕣摥㝥㝦㐴昱㘶愱㍥㍣昱晣㈱㠷慢摥敢昶㜸摣捥㐰挰ㄹ搲㥣昵㥡㔳挳㤷摢ㄹ昱㈸扥㉣搴ㄹ㡥㠴挳㕥㕦㐰㜳㜸愲ㅥ㑦挸ㄵ昲搷㠷㐲㍥㉤ㄴっ㐵㐳づ㠷收㔶晣㔹愸〳搱收っ㈳ㅡ㥤捥㝡戴ㅡ慤㡦昸挲ㄱ㜷挰㕢ㅦ搰〲攱愸㑢戳㕦㙤㥥㐴〰㜵搴㝡㤲戱㈴㠷㠱搸㝦㘷㉡慤愲㙥㤵愹㤴㤵㘴昵㙣㑤㜱㉤㤴㌲敡ㅥ挸㡤扡㠹㙣㜹ㄲ㐸㠵㥤昹㔳摦㝤㠳㜷㡢扥㥢㠷晤㝡㔳㈹愳慥㤵戵昸捥㔸敥㈰户摦〰㈵て晢ㅦ㑣收㐶㤳戹挹㘰挴㉤㘰挸慢㌳㔱㤷㡣晣晣ㄱ㔴㝡昹づ㑢㉦慦戶昴昲㙤愸㈴〷摡㠶愶攰攵搵㐶㔹㘹㐷㔹昷戲ㅢ㔳ㄴㄸ搹改昳扡ㅤㅥ㝦挰ㅦ㜴㠶㕣㑥捤攷昱㐷晣㉥㙣㠹て㉡㜳戲㔰〷散㡥摢户㠶搹㐵搸攳昷攱敡㜷〷ㅣ㉥㜷搴ㅤ挴捥て摣ㄳ㤴戹㔹㘸搰㡤㔰昱〶晣づ㝦ㄴ户㝤捣㐶㈲㕥愷ㅦ㠱㠳㥥晣㘱戸㔱㤹㤷㠵〶㥣㥡ぢ扦戱搱㍣㐱㍣㜴晣搱㐸搰敦㡥㙡〱慦挳攱㐵〰㌹挲づ晢敤收㐹ㅣ㠹㍡敡㔱㈴㐷㤳ㅣ〳㘲㘷搲㈶捦搰捡换㜷㥡㑡㔹㌳㕢㐹戶㈱敥㠱㔲㝡昹慡㕣㉦㙢㙣㌹ち㔲㘱扦搷慣㙤㜵㙦戹捦㔴㑡㉦㉦愵扢㑥㈷㐹㜰㔰㙢愰攴㘱㕦㙢㌲敢㑣㘶扤挹摣㙦㌲て㤸捣〶㤳搹㘸㌲て㥡捣㐳㈶挳昴㑢戶捣ㄴ㑣㌲捣户㈴昳愸挹㍣㘶㌲㡦㥢捣㈶㤳昹戳挹㍣㘱㌲㑦㥡っ㜳㈶搹捥搳㈶昳㡣挹㙣㌶㤹㘷挱㐸㘳㈷㜱㤶搵㈵㌶㑥㠷て换㥢挳㔹扦㙤ㄹ㤵扦㌷㜳㈲昶㕡昶愲㤵愲ㄲ扣戶搶搷㤱㑢㡢挷晥扣戶㌸㑢ㅣ㡦愶昸戱晤ㄶ摥晣㍦戴挳㔳敤换㌸搸攲扥昸愸㈷㘰愸戶㉤㔰㍡慣㠶㤸晦㡢昰摣ㅦ㐱㉢愸㍥㌴摥㤲挶〴㔲晥㐴扢㈱晢㝢散㕤捣㠹攵㈸㜳㌷昵㠸㍥㐹㐳㈸㡤㜷㝢ㄹ捤慣㌶㌳㤵慤㠷㑤㠰挸㕥愰ㄸ挵扤搷㐳晢㑡㌹敢昰挳晡愴㉤㠹㌴㌶挳㙡ㄱ戳挵㌴㔶昹㑡㡢㑢㠴攵晢㘴攳挷㝡㤸ち㥢つ㑣㑣㜴挷ㅢ㜰づ挳㉣㌶ぢ㌴挶㌲昲攵搸㕥搰ぢ昵㈵㤸㐷㐹㌳晥挷搵㘵㝦㠳㔷搷㔰攷㜱摡捥㠳㔳㝥㐲㝦晤㥤挰摥㜹㔴愸摤㘸㕣㌰㜳愱㈷㠴捡㤴㑡㔹〲㤹㌲慥慥㤵摤㥣㡤㙥㉣㕦愳ㄹ愷挵昷〹㌴ㄲ㜶昹戶昰搲捦昱㜴〳㑡㕣㡦慤㔰ㄹ㤵攲慦搰敡㥤扣挲㑥㑥搲㍢㤹㠶㑥挴㔲㜴挲㡥㈰〲晡搷㐴晦㉤㡢㘶㍥愶㥣慣愳愷ㄳ㝤㡡㠱收㘵㔳愱㥥㑡㌴敦㔴㙣㠰㈲挱㔴㡢〵昶㉤㤸㜲㤹㑤ぢ愶㕥戴ㅢㄴ㐵㌵敦愲挰㐸攲㈷攷搸捡〰攵㌱㐱㔲㝤愷㈲㔸晢㠴㉢㔶昲昸㜰㝣捤㝢㘶捤攳挴㝥ㄷ㌷搸摥㍡㜹搵ㄷ户ㅣ㌶攲敡摢户ㅢ摦㈷戳收㠴敢づ㜹㔸㙦㐱愷〷晦摡搹㈰㍥㐳捤挹㈸攷㙦㙥㍢〹㠳戲摣㝢㜴愲愱挸摦摤㘷晦ㅣ㉤挹晢挶㔹㌸晦敡ㄲ挱㕣㠵昷づ搱㠳ㅡ扣㘰攵㌵㜶づ㡤戳つ㘲摤昰㕦㠱㔳㤶㐱〶敦挲昰㙥㤱〱搰戴づ㝥挴㐳㌴㔳〵ㅤ捤ㅣ㐶戹㔰㐷㈳ㄶ摣㘲㤱㠱搶㥤㝡ㄱ搱摦㘶搱晦㈲㝡㌹㘴昹愱敡ㄶ㕤愸㘷㥡扤㐲扤㠴昵晥㥤慤挷㥣㐶戹㑣敦〵敥㜵㡢㑥愳ㄷ摤扤㉢愱愹㘱㝥昱昳㕣挵愴㐴搶摣㤱慢㍡㐷㝡ㅥ捥㜱搵㐳㜳愷戶㈳㌷㐴㑤㉢㔷㠵㌱㍣㑢㔷㠵っ㐵晥㍥㐴㝢つ㕡㤲慥㕡〵〶慥ㅡ㡣㉦改慡攳㔱㈳敢慡㙢㈰ㄵ㝢㠰攸挶㘷愶愲㕣㐷㌲慥㙥㝡㥤㍢㈰㡥敤㘷㤶ㅢ㠸摥㌳㡢ㅥ㑡攰㡤㍡扡㤵攸㈳つ戴敥慡㥢㠹摥㉢㡢㘶扥愲摣ち㤲攷㉡搴㙢㐷扤㍥㔷摤挶㝡㑣ㅤ昴㌱敤捥㝡户㤳㌰㝣㠰㥥㘵昴〲ㄱ慥挴㍢昱㔵㌳㠲㙡ㄴ㝦晡㔵挵散㘳愷慥㙡㝤戹㍥搷㔵㐵ㅤ㉤㜰ㄵ㤳て㉢㔷㑤挳昰㉣㕤㌵搵㔰攴敦㤸戴ㅦ㡡㤶愴慢搶㠰㠱慢摣昸㤲慥㥡㠲ㅡ㔹㔷慤㠳㔴㜰㠲慢㥢㠵搳㝢攵㝥㤲㜱㜵㑤㜵㍥扦㘸㌶捣愲ㅢ㝦〳搱昵㔹戴㤷挰〷㜵㜴㌳搱ㄳっ戴ㅥ敦てㄳ捤㜹戳摥㌶㈷昹捡㈳㍡扡㤱攸挳つ㌴㐴㌰昹㘳昸ㄲ㠷㠱攸㘸㍦㠱㥢㐰昲ㅣ㡢㝡〱搴敢㜳散ㄳ挰搴㑣㈴晡㘷戹㡡㔳昶㥤扡㙡挵㍦㐷昵㜳搵扣搵挷㌶〸捥摤慤㕣攵挶昰㉣㕤攵㌲ㄴ昹㥢㉦敤㌳搱㤲㜴搵戳㘰攰慡㌶㝣㐹㔷㌹㔰㈳敢慡攷㈱ㄵ㥣慡敡〶攲ㅣ㕤㜹㤱㠴㔷㤵挷㈵㐶〳捣ㅢ愰㙥晣㤷㠹㍥㉡㡢㥥㐳攰㕦㐰昲捣㠹㝡〷愲㑥㥦㌹㕦㘵㍤捥㠵昵㕥㌸㘷㔷晥㐶㈲ㅦ愲㉥㔱㘷昴愲〷挴敢㐴ㅦ㤳㐵捦㈳昰㑤ㅤ㡤㥢戲㑢搴ㅡ㘸㠸攰攲扦攳慢㐶愳晡㘷戹㡡昳敥㥤扡敡㡤㑢扣戹慥㍡愵㙤捦㐸㠳攰戴摢捡㔵挳㌰㍣㑢㔷敤㘵㈸昲昷㠴摡㤲㘸挹㜲慡㤲戳ㄱ㉣攷户㔴晣挱㠷㉤捡昵挲捡愸㉥收㙣ㄴ敢攳戱慥㉥戹戴㕣㠵㕤㌱㈹晣㥡愹ㄵㅢ挰戰慦〶㝦㌳挱㔸㈹挴挶㌰敥㠷㌰昷㜱慡戲挴捡㑡㜴㘶ちㅢ㍢换愲㉤㘹㙣摣㡢㤴攳昷㈰㤹っ晥捥挲㝦挳㤶ㄹ㉣昶㤷挲㐰㌸昴捤㌲㤶敢散㕣㐰户㥣㠶改㈶散戳㠷昹㈳愵㘲㙥愶昹㜹㝢昸㤴昷㌱㥣摣搷扤㤱㥣㉤㘲愵㘲て戸㔹㕦㜲㍢愵㐸捥愴戸づ慣㝥㠸㍡捡㐷㈰㈵㤸攸捡昴ㅡ愴㐲晤ㄸㄲ昹㕥㑦㤲㈲ㅢ㈷晤昹㈷挸户ㅦ扣愳ㄴ攵晤摣愸戲搲㝣㍢㐱攳㤴㜶〳戲愳ㄹ㌳㉦慥戲㜸㐷㤰㝦㙦慢㍣摥搱愵㈵收㘷㍡戳㝦㘳慢㑣晥㜸㐹晤ㄴ㡤昰㕡㈷㔸昴愲挰㔶搵捦㐰昰㕦㝥〴愷㥦㔲晡㜹慥昴㔴㔳扡㌵㔷捡挹ㄷ愳㕢愵挹㑡挵㈰㑢搳㝣㐹〰㑤搳㘷㤶㝦㔲昴㈰㈴扡㔹〴攷㘹㌴㡤㜹〸㑥挵攴㈰扥〶㐳〵㍦攲㈲㔳扡㉤㔷㝡㠹㈹晤〶㑣昶攴㔶㥡搲㙦㜳戱㥣㠲攴っ戸搴㜲挰摦〳㤴㌷攰敤ㄴ攵っ㤸戳㤵㝥〳扥〱〲㌹㘰〱搳㠲搷〷捣㠹㠷㤴ㄶ攷㑡㌹慤㤰㔲散愸敥ㅢ昰㥤愶戴㌴ㄷ扢〶㔲づ㔸攱ㅦて㉢ㅣ㤴摦㝥㘷ㄵ㤴㘵愸㤳㜷㈲晣㠳㙡戹㈷戲づ㙤昷㍢ㄱ㍥慥攵攰㉡㜳㠷挱挷戲㤴㔶攵㑡昹昸㤵搲敡㕣㈹ㅦ慥㔲㍡〸搲慣㍦㥥㠵㌴挷昲㕢㉤〷扣ぢ㙡攴つ㜸㌰㐵㌹㤶㝦ㅥ敤昴ㅢ昰换㘶㜷㐳㜳〷昱慡㈹摤㉤㜷㄰㝣昴挸愱敤㥥㡢攵㈳㐶㑡昷挸㤱摡㜸㐵晦攸㕢㡥㠰挷〷攳收㙣晣搹扢㐶㙣㐷ㅣ搵挵㍦㝡㘷戵㕢扥晦敥捦㍤搱愹攰㝤㠲㙤愸㝢戱挴㔸挷愷㠶㔷㉢㤹昲㙡㤶㜸㤵捡ㄲ㈰㐵㌵㥦昷㉢昱慡捣敡〴慦㌸づ㕦ㅤ挶搶晥㘹攸搴扤㜳摢收㠵㤵慤㔱挳ぢ慡慦挴ぢ㐹㤶㘴扦扣㠰戲㍡挱㡢㐳戶㍤㥣慤昱扡愰㑥摤㈷户㙤㕥〳搹ㅡ㌵㡣晤扥ㄲ㘳㕥㤶㘴摢㡣昵慣㑥㌰㕥㘵摢晢㔲捣㔰愵㑥慤㌵ㄸㄶ㙡ㄸ㤶搹ㅡ㌵っ挷扥ㄲ挳戰慦挴昰㤳㈵昶㈴ㄸ㕡戲敤晤㈸㘶㔴㔱愷敥㙦㌰㉣搴㌰㠲晡敡㌳㜲戲昵㙢ㄸ㌱㝤㍡㐶㑡戶㈴愴ぢ搹摡㉦㈰㌶て㍢㕤挹昰㔷敢挰㘰㠶㈶㥤挱㜲㍦ㄴ㥤㈲㔱㈳㜵㤴㌴敢〰ㄴ捤㉢㔱〷敡㈸㘹愰〱㈸ㅡ㑡愲づ搶㔱昲㔴〷愰㜸捡ㄲ㌵㕡愲散收㜰〴挷㈹愷㤰㉦攲攲攴ㄴ戲ㄱ㜵换戱挳㡢㐳㤳㡡ㄷ昲ㄴㅣ㡤㔴㍣㥦愷攰〰愴攲戹㍣〵晢㤴㡡㘷晢㉢㉡晦ㅦ愴㐲㌰㤶</t>
  </si>
  <si>
    <t>㜸〱敤㝤㜷㥣ㄴ㔵搶昶摣㘱愶㤸㙡挲戴㈴戳〲㠲㈰〸㜶づ㈸捡㌰攴㌰㘴㕤〳㐲㜵㜷㌵㡣㑥㠰㤹〱挱〸收㉣扡敡慡㡢㡡㌹㘷㜰捤㠲敢慥㡡〹ㄵ㜳㠲㌵慤㌹慣㌹㝥捦㜳慢㙥㜵㜵㜷捤っ昲敥晢晢晣攳㉤愶て㜵捦㜹捥戹户捥戹㔵㜵敦慤搳搵㈵愲愴愴攴㌷㙣晣㥦㕢ㄹ㜷㜶㥡戱戴戹挵慣ㅦ㕡摤㔸㔷㘷愶㕢㙡ㅢㅢ㥡㠷㔶㌵㌵ㄹ㑢㈷搵㌶户㜴〰㐰㥢㔳ぢ㜹㜳昹㥣收摡㈳捤㡡㌹㡢捤愶㘶㠰捡㑢㑡㉡㉡昴㔲挸户户㍦㝥㔵搰愹愵㤷㤱〰㔵愲㙢㈴ㅤ㐹㉡㐸㜴ㄲㅦ㐹㈷㤲捥㈴㕤㐸扡㤲㔴㤲昸㐹戶㈱改㐶搲㥤愴〷㐹㑦㤲㕥㈴摢㤲㙣㐷挲晡昵ㅤ㐸㜶〴改扣ㄳ挸捣敡㤱㔳㔲㠷攱㘸㘶戴㌴㌶㤹㝢昶摥摦㙡昳昰㘰㜰㘸㜰㘸㈴ㅡっつつ散搹扢㝡㔱㕤换愲㈶㜳㜸㠳戹愸愵挹愸摢戳昷搴㐵愹扡摡昴㐴㜳改捣挶挳捤㠶攱㘶㉡㄰㑥ㄹ㤱㐴㌰ㄲ㡤㘶㤳挹㐴攷㥤㘱戹愶㝡攴搴㈶㌳摢晣摦戲戹ぢ㙤㑥愹ㅥ㌹戴挶㙣昹㙦搹摣ㄵ㌶㘱㜲㔴㘳扤㔱摢昰㕦㌲㕡捥㤸㐶㐷㤹改㕡〶摦㌴㥢㙡ㅢ收つ㐵戳昳ㅣ㡤㔲㝣㘸㔵㜳昳愲晡〵散㐷搵㘶㕤摤㜴㌳㉢㠳㕥㍦慡戹㘵慡搱㔴摦摣戹㥥晥㌳㥢捣㠶戴搹摣戵㝥昴㤲戴㔹㘷〳㥢㉢敡昷㌷㥡㙡㡣㝡戳㡣㍢㤵昵㔶っ挷㘷捣㠶㤶摡㤶愵㕤敡㘷㌵㥢搳㡤㠶㜹㈶㈱攵昵㘳ㄷ搵㘶㐴㔹ㄹ晥㑡㍡っ昰㙡㤹っㄴ摡㔳㕦㍤摦㘸㙡㤱㈵㠶㌰攸㠵㜵㜵ㄷ㜹ㄴ㜹敤㘲㤷敡㕤愰挵㤸捤愸慤㥦㘸㌶㌵㤸㜵慣㠴㤱ㅣ㕣〰㤲づ戲攲攰㜸㑡ㅤづ愳㈴㍡搹㈷ㅦ㡦㠵戵㘸扤㐱㜶㥢搹㔴㡢挳㕣㔴㘷㌴敤㌹戹戶㘱昸㤰昰㥥㤳㙡て㌷敢㙡捤收㤶攱㠱㍤ㄳ㠱晥挳㈳㝡ㅦ〰昵扥㔴搹つ愴换昰㈹晤㈲扢昷ㅤ搶扢敦敥㔵挱㤰摥㡦挲晥㈰愲散㌵㥣敦敥㕡㜸捥㤵捥㌱㑡攷愴㑡攷愴㑢攷㘴㑡攷㤸愵㜳戲愵㜳收㤵捥㤹㕦㍡愷戶㜴捥㘱愵㜳づ〷㐶㙤ㄵㅤ㍢㤶摡摢㤰㠷㔶㕣戱㈶㜴挳㠴㤳换㤶搴散晥捡㐷换〵㑦㜱㜹㠵ㄸ㠰㥤㉤㘸㜵㔰ㅦ〸愰扥〷㠸㌶〸㈴慦搵㘱㝤㌰㠵㝢㠲〸昱〲㕡捤㤶慦晤昰晤昰て晥捡〹㘷慤㈸慦㝢昹搳攵㉤㠲ㄷㄴ㔹攵㔰散昴㉢㜴㔴愸挸㔱挱愰扥ㄷ捤〶㐰戴㈰㐸㘷㤷愷ㄲ㝡㠸戲㌰㠸㄰㑦搹㔵敥㌶攵㙦慦愶㝡㥦㌰㘶捤㉥晦㈸㍤昲㤰㜱㐲昰昲㈵慢㡣㘲㘷慦挲㉡㠳攱㔸㌰㥡㐸ㄶ㔵ㅣ㑥挶㤳挱㜸㐴㡦戱㠶㌸㠸㤶〰改㌲扣挶㠹㔳㈴愲㈷㈹ㅣ〶㈲挴㍦散敡㈷ㅥ戴戴愱晢捦扦㑥戸昷攳晥㍦㕥㌱晣㠷㐷换㜹攱っ㝢昵慢挲㉥㍢〶㤷扡戴搱摣㘲㥦㑤搴晢敦㥥㙣敤㥦㙢㘳㥡搲晦晢攷ㅡ㉡昹慦㥣㙢晡㍥昴晥㜰㄰㙤㕦㤰づ搳㠲㔱㝤㍦戲㐶㠰〸昱戰ㅤ㤰戳㠶㌵愵㜷ㄸ晡攴㤸攵昷㡦晡㜷扦愳㥥㡥ち㕥捦㘴㝦ㄸ㠹㥤愲㉥ㄸ㉣敡〹攸㠲搵㐰敡愳㐰戴搱㈰敥㉥㤸搴挷㔰㌶ㄶ㐴㠸㝢散㉡昷㕡㍦㝦挳㠴攷㝦ㅤ㜵摢慦㡢㕦晦换づ愷愴〴㙦㤹戲捡昱搸昹摤㕤㜰〲㙢㤸〸愲㑤〲㜱㜷挱㘰㔸㥦㑣㘱つ㠸㄰㜷搸搵愷㕥㝦扢㘶搵敤攳挷摣敥㍦㘶㙣㙣愱㝥愸攰捤㕡㔶㍦ㄵ㍢㐳ぢ捦㠰㜰㉣ㄴ㡢ㄴ㥦㜹㠹㘰㈰ㅣて㈵昴㘹慣㘰㍡㠸㌶〳挴㕤㝢㈴愰捦愴㜰ㄶ㠸㄰㌷摡戵㘷捥戸晣收㍢扥晤㜲攲挹㥤㤶捥搳㈲敦㝥㈸㍡㐱㉣㙢㍦〰㍢㕢㜰㤵〹攸㝦愲搵〳㐱戴㠳㐰摣㔷㤹㜰㐲㍦㤸挲㐳㐰㠴戸捡慥㌲搴㤸敡㌷㝤㡤扦㘶捤ㅢ捦㝣ㅡ㥢㝤搶〳㠲㘳ㄲ㔹攵愱搸㈹慡戲㌸挴㈱㝤づ慤捥〵搱っ㄰㜷㠴㘳㝡㡡戲㌴㠸㄰㉢敤ㅡ愷㝥扥㘳慦㠵㔳〲攳慥㝥昹愲㌹搵敦敤晡㥤攰〰㠸㘷慣㙥㤲㘴㐱戴㜹㈰ㅤ愶愲㔳捥㈷慢ㄶ㐴㠸ぢ㙤晤ㅥ摦㥣㝣㐷㝡攰昶㤳㑦㜹敢㤵㌳㘶㥦戴晡㈸挱戱㤳㙣昱攱搸搹戲㑥㔹㐷戳昵㈰㕡〳㠸摢㑢〸㑣㈳㠵ぢ㐰㠴㌸挷慥戳㜷㡦㈷ㅦ㍢昳昹敢㐶摤ㄲ扢昰慦㌵攳扦㕣㈶㌸㔴㤳㜵㌶㘱愷戸㔷挶㤲攱㐰㈰㔲㜴㍡㐴挳挱㐴〰昷愸㘶搶搰〲愲㉤〲改散扡㌰挶昵挵㤴ㅤ〱㈲挴愹㜶敤ㄷ扣㍥愲昲㈱敤昶㤱户扥昳改戴㙥慢㘷㜴ㄶㅣ㈳捡摡㤷㘲愷㈸㐶挵晤㌱慣ㅦ㐹慢㐷㠱㘸㐷㠳攴ㅤ㜰㔰㍦㠶挲㘳㐱㠴㔸㙥㔷昹昱㤹摦晦㌲㜴搲戰敡昳扥ㄸ扦㜰搰㉦㠷晦㈲㌸㈲㤵㔵㉥挳㑥㔱㤵挵㜷改㠰扥ㅣ㐰晤㜸㄰敤〴㄰㜷户㠸敢㈷㔲㜶ㄲ㠸㄰㐷摡㌵㠶㌶ㅥ戴敤搷戵ㄷ㔶㕤㝢捦戹摤㕦㕡戵昷㝡挱攱慦慣昱ㄴ散ㄴ㥤㜹昱㐰㈸ㅡ㉤昶㜰㉣㄰つ挶搰搳㑦㘵〵愷㠱㘸愷㠳戸捦扣㜰㔲㍦㠳挲㌳㐱㠴㘸戶㙢㡦㡦摡昵扢挳㙡〶㡣扥改㥥ㅢ捥摤攱㤹㜵㈳〵挷摤戲昶戳戱㔳㔴㝢㌲ㅥっ挶ㄲ㐵昱つ〶㈳戸㈳㐶昴㜳㔸挱ち㄰敤㕣㄰㜷敤挱㠰㝥ㅥ㠵㝦〶ㄱ愲捥慥晤㡣捡昳〶敥㝢晣㙥搵㝦㕢㜹㘴㜸摥愹挷㑦ㄲㅣ昰换摡㉦挰㑥㔱敤敤㕣㜵㉥㘴〵㝦〱搱㉥〲㜱昷慥愴㝥㌱㘵㤷㠰〸㘱摡㤵敦㜵㥢㔱戲昷㡤㈷㡥扢㘸搰戳昷散㌸㘶挸扢愲㈷挴戲昲㤵搸㈹慡扣ㅤ挷㕦捡ち㉥〳搱㉥〷㜱㔷㥥搰㔷㔱㜶〵㠸㄰㠷摡㤵㉦㥢㜲攰㤰〱㍤㈷㑦扣敡㠲昷昶㕦昶㐹摦㑢〵㈷㌸戲昲慢戰㔳㝣㘲㠵㐳㠱㘸戴戸㠳攳挴㑡〶〲㘱晤㙡搶㜰つ㠸㜶㉤㐸㥥攳㐳晡㜵ㄴ㕥て㈲挴〱㜶昵〳㉥晦㘴㘹㜳挳㠳㘳㤷昷扡散㤷〱㌷扣昳戰搸ㄶ㘲㔹晤㡤搸㈹扡㤶ㄴ㔷㡣ㅢ摣㑤㌴㝢㌳㠸㜶ぢ㠸晢搴㐲㔷扢㤵挲摢㐰㠴㤸㙡搷戹攸挱户㝥㙢㍡㘱挰昸㝢㠷搷㕥㌵攳晢㘱㉢〵㘷㜲戲捥㍢戰㔳㔴㘷昱愹㠵ぢ挸㥤㌴㝢ㄷ㠸戶ㅡ挴㕤㈷ㅡ戴㠶挲扢㐱㠴ㄸ㙦搷戹攱㡡慢〷㈴捡扢㡥扢敢捡挱戳㝦ㅡ㜸挹㈸戱㍤挴戲捥㝢戰戳〵愷㜳㐴扦㤷㔶敦〳搱敥〷㜱㔷ㄹ〹敢て㔰昸㈰㠸㄰㈳敤㉡て㕢ㅡ㍡攰搷挳搶㔷㕤昸搰捥敢㜷㍢扢㙥扣搸〱㘲㔹攵挳搸㈹敡㔶攱㘴㉣㤲㠸ㄵ㥤㔱㠹㐴㌲㤰㑣〴昴戵搰搱搷㠱㘸㡦㠰戸〳ㅢ㡥敢㝦愷昰㔱㄰㈱昶戶㙢慦㝥㈲搳攷户㐹㍦㑤㌸昱㥣㤲捡㌷㝦搲敦ㄱ㥣ㅦ换摡晦㠹㥤㉤㜳昲㘳㌴晢㌸㠸昶〴㐸摥ㄱ㠷昴昵ㄴ㍥〹㈲㐴挴慥㜳敤㕦搶扥㍢昰摣慦㐷㍥㜸晦愲户摦㥣扢收愴捥㑦㐳㍣捤㥥攵㡣㙡㌲㡥挰扣㌱㌷㈵挵㍣㥣晦摡㥦㡢㘳㉡㥥㡤㘶攳搹㘰㌰ㄳつㄸ㘱愳扣て捣㙥改愴㡦㜷㡡捥搹〳㙡ㅢ㌲㡤㐷挸㔹攰㑥㈳㡤㘶㌳㌷㔰ㅤ㙣换㐶㌶㉥㙡挸㌴敦攸㉤㥣搱㘲戴㤸㍢ㄴ捡㜲㐶㡡搴㘶㘰㡥㙣㌶换晡㜶㈹㔴摢摦愸㕢㘴㔶㉤愹戵挴㍢ㄷ㠸㌱㐳㙥㑣戵㉥ㅤ搳㘴㉥㜴愴㐵㉤慡挲ㄲ捥㘲㘹扢攸㈸㉤㤱搵慥摥搵昳ㅢ㥢捤〶搹扣挱昵㔳㙢搳㠷㥢㑤㌳㑣㉥〰㤹ㄹ㜹愸㍤㈹戲愷改㠳愷㌴攰㐰㌱昱捥昴㜵㜳戳愳㤷戴㤸つㄹ㌳㠳昶㉥㌰㥢㕡㤶捥㌴㔲㜵㘶慦㍣㠸㔵㈷〴摢攷戱挷㌴愶ㄷ㌵㔷㌷㌶戴㌴㌵搶攵㑢慡㌲㡢つ㉣つ㘴㈶㌷㘶㑣捣散换戸㤵㠸㤲づㅤ㠴㈸ㄹ攴㌵つ愲摤收愱㌲㄰慥㄰敦㡣㤸㙦㤷摦敤㠶㑥挷搱攱㈸敡㑣昶挹搲㝥敤ㄸ㤳㜶㘹㘶㡦搶㠱慥㘳攲㙡ㄹ搱〳㕢㐷换㌶㍡㤱晢摦〵㤷㤶㜶户㡦㝥昴㘲㉣㥦㡣㌳ㅡ㌲㜵㘶㔳㥢㙢㝤㠲㉤搲㥦〱㈹て攲㙣㙥搵㝢㘵㐰㠸㈵㘲㘹昹ㄱ戵㤹㤶昹摡㝣戳㜶摥㝣㡥攳戰ㅥ㔸㔱㐱搷ㄶ㙤晡〶戰昴攷㐸㥥〷昱昹㑡戴ㄷ〸搲㝣晡㐶慢㕣摥ㄷ晦晦晥㠵㤹㔲㘸改㜲㈱〸慢㜶捤攵昵㤸〲㌷㜷攸攰㜵㤴攳㡣收昹㉤散㥥㙤ぢ㘹敦㐵㤲㤷㐰捡晢㠱戴扢敥挳㔱㜰ㄹ㤷户扡搴㡦㌲戳〶ㄶㄵ攵搹㉤㡣昲㝡㙢㥤㙡㤴搹㥣搶戹愰㌵ㅥ攷捡ㄲつ㝢㌸昹㍢搷戳昷㥢㑢㕡㐶ㄹ㉤㐶挷㝡㉣㡤㈱㑡㍡㐰㠳愵㤶戵㐷捤㉥㤲愷戴㝤㜶〹ㄶ晣㜲搷㘵愵㤳㘴㔸㤶㜰攲攰㝣㈹改㘰搳戶て〲㙤摦〵〷愱ㄵ㜶昴晣㈵㉥慣扣㘵挶㥡つ㌳㤷㉥㌰㥢〹慦搰摡㜴㘵攱改㐵㘳㔳搲愹㔹㉤戵㜵捤㐳搱搲戱㑤㡤㡢ㄶ晣㌷敤搰㤶晥㌲㠸摡捡〷愲ㄷ㙦昹㌱挱㕤㈵ㅤㄷ㌳㌶㜳收㤴㔴搰ㅡ㌹晡㙥㈴散慤㌰昶ㅢ晥㤳㥢晥㍡晥昳戵㈵㉢敦て挴敦㔹づ㉣〷扥㜳㍤㍣㌴戳挹㤴ぢ㥣ㄵ戲〰㙦㜷愹㍦愰戱改昰㔴㘳攳攱散㑦㕤㘵愹㜹扥㘹戶㜰搱戰㤳扤㐸㉡ㄷ㐳㠵攸搰㈱㙦慤捦戵扡戸㉢散㙢㙦㠳㜴愹慡慢敢慤㉣㌶㙢㥢挰敡㠰攵㑢㙤㌳㜶ㄲ愱㐰㈸搲扢㝡挶昴慡摥㌳捤晡〵㜵戸攵昵㡥昶敦㕤摦㤸改ㅤ㌹戶愶㙡晦㌱㔵搵扤捤㑣㙤换㤰㈱㐳〲㠹慡㔹㘳〹ㅦ扡愴慥㜹㠹搸〵摥攱㠲摤慡〹㑢昴〷㙥㥤㕣㝤晥て挳捥昸敡扢㉥ㄱ戱戳㉤㈸㕡㍣ㅣ㠸晡晡攰愳扦ぢ㈲㜶〴㡣㔷ㅤ散攷㙦晡晢㈸敢ㅦ㤰晣ㅢ〴搷づㄹつ㕣㍡㍥戲㡡㘲て晣捦换㠷晥㌱挹㈷㈰㘲㌰〸㑦㕥晤㔳㄰戵㠹㙥戰捦㍥㈱攳㍡〸散攲戸㝥〹慥㑦㙦㐳㈶昶〴㠲戱搵改㑢㝤ㄳ〹㍤㈷㉡㘰搸搳〱ㅤ㙤㐱搱㔲收㕥㔰㤳づ昸㤱晡攵㠰㜹㍢攰㘷搶昱ぢ挹慦㈰㉥〷戰㠳愲㈸〲㘰㑢〷昰㤴搷㑢㐱㐴〸㉣改㠰づ㈸愹㑤晣晣慢换〱㐱戰㡢ㅤ搰㤱㌶昵㌶㘴㈲っ㍤㉦〷㝣〵攳㥥づ昸搲ㄶㄴ㉤慣挶㘰愹て㕢攱㘷㤳㍦〷捣摢〱摤㈰搶扢㤳昴〰㜱㌹愰㤷㔵ㄴ㜱ㄸ㤱づ搸㤶愰敤㐰㐴ㄲ㉣改㠰敤㔱㔲㥢㜸摦敤㠰〴搸挵づ搸㤹㌶昵㌶㘴㘲ㄸ昴扣ㅣ昰㐶㙢づ㜸摤ㄶㄴ㉤敤敥〳㑢㙤っ㘲昳㔶㔳㌹ㅢ捥ㅢ挴㜶捥㡥愹慤㙢㌱㥢攴㌸愵㌲㡢晦慣㘷㌳戲摣㠵㘳戳㈶㈳㙤㍤昵攸㤱慤挶昰って㠳㕡㤶收〶慣㐵挳㐳㙢昴昴㝦㠳攰㍦摣㈰㔸づ㠱昳〶挲㙤っ㌲搱㘹ち㠶挱㙤㠳㕤㥤㠸攳㍦捦㕢㤶散㔲㐳㘱㌹扦㤳ㄱ㕦㜸㝦㤵㑦扣ㅣ扣扢ㄳㄲㅤ㘸㝤㜰捣捥㕥摣㐹愹搴敡㐰昴晦㠶昱㕥㡦散慤㘱晣敥扣ㄲづ㈰ㄹ㐸戲〷挹㈰㄰昱㘲慢㤷搹㍤㠹ㄹ㐲㌲ㄴ挴㜵㤹つ愰愸〵㐱㍡㔷㉤㙡㘹散㙤〷搵㈷挴㜰㐴㐷㕥㜷㐳搴ちㄳㄱ〱愹ㄹ㘷搶㘱㍥昸摦㝡㐶㕥扥ㅦ慡㘹㝢〴㡢捥搳つ愰㕥昵㌳㤶㌶愴攷㌷㌵㌶㈰㔳㠱〳敢慡㌴ㅥ㌲㌷ぢ㐳慢㥦搴㔸扤愸㐵慢ㅦ㔷㡢晦㍡搷㑦㌷ㄷ㤸㐶㑢㌵收晢ㄸ戵㑦挲㌳㌳㌹㈶ㅦ㥦㔹昲晦㜳捣㕥㔲㠶㐳㈸攱㍤㕣つ摢㐵攱愹㙢㡤㥥㙤昷づㅤ搵㠸㠴〵㔳收㙡搰敤㥡㠶昹搷ㅦ㜰㔰㕥愲㐷搱扡换扦扣㜱敦晥㤷摥昶㥢晤晦㜱ㄸ敥挸㑤㡢昱㠰愷攰㌱㐷搱㈰㍢〱㠹㑦愷扣ㄵ㤹ㄸ〱㠷㌹户㘲㙤㌸㉤愱㉢㔸〳戲㜵慤摤㡥搷摡㠲愲〷㝢搵戰搶〷ㅦ扤ち㠶挴㐳慤㥥㈸搵㙣搱㈸㤲搱㈰慥ㄳ㘵慣㔵ㄴ愳㘰㐴㥥ㄷ攳〸ㅡて㈲挶㠰㈵挷㈳ㄳ㔰㔲㥢㔸㠳㍡㥣ㄱ改㘸戰㡢て戴㠶㌶昵㌶㘴㘲㉣昴ㅣ㈷戸㐶愴㌷戵收㠰ㅢ㙤㐱搱㘳挶〹戰搴㠷慤㌸㠰㑤扥扥㔵〷ㅣ〸戱㝥㄰挹挱㈰㉥〷捣戶㡡㘲㈲㡣㐸〷ㅣ㑡搰ㅣ㄰㌱ㄹ㉣改㠰戹㈸愹㑤㕣敥㜶挰㈴戰㡢ㅤ㤰愱㑤扤つ㤹愸㠱㥥㤷〳㉥㘸捤〱攷摢㠲愲〷㥤搳㘰愹て㕢㔱捦㈶㥦搷慡〳ㅡ㈱搶ㄷ㤰㉣〴㜱㌹愰搹㉡㡡改㌰㈲ㅤ搰㐲搰㈲㄰㌱ㄳ㉣改㠰挵㈸愹㑤㥣收㜶挰っ戰㡢ㅤ㜰㈴㙤敡㙤挸挴㉣攸㜹㌹攰戸搶ㅣ㜰慣㉤㈸㝡搶晡㈷㔸敡挳㔶㥣挰㈶ㅦ摤慡〳㑥㠲㔸㍦㤹攴ㄴ㄰㤷〳㑥戳㡡攲㐰ㄸ㤱づ㌸㥤愰㌳㐰挴挱㘰㐹〷㥣㠹㤲摡㐴戳摢〱〷㠱㕤散㠰ㄵ戴愹户㈱ㄳ㠷㐰捦换〱戵慤㌹㘰扥㉤㈸㝡昲㍢〷㤶晡戰ㄵㄷ戳挹搹㔶ㅤ昰㔷㠸昵㤵㈴㤷㠲戸ㅣ㜰戹㔵ㄴ㜳㘱㐴㍡㘰ㄵ㐱㔷㠰㠸ㄴ㔸搲〱㔷愲愴㌶㌱摢敤〰〳散㘲〷㕣ぢ扣㑦㙦㐳㈶搲搰昳㜲挰㡣搶ㅣ㌰摤ㄶㄴ㍤㠸㌶㘱㠹昳ㄲ晤㌶㔴慡摦㑥㜲〷挹㥤㈴㜷㠱㠸㐹慤㍡㘵つ㌱㜷㤳晣つ挴攵㤴㝢挹攳〸〲㠳㠶㉣㡣㑢挷摣㑦收〳㈰㘲㍥㔸扣挹攳昱〹㡡慤摥㈹ㅥ㠲戰㐳㡤搷㥤㘲㉤㈴㍥㥤昲㘲攷㐹㤹攰攳昳㥣㠳㜸愷戰敥ㄲ挹搶ㅣ㤴戰〵㐵㑦摡敢㘰愹て摢晡〴㡣㠸㔸慢捥㜸㤲㜵㍣㐵昲㌴㠸换ㄹ捦㕡㐵㔱て㈳搲ㄱㅢ〸㝡づ㐴㌴㠲㈵㝢挸昳㈸愹㑤っ㐱ㅤ捥㕤愲〱散攲㠳㝣㠹㌶昵㌶㘴㘲〱昴㜲づ搸㐴㉢㥢㐱挴㙥慤㌹愰慦㉤㈸㝡散摦っ戵㍥搴㝦ㅢ㤵㡡摥慤㍡㘰㌳挴晡扦㐸摥〱㜱㌹攰㍤慢㈸戸㘸㉣ㅤ昰㍥㐱ㅦ㠰㠸挵㘰㐹〷晣ㅢ㈵戵㠹㙤摤づ㔸〴㜶戱〳㍥愱㑤扤つ㤹㌸〲㝡㕥づ攸搲㥡〳㍡摢㠲愲捣㠳㈳㘱愹て㕢昱つ㥢散㙢搵〱摦㐱慣㝦㑦昲〳㠸换〱㍦㔹㐵㜱ㄴ㡣㐸〷晣㑣搰㉦㈰攲ㄸ戰愴〳㝥㐵㐹㙤㐲戸ㅤ㜰㌴搸挵づ㈸㉤愵〳摡㤰㠹㘳愱攷攵㠰敦㝥㘹㘵攱收㕢㕢㔰㤴〷戱ㅣ㤶晡戰ㄵ㥤㔰愹昸ㅡ㌰敦㠵㥢㉥㄰敢㕤㐹㉡搹扡摣搲摤㌶㔶㔱ㅣて㈳㝤㘹愸ㅢㄸ㝡㜷㄰㜱㈲㡡搲〱㍤㔰㔲㥢昸ㄸ㜵㌸愷挰〹㘰ㄷ㍢㘰㍢攰㝤㝡ㅢ㌲㜱ㄲ昴扣ㅣ戰戹㌵〷㙣戲〵㐵㘹ㄹ愷挲㤲㜴㐰ㅦ㌶昹慤㔶ㅤ戰ㅢ挴㝡㍦㤲晥㙣㕤捥〱〳慣愲㘰㜶㐶㕦ㅥ捥㐰㠲昶〰ㄱ㘷愰㈸ㅤ㌰〸㈵戵㠹ㄷ摤づ㌸ㅤ散㘲〷っ〵摥愷户㈱ㄳ㘷㐲捦换〱㑦戶收㠰昵戶愰㈸㌳攴ㅣ㔸㤲づ㠸戳挹㡦户敡㠰㈴挴晡㌰㤲扤搹扡㥣〳㠶㕢㐵戱〲㠶晡昲㜰昶㈵㘸㍦㄰㜱ㅥ㡡搲〱㈳㔰㔲㥢㜸搸敤㠰㜳挱㉥㜶挰㈸攰㝤㝡ㅢ㌲昱㘷攸㜹㌹㘰㑤㙢づ㔸㙤ぢ㡡㤲㔳㉥㠴㈵改㠰挹㙣昲㥤慤㍡㘰ち挴晡㔴㤲㘹㙣㕤捥〱㌳慣愲昸ぢっ昵攵攱捣㈴㘸ㄶ㠸戸ㄸ㐵改㠰晤㔱㔲㥢戸挱敤㠰㡢挰㉥㜶挰㐱挰晢昴㌶㘴攲ㄲ攸㜹㌹攰昲搶ㅣ㜰㤹㉤㈸㑡㤰戹ㄴ㤶愴〳搲㙣昲捡㔶ㅤ㘰㐲慣㘷㐹收戱㜵㌹〷搴㕡㐵㜱ㄹっ昵攵攱ㅣ㐶搰攱㈰㘲ㄵ㡡搲〱㜵㈸愹㑤晣搹敤㠰换挱㉥㜶挰〲攰㝤㝡ㅢ㌲㜱〵昴扣ㅣ㜰㕡㙢づ㌸搵ㄶㄴ㈵改㕣つ㑢搲〱㑢搹攴㤳㕢㜵挰㔱㄰敢㐷㤳ㅣ挳搶攵ㅣ㜰㥣㔵ㄴ搷挰㔰㕦ㅥ捥㌲㠲㤶㠳〸㘶改㐸〷ㅣ㡦㤲摡挴㌱㙥〷㕣ぢ㜶戱〳㑥〶摥愷户㈱ㄳ搷㐳捦换〱捤慤㌹愰挹ㄶㄴ愵〹摤〴㑢搲〱攷戰挹ぢ㕡㜵挰戹㄰敢攷㤱晣㤹慤换㌹攰〲慢㈸㙥㠶愱扥㍣㥣ぢ〹晡ぢ㠸戸ㄵ㐵改㠰㡢㔰㔲㥢㤸攷㜶挰㉤㘰ㄷ㍢㘰㈵昰㍥扤つ㤹戸つ㝡㕥づ㤸摤㥡〳づ戱〵㐵㌹㑢㜷挲㤲㜴挰㌵㙣昲㐱慤㍡攰㍡㠸昵敢㐹㙥㘰敢㜲づ戸挹㉡㡡扢㘰愸㉦て攷㘶㠲㙥〱ㄱ㙢㔰㤴づ戸ㄵ㈵戵㠹㘹㙥〷慣〶扢搸〱㜷〲敦搳摢㤰㠹扢愱攷攵㠰戱慤㌹㘰㡣㉤㈸㑡愰㘲㍡㤴㜴挰晤㙣昲愸㔶ㅤ昰㈰挴晡㐳㈴て戳㜵㌹〷慣戳㡡攲㍥ㄸ敡换挳㜹㠴愰扦㠳㠸〷㔰㤴づ㜸ㄴ㈵戵㠹扤摤づ戸ㅦ散㘲〷㍣づ扣㑦㙦㐳㈶ㅥ㠴㥥㤷〳㠲慤㌹㈰㘰ぢ㡡搲戹搶挲㤲㜴挰㜳㙣昲搰㔶ㅤ昰〲挴晡㐶㤲ㄷ搹扡㥣〳㕥戶㡡㘲ㅤっ昵挵㐷㝦㠵愰㔷㐱挴摦㔱㤴づ㜸つ㈵戵㠹晥㙥〷㍣〲㜶戱〳摥〲摥愷户㈱ㄳ㡦㐲捦换〱㍢戶收㠰ㅤ㙣㐱㔱㐶ㄹ搳挳愴〳㍥㐰愵㘲扢㔶ㅤ昰㈱挴晡㐷㈴ㅦ㠳戸ㅣ昰愹㔵ㄴ㡦挳㔰㕦ㅥ捥㘷〴㝤づ㈲搶愳㈸ㅤ昰〵㑡㙡ㄳ㤵㙥〷㌰㈷慤搸〱㕦〳敦搳摢㤰㠹㈷愱攷攵㠰昲搶ㅣ㔰㘶ぢち搳摢捡㥦㠱愵摦㤱㤶搴㠹つ捥敥㕦㙢ㅥ挱㍣㡡慥㔹㝣愳愹㝡㔱㜳㑢愳㑣晡攸㤲ㅤ搵㔸搳搸㌲慡戶ㄹ㑦摥㤷㜶捦摡㍢〷捣㌷ㅢ㤰㤲搵㠴捣慣〲㕥攳㠲〵㘶㐶捦捥㘸㕣搴㤴㌶挷㡦晡㈳愴㙣攱昸㄰㍡㤹慤㔵㉡戰㙤㕤ㄶ㔲〹㌴搱㑢戰㤵㤴㙦㠰挱挲㘴ㄲ搷㔳愶摣〳㑤㍦㠰㤵㌹㡦捥慣㙤愹㌳㍢㘵愵㕣敥㔷㘴攱㐵攴戹㘵㍡㘶㘷捥㐷㤲挵愸㉥搹戱㑤戵㤹扡摡〶㤳挱挰㐳㔲㝥㑤㙣㤲㌹て㌹㙤㔳ㅢ㥢㙢昹ㄵ戶㉥搹㤹㑤㐶㐳昳〲愶攷愴㤷㜶换㉢挹㘷〶攵搹㤱戵つ捤愸㐶㐶㤱晢㤵搹ㄹ昳ㅢ㡦挰户㈹ㄷ搵㌷㡣㌵ㄶ㌴晦㈱愲㈲ㄸㄶ戹挹搰㠸㔲㔱㕡㉡㉡㑡㉢戶㌶㍥摡㉦㌸挷戶捤㝤ㄳ愴㌷晡㙡㑢㔳㙤㙡ㄱ㥤㈶敢〹㠱㤶㤱挸㌸㤶㤴㍦㠷扤㌶ㅥㄶ昲㤱愱㥤㙤挸㑣㍡戶㌷敦换㑢㥥㐹㕤捥搷㔴㜷〶㕣晦ㄵ㑤敡晣ㅢ挸㠴戱戳挶攷㜲㑣晦㐷摦昹㉣㝦ㅥ㤶ぢ㥦挲ㄴ昶㍥㈷愵慦㈷挰㕤慤㙥㐴ㅥ㝢ㄵ捥㑥昴〶㤶ち扢愶㉦㉢㌱散愵㕤㜳扢㘳㤰ㄵ搶㌹㍢挹㐸㤹㜵㐸㘶慢㌷㕡扡㕡〵㍥㌸慤㌷敡㥡㙤㔹㜵㘳㝤扤挱㙥挷㉥㍢㈳㙤搴㤹ㄵ㔹㍥㥣挳搷〵昵㉣㠸散㥢㌶换㔸〲㤶戱㐴戲㍡㘷愷㌳挹㔵敥搳㔶攳㍣愳愹戶㘵㝥㝤㙤扡㠲〵㈶愲晥㈱晡㉢慥㈱㘵㜰愶摡搴昵愴昰㈹愰昵㍣っ攱ㅥ㡡㘷摥㜴ㅤ挳㡦㕥㕤㉡㌴晣ㄳ㕢㤹〳㠹慢㡦扣愹攸愲〳㤲〰㘱㔱㕥㡥㘴㕢扥㤰挹㐳搸晤攲㌸㜴㔱㜹㠱ㄲㅢ〹挰㐷㉦〵㥣㍢晣㤴扤〸搲㘶㠲㕣㐷〰㝣㤳ㅡ㡤捣ㄸ愴㘹㌴㌶㜵戴扦愳㕣㠱搰昲㜲搳攴㘷捡㘲㌵戲㘰㤱㕤扢戸㌶㘳㌶㔵㤰㌱〳㑦㌶换㤸散愸㔹㌱挴㡡㘸㠷㤲昲昲㑥ㄵ㕥㜵㡤㔷戶晡搹㠹㘰敥敦㜸㡦㉦戲晦挹戴挴㝥攵㙣㤵㡦㙤搳㘱ㄸ摦攲收㌱扤㠴㈲㡦愷〰挰敦〴敢ㅡ㐸㌹搳敥ち㘳㤳㥦㍤㠸ㅣ㐳ㅤ愰㌲昹敤㕥收㌵㔶㈰〷㔰㈶㐴㤶换〳改攴㑡㘴搴慣ㅣ挶ち昵㤵㘱㙤〶㝡戹㤹昱㔹搷㔸㍥搷挵摤愱愴戴戴っ愱搶ち昳㘷㡡慡㠵戱晡ㄹ愶捣㜰ㄴ捣敡搳㍡愲挵摢昲㘴㠱晤㌹挳愷愹敦㘳㔶挷㠶㈵㠶ㄵつ㈶㝣㍥㕤㝥㥤摤㈷㕥㠷慥㜲〲て挵昶㤲㡦㑥攸〴㈲摥〵㤳挳〱搷捤㑢扣㡦㈲㙦㘰㔸摤㘳㍦攲㔶㜰㘱ㄴㅦ㠰挷㡢愳摥㠵㐶晥㡤㍤㕥㜳㥣㍥㔸〹㙥晢㝤昰㈳㙡攰愳晢㘹挴㉥㠸㡦戱愳㥡散ち散㌶挰攸摤〸晣挴ㅢ搰㥤㠰ㅥ〴㝣ち〰㠳慢昵㐴挹摢㘹㐹㑦愷㙤ぢ㍣㔶晢扦㜴㔵攰㜲摡㜶慣㘰㝢㔶昰㈳〰㠵㑥晢ㄹ㍣改㌴㙤〷搶晡㍢敥㌲攲ㄷ愸㑡㘷敥㐸攳捣㤷换㜳收捥攰戶敦㑣㍡㔰㍡㜳ㄷㅡ㠱つ昹㘱㥦昳㜰收慥挰攸扤〹㘴攲㥤〷愰て〱㝤〹㘰㉥㥥㜴收㙥㈸㜹㍢㌳攲改捣晥挰挳㤹ㅤ㕤ㄵ戸㥣戹㍢㉢ㄸ挰ち晣〰ㄴ㍡㤳挹㜳㤶㌳〷戲搶摦攳㑣愶摣㐹㘷敥㐱攳㍤㔰捡㜳收㘰㜰摢㜷㘶㉦愸攱て㕦散愶ㄱ攵㑣㈶敡㜹昸㙡〸㌰晡㔰〲㤹挴攷〱搸㡢㠰〰〱摢〳㈰㥤ㄹ㐴愹愷㜳㍡㑦㜵㑥㘷㝣扤晡〵㔴挷㈴〳晣㈷㌷㥣捣㘱愰攱捡㥤㕤收㕤慥㡣搰㝣ㄴ愴㥣昹㌳㙤摣昷㤱㘵攰捡戲敡ち㥢㕡㜶㔶㐳㙤ぢ㙥挹㙣捡㤸摡ㄶ㕣㕣㍡㘷㐱戰㉢搳愱㜶㤰户㙡㤷搲㘰㘷ㅡ戰㙢戱㈸㙦㕥戰㑢戱摣㍤㔱攸攷㈱戶愶㄰慥㤹㐳㝢㈰㌹㤵昰㘸攳ㅦ㘹㙥㈱慣っㄹ㝢㝡㈱晡户㥥㑣收昲㍢㠷㠶晦㠳㤹㠸散㐳昸〲㍦扢つ晢㉦扡㔰〲晢㥣㤸っ㘸户㡢戸㜲敢㌸昱昳㜱㜲㘲昱扡搸挹㥢攳ㅢ㥡㜱㙢昷搹㈵っ摣扡摡扢㔳ㄶ戵攴㐹㡣㈵摤㙤〹搲户愷㌴㘰戸㥤㌶㥡㌲㝦㤰戱ㅡ㡥捤㥡㔶挸㘱搷㔶㑥昹攸㕦㙣慥ㄱㄶ㈶昱㐹摢搷㑣㘲晢㍤愹㠹㤵戰搴㠵敥㜶㌲ㄶ㉢㔸㥡㙣ㅡつ㌲ち㌳㕡㌲愳捣挵㜲晥㍤搵挴攴ㄹ㉦ㄸ愹㌳扢㑢〵愷㈸挷㈵㝡戶㉡搵㡣戹㕣ぢ〷改昶㥥㍣搱昵散㜴ㄳ昹昱昸慥ㄵ挶搴昶摥搴㜴ぢㄲ㜱ㅤ〳晣ㅥ搵ㅦ㈷㐲昰㐸㤹ㅤ㈵扣搳㠲晦摡戸扥攵ㅦ〴捦愱慤㡣㉡攲㤶㤵摢㘷晢㠹㑢㉥收㜶挳㝥㈵㙡挷㥥攱㌳㌹戱㡤愹㈱慥戵敥㍣㔲㥥㐹摤㔵㝡戳㜵㠵㤳ㄷ慦捥㡡挷昹㘳ㄷ捥昵㥢㕡昰㘵㐳扥つ愳㤲愷㑥ㅤ〶搸㉤戵㤸㉡搵㉤敤㥡ㅤ摦㤰慥㕢㤴㌱攵㍣㑢㕤戳攵㜴敢てㄱ慦㌲㌸挴㍥愳摡昰㡢敤㤴昱㜸㌹㤳晡昲搹㔶㉦戸〸㝤ㄸ捥㌴㙤㙦㤰戲攱㔳㠲㜱㌴挰愷敦㘳㥦㝣捣ㅢ晤摤㤹扢㍥ㅣ㐲户㕣摥戹㝣㙦て慥㙦㐵㉣㕥搸㤸㠱改㈴晦捡搳捥〵㥢搴㌸愹㤱慢㌶㉥搶戸㕡㡢昵㠷〸ㄶ㡥搳㡡㤵愶㘱捡戹㤵愷〹㡤攰搲㈷晦挳摣搲晥㝦㍦摥㘸㜰慢ㄱ㑣捤㤵㠳㌸㜸ㄵ扢㥣㐲㤴㤲搸㘲㈶敤捡㠱摡㜰㐴㑣っ㐵挹ㅡ愸㔹㙢愳晡㝥攰戶㍦㔰ぢ㐰つ㝦㜸晤〹攰㙡ㄳ捣散㔵攳㌰㑡㝤㥣敦㤴攸㔵愰晡㐸㄰挱慣㕦て㐰㌵〱愳㐰捡㤹晣㔹㜸愵㘹㌵㡦ㄵち㈵攵昵㥣攲㔵搴㜳慡㡢昳㔴挳㌷攵㤰愷㡢㈹愹搶愹㠲㜹慥晡㘸愰㥥㝥敡愹攱㙣愴㘰㤲愸慡㝦㈷㌰㝣扥㙤㐰昵㌱慣㝦㉣㠸愸〲愰㜰㔰捣っ㑥㙢㕡挶ㄹ㠶摣攸㑥搷㝡㤵㘰㝥愷昴改㜸ㅡ㘱愲愷攵㔳㝢㘹㘰㈲戸敤晢㜴㉣搴昰㔷愲㑦愲ㄱ散挸て戳㐲㔵㤳㕤搳戲挹挰攸㌵〴㌲㘳搴〳㌰㠵㠰愹〴㌰㠹㔴づ㝥愷愱攴㍤㤳㠸㝡捥㈴㘶〰㡦攱㉦㤳㑡㔵〵慥攱敦㑣㔶㌰㡢ㄵㅣ〰㐰愱搳づ〴捦㥡㐹散捦㕡㝦捦㑣㠲戹愲搲㤹〷搰㌸㤳㐶昳㥣㜹㈰戸敤㍢㜳㌶搴昰㠷捣㔳ㅡ㔱捥㘴㠶愹㍡ㄴ㤷㌳て〶㐶㍦㠴挰㌹摥㠰搹〴ㅣ㑡挰㕣〰愴㌳攷愰㤴㜳㘶㙥㈶ㄱㅢ收㍤挷㌵㠰㠷㌳㤹愰慡㕡攰㜲㘶㡡ㄵ愴㔹〱㤳㐹ぢ㥤挹っ㔲换㤹ㄹ搶晡㝢㥣戹〰慡搲㤹㈶㡤㌳〱㌵捦㤹昳挰㙤摦㤹㑣㔴挵㕦㠹㍥㥦㐶㤴㌳戹敥慡づ挵攵捣㕡㘰昴挳〸㘴㈶慢〷攰㜰〲敡〸㘰㜲慢㜴㘶㍤㑡㥥搳戲㠰搷戴慣ㄱ㘸戸㤲愹慥捡晣づ攴㔸㈷昳〲㥡㕦㐸昳㑣㑢㉤㜴㈵㜳㔱慤㤳戹搵㌵ㄶ㘶慡㑡㤷㌵搳挸㈹㈸攵戹㙣ㄱ戸敤扢㡣愹慤昸㉢搱ㄷ搳㠸㜲ㄹ昳㕢㔵㤳㕤㉥㍢〲ㄸ㝤〹㠱捣㝤昵〰㉣㈵攰㐸〲㤸づ㉢㕤㜶ㄴ㑡戹晥攷㕥㤸昲㍥㤹㡦〱ㅥ㑥㕢攱慡㐰㑥㌳慣攵扢㘳㔹挱㜱慣攰㘲〰ち㥤挶晣搵㜶慥㠰捣㙥㤵㑥㕢㑥㈳㤷愲㤴攷戴ㄳ挰㙤摦㘹㤷㐳つ㝦㈵晡㠹㌴愲㥣戶ち㝢ㅥ㍥㌹〹ㄸ晤㘴〲慦昰〶㥣㐲挰愹〴㌰㠵㔶㍡敤㌴㤴㜶㜰愶晦㌹愷〵〳㤱㐴㌴ㅡ昴敡㙣㘷㐰〵㝥㘳㔶慤㙡㐴㝦㜲慣捥㜶㈶敢㌸㡢㜵㌰〳㤶敢〰昶ㅣ昰ㅣ慡昱㈰㌰〷㕣㠱㝤摥㤸㙦㠷㤸昳㐰戵攵捦㕥捥戵㔱㑣愰攵っ㠶づ㘸㙦㌴㉣㤸㘸换ㄱ戱搰捦㠳扡昶㘷㤰戲攱㌵昶㤰散㝣摢㈲ㄳ㜱㌹㉣戳戶搶〷づ捣挸㤵㘱昶ㅥ㌸㌰㔷㔷㠶昸〲搸ㄵ㝦㐳挹ち戱㍤㜰昸ぢ戸敤㠷昸㕥愸攱慦㘰攰挰散㕥攵㕤㑡敤㠱挳挵㌰愹㕦挲摡㤸昹敢〱昸㉢〱㉢〹㜸㄰〰づㅥ昴㑢㔱㜲敥昷㙢㕤㙡㝣㍡㙣㐷敤㌲慡㕤㑥戵㈷〰㈸散敤捣挵㙤攷ㄲ挱㑣㕤改㡡㉢㘸㠴㈹扢㜹扤晤㉡㜰摢㜷〵㔳㝢昱㔷愲㕦㑤㈳搸㤱㥦つ愰敡㐸㕤㤷㠸㙢㠰搱慦㈵㤰戹扦ㅥ㠰敢〸戸㥥〰愶〳换摥㝥〳㑡摥㤷㠸戸攷晤晥㈶攰搱搵㤹ㅥ慣㉡㜰摤愲㙥㘶〵户戰㠲户〱㈸㜴摡㘶昰愴搳戴㕢㔹敢敦戹㐵㌱敢㔷㍡昳㌶ㅡ㘷晡㙦㥥㌳敦〰户㝤㘷㌲㑤ㄸ㝦㐸㍤愷ㄱ攵捣昷戱愷づ挵攵捣扢㠰搱㔷ㄳ昸㠱㌷㘰つ〱㜷ㄳ挰搴㘲改捣扦愱㤴㜳愶晢㝥ㅦ昶㜴收扤挰挳㤹㑣㌵㔶㉤㜰㌹昳㍥㔶㜰㍦㉢昸〶㠰㐲㘷㝥〷㕥㍢㍤㤰㤹挲搲㘹て搲挸て㈸攵㌹敤㘱㜰摢㜷ㅡ㔳㡢昱㔷愲慦愵ㄱ攵㌴收ㄷ慢㈶扢㥣戶づㄸ晤ㄱ〲㝦昱〶晣㥤㠰㐷〹㘰㍡戲㜴摡㍦㔰捡㌹㉤㜷扤㙤敤改挹㘳挰挳㘹㑣㑦㔶㉤㜰㌹敤㜱㔶昰〴㉢㘰㉡㜱愱搳㤸㍦摣㡥搳㤸㕤㉣㥤昶㈴㡤㔴愲㤴攷戴愷挱㙤摦㘹㑣㐷愶慦昴㘷㘸㐴㌹㡤㌹挹慡挹㉥愷㍤ぢ㡣扥㠱㐰收㉢㝢〰㥥㈳攰㜹〲㤸挲㉣㥤昶〲㑡摥㑥昳敥㘹㉦〲て愷㌱愵㔹㔵攰㜲摡㑢慣攰㘵㔶搰〷㠰㐲愷㌱攷搸㜲摡㐰㕡攱ㄶ挲挷㍤户㘱㐶戲㜴摡慢㌴搲ㅦ愵㍣愷扤づ㙥晢㑥㘳ち戳㜴摡ㅢ㌴㠲ㅡ攴㠷㜹捣慡挹㉥愷扤〹㡣晥ㄶ㠱捣㜱昶〰扣㑤挰㈶〲㤸昶㉣㥤戶ㄹ㈵慦ㄱ㈴摥㈸收戱戰晦づ搰㜰ㄹ㤳愰㤵㜹㤷换摥愵昹昷㘸㥥〹换㠵㉥㘳㤶戲攵㌲㕥改攴㔶攸㌲收㌰㑢㤷㝤㐰㈳㑣㘶捥㜳搹㠷攰戶敦戲攱㔰㤳㉥晢㠸㐶㔰㡦晣㌰昳㔹㌵搹攵戲㡦㠱搱㍦㈱㜰㍦㙦挰愷〴㝣㐶〰ㄳ愵愵换㍥㐷㈹搷捦摣㔷戴㤸攷ㄵ敤㑢攰攱㌴㈶㑥慢ㄶ戸㥣昶ㄵ㉢昸て㉢㘰㤲㜳愱搳愶㠰搷㡥搳㤸昷㉣㥤昶つ㡤㌰〱㍡捦㘹摦㠱摢扥搳㤸㈸㉤㥤昶㍤㡤㈸愷㌱㕢㕡㌵搹攵戴ㅦ㠰搱㝦㈴㤰㤹搴ㅥ㠰㥦〸昸㤹〰㈶㔷㑢愷晤㠲㤲户搳扣㠷摤扦〱て愷㌱搹㕡㔵攰㜲ㅡ㥦㔱攸㑣㕥㄰㑣㡣㉥㜴㥡〹㥥攵㌴捥愱攵㔶搸搳㤸㉢㉤㥤搶㠱㐶㤸㌴㥤攷戴㜲㜰摢㜷ㅡ㤳慢愵搳㌴ㅡ㐱㍤昲挳っ㙢搵㘴㤷搳㍡〲愳㔷㄰挸散㙢て〰摦攵慥晢〸㘰㐲戶㜴㕡㈷㤴扣㥤收晤〸戳ぢ昰㜰ㅡㄳ戴㔵〵㉥愷㜵㘵〵㤵慣㠰挹搴㠵㑥㘳〶㜵㍢㑥㘳㝥戵㜴摡㌶㌴㜲っ㑡㜹㑥敢づ㙥晢㑥㍢づ㙡搲㘹㍤㘸㐴㌹㡤㔹搹慡挹㉥愷昵〴㐶敦㐵攰㜲㙦挰戶〴㙣㐷〰㤳戸愵搳戶㐷挹摢㘹摥㤹〷㍢〲て愷㌱愹㕢戵挰攵戴㥤㔸挱捥慣攰ㅣ〰ち㥤挶慣㙢换㘹慤捥㡡㤹㤳㉤㥤戶㉢㡤㌰㌹㍢捦㘹㝤挰㙤摦㘹㑣攲㤶㑥敢㑢㈳捡㘹捣攴㔶㑤㜶㌹㙤㌷㘰昴㝥〴㌲换摢〳搰㥦㠰摤〹㘰攲户㜴摡〰㤴㜲㑥㜳て㌸扣慦㘹㝢〰て愷㌱ㄱ㕣㔵攰㜲摡㈰㔶㌰㤸ㄵ㕣〳㐰愱搳㤸愹摤㡥搳㤸挷㉤㥤㌶㠴㐶㤸搰㥤攷戴扤挰㙤摦㘹㑣晣㤶㑥ぢ搰㠸㜲ㅡ戳扦㔵㤳㕤㑥ぢ〲愳㠷〸㘴㘶戸〷㈰㑣㐰㠴〰㈶㡢㑢愷㐵㔱昲㜶㥡昷㍣㈱づ㍣㥣挶攴㜱㔵㠱换㘹〹㔶㤰㘴〵㑣昴㉥㜴摡㠳攰戵攳㌴收㝥㑢愷敤㑤㈳て愳㤴攷戴攱攰戶敦戴㜵㔰㤳㑥摢㤷㐶㤴搳㤸㌱慥㥡散㜲摡㝥挰攸㈳〸㘴㌶戹〷愰㡡㠰㤱〴㌰挱㕣㍡慤ㅡ愵敤㍣㤶ㄲ㘲挳㠲〱捦摢攷㘸㈸挰㙢捣㌸㔷㌵㜴㈳挷㕥㠲㘶つ㘳㔹〳戳挳ぢ扤挶㤴㜰换㙢慤づ搳㤸㌰㉥扤㌶㥥㐶㤸㌹㥥攷戵㠹攰戶敦㌵㘶㤸㑢慦㑤愲ㄱ攵㌵愶㤹慢㈶扢扣㌶ㄹㄸ扤㠶㐰愶愰㝢〰愶㄰㌰㤵〰㘶愵㑢慦㑤㐳挹㜳㤸ㄶ昷ㅡ愶捤〰ㅡ㉥㘳㡥扡㌲敦敡㘸㌳㘹㝥ㄶ捤㌳㥦扣搰㘵㑣㈲㙦愷愳㌱挵㕣扡散〰ㅡ㘱慥㜹㥥换づ〴户㝤㤷㌱㈷㕤扡散㈰ㅡ㔱㉥㘳㘲扡㙡戲换㘵〷〳愳ㅦ㐲㈰㤳搶㍤〰戳〹㌸㤴〰收戱㑢㤷捤㐱挹晢散㙣㘵愱ㄹ㜸㌸㡤㜹敤慡〲㤷搳㔲慣㈰捤ち㤸〱㉢ㅢ㥥㘱挹㙥㜸戹挰㐸愳㌰㌹慦㈸㜱㔲搶㤰㘵ち攵㡣㤶愵㜵㐸㕢攵㉥㤳昵慣㍤㍥㡢㐱㤶〲㜸㐸㈱㙣㙣挲〳捡戲挲搷昲㌸扡㑦愳攲㑥㍤ち摥扤㈹搵㈸㘱㠶㘶昹㕦㝦㉡㝥扦愴愳捦㠶攷㕥挴㐷ㅤ㙥㕡ㄶ㑤散㌱戹㌶摤搴搸摣㤸㙤改㍤〳㘹搹扤昹㉥㔳㝣㥦㍣㔰㔵㝥㌱㉣㝡搶挹〳㉢㙢攰て㠶㉣收扢晤㝣㠷㌷㌴ㅥ搱㈰㕢㔳摥捣㔷扡㑡㝦㜵散挸㙡昸挸㔲㙥扢挱㜹晥㔲戸㡤捡晡㝣搰㉥ㅤ晣ㅤ散戲㔶㡢㜲晦敡㤱搵搳攷〴搳㤹㙣㍡ㄱ㡢愶㈲戱㔸㈴ㄹ捣㈶挲愹㜴㍡㘵挴ㄳ㤹㜰㍣ㄶ㑡挶戴挳ㅣ㘸㌴㤰づ攱扤攷搱㜴ㄲ敦昸㑤〶㑤〳㍦㈸〳㘴㌶㥡㡣㥡愹戸㤹搰づ㜷愰愱㌰摥〳ㅣち㘷㌲愱㔴㉣ㄲづ〷㔲㈹㌳ㅢ挹㘴㌲改㐴㈴㤰っ㘶搲㕡㥤〳㡤挷〳昱㈴敤愶㠲搹㐸㈰ㅡ㑢㐵㤲搱㤸ㄹ挳敢㔳㐳挱㜴㌶㘵晡换搴㐱搴㐳㐷㙦㈰㘹㈴㔹〰攲㉦㔷挲㠵㘴㌵㤱㌴㤳戴㔰愸㈹愱搴㈴㍥愷㕥慥㐳戸愵㠹㤷搰挴慢て㐴ㅡ捦㐹捣戲㡥ㅤ㡢搲㜶㡡ㄲ㌶㥤㌷㑣㙡ㅡ昳㌵换㑦㐱㘸ぢ㜳㝤扣㤵昲㝢づ㤵搱搹戰捡捥挶ㅦ〵攲昳昳改㈵ㅢ愴ㅤつ摡慤㝡攴ㅣ扣昹㔰扤ぢ㤱扤㕤㍢〶晣捥攰换愷搰搳昱㘶㔹敤㔸㜰扡㠲攳捡㔰搷㡥〳㙦ㅢ昰昲㝦愰挶摦㐹昹㙣㌳慢敤㑢搲㠷攴〴挰㐵ㄷ〸㘵㘷㍢㤱㈵戰攵愷㤲㕣㝥㡥挲㔱昲戴㠰〰摦㄰〱㠴摤㕡㉣〵㠷㕤㍢扦㙢晡㔵㍤愷〲㠷慥戹㡤㕤搶㑥㐳搹敥㥡㌱㈳ㄸち㐶〳㠹㔴㍣ㄴ㌱㌲挹㐴㌲㥢㡣㠴㐳㈸㐴㠲㘶㌲㥣搲㑥㜷愰戱㔸㉣㤹㐲㈷㡣㘴㘳㤱㐸ㅣ扦㜹㘴㠶愳㘹㈳㘰挴㔲㐶㌴㙣挴㌲摡ㄹづ搴〸〶戲挹㐰㌴㥢㠶㍣㤲㐸ㄸ㈹㈳㤱㡡〵ㄳ㌰㘰㈶㔳挹㙣㐴㍢搳㠱㐶ㄳ〱㥣ㅡ㘶㈲㠳㤳㈲ㄲて〵㤳㐶㉣ㄸ〸㈶搲㘶㍣ㅤてㅢ攱慣扦㥢㍡㠸戳愰愳㥦㑤㜲づ挹ち㄰㝦㜷㈵昴敡㥡㍤㤴搰挱㕢敡㌴㈴戶㠵㤰摤㔳捣㠳摢搸㜵㘴ㄷ戸㠴㤶晦ち攲昳㌳昷ㄴ㍢昸㑥㈶㜹㡣户捥㄰敢㡣愹㝦㝢㈵摣㑣挴ㅥ㈴〳㐹慥㠲㔰散㐸戳㉣㕤捤ㄲ㜶攴㘷㘷㜲昹㌹ㄸ㤵愹〸㙡搷〲搲敡搵㑡ㅣ〸㘸㜱㔸㜷㔱㤵㕦て㘵㠴㜵㔷扢慣摤㠰戲ㄵ搶㘸㉡ㅡ㐹〶㔲戱㈸㕥戲ㅦ㠹㐴〲㠹㔰㈶㘳㈴㐳㤹㙣㈴㤸㡤㐷捣愸㜶愳〳つ㐵搲㤹㐰㈰ㄱっ㐷㡤〸㈴戸摡〴㘳愹愴㘱〴㐲愱㜴摣捣挴戵㥢ㅣ㘸㈴ㄳ㡤挷㜰改㑡㠷捣㜰㈴㤰捥㈴昰摢㌵㐶〲㥤㈰㙢㐴愲愱㜴㐶扢搹㠱㈲㝣攱㐰㌶㥣㑣㘵㐳㤹㐸㈰ㅢ㌳戲搹㐰㌰㠶敢㔸ち搶㘳搹㠴扦户㍡㠸㕢愰愳摦㑡㜲ㅢ挹敤㈰晥㍥㑡㜸〷㔹㜷㤲摣㐵戲㥡挲扥㑡㈸㌵愵㤲㔴愷愶攸て愱っ敢㔸㜷㔸敦愳昲晤㈰㍥晦敥戶戶昶〰㡡㕥㘷昶㠳攰攷㥦搹て㠱㔳㜸㘶㍦っ㥥挷㤹㍤㐰戵㑤昶㡢〰㍢挱㕥㈴㝦〷㕣散〱愱散ㄷ㡦戲愴晡挵㘰㜲昹搹摢搵㉦㜴昶ぢ㜹㘶㈷㍤扢挰㥥慡㥥挷㠱㐳ㄷㄸ㘲㤷戵㈷㔰戶扡㐰㉡ㄲ㠸愴攳挹㘸㈸ㅥ㠹攳扥㠳㜷挳〷㐲愹㙣㉡ㄹ㌷㘳搱㜸㈶ㅡ搴搶㍢搰㘴㈶ㄵ㌱昱㕢〱昱㜰㍡ㄲ㠹㘵っ挳挸〲ㅢ捤㈰㘲搹㘸摡㑣㙡㑦㍡搰㜴㌰ㄴ㡢攲收ㄵ挵㥢搶㈳㤹㜸㈶㤵㠱攵㘴㌸㡤㙢㐱搸㌰つ㔳㝢捡㠱㘶㜱昷㐲昷㑢ㅢ戸㥤攱㘲㘲㈶挲挹㜰㌸ㄸ㌶愳㘶㍡㤵㌴㈳〱晦㔰㜵㄰㑦㐳㐷㝦㠶攴㔹㤲つ㈰晥扤㤴昰㌹戲㥥㈷㜹㠱㘴㈳㠵〱㈵㈴㔴捦㔷ㄷ㘱〸㘵ㄷㄸ攰敥〲慦ㄱ昹㍡㠸捦ㅦ㔱摡散〲㍡攳慤㌳挴㍡㘳敡㡦㉡愱㡣㘰㥣挱㡢㤱扣〳㘱㜹ㅣ挲挲㕢㡣敢㕢㍥慥㜴㔲㝥㌳挲敦捡昱㤵㌷慢㙤戲搳ㄶㄹ㜵昸㠹戲㈹㐸㌴㙢㈱敢㡦㤰㤹㔴㘶愵晢戵㝢㥦㤶㠷㜰昰㙣摥㉥ぢ㝤㤰㝦㥢戵㡦㑤扥晤㜹敢昲㥣㝣攵㍢㈱㜶㕢㔶ぢ㑦愴摣㌰㤰慤㐳㤰㤰㤵昶ㅥ〲挶㐷慦㑣挳㤵㘷摤〸昲敤㑤㈴扤戸攵挳挰摤昲㑣㍡㕡敤㥥晢慡っ扦ㄴ㌵戸づ㐹㠵㕢昰ㅤ戴て搰㌸戱㡦㔷ㅢ挴㜰挵晤㤰ㄸ㔴㈱㍦晢㤱换㑦㉦搷㔵㐲晢ㄸ㤰搶敦ㅥ㍤㍣㉦ㅤ捡つ晥㉡扢㈲敤㔳㔸戱慥ㄹ愱㐸㌴㤵挵搵㍤㤳㠸攳㑡㄰捥㈶㔲攱㌰㑥攰㐰搴っ㈷㘲昱㐰挶㍦㔲㌵敥㌳攸昸慢㔵改㜳㤶㐶愹ㄲ㘵㤵愳㔱攲㘸㐴戳㍤晥㕦晢捦㍦〶㤶昱㔷愲㝤㠹㝡㡡慦挱摡㔷㘰攷㕦挰晦〳㑥挱〵摣㍦搶戶愲㝦つ愱晣㜵㉦昹㍢㕦㘲㍣昸戲扢㝣〷扥攳晥㠹攴昲㔳攱㜲㝦敥㈲慤㜹㝡㝡ㄲㄴ㘰愴㐴晦〹ㄴㄷ改挹㜶㔹晢ㄹ㘵换攱戱㠴㤱つㅡ戱㘴㈸㙣愴㈳ㄸ愳㈷㔳㠹愴㠱㑢㘴㤸㔷㘸挳㑣㘹扦㌸搰慣ㄱづ愶㑤㌳ㅡ㑣〵㜱昱っ㐷㤳昱㘸㌸㥤〹㈷㤲戸挴愶戲㠱慣昶慢〳㡤㈷㌳ㄸ〰㈴㘲㠹㜴ㅣ㍦㑡ㄹ㌴㜰换づ愶㈲愱㐴㈴ㄳ㐹㘱戴ㄵ搷㝥㜳愰㠱㌸敥挹〶愶づ愹㜴㄰㐳扥㘴ち㘳挰㜴㈴㤶挸愴愲㘸㔰㌶散慦㔱〷㔱㠲挹慣㉥㐸㑡㐹㍡㠰昸愷㈸愱搷㝤㝡慡ㄲ㑡㑤攲㉤㑤摡㄰㌳㈰㤴ㄷ改慦㝦㜴つ扦扡㄰搴ㄵ挴攷㥦愹戴扤㉥搲戳㤴㜰㌳摤㍢㡡愴㥡愴ㄷ㑤ㅦ〰愱㡣攰戶㉣㠱㉤㍦〷㤲换捦扦㔱愱ㅡ㝥攵〶搰敦㠳㕢㍣搲㍡〸ち㜰ㄵ㝥㌱ㄴ愶㄰挱㠳敤戲戶ㄳ捡㔶〴ㄱ愴〰㐶㑤㘶㈶㤶づ㐴㐲挹㘰㉡ㄹ㡣㘴㐲㐹ㄳ㤳慤㔰㌸ㅤ㡣㙡㍢㍢搰㘰搸挸愶㐲㜱挴㉡㥣㠹㈴搳改㐴㈶挹摢㘸㍣㤳㌴愳㐶摣㠸㙡扢㌸㔰摣㕡㔳昱㘸ち〳戸っ㙥摥㘶挰㐸㠷㤲㤱㘰㈶ㄳ㐴㜷〹〴㘲㈱㙤㔷〷㥡〹〷㈳愶ㄱ捡㠴㈳搱㔸㈴㥡っ㘲㠸ㅤ㡢㥢㘹晣〰㡡㤱㐹㈴〲㔹晦㈱敡㈰㝡㐳㐷敦㐳搲㤷㘴㌷㄰晦㙣㈵散㐷㔶㝦㤲摤㐹〶㔰㜸愸ㄲ㑡㝣㑥㥤㥡挲㠰㔰㐶㜰愳㍢㠲㐳愸㍣ㄴ挴攷㑦㈹敤愳攱挲挲〱㜴㕡〹㘵〴㈷搲挷ㄳ㐸㘲㌴㙤㐲㈸㈳ㄸ㘷㐹㐵㜰ㅥ戹晣㍣敥ㄹ挱㝦㝡㐶㜰扥慡㘷㙦㤸㐲〴㙢敤戲戶て捡㔶〴ㄳ㘱捣㑥愲愹㐴㉡㘲攰昷改㌰㔹㠹挶挲㔹㡣㠷ㄲ㜱㜸ㅦ扦㔲愵つ㜷愰挱㈴㥣ㅤ挹㠴捤㔸ㄶㄳ㈴っ愹㈳㤸ㄱ㈵搳㤸ㄴ㠵㤲〸㜷㐰摢搷㠱㐶㄰搴㌸摥㝢㥦㑥㤸戱〸㠶㔱㐶ㄲ攳攵㑣㌲㡥攱㔵ㄲ㘳慢戴挶慦㔰㕡つ㐸㥡㐶㍣㤵㠶捤㔸〴攳戰㜴ㄸ㌳愷㐰㍡㥤㌴㌱㜶㡥〶〳戱慣㥦㈹㜵戲ㅢ㡥㠰㡥㕥㐵㌲㤲愴ㅡ挴㝦戸ㄲ㝡㐵戰㑥〹〹㜵㘹搲㤰㘸㠴㔰㐶㜰戵㍢㠲㤳㠹慣〱昱昹ㄷ㈸㙤ㄹ㐱㑥㝣㜲㘱昴㉦㔴㐲ㄹ挱㤹搴㥡捥〸㑥㘳扣㥡㈱㤴ㄱ㍣㠰ㄵ愹〸㉥㈲㤷㥦敢㍤㈳㜸慤㘷〴㤹㐵㈷て晥㘰㤸㐲〴㡦戰换摡㈱㈸㕢づ㡣㠴捣ㄸ㑥つ㌳ㄱ㡦ㄸ戸㘸〵㤳㘹〳㑢㈱挹㘰㈰ㄳ㑤攰晣㑣㘹戳ㅤ㘸〸戳搶㙣㈰㘹挴愳昰戶ㄱ换㈶㌳昸攱摥㜰㌸㘱㘶㠳昰扢ㄹ搲づ㜵愰㔸㜰〹㘶㌸㜴㡤〴㡤㐸〶㌳愲㌸ㄶ㕡㔲㤸㤲㘲〵〵挵㠸㌶㈷〷㑤攲㜴收戲づ㐶挴㤱㘴㌶㘱㠴愲㈱㉣昳㘴㤳㘱㈳㤰㡡愴愲㝥㘶昸挹㠳㤸ぢㅤ摤㈰㐹㤱愴㐱晣㑢㤵㜰㈱㍤㕣戰扥㜲愴ㄲ㑡㑤㐷㐹摡㄰挷㐰㈸㈳㜸扥㍢㠲昵戴捣ㅦ㕥昶昹㡦㔵摡㕥攷攰㜱㑡㈸㈳挸㌷㜱㕡扦㠸戸ㄸ慡㘲㌹㠴㌲㠲㐷戰愴㈲㜸〲戹晣㥣敡㡥愰㌳㔹㌹搹㌳㠲㈷慡㝡㡥㠲㈹㐴昰㈴扢慣ㅤ㡤戲ㄵ挱愸ㄹ㑦㈴戱㈲ㄵ㌰〲〸㐸っ扦㘲㠵搹㐵㈴㠲戰㠴ㄳ昱㘴㍡慢ㅤ攳㐰㜹㠶㠶戳㔸㑤挸挴㠲㤱㜸㌰㘳愴㠲愹㔰搰㑣㠵㌰慦挰㜴㌵慢ㅤ敢㐰戱慥㠱ぢ㉥ㄶ㈳挲〹㑣㙤㤳戸摣㠶〲㤹㘴ㄶ㌱㑡攱㈷㈷攳㐹敤戸ㅣㄴ㤷㘳戰捣㈴㝡て㍡㔱㈲㤱捤攲慥ㄹ挹㘲搹㉤㥣挴捦㕤昸㑦㔶〷戱っ㍡晡㜲㤲攳㐹㑥〰昱㥦愲㠴㈷㤲㜵ㄲ挹挹㈴愷㔰㜸慡ㄲ㝡㘸㡡㌳㈰㤴ㄱ㙣㜱㐷昰㉣㉡㥦つ攲昳㥦㘹㙢㙢攷愰攸㌵㕦㕤〱扥挷㈸攸㕣戰昳㐷㐱攷㠱㔳㌸ち㍡㑢戵㑤㜶㠱昳㠱搰攷戲ㅦ捣㘱挰捦㠱㤰㌳ㅥ㥦愸㐵攳㌸㈲㐷〱㈳敢㡢〰攳挸㝡〵㡡戲㡢愸㈱㈵愴㈵攲㕣㑦敥㜹攰㜲㜴慤㕦〲㘵㜱扥㈷收〲挵㕤㐹っ㙣愱㡣㈷㠰攴昲㤳㜶㜷㌹㡥㝣攵晣搸昰散㜲ㄷ摢愶戴㔵㌰㘵㜵戱㔴㈸㤹つ㘱昱㈱挳㤵慥㔰〸敢ㄸ攴攰〲㥢㠸㠷㘳㤸扥晡㉦戱㜵昴㉢愰攳晦慢㉡挹戱敤㑡㔵愲慣昲㔲㤴晥㜷挶戶㤷挱㌲晥㑡㜴㡥㙤㜵㡥㘴㜵づ㕥晤㤷㉢晥㜵愸㕦晥散愷晣〱㔰㜱〵昸㌲〴㌷㠲捦ㅤ昹戹㡡㕣㝥㘶戹㕤收㉣ㄶ捥昰㜴搹搵㔰愰㔳昵㕢㘱ち㘷改㌵㜶㔹扢つ㘵晢㐶㤵㑥㘷㌰愷挷捦㜵攲㠷ㅢ㘳ㄹ㌸㌰ㄴ㡤㘷㡤っ〶㤵愱㈸㑥㌰敤㜶〷ㅡ㐹㘵㈳攱㔸㉣㄰挸〰㙡㐶㤲〹㄰㈳ㄸ㑦㘳愸ㄴ㡤㥡ㄸㄶ摤攱㐰攳㔸㐵攰愰㈵㥢㠸㘵㈳㈱慣㌱㈶㈳㔱ㄳ㌷扦㜴㍡㤶挴㜰㈶慢摤改㐰つ㌳㘹㈶〲戱㘸㌶㘰ㄸ㤱㜴㌰㤰捣㘲㙤ㅣ戱㑣挳㐲ㅣ㉢攰晥㙢搵㐱摣〵ㅤ㝤㌵挹ㅡ㤲扢㐱晣搷㈹愱搷㜵昶㝡㈵㤴㑡㔲摤搱ㄴ㌷㐱㈸捦搲㉡戸捥㔹㉣㕣㑢换敢㐰㝣晥㥢㤵戶搷㜵昶ㄶ㈵摣㑣昷搶㤳昰攵戰晡ㄳ㔰ㄵ户㐱㈸㈳戸㥥㈵戰攵攷づ㜲昹㠹扡㈳攸㕣㘷挳㥥ㄱ扣㔳搵昳っ㑣㈱㠲㜷搹㘵敤㔹㤴慤〸㘲㘱ㄷ㑢㌲㔸㥣挳㔵㌳㘲挶㘲戸㥢㘵搳㔹㕣昰㌰晡挸㘴挳ㄱ㙤㠳〳㑤㠴㤰㠲ㅣ㑤㘵昰㝣㈰ㅣ㌱㐳㤱㘴㈴ㅢ挸㈴㡣㐴㉣㠵㡢㙥㈶㙥㘸捦㌹搰㔸挴っ〷搰㌱ㄲ㤸㥥挰ㄲ㉥挹愱㘴㍡ㄸ挷攸㌵㘹㠶捤㜸㔸㝢摥㠱愲㔳〴㜰㐳㑣攳㈲㥣挱戰㌵㤰っ攱㌱〶㤶㡥㌲搱㔰㌲㠵愹㡡㝦戵㍡㠸ㄷ愰愳㙦㈴㜹㤱攴㈵㄰晦ㅡ㈵㝣㡥㘷㐶挱愲㄰㤳㌶㘵〷㤶㥡㡥㤲戴㈱敥㠵㔰㐶戰㡦㍢㠲㥢㘸㜹㌳㠸捦㝦㥦搲㝥㠰愶ぢㄶ㠵敥㔷㐲ㄹ㐱扥㡦搶晡㔹摡て愱㉡ㅥ㠴㔰㐶昰㈳㤶㔴〴ㅦ㈶㤷㥦㥥敥〸㍡攷㘰㜷捦〸慥㔵昵㝣〶㔳㠸攰㍡扢慣㝤㡥戲ㄵ㐱㌸㉤㡤㔵戴㐴㌶㄰つ㘱㈴ㅡ㌴㜰〶㘶㌲㔹㈳ㅢ㐹攱戹て收㜶㕦㌸搰ㄸ挴搹㐸搴㌰攳㠱㜴㈴㡤㈷㐹搱㜴㌰㙢愶攳昱㜴㍡㙡〴㜰扡㝥改㐰㐳〱慣搰㘶ㄲ㘹㍣㈰ち攰㌱㐰ㄴ戳搱㔴ㄲ㡢挷㔸搸㑤㘱㍡㤸搲扥㜲愰攱戰ㄱ㑣㘶戸攰㤷っ㐷㜰昶㘳敡㤸㑤㠶搲㌱㑣㉦戱㤷㌵晣㡦愸㠳昸て㜴昴慦㐹扥㈱昹ㄶ挴晦㜷㈵昴㍡〷ㅦ㔵㐲愹㐹扣愵㐹ㅢ攲㌱〸㘵〴㠵㍢㠲㕣㕦搰昹搳敢㍥晦攳㑡摢敢ㅣ㝣㐲〹㘵〴昹㐲㕤敢㘷㝥㜵愸㡡㈷㈱㤴ㄱ昴戱愴㈲昸㌴戹晣㝣昳㠳搷㡣昱㍦攰ㄶ捦ㄸ㥦㔱昵㜴㠵㈹㐴昰㔹扢慣㔵愲㙣㐵搰㌰ㄱ戵㄰搶㔸㌱敡㡣愴挳愹㔴㌲㠴挹ㅦㅣㅡ〹挵ㄳ㠶ㄱ搲晣づ㌴㙤〶捣〴〶㈶㤸㘳㐴㈳㤸㜵ㄸ㠹㜸㈰ㄲ挸挴戱㤸㡡㥤㘸㑡摢挶㠱㈲戸戱㑣㉡ㄱ㡤㐷㌹㝣挱㠹ㅡて㠵攳挹ㄸ㑥㉢㉣攵㈶㤳㈱慤㥢〳挵㠸〶㠳愱㐸㠰捦㝤㈲㐶㉡㠹ㄵ晣㌴㠶㔳㔱㌳㠶㐵〳㡣㜳晤ㅢ搴㐱㜴㠷㡥摥㠳愴㈷㐹㉦㄰晦㜳㑡攸ㄵ挱攷㤵㌰愷㐹㈵愹㉥㕥㠴㔰㐶㜰㌳㕣攷㕣㐵㝢㔳摥〷挴攷㘷挲慡㍣㠳扤㈲昸戲ㄲ捡〸ㅥ捦〸㉥㈷搹〳慡攲㔵〸㘵〴〷戱愴㈲昸㍡戹晣扣攸㡥愰㜳ㄵ㝤挱㌳㠲㙦愸㝡㠶挲ㄴ㈲昸愶㕤搶昶㐲搹㡡㈰㝥捥㌸㠸愹㝤っ㔳つ捣昹愳㔸ㅢぢ攲㥣㠸挴つ㍣ㄵ㌳㌰ㄷ搱〲づㄴ㈱㐸㘳㝤㈰㤹挴㔳摡㐸㈰㤰㌲㐲㠸㈷㔶ち昸㤳挸㘱摣攸戴愰〳挵㠳摣㌴㝡〰捥㉢㥣搹㤸㐱㈴㌱昷捦㘲㔲㠱㜵㤸㔰ㅣ㌳ぢ㉤攴㐰昱㑣㌸㤳ち攳㉦㡢㤵㝢㘸㈵昱慣㈷㡥㔹㈴捥㙣㍣敡つ挴晣㙦愹㠳〸㐳㐷㡦㤰㐴㐹㘲㈰晥户㤵搰敢㉡扡㐹〹愵㤲㔴愷㤲㔴ㄷ敦㐰㈸㈳戸捥ㅤ挱ㄱ㤴㔷㠱昸晣敦㉡㙤慦慢攸㝢㑡㈸㈳㜸ㅡ㠳㜷㉡挹㜸愸㡡て㈰㤴ㄱ㥣挰㤲㡡攰㠷攴昲戳挶㌳㠲㜷㜹㐶㤰㔹戳戲ㅢ搵挰ㄴ㈲昸戱㕤搶愶愰㙣㐵㌰㡣㐹㠳㤹㡥㈴㔲㜸〴㡦㐷㘲㔸㡤挱攳昱㘰㍡㠱㤳㌱ㅤ㠸㘱㝤㘵慡〳㑤㘳愶ㅦ捡㠴ㄲ搱㙣㌲㠵搳ㄵㄳち㠴㌱ㅤ㑢攰昹㕡ㄶ㑦㌷〳摡㌴〷㡡ㄹ〴〲㠶扢㙢ㄴ㔳ㄳっ㉢㤳昱㔰㈶ㄱぢ㘷戲ㄸ戶愴㈳戸て㑥㜷愰㜸昶ㅦ㑢㐴㌱ㅡ捡攰㤶ㄹ㑤㘳摥ㄳっㄹ㜸㠶㠶昹㘵㈰㡤㡦晦ㄳ㜵㄰㌳愰愳捦㈴㤹㐵戲㍦㠸晦㔳㈵昴㡡㈰㔳㝤攵攱㍢㜸㑢㥤㠶挴㤷㄰捡〸㕥攱㡥攰㕣㕡㌶㐰㝣晥慦㤴戶㔷〴晦愳㠴㌲㠲㉢ㄸ㍣扥攱㔹慦愵改㙦㈰㤴ㄱ㍣㡣㈵ㄵ挱敦挸攵攷〲捦〸晥搹㌳㠲㑣攱㤵㠷搰〰㔳㠸攰て㜶㔹㙢㐴搹扥㡡㘲戶㤸㑡ㅢ㐱㑣晢㌱㤲挱㌸㌱㥣㌵㘲㔸㘷㐹㘰㙣ㅦ㡤愵搳摡〲〷㥡㠹挴〲㈶㥥㐰挵㑣搳㡣挴㤳㜱㕣㜰戱戰つ晦攳昹㘴㍣㥣ち㘸ぢㅤ㘸ち搱㐷㥡〶搲㈵㘲㔱㍣㌶㌵㡣㈰搶昵㔲㘶〰㜷㍣散㥢〱慤挹㠱愶㐳㠹㄰搶㔹㐳㌸昷昱㐴ㄵ戳晣㐴ㄶ㌳搲ㄸ慥搲㔸〰㐸㠴㘳晥ㅦ搵㐱㌴㐳㐷㙦㈱㔹㐴戲ㄸ挴晦㤳ㄲ㝡㐵昰㘷㈵捣㘹㔲㐹慡ぢ㑥挲㘴〴㤷扢㈳戸㡣昲攵㈰㍥㍦㍤㈷㥤攷ㄵ㐱㘶ㅣ㑢愱㡣攰㕦ㄸ㍣扥愲㕡㍦つ慡愲〳㈴㌲㠲愷戳愴㈲挸㑣㘲ㄹ挱㐵敥〸㍡㈳㤹㘶捦〸㙡慡㥥戳㘱ちㄱ㘴敥㌰晥㑡戴㜳㔰戶㈲㤸挰ㄳ攲㌸㔶㍥㌱㜹挷晡㑡㌰㡤㘸挶戱〸㡤㤵戵㈴㥥㍢㈶㠲摡ち〷ㅡ㌱昱昸〱慢攴昱ㄸ㑥慣㔴㍣㥣挸㐴搲㜸敡㡣㝢㔶㍡㡢愱㑢㕣㍢搷㠱挶㐳㜸㠴㤱捣㤸挹㘴㍣ㄱ㐹㤹愶ㄱぢ〷㐲㔸㉥挷〳㐸㥣慤㤱慣㜶㥥〳挵挳换㜸㌴㠱昵㌹㈳㡤㠴㤸㑣挴㐸㘷㘲搰㌴〳挹㑣㄰㤳晦㤰扦㐲ㅤ挴㥦愱愳㥦㑦㜲〱挹㠵㈰㝥㕤〹扤搶摤㝣㑡攸攰㜵挷㠶攸〲愱㡣愰攱㡥攰㉡㕡扥〲挴攷敦慡戴扤敥㠳㤵㑡㈸㈳㜸ㄹ㠳㜷㈹挹つ㔰ㄵ摢㐰㈸㈳㜸㈳㑢㉡㠲摤挹㐵户ㄱ戳㍣㈳㌸挳㌳㠲㍤㔴㍤户挲ㄴ㈲挸㐴㘶晣㤵㘸户愱㙣㐵㄰㌳戰㌴㥥ㄲ攳ㄹ〲ㅥㄷ㈵㜰㠶㘰㘴ㄲ挷攸㌱㠳㠷挹㐸㐱ち㙢户㍢搰㙣摣挰㘴㍢㡡㤵ㄷ㕣㐵㤳㐸㌰㠸㤸㈶㤲㍤㤰昵㠱㔵戲㑣㌸慢摤攱㐰愳戸攷〱ㅥ〸㐴攳㈹㍣扤〸㘰挹ㅣて㈷攲㜸㈶㘱㈴㌲戸扤㘹㜷㍡㔰㥣搹㘱慣扣攳ㄲ㠰㡥㤳挲愰〷㡦㉤㌰㍢挹攲㠶㠸挵昷㔰捣捦挴㙢㌶㕡扦ぢ㍡晡㙡㤲㌵㈴㜷㠳昸㤹㜹㉤㠵㕥ㄱ㘴㐶戶ㄴㄲ㕡愰㉥㜶㠴㐴㐶戰捡ㅤ挱戵㐴慥〳昱昹㜷㔲摡㕥ㄱ摣㔹〹㘵〴慦㘱昳慥㈶㜹〲慡㘲㔷〸㘵〴搷戳〴戶晣㌰挷㕡㐶㌰敡ㄹ挱戰㘷〴㤹㘹㡤㍦㍣㕡㠷㈹㐴㜰㌷扢慣㍤㡢戲ㅤ㐱晣㌰㙢〴㜳〱㐴㈷ㄸ挱㤵㌱ㄱ㡤搰㥤㜸〴㘸㠶㐳㠱愰愱㙤㜰愰㈱㕣㘵㐳愱㙣㌲㡥㘵戹〸㔶挷㔲㠱㔰搴㌰㔲っ㍤㐶㡦㔸㌹㝤捥㠱㈲ㄹつ㐹㘶搹㜴㠰捦㥦㤰〳㠲愹〴昲㝥戲㤱㌸搶㔹㤰敥ㄶ搷㥥㜷愰愹㑣㈶㠰㠵㍦昴ㄷ挸㜱昵挶㐵〱昳㡢㔰ㅣ㠳㈶慣ㄵ㈰㠲晤搴㐱扣〰ㅤ㝤㈳挹㡢㈴㉦㠱昸㤹〶㉥㡦㜰㈱㘸攱捡改敥㑡㐸愸㑢㤳㠶挴ㅥ㔴攰㈹搱挷ㅤ挱㑤㐴㙥〶昱昹〷㈹㙤慦〸づ㔶㐲ㄹ㐱扥㤷㕣扦㠹攴㐳㥡ㅥ〲愱㡣攰㐷㉣愹〸敥㐵㉥㉢散改ㄹ挱敥㥥ㄱっ愸㝡㍥㠳㈹㐴㌰㘸㤷戵捦㔱戶㈲ㄸ捣㤸昱㈸㥥㍦㘱晣ㄲ挲昳扢㠴ㄱ挶攰㌴㠳敢㘴㌸㤴挱㉣㍦愶㝤攱㐰㤳㘶㈰㤳挵昲㈷㥥㈰㘱〵㉣㤸㌰㤸挹ㄵぢ攲挱㈲捥戲㔰搶搰扥㜴愰㜸ㄸ㤲〸㘲㕡㡦愵㠱〰㉥挷ㄸ㈸㘱ㄴ㡡愵ㅢ慣㝤㘳攱㈵ㄲ搱扥㜲愰㌱㈴㌳愶挲挸㌵挱戳捣㐸㌰ㅤ㌶㤰㑣㠶㑢㘹㈲㘶㈰戶挹㐸挸ㅦ㔲〷昱ㅦ攸攸㕦㤳㝣㐳昲㉤㠸㍦慣㠴㕥ㄱ㡣㈸愱挴攷搴愹㈹㤸㡡㉥㈳㈸摣ㄱ㉣㐱攲㠵㉥㐰㝣㝥㘶愳攳捦㍢㠱㡢㔹敡㔲㈸㈳挸ㄷ慢敢㜷㤲攸㔰ㄵ㝢㐳㈲㈳挸㙦挸㍢ㄱㅣ㑥㉥㈳昸捤昷㥥昳㐱㜰㡢攷㠳晢慡㝡扡挲ㄴ㈲戸㥦㕤搶㉡㔱戶㈳㠸愷ち㈶㠶て㐱㡣攷㜱㍤挳㐵㉣㥣挲㈸㌲㤶つ攳搱〵挶ㄴ㥡摦㠱㘶戳㜱㐶〴ぢ攴㤸て〶昱昰㌷㄰㐸挶攳㐰〷㤳㤸晡㘳㡡戰㡤〳つ攳㐹㉥ㄲ慥㤲〸〸挲㤲挲㌴て愹㝡〶扥改㥥㑣攳㡡㙢ㅡ㕡㌷〷ㅡ〸㘲㉥㤳捥攲㥥㠹ㄴ㍣捣改㤱搱ㄷ挰㜹㡡戱㘸ち敢昲㠱愰㝦㠴㍡㠸敥搰搱㝢㤰昴㈴改〵攲㘷㠲㍣晥昰攲〵搰挲㜳㤰㠹昳㔲㐸愸愵㈹㙤㔰㕤㌰㉤㕥㐶㜰㌳㕣㤷㥢てㄲ搹〷挴攷ㅦ愳戴攵㌹㔸昰晣㠹ㄹ昳搲戴㡣攰〰㙡昱昵昰㍡㕦㌶㉦挶㐳㈲㈳㌸㠸ㄵ㤱挳捦㐴㜲ㄹ挱ㄷ摤ㄱ扣㤶㔶㤸㐴昹㠲㘷〴㈷㐱㑣㠴㍥ㄴ愶㄰挱挹㜶㔹摢ぢ㘵晢㉡㡡㜹㕢㉡ㄳ〹ㄹ扣㍡㘶昱㌸㌱㠳戵ㄴ㈳つ扦㜳づ㙥㘶戴㠰〳㐵敥㔵㈲ㅣ〹㘳攵ㄴ搹㜶ㄸ㙤㘲〰ㅡ挲㜸〶愹㡥〹捣㌱㌰挰っ㍡㔰㥣慥㤸㡥㘳㐵㈶㥥〸㐴㘲㜸㑡ㅣ㌰㜱昶㈲敦ㄲ昹㤱㜸㥡㠸昹愰〳挵㤰㌳㠰㐷捥戱㔴㄰ぢ㌷ㄸ愸ㅡ㘶って晣挳ㄸ〳㈱㤷搳捣愴晤㌵敡㈰挲搰搱㈳㈴㔱㤲ㄸ㠸㝦㡡ㄲ㍥㠷㥤挲㔵戵愹㑡㐸愸愵㈹㙤㔰㕤捣愰〲ㅤ扡捥ㅤ挱ㄱ㐴㔶㠱攰㈹扥搲㝥㠰挸㠲㔵㌵㈶昰攳捦晡㠱㈹㝤ㅤ昷搶㤲㡣愷㘹㤹㤸捦搲〴㤶戰㈳㍦㑣捣㤷ㄱ㕣攳㡥㘰㤶㔶ㄸ挱扢㍣㈳㜸㤰慡愷〶愶㄰挱㠳敤戲㌶〵㘵晢ㅣ挴㤴摢㐴㔴㜰㘵挴㡡㔹ㅡ㙢㙣㐹㈴捦挵つ捣昲昰昴〹㤹㡤㔳ㅤ㈸㤶㔹戰㜲㠳㐹〲ㅥ㌲㐶搲搱戸㘱愴㘳㘹攴捡㐲㌹㠸㔹㐵㔰㥢收㐰㤳昱㘰ㄸ㌹摢㐸㘹挵㈳㠷㈴ㅥ㜱㘵昱㜰㉢㥣つ〷㘲㠹㐰㈲ㅢ㌵戵改づ㌴㠳㜵㠲㜴ち㐹ㅦㄹ㌳㠳㤸㘵ㄲㄸ戸㐶㤳㔸㐸㐵㉥㜷㌸ㅢ捤昸て㔱〷㌱〳㍡晡㑣㤲㔹㈴晢㠳昸㘷㉢愱搷㌹㜸愸ㄲㄲ敡搲愴㈱㘱㐰㈸㈳㜸㠵㍢㠲㜳㠹㌴㐰昰ㄴ㕦㘹㝢摤〷搳㑡戸㤹㤱攲扢昹昵挷㐸㙡愱敡捦㈸攱㘱㈸㜵改㔰㍥ㅦ攵扤㕢㝦ㄷ愳㉢㙦㝡㌰㕥㔹㠶㤷慢㥢ㄹ扣搲ㄸ㍦㄰摢戲㜴㜴㐳㑢ㄳ扦昱㔷搲〱慦㌴戶㕥〴㕣㔶㍡㙣敢㙣㌱㡤㡤㉦慡攳愷晣〲ㅣ昵晦挰づ晢㘴㉥昷㡣ㄶ㜷挵㐷慦挳〱㤷搷攳㜰㍤摦㠶㘶㈵㠳捦挰扢㥣捤愱搵㈳攳㐳㐷㉦㐹㥢㜵㝣晤ㅣ搲挸㜱㘳㉢改㔹㍦扥ㄹ扢昸㘱摣㤹㡤㔵昲㝤㘸捣㌸摦㐶㘵㥡て慥ㅦ扢愸㌶〳㍦昴捦㜱搴ㅢ〷㤵摡㤴㈶㐷慦㑢づ㠵ㄷ㠵昷捣㤵㕣㉦㔲摥㌱挷挵㡢㈶攱㜰㌳愳㉣㌶攳〵挳㘵愵ㅤ㡡㝥㘱㔶㘶㍤㡥㙡慣挷㡦㠵て攵㥢㤳㘹慤愹戱㙥㝣㠶づ搸搱攳㌵搲㈳㙢㕢攴㙢搸昹敥㉤愱搷挲㌹㕡〳摣愴つ敦㌷戶㕦㌰㔴㝥㉥〲㔱昸昶慦㔶敢挸㜷㍢㙢㠴㌹㍣㤸㕣〰㠳愲〱晢昴扤搰て㘳㈵㑤㔶㈵愳㔱㠹㌸ぢ㤵戰㈲昶㈴㥦捥㔷㠵㠹㐶〷㝤㌸搱㡢挱昳て敦㌷㐵扤ㅤ戶㕦ㄵㅢ㜷ㅡ㜴㍣㝦扣挱㜶〰扥ㅣ愰㍣㌸扡㘱ㄱ㕦攳攴敡ㄵ㙣ㅥ㌷㥦扥㠴ㄵ㉥㜰㉡慣㘳㠵㐷㕡捤ㅢ挳收㥤㘴㌷てㄷ㔴愰㡦㈶㥡攷㌳㕢㡣晦㑡〴㌳〳㔸愰㕣㌴摢〵ㅥ㡢㘸㐱㠱㡤挴㝥㐹攵㤱㈸戰ㅦ昱攳摡扥搸捦㉥㡣戰晥慦戰晦昷㡦戰㕥戳昸攱㝥㤵㐷㈹捤搹愲捦㜹㔵攵㥢㡥㉢晣㠹㐵㕢㜳慤昵扦愲晥ㄱ攲〴㘸昶㐷㔹㝦㥢㘴ㄳ〹㉦〹㘲ㄹㅡ昵ㅡ摥慣扢㙡挲ㄲ晤㠱㕢㈷㔷㥦晦挳戰㌳扥晡慥㑢㐴ㅣ㘷ぢ㠶㍣戴攲㡡㌵愱ㅢ㈶㥣㕣戶愴㘶昷㔷㍥㕡敥㍦ㄱ㤶昰㠷愷敢㌸晥㉥ㅤ挴愹㈸昰捡㈱㡥㠱〶㑦㔷晡㔳㍦㤱捥㌹ぢ㙣㉢搲愷㘱㑦㍢ㄹ扣挲搸㠵挵㔲愸㈸搷昸昴㔳愹㜷戶愳㜷㍡昵㑥〷て摤㄰㍤㈴㉣ㄶ〱㥤敢㈱㘷ㄲ㝤㡥㠳㍥㠳攸戳㉤㌴㍡㙤㔸㉣戴搱攰㈳㘰㉢㠸㕥攱愰捦㈴晡㍣ぢ㡤昰㠶㐵扤㡤戶挲㝢㍥㈴㤵㤷㄰〳攵摦ㅦ慡扦㉡捤摦ㄷ慡㉦昶ㄳ㔷㐱搳㉢㔴昳搱㍣捦㔰捤戳〵㙢㍦㝣㍦晣㠳扦㜲挲㔹㉢捡敢㕥晥㜴㜹㡢晦㙡㔸挲ㅦ㥥改攳㔸㄰慡敢㔱㤰愱㌲愱攱㠴㙡㈵摤㜲ぢ㐴㔶愸㙥挰㥥㜶ㄹ㜸攵㍣昳ㄳ挲戰扤㐲㐳㍥㝤ㄵ挱户㍡攰ㅢ〹扥搲〲㡦〶㜸戶つ戶㑥攰慢〹扥捤〱摦㐴昰戵ㄶ㜸っ挰〷摡㘰换摦搷ㄳ㝣扢〳扥㤹攰ㅢ挱慢捣㍦摢ㄳ㘲ㄶ搴㜲ㅤ收㘶慡摤〱戰㜳ㄶ摥㘹ㄷ攴㔹㜸㤷㕤㤰㘷攱㙡ㄴ㤴㘶攵㝤㈸㙣㕤㘸敦㔷㥡㙤㠷戶㘴㉤㍣收摡㜶ㅦ㈱晥づ㑤慦搰㑥挵㈱㜹㠶㜶㡡㉤搸㙤捡摦㕥㑤昵㍥㘱捣㥡㕤晥㔱㝡攴㈱攳㠴晦㔱㔸挲ㅦ㈶㐵㌸㝥㠴昶㜱ㄴ㘴㘸㈷㐳挳〹敤㙡㍡攷㘹㠸慣搰㍥㠱㍤敤㙥昰㜰㌶㑤敡ㄷ㠹㠸昱〰慢ぢ㤶㑦扦㠷攸㘷ㅣ昴㝡愲敦戳搰ㄳ㠹ㅥ㙤愳慤攰㍥㐰昴戳づ晡㐹愲ㅦ〲て㘷㜸㡤敢敡っ扤㉡攸㈹户晢昴戵搴摢攰攸㍤㐵扤㐷慣㕡㈶戳㤶攱㜶㉤攰愳扦㍤㑡㌴㠷扤㑥㜸昹㔰㔹戵㔹扣㘰ㄷ㘴㜸㌷愲愰敡愹㝣つ㠵慤ぢ敦敢㑡戳慤昰慥昹㘷㘴㥤㉢戶㈵㉦ㅣ㕣㔳㈵摥㠱愶㔷㜸ㄳ㌸㈴捦昰挶㙤挱挴㠳㤶㌶㜴晦昹搷〹昷㝥摣晦挷㉢㠶晦昰愸㘰㙥㍣敦㔲晡㝡ㅣ㍦㍢戲散捣㌲㈹㥤摣㈷改ㄵ散昰攳晦㄰㔸晣攱㌷㙡挱㐵㔷昸っ〵㉢摥㥦㘲㑦㝢〶㕣挴㝢㑡扦㘰扣㍣㠸晡㠶戴㍥㉡换扤愰㔷摤㉤昹㜶㐱搷慤㤲〳㈸㙥㍥㝤〳㕢昰㌹散搳㈴㔹攲㙢ㄴ㜲〷㍦ㅣ㡡搶ㅤ㘶捦搶づ㝥戰㉤㈸晣昹㜶㍦ㄳ扢昱㠷㈵㈴敢㠰㝥㐲㐱昶敤㍤愰攱昴敤㔷搸㠲㤲㜲㜵慣㍦〳愴扤〶㥥扣㙣㈵㐵㝦㘰㔵㥦昱改㙦㄰㉣ㅣ昰㉦〴扦〵㕥挱挵㈵㈹晡㐰㑤昵㈱㥦扥㠹㙡愵㡥ㅡㄳ戸戵㝦㔹㜵㡣敥㤷ㄴ㍢摢㜵㔸㈷挴扢〴㜷㜰挰ㅣㄲ㘸敦㕢攰㌱〰㙦㙦㠳慤慢摤扦㈱愸散〲昰搶昵搱慥㑡戳慤㍥㡡ㄷ搱㍥捣搰攴㌶㕣㠲㝡㐱戳㍦㌸㠵〳㠱ㅥ㘸㥥㘷ㅦ敤㙥ぢち㝦㘴摥捦散㙤ㅣ㈳㕥㕤㠳㘳㐱扦㘳ち戶っ搳㌶搰㜰挲昴〵扤搲ㅢ㈲慢㑢敥㠴㍤敤㉢昰攴㈵〸㌷摤㉥㜹㙥昹㥡攸㍥づ㥡愹搹摡户ㄶ㝡㈲㙦搱扡㡤戶㍣晥㍤搱㝤ㅤ㌴戳戳戵ㅦ㉤昴㘴愲换㙤㌴㕢改搳㝦㈶㝡㌷〷捤〴㙤敤㔷昰ち㉥㔸搰ㄳ搰换㜵㠲㤲ち攸㜱〵㕡㜵㈷挱㉣㙣ㄶ攴㐹挹㙣㙣ㄶ攴㈵㠸㔹搹㑡戳㜲〸ち㕢ㄷ摥愱㑡戳慤昰㝡㕥㠲㘲搰散敦ㄱ摥㥦扦㙢㈵扣㍦搹㠲搴敢㙦搷慣扡㝤晣㤸摢晤挷㡣㡤㉤搴て昵㌳戵㕢㠶㔷挳昱㈳扣捣捦㤶攱晤〱ㅡ㑥㜸㉢攸㥣ㄱ㄰㔹攱摤〷㝢㥡て扣〲愷㐶〲攲ㅢ愸㈹搷昸昴捥搴慢㜲昴㤸挱慤㜵〵捦扡㌳〵挴㤷㐰㉢ㄷ晢㜴㍦搱㈳ㅤ㌴㤳戸戵㙥ㄶㅡ㜷愶㠰昸搴㐶㕢摤愲〷搱搵づ㥡㜹摣㕡㉦ぢ㡤㍢㑣㐰㝣㘸愳慤㙥戱ㅤ㈴㤵㤳㠹㠱摢昸㜱㙤㕢㌰㈴慦㔱㥡㙤㠵㙡㕣摦㕥敢㕣㘶㑢㥥晡昰搰㉡㌱ㄳ㥡晤挱㉤㍣ㄳ摦㐵昳㍣捦挴㜷㙣㐱收㡣换㙦扥攳摢㉦㈷㥥摣㘹改㍣㉤昲敥㠷㝥收㜰换㔰敤㠲㘳㐱愸㤸㠸㉤㐳戵ㄹㅡ㑥愸㝡搳㉤㜳㈱戲㐲㜵〸昶戴扥㤶㕢挶昶ぢ㈷挴㥢㜹㙥改㐷戴攱愰㤹愰慤敤づ㕥挱〰ㅥ㝡慦㐲㉦ㄷ搸㠱搴㑢㌹㝡捣搶搶〶㔹戵㡣㘱㉤㉦摡戵㔸㤷挱㍤㠹㑥㍢㘸㈶㙣㙢㐳㉤昴㘸愲㥦戳搱㔶㘰〳㤰㔴搶ㄳ〳户晤晥㔰㌵㈸捤戶㐲㔵㔲㔲戱搶ㅤ㉡敥㡢挵搰散㡦㥤挲㔰㍤㠵收㜹㠶敡㐹㕢㄰㙡㑣昵㥢扥挶㕦戳收㡤㘷㍥㡤捤㍥敢〱㍦㤳戵㘵愸㘲㌸ㄶ㠴㡡ㄹ搷㌲㔴㑦㐰挳〹㔵㠲㙥㔹〶㤱ㄵ慡愳戱愷つ〳㑦摥摢㘲攲ㅦ戶㔷慣づ扣て挱换ㅤ㌰ㄳ戱戵㝤㉤昰㤸㝥㌱戱捥〶㕢づㅦ㐱昰昱づ㤸愹搸摡㐸ぢ㍣ㅡ攰〷㙤戰攵敦㔱〴㥦攰㠰㤹㡣慤㡤〱慦攰慥ㄹㄳ昷㐲㉤搷〵挶㔱㡤㠹搶捥〵㤳〹搷敡㙣ㄶ㑣扣㜶㉥㤸㑣挰㔶㥡㤵㘷愱戰㜵愱㍤㕢㘹戶ㅤ摡挲晢㘱挹〸㜱㍥㌴晢㝢㠴㜶㌵づ挹㌳戴㜷搹㠲愹㥦敦搸㙢攱㤴挰戸慢㕦扥㘸㑥昵㝢扢㝥㈷㤸㜵捤攱㤲㕥㠳攳愷户攵敤㐱愶㔳㤳㍢㠵㕥挱づ㕤敢㕦〹慣散〶㔳挱㐵㌷戸〲㘵㉢搶慢戰愷㑤〷ㄷ㔷挲ㅡ㡣搹挴㉤愸㉦㠸晢ぢ搴㜰ㄳ㥢㐹㉢捣㌱敥㡦愲搵ㅤ㜳㐳慤敢㕢㙢昳㜵戶愰挷㌷㈷摦㤱ㅥ戸晤攴㔳摥㝡攵㡣搹㈷慤㍥捡捦慣㘴搹㡥㠳慣㜶摣㡡戲散㡥搷㐰挳改㡥㠷戰搲扢㈰戲㥡挸㝣㘳敤㔰慢㠹㘳㜸㐱扤〲㘰ㄵ㕥㥦㍥㤷攸搵づ㥡㈹挷㕡捡㐲㡦㈵晡㔲ㅢ㙤昵摥っ搱㑣攴戵㙣㌳敢㔸换㕡攸搱㐴㕦㙣愳慤ㅥ㌹㥦攸扢ㅤ㌴ㄳ㡦戵挳挰㉢戸㉡㐱敦〲攸愹㡥攵搳敢㠰愹㕣㑢㌴摣昶晢慦ㅣ敢㤴收敦敢㕥ㄸ㙥㌱㠵戸扦ㄳ慡㑤摣摢っ㈲㔶愰㜹㥥摤敢ㅣ㕢搰扢挷㤳㡦㥤昹晣㜵愳㙥㠹㕤昸搷㥡昱㕦㉥昳㌳晤㔸㠶慡〹挷㠲㉥昳っ捡㌲㔴㘷㐱挳〹㔵ぢㅤ挴晣㕡换㥤㑣㉣搶ㄶ㠳㠷㉢挷攴㝥㜱㜱ㅡ戰㡣㤴攵晢㈵〴㙦㜴挰㑣㉤搶㡥〴て攷户㝢ちㄷㄷ㈷㐱㉤攷捣愳愹挶昴㕤慢づ愶ㄹ㙢挷㕡㜵㑣㐲ㅤ换敤㍡慣ぢ捥㌲㠲㕦㜲挰㑣㌴搶㡥户挰ㄳ〱㍥挶〶㕢攱㍤ㄱ㠲捡㑤㠴挰㐷扦㍦㑣㥢㤵㘶㕢㘱㥡昴㘲㌲敦㕥㍣㘷晣捣㉡挱㍣攱晥っ捥摢㈴㥢㐸㘴㤸㤶愰㜹㥥㘱㍡挲ㄶ㕣昰晡㠸捡㠷戴摢㐷摥晡捥愷搳扡慤㥥搱搹捦ㅣ㘳ㄹ愶搳㜱㉣〸搳㘷㈸换㌰㉤㠲㠶ㄳ愶㌳改ㄵ㈶搱㕡㉥㘴昶戰㜶㌶㜸㌸改㜱㡥〴挵㐲摢㉤㔶㥣㔶㄰晤戵㠳㘶〲戱㜶ㅥ㜸㠵扤㍥㈸敡愱㤷ぢ搴昹搴㘳㙡慦㔵ぢ戳㠹戵ぢ慤㕡㜰㙥〵㐵慤㕤㡢攵晣㡢㠸晥搶㐱㌳愱㔸扢挴㐲攳㉣てち搳㐶㕢㜱㕤〹㐹㈵㘳戴㜵愱ㄲ㑡戳慤㔰㈱っ㙢昱㜱㙤ㄵ㈳㠴づ捤晥㘰ㄵ㠶㙡㉥㥡攷ㄹ慡㌹戶攰攳㌳扦晦㘵攸愴㘱搵攷㝤㌱㝥攱愰㕦づ晦挵敦㠳㈵ㄹ慡㉢㜱㉣〸㔵㔷㤴㘵愸㘶㐳挳〹搵搵㜴㑢㜷㠸㉣㈷㔶㘲㑦扢ㄶ㍣㜹㉦㡥㡢〳㙤慦㔸㤱扡㥥攰ㅥづ搸㑦昰㡤ㄶ㜸っ㝡晢㉣ㅢ㙣戹昰㘶㠲㝢㍡攰㙤〸扥ㄵ扣㠲摢㙢㕣㑣㠳㕡㉥慡户㔳慤㤷愳搶㡤㙡㜷㕡㜵㡣㐶ㅤ㤳敤㍡慣愰慥愶扤摥㠴挰㘵晣戸戶㉤ㄸ摤昶㔱㥡㙤㠷挹㘳挸戴〷㌴扤挲㌴づ捤昳っ搳㔸㕢㄰摡㜸搰戶㕦搷㕥㔸㜵敤㍤攷㜶㝦㘹搵摥敢晤㠳㘰㐹㠶改㍥ㅣぢ挲㌴ㄴ㘵ㄹ愶搱搰㜰挲昴〰扤ㄲ㠶挸ち搳㕥搸搳ㅥ〲㑦㑥㈸挲㐹㔱㘵扢挵㜲晤㕡愲㈳づ㍡㐰昴㈳ㄶ㝡㜲㍦愰㠷摢㘸㉢慡㡦ㄲㅤ㜵搰㐱愲晦〹㕥挱㈴〷㝡㐹攸攵㈲昵㌸昵㘲㡥㕥㠸㝡敢慤㕡㈶戲㤶愸㕤㡢ㄵ慡愷㈰愹ㅣ㐱っ㘲挴㡦㙢摢㠲㔰㔵㈹捤戶㐲戵㝡㐱㝦昷挵㙦搹搳㍤て愸ㄲ攳愱改ㄵ慡〰㥡攷ㄹ慡扤㙣㐱㝣搴慥摦ㅤ㔶㌳㘰昴㑤昷摣㜰敥づ捦慣ㅢ改㥦〰㑢㌲㔴捦攳㔸㄰慡ㅡ㤴㘵愸㠶㐰挳〹搵㐶扡㘵〶㐴㔶愸愶㘰㑦㝢〹扣〲㜷〶〳㘲て愸攵摣昹ち昵㘶㍡㝡㔳愹昷ㅡ㜸〸㌱ㄶ〷〲愲㍦搰㙡㘰㠹㈵ㅦ愲㘷㌹攸㘹㐴扦㘵愱戱㌸㄰㄰㝤㙣戴ㄵ攲㑤㐴敦敦愰愷ㄳ晤㉦ぢ㍤㠹攸㥤㙤戴搵㝤摥㠵愴㜲㉥㌱㠸ㄱ㍦慥㙤ぢ㐲㘵㈸捤戶㐲㌵攲慡㈱敥㔰㤵っ㍡㈶㔸㈵㙡愱改ㄵ慡敤搰㍣捦㔰㙤㙢ぢ捥愸㍣㙦攰扥挷敦㔶晤户㤵㐷㠶攷㥤㝡晣㈴晦㘱戰㈴㐳昵ㄱ㡥〵愱㙡㐰㔹㠶慡㈷㌴㥣㔰㝤㐲户㌴㐳㘴㠵慡ㄱ㝢摡㘷攰挹攱㐴㔲㙣㘳㝢挵昲攱ㄷ〴户㌸攰〵〴㝦㘵㠱㈷㘱〱慣㡢つ戶㕣昸㌵挱㡢ㅣ昰㐲㠲扦〵慦㘰散㤱ㄴ㍡搴㜲㝤攰㝢慡㉤㜶搴㥡愸昶愳㔵挷㐴搴㔱㙥搷㘱㥤㔱㍦搳摥㌲㐲㄰ㅦ㝥㕣摢ㄶ㠴㘹戹搲㙣㉢㑣㥥㔳晢搳愰改ㄵ愶ㄲ㌴捦㌳㑣扦㝤㙢〹昶扡捤㈸搹晢挶ㄳ挷㕤㌴攸搹㝢㜶ㅣ㌳攴㕤晦改戰㈴挳㔴㡡ㄷ〵㈲㑣㘷愳㉣挳昴ぢ㌴㥣㌰㤵㐱㈸晥っ㤱ㄵ愶㜳戰愷㘹攰㈱㑣ㄳ昱愰攵〷㘰㜳㈷㐶〵挱攷㍢攰ㄵ〴晢挰㉢昰㝣㐲㝣〳戵㥣攷㍢㔳敤〲㐷敤㕣慡㜵戵敡㤸㡣㍡扥戴敢戰扡㠲㥦攰ぢㅤ昰㜹〴㜷戳挰㤳〰晥搴〶㕢㕤愱〷〴㤵慢〸㐱㝣昸㜱㙤㕢㄰愶㉢㤴㘶㕢㘱昲扣昰摤〰㑤慦㌰晤ㅢ捤昳っ搳〷戶㘰搹㤴〳㠷っ攸㌹㜹攲㔵ㄷ扣户晦戲㑦晡㕥敡扦ㄱ㤶㘴㤸㜶挰戱㈰㑣户愲㉣挳昴ㅥ㌴㥣㌰敤㐴慦摣〵㤱ㄵ愶摢戰愷敤〲㥥扣㐷攱昹昲收㍣户昴㈶㝡戵㠳扥㥤攸扥ㄶㅡ㤷扢㤰㜸搳㐶㕢㝤扤ㅦ搱㙢ㅣ昴ㅤ㐴敦づ㕥攱㐵㌵㈴㕥㠵㕥㉥慣〳愹㜷户愳㜷㈷昵〶㔹戵攰㌲ㄹㄲ㉦摡戵㔸㜱摤ㄳ㤲捡戵挴㈰㐶晣戸戶㉤〸搵㍡愵搹㔶愸收敦㥥昷㘸㘵敤晥ㄳ㌰㐰㝦〲㥡㕥愱摡㠰收㜹㠶敡㔹㕢㌰攰昲㑦㤶㌶㌷㍣㌸㜶㜹慦换㝥ㄹ㜰挳㍢て晢搷挳㤲っ㔵〸挷㠲㔰㍤㠳戲っ搵搳搰㜰㐲ㄵ愱㕢㕥㠰挸ち搵戳搸搳㘲攰ㄵっ戹㜱ㄳ㝦〲㙡㌹㜷㈶愸户搱搱摢㐰扤㘱攰㈱挴㔸晥㑡㡡㝦〰㥤㥢㉡敦㐳昴㡢づ晡㌹愲昷戵搰㔸晥㑡㡡㜵㌶摡ち昱〸愲㕦㜲搰捦ㄳ㍤搲㐲㘳〱㉦㈹ㅥ戴搱㔶愸㐶㐱㔲戹㠹ㄸ挴㠸ㅦ搷戶〵愱摡慣㌴摢ちㄵ㑣慥㜵㤹挵㉥愶扣ㅦ㐲搳㉢㔴昷愰㜹㥥愱晡㥢㉤㔸昴攰㕢扦㌵㥤㌰㘰晣扤挳㙢慦㥡昱晤戰㤵晥㡦㘰㐹㠶㙡〲㡥〵愱晡っ㘵ㄹ慡㌵搰㜰㐲㌵㠹㙥昹て㐴㔶愸㍥挷㥥㔶㘳戹〵㡦昵㠳攲づ摢㉤搶挵㘶㉡搱㕦㍢攸㉦㠸㥥㙥愱㤱㘰㄰ㄴ户搸㘸换攵㌳㠹晥挶㐱㝦㐹昴晥ㄶㅡ〹〶㐱㜱㠳㡤戶㕣晥㈷愲扦㜵搰㕦ㄱ㝤㄰㜸〵㥤〶㝡搷㐰㉦搷㘹づ〱愶戲㠴て㉥攰㐱㝥㕣摢ㄶ㠴㡡搹戴㔲戳敤㔰ㄵづ搲〷㘲㉥〵㑤慦㔰慤㐲昳㍣㐳㜵戹㉤搸㜰挵搵〳ㄲ攵㕤挷摤㜵攵攰搹㍦つ扣㘴㤴摦〷㑢㌲㔴㈹ㅣぢ㐲搵ㄵ㘵ㄹ慡㑢愱攱㠴㉡㐳〷㜵㠷挸ちㄵ㔳㙣戵㉣㜸㌸㍢㌰㈱つ㡢㡢〱捥摤愸收ㄳ摤挳㐱晢㠹㍥捣㐲㘳㐲ㅡㄶㄷ搸㘸㉢戰㜵㐴㌳㙤搵戲捤㐴㕢慤〱扣〲攷㐳敦㕣攸攵㥣扦㠰㝡扤ㅣ扤㙥搴㙢戲㙡挱㔴㍣㉣捥戲㙢戱㐲摣〲㐹㘵㙦㘲㄰愳摦ㅦ㉡愶捤㙥㐵愸㤰挰挳晣㔹慦㔰㥤㡡收㜹㠶敡ㄴ㕢㜰搸搲搰〱扦ㅥ戶扥敡挲㠷㜶㕥扦摢搹㜵攳晤㠳㘰㐹㠶敡㐸ㅣぢ㐲㌵ㄴ㘵ㄹ慡㤳愰攱㠴敡㘸扡㠵㠹愴㤶㍢㤹㑢慢ㅤ㙢戹〵㜳ㄷ慣昲搸㙥戱捥㤳㘵㐴㐷ㅣ㜴㠰攸攳㉤昴㈴愲㡦戱搱㔶愸㑥㈴㥡昹愹㤶㙤㘶搴㙡㈷㠳㔷㜰慦㠲摥㔲攸攵㐲㜵㉡昵㘲㡥㕥㠸㝡愷㕢戵㘰搶ㄶㄷ㡢散㕡慣㔰㥤〹㐹攵〸㘲戶㉡㔴捣㡦㙤㌷㔴摢㠵户㜳て搲㤷㑤晡㘶㉥收㔳搰昴ち搵〲㌴捦㌳㔴㡤戶愰晡㠹㑣㥦摦㈶晤㌴攱挴㜳㑡㉡摦晣㐹扦挷㍦〱㤶㘴愸捥挳戱㈰㔴㌵㈸换㔰搵㐳挳〹搵昹㜴ぢ㤳㐵㉤㜷㌲㘹㔶扢㄰扣挲㥥ㅦㄲ戵㔰换戹昳㈲敡捤㜴昴愶㔲敦ㄲ昰攴扤㉡ㄲㄲ㈶搰戹㝢搵㑡愲㤹搱㙡搵挲㈴㕡敤㌲ぢ㡤㜳㌷㈴っㅢ㙤㜵㠸㔵㐴敦敦愰愷ㄳ㝤愵㠵挶㔹ㄵㄲ戳㙤戴ㄵ慡慢㈱愹㥣㑢捣㔶㠵㡡㠹戰敤㠶慡昸挱づ㉥㠰捣㠳昵ち搵㥦搰㍣捦㔰ㅤ㘰ぢ搶晥㘵敤扢〳捦晤㝡攴㠳昷㉦㝡晢捤戹㙢㑥㉡㍦っ㤶㍣㔳㄰攵㡦挶て慤㥥㡦㕦㌱收㕢慥捤㘶挹攰敦㕡㤷㘷㤹㌷摡㈹㙢戱㤹昶㉡㝦㍦扣㑥扥搴扡㜳㜶戲搱㜴戸搹㌴愹戶挱㙣敥㥣㥤㔱㕢㙦扦愳㜸㔴㤷㉣㝦㔶ㄵ㤹户㡢昱㡢攳㑤扡㉣㔱㔹换㑥㘹〲愳㘳㜶㝣㌳㝥㈱㍢㔳㔱㍦搵㘸㘹㌱㥢ㅡ晥〸慦戰挴㙢挶换搸㌱昰㔰愴㠳㄰㈵愵㥥㙦昸收慢扢㍤㔳㑣㉤ㄷ收晣愱㝥㈵戹戴戴㐲㤴㙥摤ぢ㉣戵ㅢ搱攵摣㍦㠵㤶挱㝢㈱㥢㙡㔳㡢㕡㙡ㅢㅢ捡挴㉣㠴搹晡慥挸戲ㄲ昹攴㠵捦㙤昴㥢搹㠱㙦〱改㠰㠴㔲昹㌰〷挴愷摦ち㡥㝣㐵扥昵晢㠲攵捣㉥㉥㍣㐰扥㜷㝤っ㍤㔰㝥㐴㙤愶㘵扥㌶摦慣㥤㌷ㅦ敦愹攸搴㐹扤ㄷ㥤捥㈹㕢〰搵戶㤲㜳㜹晤散㔸㍦挷㘸㙡㌲㤶㔶搴捦愹㌳ㅢ收戵捣慦㤸戳ㄸ戹挸㘸㌷㤴㉢㉡㉡昴摢搱ㅥ㔶挵㡦㘸〱㤳㔶昵㍢摣㕣㘶扡㑡敥㥤攰昲ㅣ愴㘱㜱戴攲摥攵挶㌲捦㤳扤㕢愷换捡挴㐴㑦搷摣つ㤹㑥搷攴摣㜲て㔹晣㠱㈷换㉤㠲㈹愱㜴㡤摡〴㜳㍤㘵㈳敥愳㘱戰㘵㈳捥㔴摣晢挱㜵づ㘳㠵攲㍥攰收㥥慦戸て扡戹捣㜶㘴㠳戵㠷挰㙤㍤挶㔵㥥〷戲ㄶ㍡摡㍡㤰晣ㄸ㍦〲㡥晢㘰㔶挲㝥摥挱慣㔲㑤㜹ㄴ㐸愷搹捣㠰㤴㠷昸て㌷㤷愹㡥㤲晢㑦㌷昷㘶挵㝤っ㕣挷ㅤ㜷㠲㉢て收㜱㜰㕢㍦㤸戸攷挱慣㠷㡥捥㠳挹㐵攵㈹戲㕣㔱㔹つ晢㜹〷挲㉣㐰搹戸㘷㠰㜴づ攴〱挵㝤搶捤㕤慢戸ㅢ挰㜵㥡捣㥣㍤㘹攱㌹ㄷ搶扦ㅥ㕣㐲昴攷挱搵㕦㈰搹〸攲昳㌳㤹㑤ち㕥㐴ㄱ㌷戹愷㔰㤶㐷晣ㄲ捡㤵挸㠹㌷搳昸㔹昱摥㡢昹搶晦收㔲戱㠷㍡搲㡦㐳摢攷㑥捤㔷㠰搵㕥〵改㠰㈴㌶挱㘶㘳昳改慦㠱攳㍥摡つ慡㘹㙦㐰攰ㅣ摣㑢㜶㡤㍡㍢㑣㤹攸慢㙡㈸㜱㥦晣㙦搳㔴扥㉦㌷ㄷ㔸㘷㑡㕡㥥㉦摦㔰搵扤攳慥㙥㤳攲扥换敡搰㑥搹敦㤹㍥㈶扤昶㥥ㅢ换㍣㌱挹㝤摦捤晤っ㕣改愲て挰㙤扤㔳㙣攷㜹㈰ㅦ㐲愷攰㔴晤㤸㉣㔷愷昸〲昶昳づ攴㙢搵㡣㑦摤捤㘰晥㤵㙣摣㘷㙥敥捦㡡晢戹㥢㕢㠲戵㌸㠹晤〲㕣攷愰㌵㜰攵㠱㝣〹㙥敢〷搲搵昳㐰晥〳㥤㠲〳昹㠶㉣搷㠱㔴挰㝥摥㠱㜴㔶捤昸捥摤っ扦攲㝥て慥搳㉤㝡㈸敥て㙥敥㜶㡡晢愳㥢扢ぢ戸㍣㄰晢㈲㔹收搹攰㕦愰㔱搰攰摦挸㜲㌵戸㌷散攴㌵戸㥦慡㑥攰㠵㘶㑥搳〶㉡㙥㈹戸㡥㌷昷㔴摣づ㙥㙣㐰㜱换摣摣ㄸ戸戲挱㔶㥦晦昱ㅢ慦ㅢ㕥㐷㘸ㄴ昴㜹㥤㉣㔷㠳ㄳ戰㤳搷攰㝤㔴㜵㥤摣搵㡤㔰摣捥㙥敥㈸挵敤攲收㡥㔳摣慥攰慡㠳昳㌳慢㠲〵扤ㄲ㕣摤㑦戲つ㠸捦捦挴ち㈹攸㠶㈲慥ㅦ㔳㔱㤶㝤慡㍢捡挵搷㡦㑦搴㤱收㕤㍦㝡〲慢昵〲挹㕤㍦㜸㙢摦ㄶㅣ昷搱捥㔴㑤摢ㅥ〲㈷ㅡ〷搹㌵摡挱㝦㑦搵㔰攲扥㝥散㐴㔳昹㜷挸㕤ち慣ㅦ〲㍢㜹扥㥣慢慡敢敤慥㉥愳戸㝤摣摣昹㡡摢搷捤慤㔳摣摤挰㔵扥ㄴ㑤攰㑡ㄷ昵〳户昵搳敥㜵捦〳搹ㅤ㍡〵㥤㘲㈰㔹慥㑥搱〲晢㜹〷戲㐴㌵㘳㄰㤰㡥摦㡥㔶摣挱攰㍡㡤㕢愶戸㝢扡戱㈷㉡敥㄰㌷㤷て搹㕤愷摤㜳㥥つづ㐰愳挰昳㈱戲㕣つ㍥ㄳ㜶昲ㅡ扣㐲㔵ㄷ㜱㔷㜷扥攲㐶挱㜵ㅡ㝣㤱攲挶摣搸㤵㡡ㅢ㜷㜳昹愸搹搵攰挷㍣ㅢ㍣っㅡ〵つ摥㠷㉣㔷㠳慦㠶㥤扣〶㕦慦慡摢搷㕤摤捤㡡扢㥦㥢㝢扢攲㡥〰搷㌹㡣搵㡡㕢攵挶昲愱慢㙣㌰挷ㅦ㘵攲㐱捦〶㡦㠲㐶㐱㤷ㄸ㐳㤶慢挱て挰㑥㕥㠳搷慡敡挶戹慢㝢㔴㜱挷扢戹㡦㉢敥〴㜰㥤〶㍦愵戸ㄳ摤㔸㍥㝡㤴つ㘶摦㉥ㄳ㜷㜹㌶戸〶戲㠲〶㑦㈵换搵攰㡤戰㤳搷攰㔷㔴㜵搳㘹㔸摤戶摦㔰摣ㄹ攰㍡㍤㝢㤳攲捥㜴㜳摦㔵摣㔹㙥㉥ㅦ挰戹ㅡ㝣㠳㘷㠳晦〴㡤㠲〶ㅦ㐴㤶慢挱㥦挰㑥㕥㠳扦㔰搵ㅤ攲慥敥㙢挵㥤敤收㝥慦戸㠷㠲敢ㅣ摣捦㡡㍢挷㡤㉤㐵㑦㤰つ收攸愳㑣㕣敥搹攰ㄴ㌴ち晡㜰㠶㉣㔷㠳换愰㥥搷攰ち㌰攴ㄸ㈱敢慥慥戳攲捥〳搷㘹㥡㕦㜱攷扢戱㍤ㄴ户搶捤摤〱㕣㔷㠳㉦昰㙣㜰ㅤ㌴ちㅡ摣㐰㤶慢挱㍢挱㑥㕥㠳㝢慢敡ㄶ戸慢敢愷戸ぢ摤摣㠱㡡摢〴慥㜳ㄸ㝢㉡㙥戳ㅢㅢ〲㔷㌶搸㥡㜲㥤攱搹攰挵搰㈸㘸昰ㄲ戲㕣つ㡥挰㑥㕥㠳ㄳ慡扡㈳摤㡤搸㐷㜱㡦㜲㌷㘲㠴攲ㅥ敤收㡥㔲摣㘳摣摣〹攰扡ㅡ扣摣戳挱换愰㔱搰攰攳挹㜲㌵㜸ㄲ散攴㌵㜸慡慡敥㐴㜷㜵㌳ㄵ昷㈴㌷昷㑦㡡㝢戲㥢㝢㠸攲㥥〲慥攳昷ㄴ戸慥〶ㅦ攱搹攰搳愱㔱搰攰㌳挹㜲㌵㌸〳㍢㜹つ㥥慦慡㍢摢摤㠸㍡挵㍤挷捤㕤愰戸㉢挰㜵㥡搶愲戸攷扡戱㐷㠲㉢ㅢ㙣㕤㠷敢㍤ㅢ㝣㍥㌴ち慥ㄲㄷ㤲攵㙡昰搱戰㤳搷攰㘵慡扡㡢摣搵㥤愸戸ㄷ扢戹愷㉡敥㈵攰㍡つ㍥㔳㜱晦敡挶㜲挹搲攵攱戴㘷㠳㉦㠳㐶㠱㠷㔷㤱攵㙡昰昹戰㤳搷攰㡢㔴㜵㔷扡ㅢ戱㔲㜱慦㜲㌷㘲㤵攲㕥敤收㕥慤戸搷戸戸攵㌷㠳扢挵换㑦〲搷晦慤晣㘹㤱㙢㔱愹攰㥡ㄱ㙤攸搷戱㠴ㅤ㝥㉡㙦户戹ㄵ㥣ㄱ㔶㜲挵㠶㙣慢挴㤵ㅡ㔹敡㐲ㄹ㔷㘸ㅣ㤹攰敡ぢ㥢慦㕦㑦㙢昷搸㌲晤〶户敤晢㤴㠶搴攷攲㡡愳㕦昹㐰㕥㠹㡢㈹㡥㑣慣㐵㐹摡扥㤱搶戸づ㐲㤹㝥㤳摢昶愳㙥㡤㑡慥㜵㌸晡㤵㕣攳挸㤵戸戶㈱㑢㙣㠵攰晡㠴戴㝤㌳慤㍤㘵换昴㕢摣戶戹っ㤱搳攷昲㐳慥戴㐱㤵攴㌱㜱戹挱㤱〹㉥㌳挸戵昲改攸㜹㕣㉢摦㠷慥㉣搵〴㤷ㅥ愴㘰㥡㉤ㄸ㉥〵㐲㙣㔴㠲愹戶㘰㍦ㅥ攸ㅤ㘸㑣㌹㤷㈶ち㝦敤挶昵扢㐲㜸ㅤ㐲㤳㤱㙥ㄹ摦㘲搶攳㡥㠹㔷〸捦挰㉦ㄲ㜲㤵搲㔷捦敦㥢换㙦搳㘹昵㌳收攳ㄷぢ户戱戱㠳ㅤ㑣㌷㠷攳㘰扢㍡㉣愹戳㝤㜵㘳晤〲愳挹㐸搵㤹㠴っ捥ㄹ敤㔹㈸㤱㜸㥣㤹㍣㌹㑢晡戶晥㔵㍦搵㐰㝥愳慦㐲㙣㌱戰㐲㔰㐱扦ㄳ㍥㤱〱捣敤挹愲㜸〵㝥㤲〱扤㡢㈱㝣つ㈵〶㐴㕦敤づ攸ㅢ㌶㔷㜶㙢挱㘵ㄵ愹戱㠶ㄸ慥愸㐸㡤扢摤ㅡ㕣㍤㜱〲㕢昹慥㉡挹愰㜳戵㈴㈷攳㉡㠹㔳ㄲ㕣改㤰戶晦㐶㙢㕣攴㤰戶敦㜱摢收㠲㠶愳㔱挹㠵㡣㕣㠹ぢㄸ戹搲ㄷ慡㈴て㤵㡢て搲昶扤戴挶㜵〷㘹晢㍥户㙤慥㌱㐸㝤搹搲敦㔵㐹㥥摣㕣㔳挸搹晥搱㕤ㄲ㕣㈷㤰戶敦愷㌵㉥ㄱ㐸摢て戸㙤㜳㌹㈰愷㕦慡㑡戲㈶㑥晦㜳戲㌲㜷㐹㜰㑡㉦㙤㍦㐸㌶㘷昳搲昶㐳昶づぢ㤵㥣戹攷昴㍢攷㤵㌸㔳捦挹㌸㐳㤷㈵改ㄳ捥捣攵㤹㔵㔵㜰捡昹㤵㘰㐴挱㈹挷ㄹ扣搴搸捦㝤捡㍤㐲慢摤㐰㜸摡攵扡㔸㙥㑦搶㈶㌸㘷㤷㠷昲㈸昱㥣慡戳㈹晡㍦散ㅤㄶ㉡㌹㑦㜷㥡㉢㜶㐲㐹㙡晣㤳散㕤㙣㤹晥㤸扤㈳㌵㌸搵㜶㌴㉡㌹挵捥㤵晡收㤵㌸愵㤶㌲搹㥣摤㔱㤲戶ㅦ㈷㝢愰㉤搳㥦戰㜷愴㙤捥㝥㜳搶㌸敢㜵昴㉢昷㔴㈵搹㍤㌸换㜵㤰㈲㠰㤲戴扤㥥散㤰㉤搳㥦戴㜷愴㙤㑥㔴ㅤ㡤㑡㑥㔰㜳戶㌹㌱捤挹㌸㈱㜵㑡㘲ㄸ㑡搲昶㔳㘴敦㘳换昴愷敤ㅤ〲㉢昷戵ぢ搶㥤㠸㜳㐹㐷扦㤲㜳㐸㔹㤲㕤㡦㜳㐷㐷㈶㐶愱㈴㙤㍦㐳昶ㄸ㕢愶㍦㙢敦㐸摢攳散㠲㘵㝢㝣㕥㘹㠲㉡㐹摢ㄳ㔵㐹慥㤷搶愰㈴㙤㙦㈰㝢慡㉤搳㥦戳㜷愴敤改㜶愱㐲敡㜳㠶收戴慤㤲㌳戳㕣㠹㌳㌲愷㈴㌸摢㤲戶㥦㈷晢㈰㕢愶扦㘰敦㐸摢㠷搸〵慢摤㥣㑣㌹晡㤵㠷慡㤲慣㤷㤳㈷㐷㈶㔲㈸㐹摢ㅢ挹捥搸㌲晤㐵㝢㐷摡捥摡〵换昶㍣㔵㤲搶收慢㤲散㈷戵敥㤲愸㐳㐹摡㝥㠹散〶㕢愶扦㙣敦㐸摢ぢ散㠲㘵㝢㘱㕥愹㐹㤵㘴㑤㥣㤲攴摡扤ㄸ㈵㘹晢ㄵ戲㤷搸㌲晤㔵㝢㐷摡㍥搲㉥㔸晥收㙣挲搱慦㍣㍡慦挴搹㠳㈳ㄳ㥣ㄹ㐸摢慦㤱㝤扣㉤搳㕦户㜷愴敤ㄳ敤㠲搵㙥づ晣ㅤ晤捡㤳昳㑡愷愸ㄲ㡦㐲㥣㡥㤲戴晤〶搹㘷摡㌲晤㑤㝢㐷摡㍥摢㉥㔸戶㌹㐶捦搹㕥愱㑡搲㈷攷慡㤲散㠳攷愳㈴㙤扦㐵昶㠵戶㑣㝦摢摥㤱戶㉦戲ぢ㤶㙤づ愷㜳戶㉦㔱㈵㘹㥢挳㘷㐷㈶㉥㐳㐹摡摥㐴昶㉡㕢愶㙦戶㜷愴敤㉢敤㠲攵㙦㡥㝣ㅤ晤捡慢昳㑡ㅣ改㍡㌲㜱慤㕤搲晦㠵ㅤ戵昹慦㐳㠱攳〶晤ㅤ散㘰㈱昵㝡㑦搴つち昵㥥㠵扡㔱愱摥挷㡥摡晣㌷㈹搴〷ㄶ敡㘶㑦ㄴ〷㝡戲挶て㈵慡昲づ晣㜷〰㙣㤴㉥ㄱ改戹㤹戹㜳扦慦㉣敢扤㐳搹㥦㐶㜴扥㜸搳晡㝦㥤户昱㤰攱ㅦ晣扣㜲攵挶㜷捦㝢敡攷〷㔲挳ㅦ扢昲捡㐷㈷㕣晥搴扦扡㘵㔷㤵摥晤晤愴㔵㐷〷て㍦㝡㘱㜶搶愰戱㐷ㅦ㜸搸戴攰搴㙤〶㜷攸搰戱攳㠰敥㡦㙦㌷搰扦㙣攱㍤㘲摤慢摢㌶㤴摦㠹ち戶㘰戰㐳㑦㙤攵攸晥㈳搴㈰攴攸〷㌶昴ㄱ散㈶昶收㕦つ㤱㍣摡㑦戰〳晦慥㈱ㄴ㐲㍤捦㜳㜷㉢搴㘷ㄶ㑡㡥㕤㠸捡㡢搵㍤ち昵㠵㠵㤲愳㤰㈲搴㝤ち昵㤵㠵㤲攳㠹㈲搴〳ち昵戵㠵㤲㈳〳愲扥㐱㔹㙤晥㠷ㄴ敡㕢㠹慡㝣〴晦晤㙦挶㑡㍣㡡ち愴㝢昲㥣挸扢扢㜴攲昷戲ㄹ攲㥦ち㤵攷㥥挷ㄴ敡㐷ぢ昵戸㐲攵戹晡〹㠵晡搹㐲慤㔷愸㍣㕢扣换捡ㅡ㝦戵㔰㑦㜹愲㜸扦㤴愸㤲㑥㌲戸捦㈸㔴㕥㡤扣昳㐹㔴愹㠵摡攰㠹攲㍤㑣愲捡㉣㤴扣ぢ㌱㈰㜹戶㜸㌷㤲㈸捤㐲挹晢〹㔱㜹慤攷㝤㐵愲㉡㉣搴㑢慡挶㍣ㄴ敦㄰ㄲ攵戳㔰慦㜸愲㜸慤㤷愸捥ㄶ㑡㕥慤㡢㙡攴㔵㕢愲扡㕡㈸㜹摤㉤㐲昱晡㉢㔱㝥ぢ㈵慦愰㐵挷挸㉢愹㐴㜵戳㔰昲㕡㔸㘴㡢搷㐴㠹敡㈱㔱㝥㜵㘸㠲ㄷ㌲㌹扣晣昸㙢㙢づ㌸ㄲ扡ㄵ愲㐴昰摡㈵〵ㅦ攵ぢ晣捡挳㠲搷㉤㠹昸㌰ㅦ㈱㜸愹㤲㠲㝦ㄷ〸攴㤹捦戶㙤㡦㔶戰攳捡て捦㜵〹㝦扦〰捥搳㕢ち摥㉢㄰昰㡣㤶㠲㜷ぢ〴㍣㠹愵攰㥤〲〱捦㕢㈹昸㔷扥挰慦㑥㘰挱㜳㔶㈲㌶攷㈳〴捦㈲㈹搸㔴㈰攰㠹㈳〵㙦ㄷ〸㜸慥㐸挱㕢〵〲㥥ㅥ㔲昰㘶㠱㠰㘷㠴ㄴ扣㔱㈰攰㐹㈰〵慦ㄷ〸搸敦愵攰戵〲〱扢扡ㄴ扣㕡㈰㘰敦㤶㠲㔷ち〴散搰㔲昰㜲㠱㠰㝤㔸ち㕥㉡㄰戰摢㑡挱㡢〵〲昶㔴㈹搸㔸㈰㘰攷㤴㠲ㄷち〴散㡦㔲昰㝣扥挰捦㉥㈲㝢散㕥搸挱慢ㄷ昹㕦ㅢ㙢㑦㔳捤愶戴搹搰㔲㕢㘷㜲摥づ㍦㤷㜴愹慦㕥搴摣搲㘸㉤㉤㌴㤷换挵㠴攲挵㠶㙥㠴て捥㠳晡㉣ㄶ㘹愵戵敢慣㍡㜴戲㐵㕣愶昸扤㑢づ㝣㝤㍣㍦㜸㡡扡㑢摢慢づ搶㡡挳㤶愱散攵㠶〰扣攳愳㜱愱攷㜶㘵戹㤲㘵㙥㕡愷晦〷昲㥣㔸晢</t>
  </si>
  <si>
    <t>㜸〱敤㝤㜷㥣ㄴ㐵摡晦搶戲摢㙣㡦㉣㍢㘴ㄳち〸〶㔰㥣ㅣ㔴づ㤶㈵〸㉥ㄹ搴㌳㐱捦㑣て慣㙥挰摤㈱㈹摥㠱㥥㘷㍣㈳㘰㔶捣ㄹ〳愶㌳㠲愷㘷㌸〳㉡㜲㥥㝡ち愷㥥攱㍣挵ㅣ捥㍢㝦摦㙦㜵㔷㑦捦㑣敦慥昰摥晢昹昹挷㍢㌲㡦㕤捦昳㝤㥥慡㝥㥥慡敥慡敡㘷㝢捡㐴㔹㔹搹㡦昸昰晦晣㔴昰㘰搷ㄹ㑢摡㜲㘶搳昰扡㤶挶㐶㌳㥤㙢㘸㘹㙥ㅢ㕥摢摡㙡㉣愹㙦㘸换㜵〱㐰㥢摤〰㜹㕢攵散戶㠶ㄳ捣慡搹ぢ捤搶㌶㠰㉡换捡慡慡昴㜲挸㜷戲扦㝥㔵搰愹愵㔷㤰〰㔵愶㙢㈴㕤㐹慡㐸㜴ㄲㅦ挹づ㈴摤㐸慡㐹扡㤳搴㤰昸㐹㝡㤰昴㈴改㐵搲㥢愴て㐹㕦㤲㝥㈴㍢㤲戰㝥㝤㘷㤲㕤㐰扡敤ち㌲戳㙥昴㤴搴戱㌸㥢ㄹ戹㤶㔶㜳摦〱㠷㕡㙤ㅥㄱっづてづ㡦㐴㠳愱攱㠱㝤〷搴㉤㘸捣㉤㘸㌵㐷㌴㥢ぢ㜲慤㐶攳扥〳愶㉥㐸㌵㌶愴て㌱㤷捣㙣㌹捥㙣ㅥ㘱愶〲攱㤴ㄱ㐹〴㈳搱㘸㌶㤹㑣㜴敢て换㤳敢㐶㑦㙤㌵戳㙤晦㉤㥢扢搱收㤴扡搱挳㈷㥢戹晦㤶捤摤㘱ㄳ㈶挷戴㌴ㄹつ捤晦㈵愳㤵㡣㘹㜴㡣㤹㙥㘰昰㑤戳戵愱㜹敥㜰㌴扢挰搱㈸挵㠷搷戶戵㉤㘸㥡捦㝥㔴㘷㌶㌶㑥㌷戳㌲攸㑤㘳摡㜲㔳㡤搶愶戶㙥㑤昴㥦搹㙡㌶愷捤戶敥㑤㘳ㄷ愷捤㐶ㅢ搸㔶搵㜴愸搱㍡搹㘸㌲㉢㜸㔰搳㘴挵㜰㐲挶㙣捥㌵攴㤶㔴㌷捤㙡㌳愷ㅢ捤㜳㑤㐲㉡㥢挶㉦㘸挸㠸㡡ち晣㉢敢戲㤷㔷换㘴愰搰㥥愶扡㜹㐶㙢㑥㤶ㄸ挲愰ㄷ搶搵㕤攴㔹ㄴ戴㡢㕤㙡㐰㤱ㄶ㘳㌶愳愱改㄰戳戵搹㙣㘴㈵㡣攴戰㈲㤰㜴㤰ㄵ〷挷㔳敡㜴ㄸ㈵戱㠳㍤昸㜸㉥慣㐵ㅢ〰戲挷捣搶〶㥣收㠲㐶愳㜵摦㐹つ捤㈳昶ぢ敥㕢摦㜰㥣搹搸㘰戶攵㐶〴昶㑤〴㠶㡣〸改〳〱搴〷㔱㘵て㤰敡ㄱ㔳〶㐷昶ㅣ㜴挰㠰㐱㝢搶㠶攳晡㘰ち㠷㠰㠸㡡搷㌱摥摤戵㜰捣㤵捦㌶捡㘷愷捡㘷愷换㘷㘷捡㘷㥢攵戳戳攵戳攷㤶捦㥥㔷㍥扢愱㝣昶戱攵戳㡦〳㐶㝤慡扡㜶㉤户㍦捦㑦㝤㈷昴㕥晦摤挷㕤晥㘸戵晦㠵戳㔶敤㔶挹㈱ㅥ昶㍡攵㘲㙦㡥挳㈸㑣ㅢ㙤㌹㍢搰扣ㄶ晣㜷晢㐱攷摤㘰㕣㙢晡㝦扦ㅢ愰㤲晦㑡㌷搰昷㠲㠷昴扤㐱戴㝤㐰扡㑣㡤挴昴愱㘴つ〳ㄱ㘲㈳㘲捡戸扥搱扣昰㠱㘱户㥣㔶㝦摢扡挹㐳㙦㕦晥改㕡挱换慤扣㘴敦㠷㠳㐱㐵摤㈸㔰搲㡢ㄲ晡㜰ㅡ摤ㅦ㐴ぢ㠰㜴㜳昵愲愸ㅥ愴㉣〴㈲挴昳㜶㠵㌷㝣昹㜴摤愲㤵㝢ㅣ㝣改㤸㘴挳晣搶晡㠰攰愵㕤㕥攸㈳〴㐷㐱戴ㄸ㐸㤷㘹㘸㜰㥣慣〴㠸㄰㑦搹晡戳晦搲搵昸㠳㍦㌱攱散㙢ㅦ晤攱㐵昳㑡㥦㘰㑦㤰つ㍥〰〷㍦愵挱〷搲攸㐱㈰摡〸㤰㠲㙥ㅦ搳㝦㐱攱㐸㄰㈱搶搹㌵捥摦敢敥ㄷㅡ㍥扣㘵散㠳㤷㙣㙣ㅥ㝢㜳搷〹㠲㔷㈳㔹㘳㉤づ㠶ㄷ戹㘸扦㘴㈴ㅣ〸㐴㑡ㅣㄵつ〷ㄳ㠱㘰㐸ㅦ捤ち敡㐰戴㌱㈰搵㈳㈶㍢㠳㉥㤶搴挷㔲㌸づ㐴㠸摦摢戵㥢昵晢㉤㍡攵戶昳挷㕤晦搸挳昵㔳㑦㜸扡㑥昰摥㈷㙢㍦ㄸ〷摢㕡晢〴㔶㌰ㄱ㐴㍢〴挴㕤㝢㌲愹搷㔳㌸〹㐴㠸扢敤摡〷扦㜹收㌹挶㝤㜷搶摦昸㘴㡦㡤〷昹㡥㕦㈳㜸搳㤵戵㑦挱㐱㐹敤挱㐸㉣㤲㠸㤵㥣㝢㈲㥣っ㈴ㄳ〱㝤㉡㉢㤸〶愲㑤〷㈹愸㍤愱捦愰㜰㈶㠸㄰户摡戵扦㌹攵搳㌵挷㐷㝢㡥㍡㝢敤㝦晥㌸昷愳晢㝢ぢ㕥㜹㘴敤㠷攲愰愴昶㔸㉣ㄲぢ㠵㑡㙡㡦㐷挳昱㔸㈸愱ㅦ挶ちづ〷搱㝥〹攲慥㍤ㅥ搶㡦愰昰㐸㄰㈱慥戳㙢扦㝦㡦㘱㑦散㍤昴㡥㐳㑥㍤慡昶搸㙦昶㍥㝣㠴攰㌴㐳搶㝥㌴づ㑡慥戰攱㤲㡡㠳晡㌱戴㍡ㅢ㐴㥢〳攲敥㙡㤱㠸㙥㔰㤸〲ㄱ攲ち扢捡㌳扢敥扥㌴㍢㙤㜲摤㉤扢㡣㕡㝣摣㠳敦捣ㄳ㥣搴挸㉡㌳㌸ㄸ㕣摣搵㑡㉦敡挱愰㙥搲㙣ㄶ㐴㥢ぢ攲慥㌳ㅥ搴攷㔱搸〰㈲挴㉡扢捥㕤㡦㥣戸挷愶㠶搰攸㉢扡㉤扡慣晦慦晡㌷〹捥愱㘴㥤扣㠶晦㠴搳っ攸㡤戴摡〴愲㌵㠳戸慢㐴慦㙡愱㜰㍥㠸㄰攷摡㔵捥㍥昴挵ㄵ㡦昶扥扤晥攴愳慥愹つ㕥昹敤㙤㠲㌳㌶㔹㘵㉢づ㑡慡㉣つ㘹㔸㙦愳搵ㅣ㠸戶〰挴㕤㘵㌰愰㉦愴㜰ㄱ㠸㄰愷摢㔵㙥㔹㔹晤搶昸㕤收㡤㕥晢攳㈵㥦㝦晦昲㍢㜵㠲昳㐳㔹攵ㄲㅣ㤴㜴愵㘰㌰ㄴ㡢㤴搶ㅢつ愳㉦愱㉢㥤挰ち㑥〴搱㤶㠲ㄴ㜴愵愰㝥ㄲ㠵扦〲ㄱ㘲戹㕤㝢㝡搹㝦晥㌹敥昴昴攸搳戶ㅥ扥㜹昸捣摣つ㠲ㄳ㔳㔹晢㌲ㅣ㤴挴搵愳㉢㠵昴攵㐰敡㈷㠳㘸愷㠰戸捦ㄸ摤昷㌷ㄴ㥥ち㈲挴〹㜶㥤搷㝥㍤昰㠴㝤晥㜸㘴晤㈵㍦㥥㝦敢㉤㜷敥戵㐱㜰ㅥ㉣敢㍣つ〷㈵㑥㉥敤㑢㈱晤㜴㕡㍤〳㐴㍢ㄳ挴㕤㘵㉣愱㥦㐵攱搹㈰㐲戴搹㔵捥慤戹散摤戳摦昸㘰挲㥡摦㉤㥥㔵㝦搱改〷ち捥扡㘵㤵攷攰愰挴挹挹㘰㉣ㄸ㉦扤愵挴愳挱㐴㌴ㅡ搳捦㘵〵攷㠱㘸攷㠳戸㥤㥣㡣敢ㄷ㔰㜸㈱㠸㄰㡤㜶敤㐳收㉦晣昸晥慡㙥㘳㙦昴㔵㥦㜸㠵扦晥㙢挱改扥慣㝤㈵づ〲㈵㠳㈷㠲慢㤵挷攵㈲ㄸ戰慦ㄷ慢㔸挵㐵㈰摡挵㈰敥晡㌱捡㉥愱昰㔲㄰㈱㑣扢晥㜳㝣ㄷ㡤晡攰愶昷愶摣戴戶摦昲搷㡥ㅣ㌰㑥㜰愵㈱敢扦ㅣ〷㍦昵散㤳昶搹㕦挱ち慥〴搱慥〲㜱搷ㅥ㡥改慢㈹扣ㅡ㐴㠸㘳散摡㉦㍢㙥搲攷摤慦摦户昶戱挹扢っ㕤昹挹㥣㑤愲㉦挴戲昶㙢㜱戰慤戵㕦挷ち慥〷搱㙥〰改收扡㑢㐵昵ㅢ㈹扢〹㐴㠸挳散捡挷摦摡戵㜹攱愶摢敢㑦改晢捤つ㜷㡥㝣昶㙤搱て㘲㔹昹㉤㌸昸㈹㌷攵㕢㘹昴㌶㄰敤㜶㄰㜷㔷㐳戰搷㔰㜸〷㠸㄰㔳敤ㅡ㝦㜸昶挰攵愷㡤㕣㍢敥挲㐷收敥㤹㌸㙢挵㔲挱㜵㥣慣昱㉥ㅣ㤴㡣愸搲愱㡣ㄸ摥㑤戳㙢㐱戴㝢㐰摣㜵挶〳晡扤ㄴ摥〷㈲挴〴扢捥㕥慢搶㍤㜶搷扤ㅦ搴㕦扣昷㘳搳敦㝥㜸晡敥㠲换㐶㔹攷〳㌸㈸㜱㜱㌸改㝤㌳㑣㔸㌷挳摦戳㠲〷㐱戴㠷㐰摣㉥㡥改て㔳昶〸㠸㄰愳敤捡ㅦ㔹㔵戵㙣摦晥搵㜵㤷㝥搸晢愸㈷户ㅣ㜹㠵搸ㄹ㘲㔹昹㘳㌸㈸ㄹ捥愵㈷ㅣ搶搷〱愸慦〷搱ㅥ〷㈹㌸摦㤰晥〷ち㥦〰ㄱ攲㐰ㄵ搵㕤扦搸㙢攳㐳晤敡㉥㝡戲㉣戶愲攲昵戱㘲ㄷ㠸㘵㤵㝦挴㐱挹昹㐶攳㠱㘸戴戴摥㐸㌸㤸っ〴挲晡㔳慣攰㘹㄰敤ㄹ㄰㜷㠷㡥㐷昴㘷㈹晣ㄳ㠸㄰ㄱ扢昶㐰昴搱ㅢて㡢扤㔵扢㔲慦晥攱愲扤て㘸攸昶㍣挴搳散挵捥㤸㔶㘳ㄱ㤶㡦昹㤵㈹㤶攳晣慦昳㈵㌹㔶攴搹㘸㌶㥥つ〶㌳搱㠰ㄱ㌶㉡〷挲散㑦㕤晢昱愶搱㉤㝢㔸㐳㜳愶㘵㤱㕣っ敥㍡摡㘸㌳昳㡢㠲㘱戶㙣㜴换㠲收㑣摢㉥摥挲ㄹ㌹㈳㘷敥㕣㉣换ㅢ㈹㔱㥢㠱愵戲搹㈶敢摢慤㔸敤㔰愳㜱㠱㔹扢戸挱ㄲ昷㉦ㄲ㘳愱摣㤲㙡㕦㍡慥搵㍣摥㤱㤶戴愸ㄶ㍢㌹ぢ愵敤㤲戳戴㐴㔶扢〶搴捤㙢㘹㌳㥢㘵昳㠶㌵㑤㙤㐸ㅦ㘷戶捥㌰戹て㘴㘶攴愹昶愱挸㕥慤て㥢搲㡣ㄳ挵晡㍢㌳挸捤捤㡥㕤㥣㌳㥢㌳㘶〶敤㥤㙦戶收㤶捣㌴㔲㡤㘶摦〲㠸㔵㈷〴㍢ㄵ戰挷戵愴ㄷ戴搵戵㌴攷㕡㕢ㅡぢ㈵戵㤹㠵〶㜶〸㌲㤳㕡㌲㈶ㄶ昸ㄵ晣㤴㠹戲㉥㕤㠴㈸ㅢ敡戵攴愴摤戶攱㌲㄰慥㄰昷㐷捣㜷㉣散㜶挳愷攳散㜰ㄶ㡤㈶晢㘴昹攰㑥㡣㐹扢㌴戳㑦晢㐰搷㌹㜱搳㡣攸扤摢㐷换㌶㍡㤱晢摦〵㤷㤷昷戲捦㝥散㐲散愲ㅣ㙣㌴㘷ㅡ捤搶づ户晣〴㕢愴扦〰㔲ㄹ挴㘸㙥搷㝢ㄵ㐰㠸挵㘲㐹攵愲㠶㑣㙥㥥㌶捦㙣㤸㍢㡦㜳㍡㙣ぢ㔶㔵搱戵㈵ㅦ㝤〳㔸晡㑢㈴㉦㠳昸㝣㘵摡㉢〴㘹㍥㝤愳㔵慥ㅣ㠴晦㙦晢晥㑣㌹戴㜴戹ㅦ㠴捤扢戶捡㈶㙣㌷戴㜵改攲㜵㤶〷ㅢ㙤昳㜲散㥥ㅤぢ㘹敦㔵㤲㑤㈰㤵㠳㐱㍡摤晥攱㉣戸㠲扢㕣搵㑤㘳捣慣㠱扤㐵㌹扡㠵㔱搹㘴㙤㔷㡤㌱摢搲㍡昷戵㈶㘰慣㉣搶㜰㠴挱摦慤㠹扤摦㕣㥣ㅢ㘳攴㡣慥㑤搸㈱㐳㤴㜴㠰㠶㐹㉤敢㠸㥡搵㤲愷戴㝤㜶〹ㄶ晣昲搰㘵㘵〷挹戰㉣㘱攰㘰扣㤴㜵戱㘹挷㈷㠱戶敦㠶㤳搰㡡㍢㝡攱㑥ㄷ㌶攰㌲攳捤收㤹㑢收㥢㙤㠴㔷㘹ㅤ扡戲㜸㜸搱搸㤴㜴㙡㔶慥愱戱㙤㌸㕡㍡扥戵㘵挱晣晦愶ㅤ摡搲晦っ愲㍥㤵㝢愳ㄷ晦昴㜳㠲扢捡扡㉥㘴㙣㘶捦㉥慢愲㌵㜲昴㍤㐸搸㕢㘱散㐷晣㑦㝥昴㌷昰㍦㕦㐷戲捡㈱㐰㙣换慥㘰㈵昰摤㥡攰愱㤹慤愶摣攷慣㤲〵㜸扢扡改戰㤶搶攳㔲㉤㉤挷戱㍦㜵㤷愵戶㜹愶㤹攳摥攱づ昶㕥愹摣ㄳㄵ愲㑢㤷㠲㉤㍦搷㈶攳敥戰慦扤つ㔲㕤摢搸㌸㐰㔹㙣搳㌶㠳搵〵扢㤸摡ㄶㅣ㈴㐲㠱㔰㘴㐰摤㡣改戵〳㘶㥡㑤昳ㅢ㜱换ㅢ㄰ㅤ㌲愰愹㈵㌳㈰昲慢挹戵㠷㡥慢慤ㅢ㘰㘶ㅡ㜲晢敤户㕦㈰㔱㍢㙢㍣攱挳ㄷ㌷戶㉤ㄶ扢挱㍢摣㤹㕡㍤㜱戱晥昰㥡㐹㜵㉢扥㍢攰慣捦扦愹㡥㠸晥戶愰㘴て㜱㉦搴搷挱ㅤ扣㘰摢㡥㙢㠲㠲㍢㜸户散戸㠶挶㥣搹㉡㉦搲㌵㔹晣捦摡㥦㤶攵㙡摥㤸㕡㡤戴戵昳摢㍢㕢㠷㝢ㄳ㌶挴㜳㑢昲㜷敢㤲㝢愳㜵敢昸扦ㄹ挰捦㙥〶㈰敦晦〵戳㠰づ敥戰攸㌴㐵㜳㠰㡥挱慥㑥挴㥢㥦攷㜸㤵㕤㙡㌸㉣ㄷ㜶㌲攲㡢㉦㉥㜲搷摦挱扢㍢㈱搱㠱昶㘷〶散散愵㥤㤴㑡敤摥㠵晦㙦づ攳昵搸搲㥡挳扣ぢ挷改敦㤱晣㥤攴㝤㤲て㐰㐴㍦㕣㡣㌸户挱㜱攱㐷晦〸㘵晤ㅦ㈴ㅦ㠳㘰㠶㈲慦昹㤸愰㝣㠲愲昶㈹㐸户摡〵戹㤶〱㜶㔰㝤㐲散つㅥ㘷㉤晡㔶㤲捦㠸昸ㅣ㘴昲挱㘶㈳㈶挳晦慤攷㠴㤵㐳㘱戳攳摢㌷㍡㑦㑦㠰晡㌶捤㔸搲㥣㥥搷摡搲㡣愷戵㥣㔵搴愶昱愰慤㑤ㄸ㕡㔳㝤㑢摤㠲㥣搶㜴㜰〳晥搷慤㘹扡㌹摦㌴㜲㜵㔸散㘰捡㔲㡦㠷㌳㜲㐲㌲㈱戳昸晦攷㠴㐵㍥㑣挰㍡㌲㍦㘷ㄱ挵㐳搷㥡㍡搸敥ㅤ㍥愶〵て㙤㑤昹扣㥡㙥搷㌴㑣㍥㝦㠶㌳㤲㌲晤ぢ戴敥慡捦㙥㌹㜰挸ㄵ㜷晣㘸晦晦搷攸㠲昲愳㝤〹㘱㤷挹㜸㘶㔲㌲挳昸ㅡㄲ㥦㑥㜹㍢㌲㌱っ㌲捥㌲㜴摥搵戵㝦㠱㜴㐱㔷搰㜹ㅦㄷ㕤㘰摥昳㜶㕣㙥ぢ㑡㥥㈰つ㠷摡㐰㝣㜵づづ挱搹㡥昷㐰㘱㠸昴㜲㤲㉥㈰慥㠱㔲㘹ㄵ挵晥搰㤷攳㐲㈳愸㉢㠸〸㠲挵戹戴㕥㠵㤲晡㠸㙦晥昳攳㡦㥣愲㤱愷〷㐸㑡㥣搰つ㌲㕦㐷㌲ㄱ㠲㥥攳〴㝤㌳慤㙣〱ㄱ晦㠴㜱㑦〷㝣㙣ぢ㑡㥥㘸㐵愰挶㌹㠹摥〷㤵敡㝤㐹晡㤱散㐸戲ㄳ㠸昸㍢㔴扤㥤戲ぢ㌱扢㤲昴〷㜱㌹㘵㜷昲㜸昵挰〵㈳㡡晦㐹挷っ㈴㜳㄰㠸㠸㠳挵〱㡥㘹㈶㡡敤昶㤲挱㄰㜶㤹攲搵㑢昶㠴挴愷㔳㕥敡㍣㈹ㄳ〹㔸捦㍢㠸扤挴㜲搰㉢敤㌹攸㘵㕢㔰昲挸敥㐰攸づ愴晥晥愸㑥㙣㘸搷ㄹ㐱戶㈶㐴ㄲ〶㜱㌹㈳㙡ㄵ〵㥦攲㐹㐷挴〸㡡㠳㠸㕦㠰㈵㝢㐸〲㈵昵ㄱ㑦愱づ愷㠷㡣〰扢昴㈴て愲㑤扤〳㤹ㄸ〹扤扣〳㌶搳捡ㄶ㄰昱㐸㝢づ㜸搸ㄶ㤴㍣㐱ㅣつ戵㠱搴ㅦ㡢㑡挵㠳敤㍡㘰㍣挴晡挱㈴ㄳ㐰㕣づ㌸挴㉡㡡㍡ㄸ㤱づ愸㈷㘸ㄲ㠸ㄸぢ㤶㜴挰㘴㤴搴㐷摣攵㜶挰ㄸ戰㑢ㅤ㌰㥤㌶昵づ㘴㘲ㅣ昴扣ㅣ㜰㘳㝢づ戸挱ㄶ㤴㍣挴攴㜳挸㠱㙣挵㤱㙣昲㜵敤㍡攰㘸㠸昵㘳㐸㘶㠳戸ㅣ㘰㔸㐵㌱ㄱ㐶愴〳㔲〴愵㐱㐴㍤㔸搲〱ㄹ㤴搴㐷㕣收㜶挰㈱㘰㤷㍡㘰ㅥ㙤敡ㅤ挸挴㈴攸㜹㌹攰晣昶ㅣ㜰㥥㉤㈸㜹㡥㍡ㄵ㤶〶戲ㄵ挷戳挹攷戴敢㠰㌶㠸昵ㅣ挹〲㄰㤷〳ㄶ㔹㐵㌱つ㐶愴〳ㄶㄳ戴〴㐴捣〰㑢㍡攰〴㤴搴㐷㥣敡㜶挰㜴戰㑢ㅤ昰㉢摡搴㍢㤰㠹㤹搰昳㜲挰㠹敤㌹攰〴㕢㔰昲㈸昷㌰㔸ㅡ挸㔶㥣挶㈶㉦㙥搷〱㘷㐰慣㥦㐹㜲ㄶ㠸换〱扦戳㡡攲㜰ㄸ㤱づ㌸㠷愰㜳㐱挴ㄱ㘰㐹〷㥣㠷㤲晡㠸ㄶ户〳㝥〹㜶愹〳㔶搰愶摥㠱㑣ㅣ〹㍤㉦〷㤸敤㌹㈰㘳ぢ㑡㥥㈶ㅦ〳㑢〳搹㡡㉢搸攴㔴扢づ戸ち㘲㝤㌵挹搵㈰㉥〷㕣㙢ㄵ挵㙣ㄸ㤱づ戸㡥愰敢㐱㠴〱㤶㜴挰つ㈸愹㡦昸愵摢〱㜳挰㉥㜵挰㉤挰晢昴づ㘴㈲〵㍤㉦〷㑣㘹捦〱㤳㙤㐱挹戳㙤ㄳ㤶〶戲ㄵ㙢㔱愹愸㙦搷〱昷㐲慣摦㐷㜲㍦㠸换〱扦户㡡㈲ぢ㈳搲〱てㄲ昴㄰㠸㤸〷㤶㜴挰挳㈸愹㡦愸㜳㍢㘰㉥搸愵づ㔸㐷㥢㝡〷㌲挱愷攷㕥づ㐸戶攷㠰㠴㉤㈸㜹搰摥〸㑢〳搹㡡㘷搸攴㔸扢づ昸ㄳ挴晡㜳㈴捦㠳戸ㅣ昰愲㔵ㄴ㑤㌰㈲ㅤ戰㠱愰㤷㐰㐴ぢ㔸搲〱㉦愳愴㍥㘲㍦户〳㥡挱㉥㜵挰㈶摡搴㍢㤰㠹昹搰昳㜲挰ㅥ敤㌹㘰㤰㉤㈸㜹散摦〶㑢〳搹㡡户搹攴〱敤㍡㘰ぢ挴晡摦㐸摥〱㜱㌹攰㍤慢㈸㜲㌰㈲ㅤ昰㜷㠲摥〷ㄱぢ挱㤲づ昸〰㈵昵ㄱ晤摣づ㔸〰㜶愹〳㍥愶㑤扤〳㤹㔸〴㍤㉦〷㔴户攷㠰㙥戶愰㈴〹攱〴㔸ㅡ挸㔶㝣挵㈶晢摡㜵挰㌷㄰敢摦㤲㝣〷攲㜲挰扦慣愲㌸ㄱ㐶愴〳㝥㈰攸摦㈰攲㈴戰愴〳晥㠳㤲晡〸攱㜶〰㤳ㄷ㑡ㅤ㔰㕥㑥〷㜴㈰ㄳ扦㠲㥥㤷〳扥昹㜷㍢㔳攵慦㙤㐱㐹ㅥ挴㜲㔸ㅡ挸㔶散㠰㑡挵㤷㠰㜹㑦㡢慢㈱搶扢㤳搴戰㜵昹㐵㜵て慢㈸㑥㠶㤱㐱㌴搴ㄳっ扤ㄷ㠸昸つ㡡搲〱扤㔱㔲ㅦ昱て搴攱捣〴㑦〱扢搴〱㍢〲敦搳㍢㤰㠹㔳愱攷攵㠰㉤敤㌹㘰戳㉤㈸㐹捡㌸ㅤ㤶愴〳〶戲挹㙦戵敢㠰㍤㈰搶〷㤳っ㘱敢昲づ搸换㉡ち愶㘹っ攲改散㑤搰㍥㈰攲㉣ㄴ愵〳㠶愲愴㍥攲㔵户〳捥〴扢搴〱挳㠱昷改ㅤ挸挴搹搰昳㜲挰㥦摡㜳挰戳戶愰㈴㐵攴㕣㔸㤲づ㠸戳挹㑦户敢㠰㈴挴晡〱㈴〷戲㜵㜹〷㡣戰㡡攲㍣ㄸㅡ挴搳昹〵㐱㈳㐱挴〵㈸㑡〷㡣㐲㐹㝤挴㘳㙥〷㥣て㜶愹〳挶〰敦搳㍢㤰㠹ぢ愱攷攵㠰㝢摢㜳挰㍤戶愰㈴㑢㘵ㄵ㉣㐹〷㑣㘲㤳敦㙥搷〱㔳㈰搶愷㤲㑣㘳敢昲づ㤸㘱ㄵ挵㐵㌰㌴㠸愷㌳㤳愰㔹㈰攲ㄲㄴ愵〳づ㐵㐹㝤挴捤㙥〷㕣っ㜶愹〳㡥〰摥愷㜷㈰ㄳ㤷㐲捦换〱㔷戵攷㠰㉢㙤㐱㐹㥡捣ㄵ戰㈴ㅤ㤰㘶㤳㉦㙦搷〱㈶挴㝡㤶㘴㉥㕢㤷㜷㐰㠳㔵ㄴ㔷挲搰㈰㥥捥戱〴ㅤ〷㈲㔶愳㈸ㅤ搰㠸㤲晡㠸ぢ摤づ戸ち散㔲〷捣〷摥愷㜷㈰ㄳ㔷㐳捦换〱㘷戴攷㠰搳㙤㐱㐹愶捥㜵戰㈴ㅤ戰㠴㑤晥㙤扢づ㌸ㄱ㘲㝤㈹挹㐹㙣㕤摥〱扦戶㡡攲㝡ㄸㅡ挴搳㔹㐶搰㜲㄰㜱㈳㡡搲〱㈷愳愴㍥攲㈴户〳㙥〰扢搴〱扦〵摥愷㜷㈰ㄳ㌷㐱捦换〱㙤敤㌹愰搵ㄶ㤴㘴ぢ摤ち㑢搲〱攷戲挹昳摢㜵挰昹㄰敢ㄷ㤰㕣挸搶攵ㅤ戰搲㉡㡡摢㘰㘸㄰㑦㘷ㄵ㐱ㄷ㠱㠸㌵㈸㑡〷㕣㡣㤲晡㠸戹㙥〷摣づ㜶愹〳㉥〷摥愷㜷㈰ㄳ㜷㐰捦换〱㐷户攷㠰愳㙣㐱㐹昲搲摤戰㈴ㅤ㜰㍤㥢㝣㐴扢づ戸ㄱ㘲晤㈶㤲㥢搹扡扣〳㙥戵㡡㘲㉤っつ攲改摣㐶搰敤㈰攲㕥ㄴ愵〳搶愰愴㍥㘲㥡摢〱昷㠰㕤敡㠰扢㠱昷改ㅤ挸挴㝤搰昳㜲挰昸昶ㅣ㌰捥ㄶ㤴㘴㔲㌱ㄹ㑡㍡攰㈱㌶㜹㑣扢づ㜸〴㘲晤㔱㤲挷搸扡扣〳搶㕢㐵昱㈰っつ攲改㍣㑥搰ㅦ㐰〴㤳愹愴〳㥥㐰㐹㝤挴㠱㙥〷㍣〴㜶愹〳㥥〶摥愷㜷㈰ㄳ㡦㐰捦换〱挱昶ㅣ㄰戰〵㈵搹㕣敢㘰㐹㍡攰㈵㌶㜹㜸扢づ㜸〵㘲㝤㈳挹慢㙣㕤摥〱㝦戶㡡㘲㍤っつ挲㔷㝦㡤愰扦㠰㠸㍦愰㈸ㅤ昰㍡㑡敡㈳㠶戸ㅤ昰㌸搸愵づ㜸ぢ㜸㥦摥㠱㑣㍣〱㍤㉦〷散搲㥥〳㜶戶〵攳㡢㜳换㥥㠲㈵改㠰昷㔱愹搸戱㕤〷㝣〸戱晥ㄱ挹㍦㐰㕣づ昸愷㔵ㄴ㑦挳搰㈰㥥捥㈷〴㝤ち㈲㥥㐵㔱㍡㘰㉢㑡敡㈳㙡摣づ㘰㑥㕡愹〳扥〴摥愷㜷㈰ㄳ㝦㠲㥥㤷〳㉡摢㜳㐰㠵㉤㈸㑥㙦慢㝣〱㤶戶㈱㉤㘹〷㌶㌸㝢㘸㠳戹㠸㜹ㄴ摤戳昸挳愶扡〵㙤戹ㄶ㤹昴㔱㥤ㅤ搳㌲戹㈵㌷愶愱つ㑦摥㤷昴捡摡〷㠷捤㌳㥢㤱㤲搵㡡捣慣㈲㕥换晣昹㘶㐶捦捥㘸㔹搰㥡㌶㈷㡣昹㌹愴㙣攱晣㄰㍡㤹慤㔵㉥昰搹扥㉣愴㌲㘸愲㤷攰㔳㔶戹〱〶㡢㤳㐹㕣て㕡昳捦昴晤〰搶攴㍤㍡戳㈱搷㘸敥㤰㤵㜲㜹㕣㤵㠵ㄷ㤱攷㤶改㥡㥤㌹て㐹ㄶ㘳慡戳攳㕢ㅢ㌲㡤つ捤㈶㠳㠱㍣〱晥戵㔸扤㌹ㄷ㌹㙤㔳㕢摡ㅡ昸㤷㙣搵搹㤹慤㐶㜳摢㝣愶攷愴㤷昴㉣㈸挹挷㘶㤵搹搱つ捤㙤愸㐶㐶㤱挷㌵搹ㄹ昳㕡ㄶ攱㡦㉡ㄷ㌴㌵㡦㌷收户晤㉣愲㈲ㄸㄶ昹㤱愱ㄱ攵愲扣㕣㔴㤵㔷㙤㙦㝣戴㝦㘳㡣昵换㈷㘷て㐰㕦捤戵㌶愴ㄶ搰㘹戲㥥㄰㘸〵㠹㡣㘳㔹攵㑢㌸敡攰㜹㌹㥦㥡摢搹㠶捣愴㘳㝢ぢ晥㔰捣㌳愹换昹㙢搵晥㠰敢晦㐱㤳扡晤〸㌲㜱晣慣〹昹ㅣ搳晦搱㥦㝥㔶扥っ换挵て㈲㡢㝢㥦㤳搲搷〷攰敥㔶㌷㈲㡦扤ち愳ㄳ扤㠱愵攲慥改换㑡っ㝢㘹昷晣攱㌸㘴㠵㜵换搶ㅢ㈹戳ㄱ挹㙣㑤㐶慥扢㔵㘰敥㐰㤳搱搸㘶换敡㕡㥡㥡っ㜶㍢㜶搹ㄹ㘹愳搱慣捡昲昹㌴晥㙡㔰捦㠲挸扥㘹戳㡣挵㘰ㄹ㡢㈵慢㕢㜶㍡㤳㕣攵㌱㙤戵捣㌵㕡ㅢ㜲昳㥡ㅡ搲㔵㉣㌰ㄱ昵㘷搱㕦㜱つ愹㠰㌳搵㐷㕤㑦㡡ㅦ㠴㕢㡦㠴ㄱ敥攱㐸晢愰敢ㄸ㝥昴敡㜲愱攱㍦戱㥤㌹㤰戸晡挸㥢㡡㉥扡㈰〹㄰ㄶ攵攵㐸戶㘵敢㡦昶㐸摡晡㙢ㅣ挸ぢ㤴搸㐸〰扥㝡㌹攰㍣攰户攲㔵㤰づㄳ攴扡〲攰慢㙦㌱㌲攳㤰愹搴搲摡搵晥㔳攵㉡㠴㤶㤷㥢㔶㍦㔳ㄶ敢㤰〵㡢散摡㠵つㄹ戳戵㡡㡣ㄹ㜸戸㕦挱㘴㐷捤㡡㈱ㅥっ㜶㈹慢慣摣愱捡慢慥〹捡搶㘰㍢ㄱ捣晤愷摥ㄳ㑡散㝦㍣㉤㌱戲㤲慤昲戱㙤㍡っ攳㡦戹㜹㑥㥢㔰攴昹ㄴ〱昸愷挱扡〶㔲昹㘷〸㡢㘳㔳㤸㍤㠸ㅣ㐳ㅤ愰ち昹㐷扥捣㙢慣㐲づ愰㑣㠸慣㤴㈷戲㠳㉢㤱㔱戳㜲ㄸ慢搴㕦づ㙢㌳搰换捤㡣捦扡挶㌲戵〱㜷㠷戲昲昲ち㠴㕡㉢㑥㈱㉢愹ㄶ挶㥡㘶㤸㌲挳㔱散㠶㈶㘸㕤搱攲㝥ㅣ㉣戰㍦㝢挴㌴昵㤷㝣㜵戱〳㈲〷㤴㑣㈶㝣㍥㕤晥㔵扢㑦扣〱㕤攵〴㥥㡡敤㈵ㅦ㥤戰〳㥤昰㉥㤸ㅤ㕣㉡昰㙣摥㤵㥢搴㥤㉤挹捥㙡㙥挸㘱ㄴ戳㌱攳ㅡ㜲㘸㑦户㉣〸づ㘵ㄲ搱捥㜲㜴扢㤴㠶㌹㌳㠷摤㑢㐵〵㔳㠹摤㑡攵敥戹挵㘰て戱㌵敢㜰㑤㌶㍡〳挹搹㠷㐷ㅢ㝦㑥搳ㄱ㘱攵㤵搸㌳ㄲ㌱愴晤ㄴ㉣㤷摦㜹㌷昹ㅦ㑣㕥㘴ㅦ挲㥢つ搰㈷昰攱㍣㐶敦㡥㘳捥㘵摥〳愳攳㉥攲捡㐸攳㕣搱挷昹㡣挵慢戶㔳ㅥ㈷㌴户攱㙡攰戳㑢戸搶㜷户て愷㉣挸ㄵ㐸㡣挵扤㙣〹㌲㍥愷㌴攳づ㥤㌶㕡㌳㍦㤳换㍢捥捤㥡㠹挸㉢昵㜶捥ㄲ㘱㠴ㅦ搷㐵ㄹ昳晥ㅡ摢搷㝦㠷㘴㕢ㄲ晡㙡㠰慦愶扢㥤㍣扦㉡㤶㈶㤹㐶戳㡣挲㡣㕣㘶㡣戹㔰㑥搹愷㥡㤸㙦攳搵〴㡤㘶㉦愹攰ㄴ攵愵㑣捦搶愶摡㌰晤换昱扥㙥ㅦ挹㠱慥㘷愷㥢㐸愹挵㥦㘷攰㌶㙣ㅦ㑤㑤攷㤰扥敡ㄸ攰㥦㕥晣㝣㈲〴㡦㔴搸㔱ㄲ㌲㑥㕡〷㥤户昰㈴㌸㠶戶㌳慡戸戶㘷攵攷㤳㤱攲搲㑢昸戹㜹㘴㤹㍡戰ㄷ〵敦挳㝣〷戳㐹㕣㙢摤搹㤷ㅣ㐹扤㔴㔲戰㜵㠵㤳ㄷ慦㙥㡡挷㈹㘷㌵㤷〷慤㌹晣㝤ㄲ㕦㔶㔰挳愱搳㠸㝢㜲慥〱戳慢挶㈵摤戳ㄳ㥡搳㡤ぢ㌲愶㥣㥡愹㙢戶㥣愱晤㉣攲㔵挱㐹㠷ㄵ慢づ晣㘲㍢㘵〲㕥敢愲晥㕥㘵扢搷㘸㐲昷㘳愴㘹㍤㐰㉡㐶㑣㡥㌰㜱挷愷昷戴〷摦〷㘸捤㌶攷扢晡愰搴㌳㥦慤㉤摦昸㠱敢㕢〹㡢ㄷ㌶收㉤㍡㈹戳㜲搸戹㘰昵㉤昵㉤㕣攸戹㔸〷㌷㔸慣㥦㐵戰㜰㥥㔶慣㌴つ戳搴敤ㅣ㈶㌴㠲㑢㥦晣㕦搹搶㕦摢晦ㅦ挹ㅢつ㙥㌵攲㈳㌰戸㜴㉥㠳㔷ㄱㅡ慥挴捡昳换㌱昱て㤴戹㈴搳㝢㈱㘲攲㘳ㅣ㜱愵〳愴㌵昳敤〳㙥攷㌳摦㑦愴〶㡣昴〵㕣㝤挴㔶ㅣ愹㠹ㄲ㝢愵㡦㔳㈴㈴搳㠱敡㍢㠲㠸捦扣〱㍢ㄱ戰㌳㐸攵ㄷ〰ㄴ㕦㘹摡捤晥㠴㐲㔹㘵ㄳ㘷㠵㔵㑤㥣ㅤ㘳㥣㙡昸攳ㅡ㘴户㘲ㄶ慢敤㔰昵㌹㉢摦〵愸攷㥦㝢㙥〴㡥换挴搷㈰慡㠱㜲ㄶ㙥捤㜷㜷㘵晤晤㐱〴㥤捡㡤ㅤ搷㌶〴㌷㈴㉣㝦敡㕣晡捡て摤改㕡攲㘲搵㘱晢㜴㜷ㅡ改㠲㤲攵㔳㝢㌵㌱㄰摣捥㝤捡㌴㑡晣㐳㠲㈰㡤攰㐰㝥㌵㔰搵㘴搷ㄴ㝤て㘰昴挱〴㜶昵〶っ㈱㘰㑦〲㤸㝡挹㘹扡戶ㄷ㑡摥搳摦戰攷昴㜷ㅦ攰㤱扥挸㔴㑣搵〲搷昴㜷㈸㉢ㄸ挶ち晡〰挰㈹戰㍤晤搹㡦㙡㙣㍤愶㍦挳㜱捣㍥挹愴㑡㑥㠱搴愷昰挶扤扦㡤敡〷ㄴ㙦摥㍣昳捥㙥〴㘲㐷㠰㜸㌳㄰㝡〰敡㕡㄰愴㘲挴ㄴ晢㙡ㄴ戲㉤㌲㝢㤳㔷㈴敢搳晥㤸㘱ㅡ㘷〷㘳㠶〹㥥㜲捣㠴㘱㔷㌰搳戳㘰捣㐴挱敤㍣扥扢㐳つ晦㡡挶捣㐰戰㤴㜷㈹戵挷㑣ㅣ㈶昵〴㙢ㅢ攴つ㐸ㄲ㜰〰〱㝢〰挰㜱愳ㅦ㠸㤲搳搵㤹〳慡散扡扡晡㐱㔴ㅢ㐱㌵收㜲ㄶ㜷㜵㈶㜰㑡㌷戴摦搵㤹摥㈹㕤㌱㤲㐶㤸攷㔹搰搵㙢挱敤摣ㄵ㔱愸攱㕦㤹㍥㥡㐶㜰㈰扦㑣ち㔵㑤㜶㜵昵㍡㘰昴㌱〴挶扤〱㘳〹ㄸ㐷〰㙦㐵戲慢㡦㐷㘹㕢扡晡〴攰搱搵㤹㔳慡㕡㈰㈷攱搶昵㘱㈲㉢㌸㠴ㄵ㌰晦戳搸㘹攳挱㤳㑥搳敡㔹敢㌶㙣㡤〹愶㡡㑡㘷㑥愲㜱收㡣ㄶ㌸㜳ち戸㥤㍢㤳戹愵昸㠷㠷捤㌴愲㥣挹〴㔳㜵㉡㉥㘷㑥〳㐶㥦㑥㈰㤳㑦㍤〰㌳〸㤸㐹〰昳㔱愵㌳㘷愱搴挷㔹㌶㑦捤㉦㥢㤳㕥㡢收挳㠰㠶㉢㤹㥤慡捣扢慥ㅡ㠷搳晣㉦㘹㥥㤹愴挵慥㘴晡愸攵捡㈳〰搹㈶㔷㌲改㔴扡昲㐸ㅡ㥦㡤㔲㠱㉢㡦〶户㜳㔷ㅡ㔰挳㍦愴戰搲㠸㜲㘵ち㐷敡㔴㕣慥㥣つ㡣㍥㠷挰戴㌷挰㈰㈰㐵〰㌳㕢愵㉢搳㈸㜹戹ㄲ敦㕤㜹〵搵㈱㈷摥扥慤昳㐲愰㥢㐰挳㤵捣㜳㔵昵扢㕣㤹愵昹戹㌴捦㥣搴㘲㔷㌲ㄱ搵ㅡ捡㜴愵晣㠴㐰摤㜷㉤敥戵㑡㤷㌵搰挸〲㤴ち㕣㜶ㅣ戸㥤扢㙣ㄱ搴昰慦㑣㙦愴ㄱㅣ挸敦㘲㔰搵㘴㤷换㥡㠰搱㥢〹㘴攲慢〷愰㠵㠰昹〴㌰ㄷ㔶扡散㜸㤴㍣㕤㤶昰㜲㔹ㅢ搰㜰ㄹ㌳㘳㤵㜹㤷换昸㜲㐳㝤〱捤㥦〶㐰戱换㤸扡㙡戹㡣〳㔹㝥㡡㕤挶挴㔶改戲㐵㌴挲っ搷〲㤷㉤〱户㜳㤷㌱ㄳㄶ晦捡昴ㄳ㘸〴〷昲换㜴㔸搵㘴㤷换㑥〴㐶㕦㑡㈰㔳㘵㍤〰㈷ㄱ昰㉢〲㤸㍤㉢㕤昶㙢㤴扣㕣㠶ㄷ捦㜸昴戲攵㐰挳㘵捣愵㔵收㕤㉥㍢㤹收㑦愱㜹收扤ㄶ扢散㉡昰㉣㤷戵㍢㌷㕡つ㠸㜴搹愹㌴㜲㌵㑡〵㉥㍢つ摣捥㕤㜶㉤搴昰慦㑣㍦㥤㐶㤴换㤸㐰慢㥡散㜲搹ㄹ挰攸㘷ㄲ挸攴㕡て挰㔹〴㥣㑤〰昳㙤愵换㝥㠷搲㡥捥㌵捥扤㌵ㄸっ㝡㑥㡥捥㠵〲扣挶〴㕣㔵㐳㑦㜲㝣㍤搸捣昳㔸挳昹慣㠱挹戲挵㕥扢ㄷ㍣敢㌲㜷〱㈰摢㜴㤹㘳㕥慤昴收㠵㌴㝥㍦㑡〵摥㕣〹㙥攷摥㘴㈲㉥晥㈱敤㠲㐶㜰㈰扦捣挶㔵愷攲昲收㐵挰攸ㄷㄳ挸㑣㕤て挰㈵〴㕣㑡〰㤳㜷愵㌷㉦㐳㈹摦〱昳摥挴ㅢ慤㍣㍡攰ㄵ㐰挳㤵敢㕣收㕤ㅤ昰㑡㥡扦㡡收㤹㜶㕢散㑡收摡㕡ㅤ㤰慥㤴㥦㄰愸晢㌲挷㑣㕣改戲慢㘹㠴㈹戹〵㉥扢ㄶ摣捥㕤挶搴㕤晣㉢搳慦愳ㄱㅣ挸㉦昳㜷㍤㍣㜲㍤㌰晡つ〴㌲户搷〳㜰㈳〱㌷ㄱ挰㜴㕦改戲㥢㔱昲㜲㤹昷㥤攱㔶愰攱㌲㈶晦㉡昳㉥㤷摤㐶昳户搳晣摢〰ㄴ扢㙣ぢ㜸㥤㡣㔹收敥㑡㤷摤㐱㈳敦愰㔴攰戲扢挰敤摣㘵㑣昶挵扦㌲晤㙥ㅡ㔱㉥㘳挶慦㙡戲慢㤷慤〵㐶扦㠷挰昷扤〱昷ㄲ㜰ㅦ〱㑣㄰㤶㉥扢ㅦ㈵敦㐹㕥捣㜳挸晥ㅥ㜸㌸㡤〹挳慡〵㉥愷㍤挸ちㅥ㘲〵㕦〱㔰散戴㙦挰戳㥣搶敥扤攱㕢㐰愴搳ㅥ愱ㄱ㈶晥ㄶ㌸敤㌱㜰㍢㜷ㅡㄳ㠴昱慦㑣㕦㐷㈳捡㘹捣ㄲ㔶㑤㜶㌹㙤㍤㌰晡攳〴㌲㠳搸〳昰〷〲㥥㈰㠰㐹挵搲㘹㑦愲㤴敦㘷昹挹㥣昷搰㝣ち㘸戸㡣㈹挶捡扣换㘵㑦搳晣㌳㌴捦㜴攰㘲㤷㌱〷戸㤳愱挹っ㘱改戲㍦搱㐸つ㑡〵㉥㝢ㅥ摣捥㕤挶㤴㘲㝡㑡㝦㠱㐶㤴换㤸㔷慣㥡散㜲搹㡢挰攸ㅢ〸㘴捥戱〷攰㈵〲㕥㈶㠰㘹挸搲㘵慦愰㤴㜷㤹敢㙡收㜹㍢㝤ㄵ㘸戸㡣㐹挹捡扣换㘵㥢㘸晥捦㌴㍦㄰㠰㘲㤷㌱㙢戸ㄳ㤷㌱愷㔸扡散㉦㌴㌲〴愵〲㤷扤〱㙥攷㉥㘳ㄲ戲㜴搹㥢㌴愲㕣挶㑣㘴搵㘴㤷换晥ち㡣晥ㄶ㠱捣㔲昶〰扣㑤挰㘶〲㤸戸㉣㕤戶〵㈵㉦㤷攱㍤㜴ㅥ㌷㠰㜷㠰㠶换㤸挶慣捣㔷㤳㘳慤扥摥愵昹昷㘸㥥㈹挷挵㉥㘳㥥戱攵戲㜶攷戹捣㐲㤶㉥㝢㥦㐶㤸㡥㕣攰戲て挱敤摣㘵㈳愰㈶㕤昶ㄱ㡤㈸㤷㌱㜷㔹㌵搹攵戲㝦〰愳㝦㑣攰㐸㙦挰㍦〹昸㠴〰愶㍡㑢㤷㝤㡡㔲摥㘵昹㠱㠹昷愹㜹戸散㌳愰攱㌲㈶㍥慢晡㝢㑡㤷昵〰搵㍦愷昹㉦㘸㥥㐹捡挵㉥㥢〲㥥㜴㤹昶㈵㈰摢㌴晤㘰㍥戳㜴攵㔷㌴捥挴收〲㔷㝥〳㙥攷慥㘴〲戴㜴攵户㌴愲㕣挹㉣㘸㜵㉡㉥㔷㝥〷㡣晥㍤㠱捣㤰昶〰晣㡢㠰ㅦ〸㘰搲戴㜴攵扦㔱捡摦ㄸ昲慥㡣ㅤ㄰昷扣㌱晣〸㍣㥣挹㈴㙡㔵㠱㙢挸昲㐱愲捥愴〴挱㠴攷㘲㘷㥡攰㔹捥挴㔳改㙤㜳㈶㜳愳愵㌳扢搰㌸㤳愴ぢ㥣挹㜷㉤㜷敥㑣㈶㔳㑢㘷㙡㌴愲㥣挹㡣㙡㜵㉡㉥㘷㜶〵㐶慦㈲㤰搹搶ㅥ〰扥挲㕤昷ㄱ挰〴㙣改捣ㅤ㔰昲敡㤷㜸慤愱㐷扦慣〶ㅡ慥㘴㍡戶㌲敦㜲㘵㜷㥡慦愱㜹愶㑥ㄷ扢㤲昹搲搶㔰㘶扦㤴㥦㄰愸㝢㉥挷㙣㙡改戲ㅥ㌴㜲ㄲ㑡〵㉥敢〵㙥攷㉥晢㌵搴愴换㝡搳〸㙡㤰㕦收㘰慢㈶扢㕣搶〷ㄸ扤㉦㠱换扤〱晤〸搸㤱〰愶㙣㑢㤷敤㠴㤲㜷晦昳摥㘸摤〵㜸㌸㡤㈹摣慡〵㉥愷敤捡ち晡戳㠲㜳〱㈸㜶ㅡ㜳慣㉤愷戵㍢〱㘶〶戶㜴摡敥㌴挲㔴散〲愷つ〴户㜳愷㌱㘵㕢㍡㙤㄰㡤㈸愷㌱㙦㕢㌵搹攵戴㍤㠰搱〷ㄳ挸㥣㙥て挰㄰〲昶㈴㠰㘹摥搲㘹㝢愱㤴敦㘷昹扢慣昷昵㙦ㅦ愰攱㌲㈶㝤㉢昳扤挹戱㤶㕦㐳㘹㝥ㄸ捤㕦て㐰戱换㤸㤵摤㠹换㤸戳㉤㕤戶ㅦ㡤㌰㜹扢挰㘵晢㠳摢戹换㤸攴㉤㕤ㄶ愰ㄱ攵㌲㘶㝡慢㈶扢㕣ㄶ〴㐶てㄱ挸㉣㜰て㐰㤸㠰〸〱㑣っ㤷㉥㡢愲攴攵㌲扣づ搳㘳㘸挶㠱㠶换㤸㈶慥捣扢㝡㔹㠲收㤳㌴捦㤴敥㘲㤷㍤〲㕥㈷㐳㤳㔹摥搲㘵〷搲挸㘳㈸ㄵ戸㙣〴戸㥤扢㙣㍤搴愴换㝥㐱㈳捡㘵捣つ㔷㑤㜶戹㙣㈴㌰晡㈸〲㤹㌷敥〱愸㈵㘰㌴〱㑣㈵㤷㉥慢㐳㘹㘷㘷㥤㥦扦㌵〴〳ㄱ扣挴搶㜳㜹㍡ㄶ㉡昰ㅢ戳换㔵ㅤ㝣㥡㘴㜷戵㜱慣㘳㍣敢㘰㈶㜸戱摦㤸晥摤㐹㔷㘳㜲戸昴摢〴ㅡ㘱㤶㜸㠱摦づ〱户㜳扦㌱㥢㕣晡慤㥥㐶㤴摦㤸㔲慥㥡散昲摢㈴㘰昴挹〴㌲摤摣〳㌰㠵㠰愹〴㌰〳㕤晡㙤ㅡ㑡㥥㕤㉤攴搵搵㘶〰つ㤷㌱ㅦ㕤㤹㜷㜵戵㤹㌴㍦㡢收㤹㍢㕥散㌲㈶㡣㕢㉥㙢㜷愵挵㜴㜲改戲挳㘸㠴㜹攵〵㉥晢㈵戸㥤扢㡣昹攷搲㘵㐷搰㠸㜲ㄹ㤳搰㔵㤳㕤㉥㍢ㄲㄸ晤㈸〲㤹愰敥〱㌸㥡㠰㘳〸㘰捥扡㜴搹㙣㤴昲㉥换㜷㌵扣㍥搵㘳㜴ㅡ㐰挳㘵捣㘰㔷收㕤㉥㑢搱㝣㥡收㤹敢㉡㥢㥤㘱挹㙥㜶愵挰つ戳㌸つ慦㈴㐵㔲搶㤰㘵戲攴㡣摣㤲㐶㈴愸昲㤰㘹㜹搶ㄱㅦ愱㈲戹〸㍣㈴ぢ戶戴㈲慦愰愲昸ㅤ㔴㡥敥昳愸㜸㠷摥㐵㙦搹㤴㙡㤴㌰ㄷ戳昲戲㝦㤵扥㐹搲搱㘷挳昳慦摣愳づ㍦㕡ㄶ㑤散㍤愹㈱摤摡搲搶㤲捤つ㤸㠱〴散〱㝣㙢㘹ㄶ㌹〵戵㤵㤷挰愲㘷㥤㍣戱㡡㘶晥㐲挸㐲扥挵捦㜷㕣㜳换愲㘶搹㥡捡㌶扥扣㔵晡慢㙢㔷㔶挳㑣〳昹搹〳捥昳㤷挳㙤㔴搶攷㠱㔶㜷昱㜷戱换㕡〳捡㐳敡㐶搷㑤㥦㙤ㄸ昱㑣㍡㙡㈶㡣㐸㈸ㄳ㐹㈵っ㈳ㄸ㌰愲改㐴捣㠸㈵㘲挹㔴㉣愱ㅤ敢㐰搳昱㜴㍣ㅢ㑥㘴搲㈹挳㡣ㄸ愹㔴㌲ㄱ挴㉢敥捤㔴㈲㘴ㄸ戱㘴㍡愴ㅤ攷㐰捤㐴㉡ㅡ挹挴㠲挹㑣㈴ㅡ〹㘴搳㠹㙣㈴ㅤ捤㠶㘳戱㑣っ㉦扢つㄹ㕡愳〳㑤㐵〲㘸㐰㍡ㅢつ㐶㡤㐸㈰㙡㈶戳戱㜴㌴㥥㌴戳愹愰㘱㈶挲㈱㝦㠵㍡㠹㈶攸攸捤㈴㉤㈴昳㐱晣㤵㑡㜸㍣㔹慤㈴㙤㈴㌹ち㌵㈵㤴㑡挴㕢㥡㌴㔴愹㐳昸㔳㔳㉣㠱挷㉢ㄱ昰ㅣ㈴㈳捣㡡慥㕤㑢戲敤㑡㔲㌳㥤㜷㐹㙡ㅡ㌳㌳㉢㑦㐳㘸㡢㔳昴扣㤵ち㝢づ㤵搱搹戰㤵捥挶㥦〸攲昳晢散戳搲㤶愲搸戳㙥昴㙣扣攳㔰扤昵㤰扤㕤㍢〹晣㙥攰换攴㤱改㜸㠷慣昶㉢㜰扡㠳攳捡㐵搷㝥つ㕥て昰ち㝦㤱挶扦㠳昲搹ㄶ㔶㍢㠸㘴㈰挹㈹㠰㔷㔶㐳㔸㝣ㅡ慥㥣㜱㔷愶㈱ㅦ挹晡㕤改㥦搲㈱㍤戲搳ㄶㄸ㡤昸摤㥢㈹挸㐱捡㤱昵㜳㐸㕡愹戰㌲挱㍡敤ぢ昲ㄴ㡥㍣㥡㈱㈹昶㐱㘱㈸敤㜳㤳敦ㄲ摤扥ㄴㄸ㕦攵搲㑥㍢㡣慡愵戴挳㈰㐸㐸㔸㍡ㄵ〱㘳㙡㐲㜷ㄴ㠹㈹㑣㘵愹昱攲㔶晡挱晤改㐹㔶戴摡㉢㥦㜸捤ㄴ晢㘱㡤挸㌷晢〹㝦搱㜰ㅡㅡ㈷㝡㝡戵㐱昴㔲摣㌳㠸㐱ㄵ昲摢㠷㕣㝥ㄷ挲㌱扣昴㐲㔰愶㥤〵㐸扢搷㔳㤱〳㡣搷搴挲㙢愲捡攸昱昷戳㉢搲㝥〷㉢搶挵㌰㥤㐸挴㑤㕣㄰戳㠱㘴㌸ㄲ㡡愵㔳㘱㌳ㄱ挷㑦㘵〵挲㠶㤱㠹㥡㈱晦㡥慡㜱攷㐰挷扦㤳㉡㥤换搲捥慡㐴㔹捤㉥㈸戱㘲㡤つ晤㙦㝥晣扢挲㌲晥攱愱ㄸ敡搱㌹搸㜵㡥㘵㝦㝦挵摦㡢挲扤㐹㔶㠱㉦㜶〷㕦㜶㠰㡢㔸〲㕢㝥〷㤲换敦㍣㤷㐳㜵摥愰㜸㉦ㄲ㔹㑦摦つ㠲〲ㄱ晡㘵愰戸㥦散㘱㤷戵换㔱戶㕣ㄸ捡㠴㠳㤹㘴挲挰㡦ㄹ㈴㈳㜱㌳㤵㡡〴㤳㐶搰〴㉦ㅢ㌶捣㜸㔸扢挲㠱愶挳搱㈸㍣ㅣ换㘴㤲㘶㈴㤴つㄹ㈱摣㔲〲㘶捡㠸㘴昰挳ㄶ戱愴㜶愵〳㑤㈴㡤ㄸ敥〸攱㑣㈲㤴㡤挰㝡㉡ㅥ捤挶㌰愵㌵捣㔰㌲㥡㐹愶戴慢ㅣ㘸㈸㥣㠶攱㑣㌰ㄴ〸ㄸㄱ搴㤰〸㈵㔳㠹㌴摥昸㙥㐶攲㠹㘴㌲攳ㅦ慣㑥㘲㌵㜴昴慢㐹慥㈱戹ㄶ挴㍦㐴〹扤敥㈷㝢㉡愱挴㑢㜵㉡㐹ㅢ㘲ㅦ〸㜹㑦ㄱ㌳攱㍡㕥敦攵㜵晢㜶捡搷㠰昸晣㐳㤵㌶慦摢㔶摣㘴〴㘵昰㠶㈹攱ㄶ扡㜷㝦㤲攱㈴昷〱㉢昶㠳㤰㤷㕥㥦㤸〰扢扣㌴愰㠰㈱晥〰敤㘲㠸て㐷㔱㐶㔸昵㙤㐸㤱〰攳挹つ㠰换㘱慥㍦㐸换㈱㑦㑣㔸㜱ㅦ㈶㠶戶昸㡤㤲换㙦ㅤㅡ愰㠶愰捥㈱㈸㝢㑣㉤戸愵愳㉤㙥㥢搲搶〱㘷昵㤰㠴㤱つ挵挳〹㡣戵〴㝡〸㈲㙢〴攲愹㠰㤹つ㈶ㄲ戱㙣㈸㥡昴㈷㔴昵敢愱攳㑦慡搲攳㉣ㅤ愰㑡㤴搵ㅣ㠸搲晦捥㈰㍢〸㤶昱慦㘴㤰㡤㔰晣〸㠵㔱㤲㘷搰ㄲ㌱ㄲ㝣ㄹ㠲㘷㔹〲㕢㝥㙢挹攵㌷敡㜶㤹㌳挸挲㥥㉥ㅢつ〵ㄸ挱㝥㍦㈸〶㔹㥤㕤搶㕥㐴搹㜲㘱㈶ㄶ㐹㐶愳㤱㐸㈰㤲捤㐴搰愹㔳改㈸㝥搴㉦㘴〶戳㌱㌳ㄶ捥挴戴つづ㌴㙡攰攷づ挲㘹搳捣㘴㈲㤱㙣㍡㥣㌴㔲㔱捣挱愲㤹㜰㌴㙥㈴㈲愶昶㤲〳㡤㘵昱ぢㄱ搹㔴㈶ㄹ㡡㥡㤱慣ㄱ㌳㈲ㄱ㈳ㅡ挷ㄴ㉣ㅢ㠸愶㠳㤱㠸昶戲〳㡤挴㡤㙣〶攳ぢ㍦愶㄰㠸㈴戳昱㘴〸扦㌲㤵㠸㠴㡣㑣㈲㤵㑡㐵挳晥㌱敡㈴㕥㠱㡥扥㤱攴㔵㤲㑤㈰晥戱㑡攸㌵挸挶㈹愱挴㑢㜵㉡㐹ㅢ㘲〲㠴㜲㤰つ㠴敢㥣㐱戶㤹昲㉤㈰㍥晦㐴愵敤㌵挸づ㔱挲㉤㜴㉦㕦搶愷ㅦ㐸昲㈱㔴挵㈴〸㘵〴㍦㘲〹㙣昹㥤㐲㉥扦㝤㕣ㄱ搴㍥〶愴晤晢㑥㉦捦戰㑥㔵㤵㝦〲㘵㠴㜵㥡㕤搶㍥㐵搹ち㙢搸〸㠴戲愹㔰㍣㡥㡢㘲㈴㤴挴搸㐸〴挲攱㜰㌴㥤㌴㘳㈹㑣搱戵慤㜹㘸㍡㤹ち㐶ㄳ㐶〲㐳㈷ㄲ挲〴㍣ㅣ㑡攱〸㈳㈸㤳㡤〴ㄳㄱ敤㌳〷㥡づ㘶㡤㜰㌲ㅥ挶㤴㥥㤷㔹㌳㘹㠴愲㠹㘴搶㐸㐶㡣㙣㍡ㅤ㌷戴捦ㅤ㘸㈶ㄵ㡤㘷挲ㄱ㌳㄰㐸㠵㈲㤹㐰㈸㤹〹愶愳㐶捡〸㤹愹㘰㉡㤵㑤昹愷慢㤳昸〲㍡晡㤷㈴㕦㤱㝣つ攲㥦愱㠴摦㤰昵㉤挹㜷㈴摦㔳㌸㔳〹㈵㍥慦㑥㑤㜱ㄸ㠴㌲慣挲ㅤ搶㌲㉣㔰㜵〱攲昳ㅦ㙥㙢㙢攵㈸㝡捤㜹扢㠰㕦㌸攷慤〰愷㜸捥㕢〹㥥挷㥣昷㤷慡㙤戲㕦搴戱㑢㡣㈶攱㙦㝤㡡㈳㈱㤴晤挲挷㤲敡ㄷ㐷㤳换敦㔷摦扢㉥㠶散ㄷ昲㘲昸〵戸愵ㄷ㐳㘶㕤ㄱ愱㜷㠷㈹㜴㠱搹㜶㔹慢㐱搹敡〲愹㜸㈶㤴づ攱㘳㈶ㄳ㤱㜴㍡㠱挵㔵㌲㥥つㄸ戱〸㐷愰ㄹ搶晣づ㌴㙤㈶㐳搹㔸ㄴ敢戰㘰㍣㤲捤愶㤳昱㐸㌸ㄳ㡣㠵戲㠰〷愳戱愰搶挳㠱㠶戱挰㑡㠷搰㍢㤲昱㜴㈴ㅤ㡢㘰㘹ㄵ〹㈷㐳攱愰㤱㑣挶捣㔰㐶敢改㐰愳〱摣㍡㤳搱㔸㉡ㅢ㑢㐴攲㌱㔸挵ㄵ㍡㥡捡〴㈳攰愴戳㜱晦ㅣ㜵ㄲ扤愰愳昷㈶改㐳搲ㄷ挴㙦㈸愱㔷ㄷ㐸㈹愱挴攷搵愹㈹㑣〸㘵ㄷ搸〲搷㌹㈳㝢〰㉤て〴昱昹戳㑡㥢㕤㐰㘷扣㜵㠶㔸㘷㑣晤㜳㤵㔰㐶㜰㈲㝤㍣㠱㘴ㅦ〸㐵〳㠴㌲㠲㐳㔹〲㕢㝥㡦㈳㤷摦㔷㍤㈳昸㡡㘷〴ㅢ㔵㍤挳㘱ちㄱ㙣戲换摡晥㈸㕢ㄱ㡣〷㐳愹㔸〶扥㑤愶㜱㜹づ㘵㡤㠴ㄹ㐸㥡㤹㔴㈸ㄹ㠸㥢愱愸愱〵ㅣ㈸㉥攳㘱っ挲㐰㍡挸戹㡣㠹㘱㥥っ愵㑣㕣㤵㐳㤸ㄲ愵搳㈹㉤攸㐰攳挱〰慥昸㔸㍥挷㘰㌵㤵㌲㡣〴慥戸挱㌸㘲㥤㌵㜰〵捥㘸㈱〷㥡づ㥡愱㔴㍣㠴㐵㜵〰㍤㈲㡣㌹㔲ち㉦戳㌷捤㐰㈸ㄴ挰慣㈹攲㙦㔶㈷ㄱ㠶㡥ㅥ㈱㠹㤲挴㐰晣㉤㑡攸ㄵ挱昹㑡㈸㌵㠹户㌴㘹㐳戴㐱㈸㈳戸摥ㅤ挱㔱〴搵㠲昸晣㌹愵敤ㄵ挱〵㑡㈸㈳㌸㡤挱㥢㉡挳㐸搳㡢㈰㤴ㄱ㥣挸㤲㡡攰ㄲ㜲昹扤搷㌳㠲㙢㍤㈳㜸㠲慡㘷㌲㑣㈱㠲㈷摡㘵㙤ち捡㔶〴㤳搹㜴摣っ㘲戳㈳ㄲ㌶㈲挱㉣〲ㄷ挴ㄸ㑢愴戲昱㘰㌸ㄲ挵㤶挸搴㍣㌴ㅤて㘲㌰㠵㌳愹㐰㍡㘲㘰㈲ㅡて攲㈶ㄸぢ㈴㈳戸扡㠶㡣戸㌶捤㠱愶〲愹㜴㈰ㄱっ挴㐲㤹㘴㈴㡡㑤㤴㙣㌴ㄱ㑤挶㠲ㄸ㕣㈱㡣散㤰㌶㍤て㡤㠶㜰昱つ愵㐲挱㔴㍣㠲㥢㜱㉡㠳扤㕢㑣㤱㌰㠴㑤㕣㡦戳晥愵敡㈴㘶㐰㐷㥦㐹㌲㡢攴㔰㄰晦㐹㑡攸ㄵ㐱㈶搲挹㑢㄰愱㤶愶戴㐱㜵戱ㅣ㐲ㄹ挱慢摤ㄱ㥣㐳愴〱攲昳㥦慣戴扤㈲㜸㡡ㄲ捡〸昲㌵㤸搶㑦ㅣ㌶搰昴愹㄰捡〸ㅥ换㤲㡡攰㘹攴昲扢搲ㅤ㐱㘷㝥㜴愱㘷〴㤹㈲㈷㑦愱ㄹ愶㄰挱㌳散戲搶㠲戲㝤ㄵ㡤㠶挳㐶ㅡ戳㤳㜸ㄲ㠳〳ㅢ㑢戸㑡㜲ㅤ㘷愶戳搹㜰㈸ㄲ搳收㍢搰㙣㈶ㄹ挷㜸㡤㘴㌲㐶㌶㤲㡤㘱㡤ㄱ㑤㠱㈶㔳㘶㍣㡥愵㐵㕣㍢摥㠱昲扥㤹〹㘵㠲搹〴〶㉥㡥㔲愹㜴㉣㠴㕦㡣㑢挴昰㑢㥡搱㜴㐴㙢㜵愰〹捣愲搰㠹挲愹慣ㄹ㠹挴挳搱㈴收㐵〱晣㠷㥦㤵㐸㘶㐳攱愴晦㑣㜵ㄲ㙤搰搱㜳㈴ぢ㐸ㄶ㠲昸捦㔲㐲慦昹搱搹㑡㈸㤵㠸搷愵つ慡㡢㜳㈱㤴ㄱ㕣敥㡥攰㌲㠲㤶㠳昸晣攷㈹㙤㌹㍦攲搲㈳扦ㄲ昱㥦慦㠴㌲㠲愷㔱㙢㌶挳㜸っ攳㜵㈱㠴㌲㠲㘷戲㈲ㄵ挱㤵攴昲扢挰ㅤ㐱攷㍥搸收ㄹ挱㔵慡㥥㜳㘰ちㄱ扣挸㉥㙢攷愲㙣㐵㌰㥤挶㕤〸㍢㠸㠱㑣ㅣ愳㈵ㄸ挰㤶㘳㉡ㄱっ㠶㤳㘶ちㄱぢ〶戵昳㕣搰〴ㅣㅤ㠸㐵愳㤸晡㠴㈳㤸㡥〶㠲㠱っ戶ㄲㄳ㈱敥㘲〶戵昳ㅤ㘸㤲㔳攵㐸㍣㤵ち㈱㉣㠱っ㡣㐶〳㔸㜰㈶㌲搱㌸㤶ㅥ攱慣㜶㠱〳挵搰ぢ㐶ㄱ㐱挴㌱ㄵ挱㝤㉦ㄹち㘴㘲愰愱㜸㈸ㄲ㡦挴戳晥㡢搵㐹㕣〸ㅤ㝤〵挹㑡㤲㔵㈰晥㑢㤴昰㈲戲㉥㈶戹㠴攴㔲ち㉦㔵㐲㠹㤷敡㔴㤲㌶挴ㄵ㄰捡〸ㅡ敥〸慥愶晣㙡㄰㥦㥦昹㠲戲晢㝢㡤挱慢㤴㔰㐶㄰摢捡㘵扡㐹㜲㌳㔴挵搵㄰捡〸摥挲㤲㡡攰戵攴昲㍢换㌳㠲㌳㍣㈳㜸㥤慡㘷つ㑣㈱㠲搷摢㘵敤づ㤴敤慢愸ㄹ㐵戴搲ㄸ㌰㤸㜶〶㌱㡤㌰攳愱㜸㌴ㄲ㡣攳㘷捥戰て㄰搱敥㜴愰㐰〴愲愱ㄸ㝥㘶㌱㡢㌵㑡ㄴ挳㌵㡥㕤〱捣㠳㤳〶慥㤴ㄸ㠳㜷㌹㔰㕥㉣㐳㘹摣摤戲挹㜴㈴ㄹづ㈵愲㕣㜰㘰㈵ㄹて攰㈲㡡挹散摤づㄴ㉢㑡㙣て㘰搳ㄹ搷㔲㔸㡤㈷搳㘶摡っ㤹搱ㄴ㔶㐰㤸晦㤸晥ㅢ搴㐹慣㠵㡥㝥て挹扤㈴昷㠱昸㙦㔴㐲慦〸㌲戵㔱挶愰㔰㐹愷㈱㜱㉢㠴㌲㠲戵敥〸慥愳攵昵㈰㍥晦㙤㑡摢㉢㠲户㉢愱㡣㘰ㄳ㠳挷昷戲敡捦搰昴ㅤ㄰捡〸㍥换㤲㡡攰㕤攴昲ㅢ㜵㐷搰戹㡡㠶㍤㈳㜸户慡攷〵㤸㐲〴搷摡㘵敤㐵㤴慤〸㥡〸㕣㠰ㄳ㔰㈳㠲晦㘲㤹㘴ㄲ㌷慦㤴㠱ㅢ㔸ㅣ换㤲㐸㔲摢攰㐰㌳㔸㌶〴㄰〵慣〶㠳㤱〰昶㘷㔲㜸㠶㤰㐹㈴戰扣挰慥㡥ㄱ搴㕥㜲愰攱㙣㌰㤵挱ㄳ㠱㜸ㄶ换晦㠸㠱昵㈸㜶㜴戲搹㔴㍡㥣㌰㌳愶㘱㙡㉦㍢搰㘸㌴ㄹ挵㌶㕣㤲㌷捡〸挲㤷捡㘲㔷づㄷ昶㔸㉡㤱つ愷㤳〱晦㍤敡㈴㕥㠱㡥扥㤱攴㔵㤲㑤㈰晥㝢㤵搰敢㉡㝡㥦ㄲ㑡㑤愹㈴搵愹㈹㝥て愱㡣攰㐰㜷〴㌷搳昲ㄶ㄰㥦晦㐱愵敤戵捡㝣㐸〹㘵〴㜳っ㕥ㅢ挹㠷㌴晤〸㠴㌲㠲ㅦ戱愴㈲昸ㄸ戹晣昶㜱㐷搰戹㡡昶昲㡣攰㍡㔵捦㈷㌰㠵〸慥户换摡愷㈸㕢ㄱ挴㤸㑢挴㤳㔹慣〶㡣㔴㈴㥡㡣ㅢ愶㤹〸㐴㌳搸㕢㑢ㅡ㠱㜴㌸慣㙤㜵愰㠱㙣ㄶ扦㐰㘸㠴戰㜳㠷扤〴摣㌸㌱㔸昱〳㜸㔱㕣晥戰㘱㄰挹㘸㥦㌹搰ㄸ㝥慥㌰㠲㑤㠲㜸㌲ㄶ㡤挴愳愶㠱㍢㕤㉡ㄴ攵敦㤴㘲㤲㤹㡤㘸㥦㍢㔰㉣㑦愱㙢㘰㡥㡢攱㙡㐴㌳〹㙣㔰攰㐲㡡㌶㤸戸㥡愶戲晥挷搵㐹㝣〱ㅤ晤㑢㤲慦㐸扥〶昱晦㐱〹扤㘶㌲㑦㈸愱挴㑢㑤㘹㠳㥡攲㈹〸㘵〴㠵㍢㠲摣㡣搵昹〳摦㍥㍦㔳㍢摢扤㡡㍥愳㠴㌲㠲㈷㌲㜸㝣㌳慥慥㐳㔵晣〹㐲ㄹ㐱ㅦ㑢㉡㠲捦㤳换敦㔷摦㜹慥〷挱㉤㕤て扥愰敡改づ㔳㠸攰㡢㜶㔹慢㐱搹㡥㘰〸ㄷ挶㑣挰っ㥡戱㜸挴挰戴㍦ㄸ挹㈶〲㤹㤰ㄹ㡢㠵㌱㤷㌰㌵扦〳㑤㥡㔱㌳ㅢ㌳㄰〰㍣㙤换愶㘲挹㜰㌰ㄶ挵㈴㈵㠹扤戵㐴㌶㘴㙡㍤ㅣ㘸㌴ㄸ㑢攲摥㠸捤㔹㉣㈳㤲㐱㙣㈶愵戱戶〸挵㔳攱㘰㈸㠱搵㠸搶搳㠱㘲㜶ㅢ㡢挷㡤㐸㌲㤶挰㤳㍣昴愶㘴〴㕢〳戸慦攲㍥ㄸ挶㠸昴㙦㔰㈷搱ぢ㍡㝡㙦㤲㍥㈴㝤㐱晣㉦㈹愱搷㔵昴㘵㈵昴搰ㄴ慦㐲㈸㈳戸〵慥换慦〷㘹㜹㈰㠸捦扦㐹㘹㝢㕤㐵晦慣㠴㌲㠲㈷㌳㜸换㐹昶㠱慡昸ぢ㠴㌲㠲㐳㔹㔲ㄱ㝣㠳㕣㝥㕦昵㡣攰㉢㥥ㄱ㝣㔳搵㌳ㅣ愶㄰挱扦摡㘵㙤㝦㤴敤晢㈰㈲㠶㜵ㄷ㠶ㄱ㌶挸㜰㍢㑢愵㔳改㑣㄰㕢㉦戱㑣㍡㠳㑢愵ㄶ㜰愰㐸搰挰㜳捦㙣㈰㥥挵㜰挵摡ㅣ搳㐵散〵〵㐲搸扥㐹攳㌹㙢㔰ぢ㍡㔰㙣㠵攳挷㡡㘱㌹㠶㘹㉥ㅥ戰㈶挳ㄹ摣搸戰㌸㠹㠵㔳ㄸ昰㜱㉤攴㐰㘳攱㜴〶扢〲㘱㙣ㄴ愲ぢ攱慡ㅢ挴㕤㌹㡡扤㠰㘰㈴㤱挰㜴搶捦摣㔷㌹ㄶ挲搰搱㈳㈴㔱㤲ㄸ㠸晦㙤㈵昴㡡攰㘶㈵㤴㑡㔲摤搱ㄴ敦㐰㈸㈳戸摥ㅤ挱㔱戴㕣ぢ攲昳扦慢戴扤㈲昸㥥ㄲ捡〸㥥挱攰㥤㑥㌲〱慡攲㝤〸㘵〴㈷戲愴㈲昸㈱戹晣摥敢ㄹ挱戵㥥ㄱ晣㐸搵㌳ㄹ愶㄰挱㝦搸㘵㙤ち捡㔶〴搱捤㤳㔸㐸㘳ㄱて㈷㘶㐲㤸晥㘷㌲㐱㉣搱攲㤹ㄸㅥ㙢愷搳摡㔴〷ち㤷〶㜱捤㑤㈴㠲㤹㔰㈴㠸㔰攰戹〷愶戱挱㌸搷〹搸慣搳愶㌹㔰捣㔰㌳戸愵㈵愲㈹㤳慢㜳摣〹㈳㠱㌰慥愱㤸ち㤹㈶㈶㑡摡㜴〷ㅡ㠹愵っ摣㑡㈳㠱ㄸㄶ愰改っ愶㔲搱㄰敥挸挱㜸㌸㥢捥㘶㡣愰晦㘳㜵ㄲ㌳愰愳捦㈴㤹㐵㜲㈸㠸晦㥦㑡攸㜵ㄵ晤㐴〹愵愶愳㈴㙤㠸捦㈰㤴ㄱ扣摡ㅤ挱㌹戴㙣㠰昸晣㥦㉢㙤ㄹ㐱敥挴攴㌷㘶晣㕦㈸愱㡣攰㕣㙡㥤挷〸昲つ换攲㉢〸㘵〴㡦〵摦㠹攰㌷攴昲扢搲ㅤ㐱㘷㈶㜳愱㘷〴扦㔵昵㌴挳ㄴ㈲昸㥤㕤搶㕡㔰戶㈲ㄸ㑡㠶㤳愹愸ㄱ㑦攳㐱㔰㈴㠶㉤㤹㘸㌰㘸㘲㕡㘸㈶㠲㠹㄰㈶㠳摡㝣〷㡡㡤㙦挳㑣愷㡤㌴㤶て㔸散㘳搸㘶㔲ㄸ㍥㔸昰㈵㤱捤㤰㌱戵攳ㅤ㘸㈸㠸愵扣㤱ち㠷愰㠰㈵㐲〰㕢攲搱㘰ㅡ㉢㡥㈰昶㜱捤㘸㕡㙢㜵愰㝣扣㠵㔵㍥ㅥ㔵㘱改ㄸ㡤愶戱慦㤰〹攱ち㥥つ㘳㙦㈸㥤㐹昸扦㔷㈷搱〶ㅤ㍤㐷戲㠰㘴㈱㠸晦㕦㑡戸㠸慣挵㈴㑢㐸㑥愰昰〷㈵㜴昰扡㘳㐳晣〸愱㡣攰㜲㜷〴㤷㔱㜹㌹㠸捦捦㠱㉦挷扥搷㑣㐶㈸愱㡣攰㐵っㅥ摦づ慤㥦〱㔵搱〵㐲ㄹ挱㌳㔹㘲㑣昹㘵㔲慦㡣攰〲捦〸戶㜹㐶㔰㔳昵㥣〳㔳㠸㈰搳㜸昱慦㑣㍢ㄷ㘵㉢㠲㐱慣〵㐳挱〴㤶㙣搱㘰〴㜷挱㐴〰敢晢㡣ㄹ㌲搲ㄹ捣㍡㈲㠶㜶㥥〳㡤挷愳㤸㑣㘲㈷㡤摢㕥搸ㄱ㌵㌰〷挵ㄶ㙡㄰㔳㑥㍣㥣㡣㠴戴昳ㅤ㘸〶扦扡㡣攷㈲搸敡挴戳㡣㐴㉣㤸㑡挷愳㐹㉣㔸㤰㡢㠲㘱㤶㡣㘹ㄷ㌸㔰㈴戹㈴㈲㔸㘵攰挹㐸㄰ぢ㔲㜴㈱晣〷ㅡ㐲㔲㑢〰戳ㅥ㍦搳㡥搹㘸晤㐲攸攸㉢㐸㔶㤲慣〲昱敢㑡攸ㄵ㐱㥦ㄲㄲ㙡㈹㌹㌶㐴㌵㠴㌲㠲㠶㍢㠲慢㠹扣ㅡ挴攷敦慥戴扤㈲㔸愳㠴㌲㠲㔷戲㜹㔷㤰摣っ㔵搱〳㐲ㄹ挱㕢㔸〲㕢㝥㝢㤱㡢㙥㈳㘶㜹㐶㜰㠶㘷〴㝢慢㝡搶挰ㄴ㈲搸挷㉥㙢㜷愰㙣㐵㄰づつ㐷挲戱㜰㌲㤰挵㡡ㅥ〳ㄲ㠱㠱攳愳㐸ㅤ挲㈳㡦㔸㑡扢搳㠱㠶ㄲ搸っ㡤㘷㜱㤷捡〶㤰㘸ㄴ挵昸㑡㐰㌹㥡つ㈵㘲ㄸ戶ㄱ敤㉥〷捡㈱㤵㐸㠴愳㠱㌰ㅥ㌷攳㜱㉦晢㐵〶㥢㍥昱〰愶㤹㈱昴㡢扢ㅤ㈸㥥摦愷〲〶㌶昳〰挴㍤㌳㥥㡡攲〹㔸㍣㙢㘶攳㜸挸㠵㍣㈵㝦㕦㜵ㄲ㙢愱愳摦㐳㜲㉦挹㝤㈰晥㝥㑡攸ㄵ㐱愶㐷攳ㅦ㝥㍡愴㐰㐹摡㄰扢㐰㈲㈳㔸敢㡥攰㍡㈲搷㠳昸晣扢㉡㙤慦〸昶㔷㐲ㄹ挱敢㔹挹㜵㈴捦㐰㔵散づ愱㡣攰戳㉣愹〸づ㈴㤷ㄱ㡣扡㈳攸慣㈶挲㥥ㄱㅣ愴敡㜹〱愶㄰挱㍤散戲昶㈲捡㔶〴㜱㙢挳㑥っㅥ㑡攰昹㔰㈴㤸㐶㑡㐴㄰㐳ㄲㄹ㘰搱〰戶挲戰㝢戲挱㠱攲㥡ㄹ挵㘳晡㙣〶て㌱戰㜴㑣ㅢ㘱㍣㐸挲㤶㌸㈲㠵㐹ちㅥ㌸扣攴㐰戱㤹ㄶ挵㘴〶捦㈳挳㤸㡥〶戱㕦㡤昵㕥㈲㠸㍥㤱挰㌶㜶㍣愹扤散㐰㘳愹㜰㌸ㄶつ㘰㐳㈶㤱㡡㘰愳摣挰㑢㌴昰戴ㄲ捤㌲㤲摣戸昳㌳㈵ㅢ晦昰愶づ攸攸ㅢ㐹㕥㈵搹〴攲㘷㑥戶ㄴ㝡捤㘴昶㔴㐲㐲㉤㜵愹㐹ㅢ㘲ㅦ〸㘵〴〷扡㈳戸㤹挸㉤㈰㜸戴慦戴扤敥㠳挳㤴㔰㐶昰㝤㙡昱扤攰晡慤㡣搷㝥㄰捡〸㝥挴㡡㔴〴昷㈷㤷ㄱ散攳ㄹ挱㕥㥥ㄱっ愸㝡㍥㠱㈹㐴㌰㘸㤷戵㑦㔱戶㈲ㄸ㠹㘴戰戴㡢攱㤹㌰ㅥ摤㘲㈸㜱㕡ㄹ挸㘰敢㌲〵㐱㈲ㄵ搲戶㍡搰っㅥ㉢㐷攲㐱〶〴昳㝤㕣㘸捤㉣ㅥ〷㘵ㄲ搸〶挰敤换〸㘸㥦㌹㔰㍣㕥㐶㙦攰づ㘷㉣ㄵ挱㌲㈲ㄵ攰㔴㌴㙣攲㐱〸㥥㉥挵攲摡攷づ㌴㤳挱っㄵ挹㝥搹〰戲つ搳㠱㡣㠱㈰愶〳昱㑣㈲㙤㘲敤㤸㠸昹㤹㈱㡥㝦昸敢ㅥ攸攸㕦㤲㝣㐵昲㌵㠸㍦慣㠴㕥ㄱ㡣㈸愱挴㑢㑤㘹㠳㥡㈲づ愱㡣愰㜰㐷戰っ㔹㙡扡〰昱昹㤹ㅥ㡥㝦㜸搵㘵挱㈴挶㝡扡挴戴㜱㈹㤴ㄱ㕣㑢搸摤㈴㍡㔴挵㠱㤰挸〸昲慦戹㥣〸㡥㈰㤷ㄱ晣敡㕢搷㝡搰㤹挹㝣〱㙥改㝡昰ㄷ慡㥥敥㌰㠵〸㡥戴换㕡つ捡敡㉡ち攷㈵搲搱㄰ㄶ改㜸捥ㅢ挰㠳昷㜸〰㡢户㐰摡㐸㠵昰㤴㕦昳㍢㔰㙣㔵攲㉡㠸扢㘶㄰昷挱〸㝣㡣㈵㘳ㅣ㤱っ㈵㌲搹㡣ㄹ㡦㘸㍤ㅣ㈸ㄲ㌲㔲㠸㠲㤱㡤挵㌳搸敢㠹ㄸ㔸搰挷㔳㈶ㅥ㍡㈰㈷㌴㡥㈴㠱㥥づ㌴㤰㌶挳㜸㡡ㄴ捣㘲㍤㠲昵㘰ㄴ㥢〳㈹慥㑦㤲攱㔸〲ㄷ昵㡣㝦㤴㍡㠹㕥搰搱㝢㤳昴㈱改ぢ攲慦㔵挲㝥㘴敤㐸戲ㄳ挹捥ㄴ㡥㔶㐲㐲昵㐲㜵挱㉣㜵ㄹ挱㉤㜰㕤㝥㍤㐸攴㐰㄰㥦㝦㥣慤慤つ㐲搱敢ㄱ昱ㅥ攰㤷㍥晣搵〶㠳㕤昸攴㜸〸㌸㐵㑦㡥晤捣㠰挷㍦敢ㄷ昶昴扤㠰搰昹㙡㜷㥤㉦㡡ㄷㄳ㈰㤱㕤㘰㈸昸㑥ㄷ㌸㠴㕣㜶㠱㔷摤㕤挰戹っ扦攲搹〵敡㔵㍤挳㘱ち㕤㘰㤲㕤搶昶㐷㔹つ㘲㡣㉡㍥昴挵㍥㌸㥥〷㠵戰愹ㅤ〸㈳戹〳搳㄰㈴㄰㐴搲㕡挰㠱㜲搱㥥挴收戶㠹〷挰戸昷㐶㤳搸㍥て愷〳㘱㈴ㄹ㘴捤戰㠱〷㡣づ㌴㤴挰摥㜶㈶㙥㐶ㄳ㜸㘴㠱㍤户㈴收戵攸㈵搸㝥挵㥥㘹ㄸ户攷㤰〳㡤㐷㘲戸㡡㘰〳〹て戱㈲㜱摣て㘲㐰昱改ㄴㄶ愴㘹㍣戹昲㑦㔶㈷ㄱ㠶㡥ㅥ㈱㠹㤲挴㐰晣㔳㤴搰㙢㄰㑦㔵㐲愹㈴搵ㅤ㑤㌱〳㐲搹〵搶扢扢挰㈸㕡慥〵昱昹㘷㉡㙤慦㐱㍣㑢〹户㌰㙥敢㐹搶㤱㑣㠰慡㌸っ㐲ㄹ挱㠹㉣㠱㉤扦㑣戴㤷ㄱ扣搷㌳㠲㙢㍤㈳挸㜴㝢晣挳㕦㈰挰ㄴ㈲㜸愴㕤搶愶愰㙣㐵㌰㄰㑡㘳㕢〵愹㑥挸㠷挶㐵ㄵ㡦㠵攲搹㈰㌶搴戰戸っㄹ挱㔸㐶㥢敡㐰㜱㔵㡥㘵っ㠴㉥捡㈷㡡㤹㑣〲て㉥ㄲ戱㔴㍣㡣㠷㡣㈶ㅥ攷㙢搳ㅣ㈸戲㝦搲攱㄰戲攴〲〹㍣㜸㌶戱㐳ㄷっ㈴搲挸换㌶㠳挹㜰㍡㤶搶愶㍢搰㌸㙥㥢攰挹㙢㝢〴㕢㜳愹㌴㙥〱搸〳挲戳㝦㙣ㄵ㈵㔳晥愳搴㐹捣㠰㡥㍥㤳㘴ㄶ挹愱㈰晥愳㤵搰㙢㐱㜹㡣ㄲ㑡㈵攲㉤㑤ㅡㄲ〶㠴㌲㠲㔷扢㈳㌸㠷㈰〳挴攷㑦㈹㙤慦〸愶㤵㜰ぢ摤晢㌴挹㔳㈴つ㔰昵昳捦〵昰慦㑣㍦ㄶ愵敡㉥㤵捣㜸㍦戰晤㤷愲扡㌲愱㠷攱摤㠱㜸㌱扡㤹挱敢㠸昱晢挶戹㈵㘳㥢㜳慤晣晢扤戲㉥㜸ㅤ戱昵ㄲ摦㡡昲〳戶捦ㄶ㤳㠶昹挶㐸㝥㉢㔷攲慣晦〷㜶搸㈷昳㝦㔴㐰㡢扢攳慢㌷攲㠴㉢㥢㜰扡㥥慦㈵戴搲扢㘷攰㍤捣收昰扡搱昱攱㘳ㄷ愷捤㐶扥〷ㄲ㠹攱戸㌳㤶昵㘹㥡搰㠶㐳晣慥昳捣㤶㕡昹㘲㐲收㤰昷㔰戹攳挳㥡挶㉦㘸挸挰て㐳昲ㅣ昵敡㑦愵㌶愵搵搱慢捥愳昰㤲敦㍥昹㤲敢㈵挸扢攴戹㜸攳㉢ㅣ㙥㘶㤴挵㌶扣㤷慥愲扣㡢昰晣摤㠱㌱㉤㑤昸慤晢攱挸㜶㔷〶挶㌶㉦㘸愲ぢ㜶昱㜸〹昴攸㠶㥣㝣㠹晡慥㤰ぢ扤〱敥搱㥡搹㑦㐶っ㥥愲㕥昰㌴戸㜶㜰㌸㕥㜹㍥㠲戲つ昵ㄵ〶㠱戵昳攳搳攷挳戸㘸㐶㌵㡣㠴搰㡦㘵㠵慤攰㘹㈳〶㡦㘷㌵扦㐳㌵挵㙦晥㤳愹昳昶㘹昱㘵捥㜴㔲㙢㑢攳〴扥㑥挹ㄵ㘹㔶〲㜳愸㈴挷㑡㕡㥣㑡㡥㘳㈵ぢ慤㑡挶愲ㄲ㜱〶㉡㘱㐵散扣㍥㝤㌱搱昳ㅤ㜴㈳搱㈷㔸攸㜱㐴㥦㙡愳㜱㡦〲㝡㈹搱㝣㔴㐲〳昸㕦㤹攰㕦㔳戰㐰戹㘸戳ぢ㌴㉤㜲㈸搰㙦㌸㉥慢攱㥦㈶戰㈷昱敢晡㙣ㅤ㘹ㄷ㐶㔹晦慦戲晦敦ㅦ㘵扤昱昴挳㤱㌵㈷㉡捤愳挵挰ぢ㙡㉢㌷晦扡昸㜷㠲㉤捤慤㡦㔹晦㜷攸㈸㜱ち㌴㠷愰㉣㝦㈱㕡摦捣㈳㕥ㄴ挴㌲㌴敡㜵扣㘴㙡昵挴挵晡挳㙢㈶搵慤昸敥㠰戳㍥晦愶㍡㈲㝥㙤ぢ㥥㥦晡㑥攸扤晥扢㡦扢晣搱㙡晦ぢ㘷慤摡㑤㌰㑤㥥敥搶㑦挶昹昳㑣攵搹捡晣㜴㜲㑦愱㔷㘸ㄹ㕦晦ㄹ挰攲㕦㤹晥ㅢ㜰慢扢㠸㜳㔰戰挲晤㍢ㅣ㘹扦〵ㄷ攱㥥㍣㌸㤲愸㕣㠲晡昶㙢晦㤲㤱㝦㡤慢敡换㝣㥦㤵㉢收ㅣ摤晣昸昴搳搹㠲㜳㘱㥦㈶挹ㄲ慢㔰挸㥦晣扦挰戲㑥㍥搷摥挹户搹㠲攲㥦挶昶㕦〴㑢昸㔷愶㥦㘳㥤搰㘵㈸昰挲㈹㡥㠷〶慦㔶扢㔳㜸ㅥ㕢戰ㅡ㙣敢㕣㉦挷㤱㜶〱㜸㤵㈳〶㡦ㅢㅣㄵ㑤挰愹㙥攲搳㔷㄰㝣戵〳㘶戶户戶ち扣㥡挲㠱ㄷㄵつ㔰㔳㝤〸㍦敤㐵戵㙢ㅣ㌵㘶㝥㙢㤷㕡㜵㡣㐷ㅤ愶㕤〷搸㜰挹攵〴㕦敢㠰慦㈲昸㑡ぢ㍣ㄶ㘰挳〶㕢愳㘰㌵〴㌵户ㄳ〲摤㙤敦愳㙢㤴㘶挷㝤ㄴ戶ぢ㍥〳㐶㠹晢愰㤹て搳㘶㠸慤㌰ㅤ㠵收㜹昶搱㈳㙤㐱挹て㜸㌳捦㕢昶搱ㅢ㜰㉥㑥ㅦ㤵〹摣戴㝡㈳摤㠱〳搹㐷ㅦ〶ㄶ晦昰晡ㅤ㜰搱㐷搷愳㘰挵㙤ㅤ㡥戴㕢挰㐵ㅦ挵㌵㌰㈱㘶愱㍥搵愹㝣晡㙤戴昲㌸㌰㡡㈵㥥㐱㈱㝦〲昹㝥㌶戵扤ㄳ㤸㘲ぢ㡡㝦㘰摢晦㉣㉣攱ㅦ㤶㑤㔶愳㕥㐰㐱昶戳㐹搰㜰晡搹㍤㙣挱㉢㄰㔹敤㝤ㄱ㐷摡㝤㔶㝢㜱扤㡡㠹〹〰攷㍢摡〳㐴㙦㜴搰ㅢ㠸㝥㄰扣攲㉢㝣㑣㡣㠵㕥扥愷㍤㑣扤㔷ㅤ扤㤷愸昷愸㔵ぢ㉥搴㌱㔱㙢搷〲㍥扡摡㍡愲㌷㌹㘸㘶㐰㙢㡦㕢㘸㕣㜱㘳㘲㠴㡤戶晡摡ㄳ㤰搴㙣㈶〶捡摢摥搷戶㈸捤㙤敥㙢ㅦ㐲㌳ㅦ慡捤㜴昵ㄶ㄰㤱㐰昳㍣晢㕡摣ㄶㄴ晦ㄴ戸晦㈳㔸挲扦㌲晤㔹㥣ぢ晡捦㈷㈸挸㔰㐵愱攱㠴敡㌹扡攵ぢ㠸慣㔰㝤㡡㈳敤〵换㉤㜵㠳㘳㐹ㄱ戴摤挲捥敡搳㌷㄰晤愵㠳摥㑡昴换ㄶ㝡㌴搱晢搹㘸换㠹ㅢ㠹㘶㤶戰㘵晢㌳愲㌷㔹攸㌱㐴敦㘳愳挱㠷敤搷㠸晥摡㐱㌳㤷㔹㝢ㅤ㍣㜴〳㕣㠸昷ㅣ㜴挰㠰㐱㝢攲㐶て扤㈱搰换㜷㠳㌷愹挷〹㉣㝢ㄴ㑤〹㈶㉣慢敥㈵㤸戸捣㠲扣摤㌱㠱㔹㘹搶㤴㔵愲〶攰户㍤扣㐲㘹㜶ㄴ摥挴㔳晢慥㠷㜵攷㌳㝢挲捣㕡愱㐳搳㉢扣〳搰㐲捦昰敥㙥ぢ㡡㝦攸摣敦㠳㈵㥥慤晥㌷㥣㍦挲摢ㅤ㘵ㄹ摥晥搰㜰挲晢㉥㥤搳ぢ㈲㉢〴㌵㌸搲晥づㅥ慥ㅣ㜵㠳㤳㐹戱ㄳ挰捡㔵㍥晤〳愲㝢㍢㘸㍦搱ㅦ㔹攸搱㐴昷戱搱㔶㜸㍦㈶扡㡦㠳敥㐱昴㈷ㄶ㝡っ搱㍤㙣㌴㕢改搳户ㄲ摤搷㐱昷㈴晡㜳昰㡡挲ぢ扤㙡攸愹㈰昹昴㉦㠱愹ㄹ㐰㌴捣㙣㝢愸〶㉡捤㙤づ搵㍥搰ㅣ㐲〷扦㑤戲㤹㐴㡥挴㉡㌴捦㌳㔴㕤㙤㐱昱㑦戲晢㠷挲㤲っ搵昷㌸ㄷ㠴㙡㌸捡㌲㔴㤵搰㜰㐲昵〳ㅤㄴ㠶挸ち搵晥㌸搲晥〳ㅥ㐲〵㜷㈶㠴〰㤸愱戲摣㔹㔶〵㜴挴㐱〷㠸㉥〷慦搸㥤〹昱敦㙦摣敥慣愰㕥搴搱ぢ㔲㑦〳て戵㈰挴〹昱ㅤ搰㙡戸昸昴㉡愲㘳づ㍡㐴戴捦㐲愳晢㈴挴㔷㌶摡扡㍡㜴㠳愴㘶ㄴ㌱㜰搶戶㠷慡㔶㘹㜶ㄴ慡㍢户〸昷愸㕡戶户㤸㔳㉢㈶㐰㜳〸〳㔴ㄴ慡慤㘸㥥㘷愸㍥戵〵挵㍦ㅥ敦㥦〸㑢㌲㔴㍤㜱㉥〸搵㘴㤴㘵愸晥〹つ㈷㔴扤改㤶ㄹ㄰㔹愱㥡㠲㈳慤慦攵㤶搱㠳攳㘱昱愱敤ㄶ㙢㥣散㐸昴㑣〷㍤㤵攸㥤㉤㜴ㅤ搱敦搹㘸换㠹扢ㄲ㍤换㐱㑦㈳㝡㌷昰㡡〲ぢ扤㉤搰换㡦㤳〱搴㍢搴搱㥢㑥扤㐱㔶㉤㘳㔸换㕦敤㕡慣敥㌳ㄸ㤲㥡㌹挴㙣㔷愸っ愵搹㔱愸㡥㍡㜸戰㍢㔴㘵摦慣㍢慡㔶㌴㐰㜳㠸㐷愸㕥㐳昳㍣㐳昵㘷㕢㔰晣㌳昷晥㘳㘱㐹㠶㙡㈸捥〵愱㙡㐶㔹㠶敡㔵㘸㌸愱摡㤷㙥㘹㠳挸ち㔵ぢ㡥戴攱㤶㕢挶づ㡥㐴挴㑢戶㕢慣㔰〵㠸捥㌹攸昹㐴㠷㉣昴㜸愲㥦户搱㤶ㄳ㈳㐴㉦㜰搰挷ㄳㅤ〳て愱㜲㉦㑤愱昷っ昴昲愱㑡㔰㙦愱愳搷㑡扤〳慣㕡挶戱㤶㈷敤㕡慣づ㜱㄰㈴㌵换㠸搹慥㔰㉤㔷㥡ㅤ㠵慡慣慣㙡ㅤ慣扢㍥㕢㐷ち愶つて〱慢㜸㔴慤㐳昳㍣㐳昵㤸㉤㌸戳敢敥㑢戳搳㈶搷摤戲换愸挵挷㍤昸捥㍣晦㤹戰㈴㐳㌵ㅡ攷㠲㔰㥤㠳戲っ搵㈳搰㜰㐲㌵㠶㙥戹㄰㈲㉢㔴攷攲㐸ㅢ愷摣ㄲて㡡摦ㄷ戸攵㘰愲㔷㌸攸昳㠸㥥〸㕥㤱昳愱㜷㉦昴昲捥慦愷摥㑡㐷敦㝣敡㑤戶㙡ㄹ㍦ㄸ攸扢散㕡慣㄰㑦㈵㝡㤵㠳扥㠰攸改ㄶ㝡㉣搱户摢㘸慢晢捣㈴㥡扢愱敡㍡㉤㤸㌰捣〲㐳㈹㤸㌸慣慥慤㠲〹挴慡㔵㌵慢㔱搸扥昰㕥慤㌴㍢づ㙦昱捡㝢捦㔱攲㘶㘸づ昱〸敦㑤㌸㈵捦昰摥㘸ぢ㜶㍤㜲攲ㅥ㥢ㅡ㐲愳慦攸戶攸戲晥扦敡摦攴扦〵㤶㘴㜸㡦挰昹㈳扣㙢㔰㤶攱扤ㅥㅡ㑥㜸㡦愲㜳搶㐲㘴㠵昷づㅣ㘹挷㠰㔷ㄴ㌰㑣〰慥㠶㥡㜲㡤㑦㥦㐳扤㝢ㅣ扤㍢愹㤷〲て㜷慣昱㥣㘶㕣〱戴昲户㑦捦㄰㝤慦㠳扥㡢攸慣㠵ㅥ㐷昴㈵㌶摡ㅡ㕢昳㠸扥捦㐱摦㑤昴戱ㄶ㝡㉣搱㉢㙤戴ㄵ摥㐶㐸㙡搶ㄱ〳户昱敢晡晣㠴㑤㤲昵㑡戳攳㔰ㄵ㡦㐴戴昰ㄹ㘸づ㐱㘵挵㈳昱㍣㌴捦㌳㔴攷摡㠲搹㠷扥戸攲搱摥户搷㥦㝣搴㌵戵挱㉢扦扤捤晦㉣㉣挹㔰戵攲㕣㄰慡ㄷ㔰㤶愱晡ㅤ㌴㥣㔰攵攸㤶㔷㈰戲㐲昵㈲㡥戴㠵㤶㕢挶てづ〶挴ㄹ戶㕢慣㌱戲㤸攸㡤づ㝡〳搱㈷㔸攸戱㐴㥦㙡愳㉤㈷㉥㈵晡㔵〷晤ㄲ搱扦戲搰攳㠸㕥㙥愳慤〰㉤㈳㝡㤳㠳㝥㤹攸㤳挱㉢敡㌴搰㍢〹㝡昹㑥昳ㅢ㘰㙡㌶ㄳつ户㙤㝢愸戶㈸捤㡥㐳㔵戶捥搵〳㜰㔸㌵㑡㝣〸捤㈱㌸㉣づ搵㘲㌴捦㌳㔴㡢㙣挱㤶㤵搵㙦㡤摦㘵摥攸戵㍦㕥昲昹昷㉦扦㔳攷晦〸㤶㘴愸捥挴戹㈰㔴㥦愰㉣㐳戵〰ㅡ㑥愸捥愶㠳扥㠰挸ち搵愷㌸搲捥〱㑦捥攷㜰㠱㍡ㅥ㘰㜵捤昱改攷ㄱ晤愵㠳摥㑡昴〵ㄶㅡ㔳㤱愰㘸戲搱㤶昳㔷㄰晤㤵㠳晥㡣攸㔵ㄶㅡ㔳㡡愰㘸戰搱㔶㌷戸㤸攸慦ㅤ昴攷㐴㕦ちㅥ㐲攵㕥扦㐱捦㠴㕥㍥㔴㤷〳㔳挳ㄸ㙤㕦愸㠴搲散㈸㔴〳㤶晤慢㈰㔴愳ㅡ戹ㄶ㠳收㄰㡦㔰捤㐱昳㍣㐳㌵摢ㄶ愴㤷晤攷㥦攳㑥㑦㡦㍥㙤敢攱㥢㠷捦捣摤攰昷挱㤲っ搵㌵㌸ㄷ㠴慡㍢捡㌲㔴㐷㐳挳〹搵㜵㜴㔰㉦㠸慣㔰搵攰㐸扢〱㍣㜹㈱挳っ敤㤷〰攷㉦㘴㌷ㄱ摤摢㐱晢㠹扥挵㐲㡦攳㝣㙥㤶㡤戶㐲㜵ㅢ搱㝤ㅣ㜴て愲搷㔸㘸摣愷挲㘲㥡㡤戶挶攰㥤㐴昷㜵搰㍤㠹扥ㅢ扣愲㔱〵扤㐹搰换㠷敡ㅥ㘰㙡〶㄰つ户昱敢晡晣㠴ぢ攰㐰愵搹㔱愸㑡愷㈲㝢㡦ㄲ晢㐰搳㉢㔴〷愳㜹㥥愱ㅡ㙦ぢ慥晤㝡攰〹晢晣昱挸晡㑢㝥㍣晦搶㕢敥摣㙢㠳㝦㈸㉣挹㔰㍤㠸㜳㐱愸㠶愳㉣㐳㌵ㄶㅡ㑥愸ㅥ愶㠳挲㄰㔹愱摡ㅦ㐷摡愳攰㈱㔴攳〶挷ㄲ愲ㄶ㘰㠶捡㜲晥㍡愲㈳づ㍡㐰昴攳ㄶ㝡㍣搱㈳㙣戴㌵㑥㥥㈰㍡敡愰㠳㐴晦搱㐲㡦㈵㍡㘹愳慤㔰㍤㑤㜴捣㐱㠷㠸㝥ㄶ扣愲㔰㐱㉦ち扤㝣愸㥥〳愶㘶ㄴ搱㠸ㄱ扦慥捦㑦〸㔵慤搲散㌸㔴挵搳㡡戲㔱㘲〲㌴扤㐲ㄵ㐰昳㍣㐳戵扦㉤㤸㕢㜳搹扢㘷扦昱挱㠴㌵扦㕢㍣慢晥愲搳て昴㑦㠴㈵ㄹ慡㤷㜱㉥〸搵㘴㤴㘵愸昶㠳㠶ㄳ慡㡤㜴搰っ㠸慣㔰㑤挱㤱戶〹㍣㠴ち换收戸搸〷攰晣愸㝡㡤攸㤹づ㝡㉡搱慦㠳㔷㜴㤱㠲摥㄰攸攵摤昹㈶昵㘶㌹㝡搳愸昷㤶㔵ぢㄶ挲㜱㌱搰慥挵敡㄰㥢㠹㍥搴㐱㑦㈷晡㙦ㄶㅡ㡢散戸攸㙦愳慤㄰扦ぢ㐹捤ㅣ㘲㄰㈳㝥㕤㥦㥦㄰㉡㐳㘹㜶ㄴ慡ㄵ㕦つ㉢㔸㡢ㅤ戶〶㙢㌱㘶昲㝡㠵㙡㐷㌴捦㌳㔴晤㙣挱㤰昹ぢ㍦扥扦慡摢搸ㅢ㝤搵㈷㕥攱慦晦摡㝦㉣㉣挹㔰㝤㠴㜳㐱愸㥡㔱㤶愱敡〳つ㈷㔴ㅦ搳㉤㙤㄰㔹愱㙡挱㤱昶㠹攵㤶㐳〶〷㠳愲㐷㠱㕢戶ㄲ㥤㜳搰昳㠹晥ㅣ扣愲㔰㐱慦ㅡ㝡昹㔰㝤㐹扤〵㡥摥昱搴晢摡慡㘵ㄲ㙢搱敤㕡慣搱昸㉤搱ぢㅤ㜴㉢搱摦㕢攸㝡愲㉢㙤戴ㄵ搸ㅦ㠸㘶摥愰敡㔱㠲㌹扣敡㑡㈰㤸换换〲攳㉡㤸搳慢㕡㔵戳っ〵晣摢㡥昰㉥㔷㥡ㅤ㠵昷慤㤵㔱㜷㜸㤷捤搸㈹㔳㉢捥㠰愶㔷㜸换㜰㑡㥥攱晤昱㙢㑢㜰㡥敦愲㔱ㅦ摣昴摥㤴㥢搶昶㕢晥摡㤱〳挶昹捦㠴㈵ㄹ摥㜲扣改て攱㍤〷㘵ㄹ摥㝦㐳挳〹㙦〵㠴攲㐲㠸慣昰㥥㡢㈳㑤〳て㈳昱㄰敥戰㝦〷戰昲づ戶㤶㠸㕥攱愰捦㈳摡〷㕥㔱㜸愱昷ㄵ昴㤴㈳㝤㝡㌷敡慤㜴昴捥愷㕥㜷慢㤶㝡搶昲㤹㕤㡢ㄵ㌰㍦搱慢ㅣ昴〵㐴昷戴搰㤳㠸晥愷㡤戶㍡㐳㙦㐸㙡㔶ㄳ戳㕤愱扡㕡㘹㜶ㄴ慡愲㤱戸散愱扤㔲戵攲㘶㘸㝡㠵敡〳㌴捦㌳㔴敦摢㠲换㡥㥢昴㜹昷敢昷慤㝤㙣昲㉥㐳㔷㝥㌲㘷㤳晦ㄶ㔸㤲愱摡ㄹ攷㠲㔰慤㐱㔹㠶敡㍤㘸㌸愱摡㤵㙥㔹ぢ㤱ㄵ慡㍢㜰愴敤〶ㅥㅥ〴㑥挲㜳户㉤〵㕥ㄹ㐰昰㍤づ昸㑥㠲〷㠱㠷〷㠱敥㠹㕤㔴晣ㄵ㙡昹㐰つ愶摡扤㡥摡㕤㔴摢搳慡愳ㅥ㜵晣挵慥挳㡡搳摥〴摦攷㠰敦㈶㜸愸〵㍥〴攰㔷㙤戰㜵挱摣ㄷ㠲㥡㜵㠴㙣㔷㤸搶㉢捤㙤づ搳㌳搰昴ち搳〶㌴捦㌳㑣㉦摡㠲昱户㜶㙤㕥戸改昶晡㔳晡㝥㜳挳㥤㈳㥦㝤摢晦㉣㉣挹㌰㠵㜰㉥〸搳ぢ㈸换㌰㍤てつ㈷㑣ㄱ㝡攵ㄵ㠸慣㌰扤㠸㈳㉤〶㥥㥣㠶攰㍥昲㡣敤ㄶ换㠷〹愲㌷㍡攸つ㐴ㅦ〰㕥搱㔴〱㝡㑦㐲㉦ㅦ愸㠳愸昷慡愳昷ㄲ昵㝥㘱搵㠲㐵㜰㕣慣户㙢戱㥣㍦㡡攸㑤づ晡㘵愲㐷㕢㘸㉣挷攳攲ㄱㅢ㙤㡤愸㌱㤰搴㙣㈶㘶扢㐲戵㐵㘹㜶ㄴ㉡㔸㉥晡攰㤹㉤戳㜳扤㐲昵〰㥡攷ㄹ慡晢㙤挱て捦ㅥ戸晣戴㤱㙢挷㕤昸挸摣㍤ㄳ㘷慤㔸敡晦〸㤶㘴愸㈶攲㕣㄰慡㑦㔰㤶愱扡ㄷㅡ㑥愸敡改㤶㉦㈰戲㐲昵㈹㡥戴挹㤶㕢㌰〱て㠸扢㙣户㔸㑥㥣㑡昴㤷づ㝡㉢搱搳㉤㌴㈶昷〱㜱扢㡤戶〲㍢㤳攸慦ㅣ昴㘷㐴ㅦ㙡愱戱㘵ㄵ㄰㌷摢㘸换攵㠷ㄳ晤戵㠳晥㥣攸㈳挰㉢敡〶搰扢ㅥ㝡昹㙥㜰ㄴ㌰㌵㘵㝣攰〰㙦昲敢晡晣㠴㘹〸戳㙦愵㘶㈷愱㕡攷㌲㡢㐳㙣㐴㌱昹搶㉢㔴慢搱㍣捦㔰㕤㘵ぢ㝡慤㕡昷搸㕤昷㝥㔰㝦昱摥㡦㑤扦晢攱改扢晢㝤戰㈴㐳㤵挲戹㈰㔴摤㔱㤶愱扡〲ㅡ㑥愸㌲㜴㔰㉦㠸慣㔰㌱㈵㔷换㠲㠷㡢㕦晤攰㤸戸〴㔸㜵㐷昷改昳〸敥敤㠰晤〴ㅦ㙢㠱て〱㜸愵つ戶挲摡㐸㌰㜳㘴㉤换㑣换搵㥡挱㉢扡㔲挶挴昹㔰换㝢㝥㍥搵晡㍡㙡㍤愹搶㙡搵㌱〹㜵晣捥慥挳ち㉦㝦愳㕥㌰改㤶㙤㈴㑢散㘸ㄷ搸㔹〴㤳㜰搵㑤㔶散㡣㠲慡愶㘶〰ち摢ㄷ㕡愶攵㜶ㅡ摡ㅤ挳㍢ㄶ㑣㐱敡扦挲㠳ㄹ愶搷㝡㠵昶㜴㥣㤲㘷㘸㑦戳〵㡦慣慡㕡戶㙦晦敡扡㑢㍦散㝤搴㤳㕢㡥扣挲㍦ㄴ㤶㘴㘸㑦挰昹㈳戴挳㔱㤶愱㍤ㄵㅡ㑥㘸㤷搲㌹㑣㌶戵〲挰㔴㕢敤㔷攰挹ぢ㘶㍣㈴㤶摢慥戴挶搵㌲愲㈳づ㍡㐰昴挹ㄶㅡ攳㉡㈴㑥戲搱㤶攳㝦㐳㌴㜳㔸㉤摢㑣戸搵㝥㙢愱㌱挲㐳㘲㠹㡤戶扡挲改㐴挷ㅣ㜴㠸攸㌳挱㉢ㅥ㠵㈱戱〰㝡㉡㐸㍥晤㙣㘰㙡㐶ㄱ㡤㘸昲敢晡晣㠴㔱挸昴搹㑥㐳〵㤳敢㕣㘶㜱㠸㡤㉢㘶捦㝡㠵㙡㍥㥡攷ㄹ慡ㄶ㕢㌰㝥搷㉦昶摡昸㔰扦扡㡢㥥㉣㡢慤愸㜸㝤慣㝦㈲㉣挹㔰㕤㠰㜳㐱愸㈶愳㉣㐳搵〴つ㈷㔴㉢攸㈰收㤲㕡敥㘴㑥慤戶捡㜲㤰㝢㔶ㄱ㡦㠸㠶〲〷㕤㑣扤㤹㡥摥㔴敡㕤ち㥥㕣敦〱㙤〲慤㠶〶ㄲ㡣㠸㘶挲慢㔵ぢ㜳㙣戵㉢㉤㌴㥥搴㐵㠴㘱愳慤愰慤㈶晡㔰〷㍤㥤攸㙢㉣㌴戶挷㈲攲㘸ㅢ㙤㜵㥦敢㈰愹㤹㐳っ㍣戸敤愱㘲㥥㙣愷愱㥡摦㌰搰㍤慡搶晤㜱挹㔴㍣㐳㠳愶㔷愸づ㐷昳㍣㐳㜵㤸㉤〸㐴ㅦ扤昱戰搸㕢戵㉢昵敡ㅦ㉥摡晢㠰㠶捡㘳㘱挹㌳㘵㤲㔹戵㙤挳敢收攱搷挶昹㕡㙢戳㑤㌲昸晢昳㤵㔹愶㤵敥㤰戵搸捣㡡挵慢戸昱㍢攴昲㉤搶摤戲㤳㡣搶攳捣搶晡㠶㘶戳慤㕢㜶㐶㐳㤳晤㔲攲㌱搵㔹晥晣㌱ㄲ㜳ㄷ㌶㘴捣㔶㕤㤶愸慣㘵愷戴㠲搱㌵㍢愱つ扦㘴㥦愹㙡㥡㙡攴㜲㘶㙢昳捦攱㝤挲㜸慦㜸〵㍢〶㔲戵扡〸㔱㔶敥昹㑡㙦扥慢摢㌳ㅤ搴㜲㘱摥ㅦ敡搷捣换换慢㐴昹昶扤㑤㔸扢〵㕤捥晤㌳㌸ㄹ扣愴户戵㈱戵㈰搷搰搲㕣㈱㘶㈱捣搶摦愲㉣㉢㤳〹㠶㝣攵戴㝥ㅢ㍢昰敤㈰㕤㤰㜰㉢㔳换㐰㝣晡ㅡ㜰攴敢摤㈵㈹慢㘴昲㜱昱〹昲㐵敢攳攸㠱捡㐵つ㤹摣㍣㙤㥥搹㌰㜷ㅥ摥㠳戱挳づ敡㐵攸㜴㑥挵㝣愸㜶㤴戹换攱搲戵㘹戶搱摡㙡㉣愹㙡㥡摤㘸㌶捦捤捤慢㥡扤㄰愹捡㘸㌷㤴慢慡慡昴㍢搱ㅥ㕥㌵攴㕤㉣〷㈶慤敡㜷㠱换〶昰㉢ㄶ㉢敥摤㙥敥㔲挵㕤敢攲晡㤹〴㉡㉦㐲昷㠰慢摦㑢㜲ㅦ㠸捦捦㍣㔰㈹戸ㅦ㐵㕣㥤㤸〱捡㘱愰㍤㠰㜲つ㜲㥤捤㌴㝥户㝤挰㐲扥㥦扤慤㕣㡣㔷㍥晤㐷㘸愷扣㑦ㅦ〴㔶㝢〸愴ぢ昲㍦㠵散㈳昴改挳攰戸㝣㉡㤸昱㈹㑦攳㔱〸㥣搳㌸挷慥㔱㘷㌴㉢挴㈸㔵㐳㤹㍢㙡敢㘹㡡㔱换㐷散て㘴昱㠵晣㔶挴挴㜹戰挳愸愹㡦㔸愱慡㝢ㄲ㐸愷扡㡢ㄵ昷㡦攰㍡ㅥ扥㕣㜱㥦㜲㘳㔷㉢敥搳㉥慥㥦挹㡡搲㘵捦㠰慢㍦㑢昲㈷㄰㥦㥦昹㡡㔲昰ㅣ㡡昰㈵㌳ㄵ愵㉦㥦㐷戹搴㤷㈱㜵愶〵扥㝣ㄱ㔸㙤〳㐸摥㤷捣ㄷ㝡〹ㅣ昷搹摥愶㥡昶ち〴捥挹摤㙤搷㘸晢㜲㤸慡愱挰㤷㥢㘸慡搰㤷慦ㄵ㔹扦〷㜶ち㝣昹㠰慡敥㜵㜷㜵て㉢敥ㅢ攰㍡扥㕣愷戸㙦扡戱㑣㈱㤴挱晦慢㥢晢㉣戸搲㐵㙦㠱摢晥㔰ㅥ攸㜹㈲㥢愱愳㙤〱㈹ㅣ捡㝦〳挷敤慡攷㔰㐷挱挹㙣㔰㑤㜹ㄷ㐸挷㜷ㅢㄵ昷㍤㌷昷㌵挵晤扢㥢晢愶攲扥て慥㜳攲㑣㍤㤳㈷昳〱戸敤㥦㑣㍦捦㤳昹〸㍡㍡㑦㈶摦挳㍦㈶换搵挳㤹扤㔶㜰㈲㑣㔰㤳㍥晤〴㐸攷㐴㍥㔶摣㑦摤摣慤㡡扢搵捤晤㔲㜱㍦〳搷㌹ㄱ㈶㘶昱㐴㜴㥥㐸㠵愸昶㙣昰㤷㤰ㄵ㌵昸㙢戲㕣つ晥〱㌶ちㅡ㕣㠶つ㐳搹攰㙦㠱㜴ㅡ㕣愱戸摦戱㍡㜸㐰㕥昴慡ㄴ昷㝢㌷戶㥢攲晥换捤敤〹慥㙣㌰扢㔱㠵攸攲搹攰晦㐰㔶搴㘰扥㘴搹摤攰摥戰㔳搰攰ㅤ㔵㜵攵㐰㍡つ摥㔵㜱扢戸戹〳ㄴ户〲㕣攷㌴〶㉢㙥愵ㅢ㍢ㄴ㕣搹㘰敢愲昷摤㔷㕥户慡㉡㘸ㄴつ㔴扣ㄵ扢愰挱晢挲㑥㐱㠳〳慡扡㙥敥敡㈲㡡㕢敤收㈶ㄴ户㍢戸㑥㠳て㔲摣ㅡ㌷㜶㌴戸戲㙦晢挱㙤扦㙦㝦敡㜹㈲㍤愱㔳攴昹摥㘴戹扡捡ㄸ搸㉦㌸㤱㠳㔵㌳晡扡㥢㔱慦戸晤挰㜵㥡㍣㔵㜱㜷㜴㘳㘷㉡敥㑥㙥敥ㄱ攰㑡捦昳㐴㉡挴㝢㥥つ摥ㄵ戲愲〶敦㐶㤶慢挱㐷挱㑥㐱㠳攷愸敡〶搰戰敡挵ㄹ挵ㅤ〸慥搳㠱收㈹敥㈰㌷户㔱㜱昷㜰㜳㕢挱㜵㜵㤵㌷㍣ㅢ扣㈷㌴㡡扡捡摥㘴戹ㅡ㥣㠳㥤㠲〶㉦㔶搵つ㜵㔷户㔴㜱㠷戹戹换ㄴ㜷㕦㌷昷㌷㡡扢ㅦ戸捥㈹㥦〹慥㙣戰㌵ㄸ㕦昲㙣㜰〰ㅡ㐵ㅥづ㤱攵㙡昰搹戰㔳搰攰昳㔴㜵ㄱ㜷㈳㔶㈸㙥搴捤扤㔸㜱㘳㙥敥攵㡡ㅢ〷搷㘹㌰ㅦ㔳扢扡挴㔳㥥つ㍥〰ㅡ㐵つ㍥㠸㉣㔷㠳慦㠳㥤㠲〶摦愴慡晢㠵扢ㄱ户㈹敥㐸㌷昷㑥挵ㅤ攵收摥愳戸戵攰㍡つ收挳㕡㔷㠳ㅦ昱㙣昰ㄸ㘸ㄴ㌵㜸ㅣ㔹慥〶㍦っ㍢〵つ㕥愷慡㍢搸摤㠸㈷ㄴ㜷㠲㥢晢戴攲㑥㜴㜳㥦㔳摣㐳挰㜵ㅡ捣㐷㤶戲挱搶つ㘵慤㘷㠳㈷㐳愳愸挱㔳挹㜲㌵㜸㈳散ㄴ㌴昸㌵㔵摤㜴㜷㈳摥㔴摣ㄹ敥㐶㙣㔶摣㤹㙥散扢㡡㍢换捤攵㠳㍢㌶㔸㍢ㄴ摣昶㉦㜷㌷㝢㥥挸攱搰㈹ㅡ㡣㐷㤰攵㍡㤱㡦㘱扦攰㐴戶慡㘶ㅣ攵㙥挶㤷㡡㝢㌴戸㡥㌷扦㔵摣㘳摣搸ㅦㄴ㜷戶㥢㕢㡥㥢㥥㍣㤱㌹攰戶㝦㈲㔷㜹㥥㐸ち㍡㐵㈷㤲㈱换㜵㈲ㄵ戰㕦㜰㈲㔵㘰挸㕢㝣搶摤㡣㙥㡡㍢ㄷ㕣攷㐴晣㡡㍢捦㡤敤慤戸つ㙥敥捥攰捡㉥挴㠸㔴㠸㤵㥥つ㙥㠴慣愸挱捤㘴戹ㅡ扣㉢散ㄴ㌴㜸㠰慡㙥扥扢扡挱㡡㝢㍣慢㔳㔷昳扤ㄵ户搵㡤摤㔷㜱摢摣摣㄰戸戲挱搶㡤收㉣捦〶㉦㠴㐶㔱㥦㕦㑣㤶慢挱ㄱ搸㈹㘸㜰㐲㔵㜷㠲扢扡㠳ㄴ昷㐴㜰㥤〶㡦㔲摣愵㙥散ㄸ挵㍤挹捤㥤〸慥慢挱换㍤ㅢ扣っㅡ㐵つ㍥㤹㉣㔷㠳敢㘱愷愰挱㔳㔵㜵扦㜱㔷㌷㔳㜱㑦㜵㜳て㔷摣摦扡戹㐷㈹敥㘹攰㍡㈷㤷〲搷搵㈵ㄶ㜹㌶昸㑣㘸ㄴ㜵㠹戳挹㜲㌵㌸〳㍢〵つ㥥愷慡㍢挷摤㠸㐶挵㍤搷捤㥤慦戸攷㠱敢㌴㉤愷戸攷扢戱㈷㠰敢昲㜰㤳㘷㠳㔷㐰愳挸挳慢挸㜲㌵㜸㈹散ㄴ㌴㜸㤹慡敥㘲㜷㜵扦㔱摣㑢摣摣搳ㄵ昷㔲㌷昷㙣挵扤っ㕣攷㌴戸㘵㈹ㅢ㙣摤捡搳㥥つ扥ㄲㅡ㐵つ㕥㑤㤶慢挱㉢㘰愷愰挱ㄷ慢敡慥㜱㔷㜷戹攲㕥ぢ慥㌳㔹㕡慤戸搷戹戹搷㈹敥昵㉥㙥攵㙤攰晥攴敤㈷㠱㘱扤㥤扦昳㜴〳㉡ㄵ摣㌳愲つ晤㐶㤶㜰挰㙦捤㥤㌶户慡㥡㈵敥搸㤰㕤挵㌵㑤つ㜷㙡昲㈵敥搰㌸㈵㜱て㑡㜲㕦昸㜰㜸㤹晢挲晣ㅤ㡦慡㜲㑤㜰户㐶ちづ戳〵㈳愴㐰〸敥攰㐸挱愱戶㘰㈴〴晡慤㘸㑣㈵㜷㜳㡡㝦捣换昵㠳㘶㜸㌳㐰慢㤱捥㑤挸㤹㑤戸㙢㤴改㑤㌳昰㜳㝢摣㤱昳㌵昱㙦捦攵摦敥㙡㑤㌳收攱攷昸㝡搸搸㘱づ愶愷挳㜱戰摤ㅤ㤶搴搹愹慥愵㘹扥搱㙡愴ㅡ㑤㐲㠶攵㡤昶㈹㤶㐸㍣晡ㅢ扢㕣搹愰昶晦戰㔸㌵㤰㝦㍦㕣㈵㝥㌲戰㑡㔰㐱扦つ㍥㘱㌸㐴晥㐸ㄶ挵㠳昰ㄳ晢㡣㝥㍢㐳昸㌰㡥ㄸ㄰㝤㡤㍢愰㡦摡㕣ㄹ㐲挱㥤㈸愹㜱〷㌱摣㠴㤲ㅡ㜷扡㌵戸攱攴〴戶㠶ㅢ㑤戲㈴㍢〴㌷㤸昲戲愷摤㈵挱つ㈵ㄹ搰㈹㐵㕤㠰㥢㑣㔲㌰戹愸ぢ㜰攳㐹ち㈶戹扢挰㍤㙣捣㜳㄰戱ㅢ攴㑦㌹㝦㘴㥤㍣户㥡攴愹摣㐷㍣㜷㤸攴愹摣敦㍥ㄵ㙥㉦㌹捤ㄵ摣㍡㤲ㅡて㄰昳㥡搲昸扤㕢攳㜵户㐶つ㜷㠶昲㈷晦愶㉡挹搱挰㥤愰扣敤捤㈸㐹摢て搲ㅡ㌷㜱㘴㙢ㅥ㜲摢㝥搷慤㔱挳㡤ㅡ㐷扦㠶ㅢ㌴昹ㄲ㌷㘶㘴㐹㥥㉡㌷㔷愴敤㠷㘹敤㘳㕢愶㍦攲戶捤㍤㤴扣㍥昷㑥昲愵慤〵㈵敥㤵攴㙤㝦㠹㤲戴晤㈸慤㜱ぢ㠴㌲晤㌱户敤㙦㤵㠶㍣㙦㙥㜳㌸晡㌵摦慢㤲㤴㜱㕢挳愹㔷㜰换㐲摡㕥㈷慤搹㈶昵昵㙥摢攵㜶挱扡挲㜰㐷挲搱慦愹㔰㈵搹昵戸〳攱挸〴㜷ㄷ愴敤挷挹收挶〲㘵晡ㅦ散〳ㄶ㙡扡搹〵换㌶㌷てㅣ晤㥡敥慡㈴㙤㜳戳挰㤱〹㉥昸愵敤㈷挸敥㙤换昴㈷敤〳㘹扢慦㕤戰㙣㜳㍤㉦昵愵戵ㅤ㔵㐹晡㠴敢昷扣敤㕤㔱㤲戶晦㐸昶㙥戶㑣㝦捡㍥㤰戶〷搸〵敢ㅡ捣愵户愳㕦㌳愸愰挴愵戶㈳ㄳ㝢愲㈴㙤㍦㑤昶摥戶㑣㝦挶㍥㤰戶戹㕡㜶㌴㙡戸㑡捥㤷昶㉤㈸㜱㔵㉣㘵戲て〶㔰㤲戶㥦㈵㥢㡢㕤捡昴㍦搹〷㉣搴㐴散㠲攵ㄳ㉥㘸昳戶㘳〵㈵㉥㘰昳戶て㐰㐹摡㝥㡥散㠳㙣㤹晥扣㝤㈰㙤晦挲㉥㔸戶戹昶捣摢ㅥ㔵㔰攲㕡㌳㙦㝢っ㑡搲昶ぢ㘴㡦戳㘵晡㡢昶㠱戴㝤戰㕤戰㙣㜳㤹㤸户㍤戱愰挴㘵㘱摥昶㘴㤴愴敤つ㘴㑦戵㘵晡㑢昶㠱戴捤㤵㕤摥ㅡ㔷㜴㡥㝥捤㑣㔵㤲晤㠴㉢㌸〷㈹づ㐷㐹摡㝥㤹散㈳㙣㤹晥㡡㝤㈰㙤ㅦ㘵ㄷ慣㜶㜳㤱㤵户㝤㡣㉡㐹摢㕣㔴攵㙤愷㔰㤲戶㌷㤲㥤戱㘵晡慢昶㠱戴㥤戵ぢ㤶㙤慥㝢昲戶攷愹㤲戴捤㜵㑥摥㜶㈳㑡搲昶㈶戲㥢㙤㤹晥㘷晢㐰摡㥥㙦ㄷ㉣摢㕣愲攴㙤户慡㤲戴捤㈵㐹摥昶㐲㤴愴敤搷挸㕥㙣换昴扦搸〷搲昶〹㜶挱戲捤搵㐴摥昶㔲㔵㤲戶戹㝡挸摢㕥㠶㤲戴晤㍡搹㈷摢㌲晤つ晢㐰摡晥㡤㕤戰㙣㜳攲敦攸搷晣戶愰挴㠹扥㔳慦㌸ㄳ㈵㘹晢㑤戲捦戶㘵晡㕦敤〳㘹晢ㅣ扢㘰搹收ㅣ㍤㙦晢㍣㔵㤲㔷ㄷ捥挹ㅤ㤹㔸㠱㤲戴晤ㄶ搹慢㙣㤹晥戶㝤㈰㙤㕦㙣ㄷ㉣摢㥣㑥㍢晡㌵㤷ㄶ㤴㌸㝤㤶㌲㌹收慦㐴㐹摡摥㑣昶㙡㕢愶㙦戱て愴敤㙢散㠲㜵慤攲捣㌷㙦晢扡㠲ㄲ㘷扡㡥㑣摣㘰㤷ち㝥晦搴捦愹㈸攷㔲晡㍢㌸愸敥㔲挳搹攰㘱㈸㤷㉦ㄶ改㌹㤹㌹㜳扥慤愹ㄸ戰㜳挵攱愳扡㕤戲昹搹扦㕤戰昱愸ㄱ敦晦㜰昹攵ㅢ摦扤攰戹ㅦㅥ㑥㡤㜸敡㥡㙢㥥㤸㜸搵㜳㝦敢㤹㕤㕤㝥摦户昵慢㤷〶㡦㕢㝡㝣㜶搶搰昱㑢㝦㜹散戴攰搴ㅥ挳扡㜴改摡㜵慦㕥㑦敦戸户㝦搹昱て㠸昵㝦改搷㕣㜹ㅢ㉡昸〹搳㌱戶㝢㍢攷摡敦愲〶㈱攷㘷㍣㉦昷㑦㐱晡搷㐰㈴捦昶敦㌸挰ㄳ㌷㌹㈷㉢㐱摤愹㔰ㅦ㐸㔴捤㍤昸摦晦愶㑦挴㝤愸㠰㈷㕣搸㔸捥慢㘴㘳㍦㤲捤㄰て㜸愲㌸㤷㤲愸㡦㉤搴㠳ち昵㑦ㅣ愸㡦㥦戳㈲㠹晡挴㐲㍤散㠹攲晣㐶愲戶㕡愸㐷㍤㔱㥣愹㐸搴攷ㄶ㙡㥤㈷㡡㜳づ㠹晡搲㐲㍤慥㔰〵〱攱散㐱愲扥戶㔰㑦㈸㔴㐱敢㌹て㤰愸㙦㉤搴ㅦ㍤㔱扣愳㑢搴昷ㄶ敡㘹㠵㉡愸㤱昷㘶㠹晡挱㐲挹扢㉢㝤㕦㔰㈳敦戲ㄲ昵ㅦぢ昵ㅣ晥㈷㈳㔴㠰㝡㕥愱捡㜶㤰摤改〵㑦ㄴ敦㝣搲㔶戹㠵摡攰㠹攲㍤㑣愲㉡㉣㤴扣ぢ戱㕤〵慤攷摤㐸愲㌴ぢ㈵敦㈷㈵㈸摥㔷㈴慡捡㐲㙤㔲㌵ㄶ搸攲ㅤ㐲愲㝣ㄶ敡㌵㠵㉡㌸㐷㕥敢㈵慡㥢㠵㤲㔷敢ㄲ㝦昱慡㉤㔱摤㉤㤴扣敥ㄲ㔵㠳戲晡昸㜹晤㤵㈸扦㠵㤲㔷㔰愲ち㙡攴㤵㔴愲㝡㕡㈸㜹㉤㉣㐱昱㥡㈸㔱扤㉤ㄴ慦㕦㜲㘵昳㡦㉦慤攵昰㘸愸㔴㠹㌲㈱㉦〷㔴敦ぢ㈰㘳㈸扦扣〰㐸昸㠷㐵㜰㡥㜹㈹昸愰㐸挰㔱㈸〵敦ㄷ〹㌸昰愴攰敦㠵〲扦㍡㉢挱㐱㈷ㄱ敦ㄵ㈲〴挷㤹ㄴ扣㕢㈴攰搰㤲㠲㜷㡡〴ㅣ㑤㔲昰户㈲〱〷㤰ㄴ㙣㈹ㄲ㜰捣㐸挱收㈲〱㠷㠹ㄴ扣㕤㈴攰挸㤰㠲户㡡〴ㅣっ㔲昰搷㈲〱晢扦ㄴ扣㔹㈴㘰㤷㤷㠲㌷㡡〴散攵㔲昰㝡㤱㠰ㅤ㕢ち晥㔲㈴㘰㕦㤶㠲搷㡡〴散扥㔲昰攷㈲〱㝢慣ㄴ㙣㉡ㄲ戰㤳㑡挱慢㠵〲扦敡慤㠲ㅤ㔴㈲㌶ㄶ㈲〴晢愴ㄴ扣㔲㈴㘰㌷㤴㠲㤷ぢ〵㝥㜶㍢搹㔱昷挷〱㕥挸挸晦㜵戰攵㌴搵㙣㑤㥢捤戹㠶㐶㤳㕢ㄸ㜰㜸㔹㜵㔳摤㠲戶㕣㡢戵换搲㔶㈹昷㔵㑡昷㕤㝡ㄲ㍥慣〰敡戳㔸愴㌵搶愱戳〱戳㠳㉤攲㡥捤戶敥扥昰慤昴晣攲㘹挷㙥ㅤ㙦挰㔸㥢㉦㍦つ㘵敦扣〴攰ㅤㅦ㡤ぢ㍤㝦㈸换㌵㉣昳愳敤昰晦〰㉢㉤㈳愳</t>
  </si>
  <si>
    <t>㜸〱敤扤㜷㥣ㄴ挵昶㍥扣戵散㌶摢〳换㡥〴戳〸〸㈶㄰㈷〷ㄵ㘱㔹愲㤲愳ㄹ㝢㘶㝡㘰㘵〳敥㉥挹㠸㌹㕤ㄳ㘲㐰㔱〱㌱㘷㐴挵㡣㌹攷㜰捤愲搷㝢慦改㉡㉡收昴㍥㑦㜵㔷㑦捦㑣敦㉥昲扤昷昳晡挷㙦搸㌹㜴㥤昳㥣㔳搵攷㔴㔷㔷㔵㥦㤹㈹ㄱ㈵㈵㈵㝦攰挵晦昹㉡攳挱昶㤳ㄷ㌶户㤸昵〳㙢ㅡ敢敡捣㜴㑢㙤㘳㐳昳挰敡愶㈶㘳攱㤸摡收㤶づ〰㘸㌳㙡㈱㙦㉥㥦搱㕣㝢㤴㔹㌱㘳㥥搹搴っ㔰㜹㐹㐹㐵㠵㕥ち昹㌶昶摢慦ち㍡戵昴㌲ㄲ愰㑡㜴㡤愴㈳㐹〵㠹㑥攲㈳改㐴搲㤹愴㤲愴ぢ㐹ㄵ㠹㥦㘴ぢ㤲慥㈴摤㐸扡㤳昴㈰搹㤲㘴㉢㤲慤㐹㔸扦扥㉤挹㜶㈰㥤户〷㤹㔲㌳㜴㝣敡〸㥣捤攴㤶挶㈶㜳㐰慦㘹㔶㥢〷〵㠳〳㠳〳㈳搱㘰㘸㘰㘰㐰慦㥡戹㜵㉤㜳㥢捣㐱つ收摣㤶㈶愳㙥㐰慦〹㜳㔳㜵戵改晤捤㠵㔳ㅡ㘷㥢つ㠳捣㔴㈰㥣㌲㈲㠹㘰㈴ㅡ捤㈶㤳㠹捥㍢挰昲戸㥡愱ㄳ㥡捣㙣昳㝦换㘶㑦摡ㅣ㕦㌳㜴攰㌸戳攵扦㘵㜳㐷搸㠴挹㘱㡤昵㐶㙤挳㝦挹㘸㌹㘳ㅡㅤ㘶愶㙢ㄹ㝣搳㙣慡㙤㤸㌹㄰捤捥㜳㌴㑡昱㠱搵捤捤㜳敢攷戰ㅦ搵㤸㜵㜵㤳捣慣っ㝡晤戰收㤶〹㐶㔳㝤㜳攷㝡晡捦㙣㌲ㅢ搲㘶㜳㤷晡攱ぢ搲㘶㥤つ㙣慥愸㥦㘶㌴㡤㌳敡捤㌲ㅥ㔴搵㕢㌱ㅣ㥤㌱ㅢ㕡㙡㕢ㄶ㔶搶㑦㙤㌶㈷ㄹつ㌳㑤㐲捡敢㐷捥慤捤㠸戲㌲晣㤵㜴搸挵慢㘵㌲㔰㘸㑦㝤捤㉣愳愹㐵㤶ㄸ挲愰ㄷ搶搵㕤攴㔹攴戵㡢㕤慡㔷㠱ㄶ㘳㌶戹戶㝥㝦戳愹挱慣㘳㈵㡣㘴晦〲㤰㜴㤰ㄵ〷挷㔳敡㜴ㄸ㈵搱挹扥昸㜸㉥慣㐵敢〵戲搳㤴愶㕡㥣收摣㍡愳㘹挰搸摡㠶㐱㝢㠴〷㡣愹㥤㙤搶搵㥡捤㉤㠳〲〳ㄲ㠱㝥㠳㈲㝡㙦〰昵㍥㔴搹〹愴换愰昱㝤㈳㍢昷搹慢㔷㥦㥤慢㠳㠱㠸摥㤷搲㝥㈰愲散㙤㕣昰敥㙡㜸搱㤵捥㌰㑡㘷愴㑡㘷愴㑢㘷㘴㑡㘷㤸愵㌳戲愵㌳㘶㤶捥㤸㔵㍡愳戶㜴挶ㄱ愵㌳㘶〳愳㕥ㄵㅤ㍢㤶摡慦㉦㡦㝢昰戴㍦戶晣㜸摣㔹敦㑥づ摦昸挳攰㐳〵慦㜱㌹㐴散㠲㠳㠱㠵捤㡥挵㈲戱㔰愸愸敤昱㘸㌸ㅥぢ㈵昴㕤愱愳敦〶愲敤づ搲㘵搰㌸搷ㄹ㠴昵晥㤴づ〰ㄱ攲㔵㥣〱捦㘲搵㤵挷㈷摥ㅡ晤敢搸搵㡦㑥ㅣ昴收散慦昶㉥攷攸ㄲ昶㜲㜹㘱㌴㐷㘰ㄴ㐸ㅢ捤㉤㜶㐷攳㔸昴摦敤㠷敤㜷挳ㄱ㑤改晦㝤㌷㐴㈵晦㤵㙥愸て愴昷昷〴搱〲㈰ㅤ㈶挶攳㝡㤰慣㄰㠸㄰捦摢〱搹㙤收㈹敢挶㝥㕦㌱昴戶㠷㝡搴敦㜴㡦晥戱攰㐸㉦晢㐳〴〷㐵晤㈱ㄴ〸㐵愳㤱愲晥㄰づ〷㠲戱㜰㐲㡦戲㠲ㄸ㠸ㄶ〷愹㜴昵㠷㜸㐰㑦㔰㤸〴ㄱ攲〹扢昶挵㙦晢慦㕡搰㝢敤愸攵攵㑦㔶晥㜲㘷昸㈵挱戰捡摡昷挶㐱搱㐵㔴摣ㄱ挳晡㍥戴㍡〸㐴摢ㄷ㈴晦㈲ち改㠳㈹ㅤ〲㈲挴㐳㜶㥤敢ㄲ摤㝦㍤敢攸ㅦ挶㥤㝥捡㥢挱戵愳敦扦㔴㜰㜰㤳㜵づ挵㐱摦挲㉢愰昸挲つ㠶昴ㅡ㈰昵㘱㈰摡㜰㤰晣㑡挳晡〸㑡㐷㠲〸戱搶慥㜴搲㈸㘳搱ㅢ㙢扥ㅤ㝤㐲㘵挷攱㕤戶㙥搹㑤昰づ㉡敦慣愳〹摥て㐴摢ㅦ愴㙣㘲㌰㄰搷挷㤰㌷ㄶ㐴㠸搵戶㠱㈷㡦㍡扢散摣捥攷散户昲捥㑢㈶㥡㑢扥敢㈳㜸昷㤵慤ㅥ㡦㠳愲㌸挵㠲挱㘸㈲㔹ㅣ愷㜸㈸ㄹ㡣㐷昴〹慣㘰㈲㠸㌶〹㈴㉦㑥㔱㝤㌲㠵㔳㐰㠴戸搱慥晤扤㌵ㅤ摥扢㜰晥慥晢慦愸晣攰昸㠶㘱敦㕦㈱㍡㐱㉣㙢㥦㠶㠳愲㌸㜹昸㑣㥦㑥慢〷㠰㘸〷㠲攴扢㉣慡ㅦ㐴改挱㈰㐲慣戲敢扣攷摥㘷㍥ㅤ扢敡戹㥡戵㕦㙢ㅤ晣㔷㝤㌲㑤㜰㤶㈱敢㍣ㄴ〷㐵㘷ㅣ㡣挴㈲㠹㔸搱ㄹ㈷挲挹㐰㌲ㄱ搰て㘳〵㌳㐰戴挳㐱摣㘷ㅣ㑢攸〶㠵㈹㄰㈱㉥户㙢晦愰改晥摦㑡㝢扥㕦戳㝡晢搳ㅦ慡㍤愸㌴㉣㌸扤㤱戵㘷㜰戰〹㘷ㅣ搰㑤㕡捤㠲㘸㌳㐱㉡㕤挳㝢㉣愹捦愲戰ㄶ㐴㠸㡢散㉡ㄷ㥣敡晦攲㥡ㄷ㕥ㅦ㝡㐶㜰戵㜹挷㐱㙢㝡ぢ㑥愶㘴ㅦ㤹㑤㜰ㅤ㠸㔶て㔲㌶㠱㝤愴㠱扣㐶㄰㈱捥戳つ㌴慦㜹㘶摢〷慥晤㜱捣ㄹ㜵㤵て㤴〴慥㤹㈶㌸ㄱ㤳㙤㍥ㄲ〷㥢搰收㠸摥㐴慢捤㈰㕡ぢ㠸扢捤攸㌵㜳㈹㥣〷㈲挴ㄹ㜶㤵收つ摤昶㥤㍤昵摡愱㤷㑣㍦晣愹ㅤづ㝥攵㘲挱㘹㥦慣㜲〱づ晡ㄴ㕣㑣㠱攲昰攸ぢ㘹昴㈸㄰敤㘸㄰㜷㡤戱戸㝥っ㠵挷㠲〸㜱愲㕤攳戱㥦㑦㝤㜳搴攰㐷㠷摦戶㔷捦昳搶慤㝢慦㕣㜰㡥㈹㙢㍣ㅥ〷㝢ㄴ搴戸㐷㈴ㅥっ挶ㄲ㐵昵㠶㤳戱㘰㌴愲㉦㠲㡡㝥〲㠸㜶㈲㐸晥晤㉢愴㥦㐴改挹㈰㐲ㅣ㙤搷㕥ㅥ扢㜵挴愰㈳㡥ㄸ扦㜴慦昵晦ㅥ搵㙦晡敦㠲㤳㕢㔹晢愹㌸㈸㜲㜱戰愸攲㤰㝥ㅡ慤㥥づ愲㥤〱攲㍥攱㘴㐲㍦㤳挲戳㐰㠴㘸戱慢㍣愰敢ぢ㕢㥦昹㘲㡦昱昷㥣晥挰昰愵㑢ㅦ摢㑡㜰㉡㉤慢㍣ㅢ〷㐵㔵㝡㕤㝢攷搰敡戹㈰摡㜹㈰敥㉡攳㔱晤㝣ちㄷ㠳〸㔱㙦㔷㜹晤〵㌳挶扥晤挴捡㤱㘷㝣㍦散㤴㜵昷㥤戹㕡㜰攲㉥慢㕣㠲㠳愲㈱戲昸㉣㠳㐱晤㐲㥡扤〸㐴扢ㄸ㈴晦㝡て敡㤷㔰扡ㄴ㐴㠸慣㕤改㤹㙦ㅥ晡攱㥢戵㍢㡣㕥㝡晥晡㙦慦㌱㥥摣㕤㜰愱㈰㉢扤っ〷㐵搷㝢㍢㜷愲㘵慣攰㜲㄰敤ち㤰晣挸〶昴㉢㈹㕤づ㈲挴っ扢晡扤㉡慥晥敤挱敤户ㅢ戵晡挸㥡改㑤㝢㉦摣㈰戶㠴㔸㔶扦ㄲ〷㝦戲㕦㕤〵ㄵ㝤ㄵ㠸㜶㌵㠸㝢戴㠹㠷昴㙢㈸扣ㄶ㐴㠸〳散捡晢㔷㔵㝥戰㑦㘹攳挸㔳㙦㜸攷慣ぢ㐷㕣晡㤰攰搲㐸㔶㝥㍤づ㡡ㅣ㕥㝣ㅦ㠴挳㙦愰搹ㅢ㐱戴㥢㐰昲ㅤㅥ搰㙦愶昴ㄶ㄰㈱㈶摡㤵慥戸慢收散搰㍢换㐶摦㝢晤挶㤶〳㤶㡣扣㔹㙣つ戱慣昴㌶ㅣㄴ㌹㍣ㅡて㐴愳挵㌵㐷挲挱㘴㈰㄰搶㙦㘷〵慢㐱戴㍢㐰昲ㅤㅥ搱搷㔰㝡㈷㠸㄰晢搹搵晦扥㘴户摤愶敥㌱㜰捣㈹㡤㜷㕥户挳挶ㄵ㤳挵㌶㄰换攱敥㙥㠲搷㠲㘸昷㠰㜴㤸㠰㤹换扤㘴摤〷㈲挴㌰㕢㝦捥搹ぢ㔷㝥㍦㜰晣㤰扢㌶捥ㅢ昹搵㠲㘷㘷ち慥ㅦ㘵昳ㅦ挰㐱㔱昳摢戹㈳㍥挸ちㅥ〲搱搶㠱攴㌷㍦慡㍦っ㥥晥〸㠸㄰㠳散敡㥦㘸㜸昶愸挶㑥慢挷㕣昹昹〵㡦㝦㝣换㝡扦搸づ㘲㔹晤㘳㌸㈸慡㍥ㄸっ挵㈲挵摥㡢㠶㌱㤳挶㐴晡㜱㔶昰〴㠸昶㈴㐸㝥昵㐱晤㈹㑡㥦〶ㄱ㈲㘶㔷㝦挶ㅤ摢ㅤ搲扣㙣挰戰摢㉦摢㜹敤挶㘹ㅢ㔲㥤㥦㠵㜸愲扤ㄴㄹ搶㘴捣挷攲㉥户㙥挴㘲㤹晦摡㕦㌰㘳扤㥣㡤㘶攳搹㘰㌰ㄳつㄸ㘱愳㥣㙢㤴㑤㕤㤹㜱散敦㥣㥤㕥摢㤰㘹㥣㉦㤷㙡摢て㌵㥡捤摣㤴戹扦㉤ㅢ摡㌸户㈱搳扣㥤户㜰㜲㡢搱㘲㙥㕢㈸换ㄹ㈹㔲㥢㡣㠵慣搹㉣敢敢㔹愸㌶捤愸㥢㙢㔶㉦愸戵挴㍢ㄴ㠸戱㡣㙤㑣戵㉥ㅤ搱㘴ㅥ改㐸㡢㕡㔴㡤㝤㤶㜹搲㜶搱㔹㕡㈲慢㕤扤㙡㘶㌵㌶㥢つ戲㜹晤敢㈷搴愶㘷㥢㑤㤳㑤敥搲㤸ㄹ㜹慡㍤㈸戲搷搲晤挷㌷攰㐴戱㍡捥昴㜱㜳戳挳ㄷ戴㤸つㄹ㌳㠳昶捥㌱㥢㕡ㄶ㑥㌱㔲㜵收㤶㜹㄰慢㑥〸戶挹㘳㡦㘸㑣捦㙤慥㘹㙣㘸㘹㙡慣换㤷㔴㘷收ㄹ㔸扦㘷挶㌶㘶㑣㉣扦换昸㉡ㄱ㈵ㅤ㍡〸㔱戲扢搷㠲㡣㜶㥢〷捡㐰戸㐲扣〳㘲扥㜵㝥户ㅢ㌸〹㘷㠷戳愸㌳搹㈷㑢晢戶㘳㑣摡愵㤹摤㕡〷扡捥㠹㕢㕡㐴敦摡㍡㕡戶搱㠹摣晦ㄶ㕣㕡摡捤㍥晢攱昳戰挷㌱捡㘸挸搴㤹㑤㙤㙥挸〹戶㐸㝦づ愴㍣㡣慢戹㔵敦㤵〱㈱ㄶ㠸㠵攵昳㙢㌳㉤戳戴㔹㘶敤捣㔹㥣㤵㘱搳慥愲㠲慥㉤㝡改㉦㠰愵扦㐸昲ㄲ㠸捦㔷愲扤㑣㤰收搳㕦戱捡攵㝤昰晦㥦摦㍤㈹㠵㤶㉥㜷㙢戰戵搶㕣㕥㡦挵㜸㜳㠷づ㕥㘷㌹捡㘸㥥搵挲敥搹戶㤰昶㕥㈵㜹つ愴扣㉦㐸扢㥢㌳㥣捣㤶㜱て慡戲㝥㤸㤹㌵戰昳㈷慦㙥㘱㤴搷㕢㥢㐹挳捣收戴捥㕤愷搱戸㔶ㄶ㘸㌸挲挵摦戹㥥扤摦㕣搰㌲捣㘸㌱㍡搶㘳晦ち㔱搲〱敡㉦戵慣㈳㙡㔶㑡㥥搲昶搹㈵㔸昰换㐳㤷㤵㑥㤲㘱㔹挲㠵㠳敢愵愴㠳㑤摢㍥〹戴扤㈷㑥㐲㉢散攸昹晢㔰搸ㅥ换㡣㌴ㅢ愶㉣㥣㘳㌶ㄳ㕥愱戵改捡挲换㡢挶挶愷㔳㔳㕢㙡敢㥡〷愲愵㈳㥢ㅡ攷捥昹㙦摡愱㉤晤㜵㄰昵㉡摦ㅤ扤㜸搳捦〹敥㉡改㌸㡦戱㤹㌱愳愴㠲搶挸搱㜷㈲㘱㙦㠵戱㍦昰㥦㝣改㙦攱㍦㕦㕢戲昲㝥㐰晣㤹㍤㍢捥㌰㍡搷挳㐳㔳㥡㑣戹ぢ㔹㈱ぢ昰㜶㘵晤昴挶愶搹愹挶挶搹散㑦㕤㘴愹㜹㤶㘹戶㜰㘷慦㤳扤㤳㈹㜷㉣㠵攸搰㈱㙦㍦捥戵〵戸㈳散㙢敦㠱㔴㔶搷搵昵㔲ㄶ㥢戵昷挱敡㠰㍤㐶敤〳ㅣ㈴㌰㝢㡤昴慡㤹㍣愹扡搷ㄴ戳㝥㑥ㅤ㙥㜹扤愲晤㝡搵㌷㘶㝡㐵㡥ㅢ㔷㍤㙤㐴㜵㑤㉦㌳㔳摢戲挷ㅥ㝢〴ㄲ搵㔳㐷ㄲ㍥㜰㐱㕤昳〲搱ぢ摥攱㐶摡昲晤ㄶ攸昷摦㌲戶㘶挹㑦㝢㥤昵捤て㤵ㄱ戱愳㉤㈸摡攰摢ㄵ昵昱㉥慥㝦〴㈲㜶〰㡣愳づ㡥昳㕦晡挷㈸敢晦㈴昹ㄷ〸挶づㄹつっㅤ㥦㔸㐵戱ㅢ晥攷昰愱㝦㑡昲ㄹ㠸攸て挲㡢㔷晦ㅣ㐴扤㐴㜷搸㘷㥦㤰㜱摤ㅤ散攲戸㝥〵慥㑦㙦㐳㈶〶〰挱搸敡昴愵㑥敦改昴㥣昰挱戰愷〳㜴㕢㔰戴挵㌸㄰㙡㙤㑣㘱昲㜶昵扡〳㥢㌷㠵改㥣ㅤ㔱㕢搷㘲㌶挹扢㔴㔵ㄶ晦㔹摢攷戲㕣挹㍢㜳㤳㤱戶㌶愶扢㘷㙢㜰㜳挶㝥㝤换挲摣㜴愵㘸㜲㘰摤㍢晦摦ㄴ攸㉦㌷〵㤲ㄳ愰扣㘹㔰ㅢ㔳っ㜴㥡㠲㐹㔰摢㘰㔷㈷攲摤摦㜳挰㤲㕤㙡㈰㉣攷㜷㌲攲ぢ㐷㔷昹㔰挲挱扢㍢㈱搱㠱搶愷㐶散散挵㥤㤴㑡慤㑥㐳晥摦㈴捥敢愹慡㌵㠹晢ㄱ㡥搳㝦㈲昹㤹攴ㄷ㤲㕦㐱㐴〷っ㐶摥挳散敦挴㜰昸搵㜹摦㜳つ戳愵㈸㙡ㅤ㐰㍡㔷捦㙤㘹散㘵〷搵㈷挴㥥〰换㜱㤷捦㝡昵㜲㈲㌴㤰㜱愳捣㍡慣〶晥㕢㡦㌱换㠳愸愶敤昹ぢ㍡て户扢戶慣㥦扣戰㈱㍤慢愹戱〱て㤳㌹慤慡㑥攳㌹㘰戳㌰戴晡㌱㡤㌵㜳㕢戴晡㔱戵昸慦㜳晤㈴㜳㡥㘹戴搴㘰戵㠷㌹摢ㄸ㍣扢㤱㌳戲搱㤹〵晦㝦捥搸㑡㌸慤挶㐲㍡㌷㘹ㄳ㠵㤷慥㌵㜷戲摤㍢㜰㔸㈳㥥㈹㥢昲㜱㍡摤慥㘹㤸㝤晦〵愷㘴㜸㍣㡦搶㕤昹昵つ㝢昷扢晣搶㍦散晦㡦㐷㌷㤴㉦慤㠲㈷㍣ㅥ㍢㈹㐵㔳㉣ㅦ㈴㍥㥤昲㔶㘴㈲〴㠷㌹户㘲慤㡡㤶搰ㄵ慣摢昱㔷扦户㜲㍢晥搲ㄶㄴ㍤㘰㡡挲㕡㙦扣昵㙥㌰㈴扥〰捣晢㐲改挱ㄶ㙤㐹戲ㄵ㠸敢㐲搹挶㉡㡡ㄸ㡣挸敢㘲㕢㠲戶〳ㄱ〹戰攴㝣㘴㝢㤴搴㑢晣〳㜵㌸昳㤱㌸搸挵㈷摡㡢㌶昵㌶㘴㈲〹㍤挷〹慥昹挸㕢慤㌹攰㑤㕢㔰昴㡣㡢㑦慣㝡戳ㄵ扢戱挹㙦戴敡㠰晥㄰敢〳㐸昶〰㜱㌹㘰㑦慢㈸〶挱㠸㜴㐰㠰愰㈰㠸ㄸっ㤶㜴㐰〸㈵昵ㄲ捦扢ㅤ戰㉦搸挵づ㠸搱愶摥㠶㑣っ㠱㥥㤷〳ㅥ㙤捤〱㡦搸㠲愲〷㙥㌵戰搴㥢慤ㄸ捣㈶慦㙢搵〱搵㄰敢㐳㐹㙡㐰㕣づㄸ㙥ㄵ挵㌰ㄸ㤱づㄸ㐱搰㐸㄰㌱〲㉣改㠰㔱㈸愹㤷戸摢敤㠰攱㘰ㄷ㍢㘰っ㙤敡㙤挸挴㐸攸㜹㌹攰收搶ㅣ㜰㤳㉤㈸㝡昸㌷ㅡ㤶㌸㉢搵愷戲摤搳㐸愶㤳ㅣ㐰㜲㈰㠸戸愶㔵愷ㅣ㑣捣㈱㈴㠷㠲戸㥣㌲㠳㍣摥㍦㜰换搸て挶愵㘳っ㌲㔳㈰㘲っ㔸ㅣ攲㑢昴㌴㡡慤㡥ㄳㄹ〸换挶昳〱㔳搱㐰㤱㠵挸愷ㄳ搰㡡㑣㡣㠵昹㥣㠷㌸㔰㔸㠳挴〵慤㜹㘸戱㉤㈸㝡扡㌹〱㤶㝡戳戱㡤㌰㈲捥㙢搵ㅢ㐷戲㡥㈶㤲㘶㄰㤷㌷收㕡㐵㌱ㄱ㐶愴㈷收ㄱ㌴ㅦ㐴㑣〶㑢㜶㤱〵㈸愹㤷㌸つ㜵㌸㠳挴㈴戰㡢㑦昲ㄸ摡搴摢㤰㠹㈹搰换㌹㈰户㘸㌹戶㌵〷ㅣ㘳ぢ㡡ㅥ戰㑥㠷愵摥㙣挵㈹㙣昲㔱慤㍡攰㌴㠸昵搳㐹捥〰㜱㌹攰㉣慢㈸づ㠰ㄱ改㠰扦ㄱ㜴㌶㠸㌸〸㉣改㠰㜳㔰㔲㉦㜱愴摢〱〷㠲㕤散㠰挵戴愹户㈱ㄳ〷㐳捦换〱㌳㕢㜳㐰搶ㄶㄴ㍤敤㍤っ㤶㝡戳ㄵ㤷戱挹㤹㔶ㅤ㜰㌹挴晡ㄵ㈴㔷㠲戸ㅣ戰挲㉡㡡ㄹ㌰㈲ㅤ戰㤲愰慢㐰㠴〱㤶㜴挰㉡㤴搴㑢ㅣ散㜶挰攱㘰ㄷ㍢攰㍡攰㝤㝡ㅢ㌲㤱㠲㥥㤷〳㈶戶收㠰〹戶愰攸㠱戳〹㑢扤搹㡡摢㔱愹ㄸ搷慡〳敥㠰㔸㕦㐳㜲㈷㠸换〱㜷㕢㐵㤱㠵ㄱ改㠰戵〴摤〳㈲㘶㠱㈵ㅤ㜰㉦㑡敡㈵㠶扢ㅤ㌰ㄳ散㘲〷㍣㐸㥢㝡ㅢ㌲㔱ぢ㍤㉦〷散摤㥡〳昶戲〵㐵㡦扦㘷挳㤲ㅣ㈵㥦㘴扢㥦㈲㜹㥡攴ㄹ㤲㘷㐱㐴愴㔵愷㍣㑦捣ぢ㈴㉦㠲戸㥣昲㌲㜹昶㈸㔹㠷ち愴㘳㕥㈵昳㌵㄰搱〰㤶㌵㑡扥㡥㘲慢愳攴ㅢ㄰㤶㡤昳ㅣ㈵摦㠴挸愷ㄳ㔰散㍤㈹ㄳ㡤㜹ㅥ捡㡤㤲扤㕢昳㔰㉦㕢㔰昴㝣扦〹㤶㝡攳慤㝦㠸敡㐴捦㔶扤昱て戶收㘳㤲㝦㠲戸扣昱㙦慢㈸㥡㘱㐴㝡攲ㄳ㠲㍥〵ㄱ㜳挱㤲㕤攴㌳㤴搴㑢昴㐰ㅤ捥㈸挹捤攸攲㤳晣㤲㌶昵㌶㘴㠲㈹〴㕥㕤愴㔳㙢づ昰搹㠲愲㙣㠳㠵戰搴㥢慤昸㠱㑤慥㘸搵〱㍦㐱慣晦㑣昲ぢ㠸换〱扦㔹㐵㜱ㄴ㡣㐸〷晣㑥㄰㜷慥〴㜳て愴〳㑡㑡㜱㘴扦挴ㅦ扦戹ㅣ㜰㌴戸挵づ㈸〳摥愷户㈱ㄳ挷㐲捦换〱摦挱戸攷摥搶㐶㕢㔰㤴晣戰〸㤶㝡戳ㄵ㤵愸㔴㝣〳㤸昷㘴扡ち㘲㥤搹扤晡ㄶ㙣㕤㙥㜳慦㥢㔵ㄴ㈷挰㐸ㅦㅡ敡㑥㔰て㄰㜱ㄲ㡡搲〱㕢愲愴㕥攲㔳户〳㑥〴扢搸〱摢〲敦搳摢㤰㠹㤳愱攷攵㠰て㕡㜳挰晢戶愰㈸晦攲㌴㔸㤲づ搸〹㤵㡡㜷㕢㜵㐰㍦㠸昵㥤㐹㜶〱㜱㌹㘰㌷慢㈸㑥㠷愱㍥㍣㥤摤〹敡て㈲捥㐴㔱㍡㘰〰㑡敡㈵㕥㜵㍢攰っ戰㡢ㅤ㄰〰摥愷户㈱ㄳ㘷㐱捦换〱㑦户收㠰愷㙣㐱㔱㌶挸㌹戰㈴ㅤ㤰㘴㤳㥦㘸搵〱㝢㐳慣敦㐳㌲㠸慤换昵㠰挱㔶㔱㥣ぢ㐳㝤㜸㍡㐳〸慡〶ㄱ攷愳㈸ㅤ㌰ㄴ㈵昵ㄲて戸ㅤ㜰ㅥ搸挵づㄸ〱扣㑦㙦㐳㈶ㄶ㐳捦换〱㜷戴收㠰搵戶愰㈸㌷攵㐲㔸㤲づㄸ捦㈶摦搶慡〳㈶㐲慣㑦㈲㤹捣搶攵ㅣ㌰搵㉡ち㈶慢昴攱改㑣㈳㘸㍡㠸戸〴㐵改㠰〳㔰㔲㉦㜱慤摢〱ㄷ㠳㕤散㠰㐳㠰昷改㙤挸挴㔲攸㜹㌹攰昲搶ㅣ戰捣ㄶㄴ攵挹㌰搵㐵㍡挰㘴㤳㉦㙤搵〱㌳㈱搶㘷㤱搴戲㜵㌹〷捣戶㡡攲㜲ㄸ敡挳搳愹㈳愸ㅥ㐴㕣㠹愲㜴㐰〳㑡敡㈵捥㜷㍢攰ち戰㡢ㅤ搰〴扣㑦㙦㐳㈶㤶㐳捦换〱愷戵收㠰㔳㙤㐱㔱愶捥㔵戰㈴ㅤ㜰㌴㥢㝣㜲慢づ㌸ㄶ㘲晤㌸㤲攳搹扡㥣〳㑥戰㡡㘲ㄵっ昵挱㕢㍦㤱愰㤳㐰挴㌵㈸㑡〷㥣㡣㤲㝡㠹愳摤づ戸ㅡ散㘲〷㥣づ扣㑦㙦㐳㈶慥㠵㥥㤷〳㡥㙣捤〱㜳㙣㐱㔱戶搰つ戰㈴ㅤ㜰㍥㥢摣搰慡〳㉥㠰㔸㕦㐲㜲㈱㕢㤷㜳挰挵㔶㔱摣〸㐳㝤㜸㍡㤷㄰戴ㄴ㐴㌰㜱㐸㍡攰㔲㤴搴㑢㤸㙥〷摣〴㜶戱〳慥〰摥愷户㈱ㄳ户㐰捦换〱〷户收㠰㠳㙣㐱㔱收搲敤戰㈴ㅤ㜰㉤㥢㝣㐰慢づ戸ㅥ㘲晤〶㤲ㅢ搹扡㥣〳㙥戶㡡㘲㌵っ昵攱改摣㐲搰慤㈰㘲つ㡡搲〱户愱愴㕥㘲扣摢〱捣㜸㉡㜶挰ㅡ攰㝤㝡ㅢ㌲㜱㈷昴扣ㅣ㌰扣㌵〷っ戳〵㐵戹㔳㜷挳㤲㥣㉢㍦挰㜶㍦㐸昲㄰挹㍡㤲㠷㐱挴扥慤㍡攵㔱㘲ㅥ㈳㜹ㅣ挴攵㤴㈷挹戳攷捡㙢㔱㐱ㅦ㥥收搳㘴㍥〳㈲敥㐵搱㥡㉢㍦㡢㘲慢㜳攵攷㈰散㌰捥㙢攷昱〵㐸㝣㍡攵挵捥㤳㌲㜱ㅦ慡挸㌹㈸㌷㔵敥摦㥡㠳㜶户〵㐵挹㘱て挲㤲散㈱㝦㐷㜵㘲搷㔶㥤昱ㄶ㕢昳㌶挹㍢㈰㉥㘷扣㘷ㄵ挵㐳㌰搴〷㙦晤㝤㠲㍥〰ㄱて愳㈸㝢挸㝡㤴搴㑢散㠸㍡㥣愹昲㍡戰㡢㑦昲㘳攰㝤㝡ㅢ㌲昱〸昴㜲づ㜸㥦㔶㍥〰ㄱ㍤㕡㜳㐰㜷㕢㔰㤴㥥昶㌸搴愴〳晥挳㈶㜷㙤搵〱㕦㐱慣㙦㈰昹ㅡ挴攵㠰㙦慤愲㜸〲㠶晡戰㈱ㅢ〹晡づ㐴㍣㠵愲㜴挰昷㈸愹㤷搰摤づ㜸ㄲ散㘲〷晣っ扣㑦㙦㐳㈶㥥㠶㥥㤷〳晥昸戵㤵愹昲敦戶愰㌰㐱慥晣㌹㔸晡ㄳ㠹㑤㥤搸攰散戴㕡㜳㍥㌳㌱扡㘴昱挱愵㥡戹捤㉤㡤㌲㙤愴㌲㍢慣㜱㕣㘳换戰摡㘶㍣扢㕦搸㉤㙢ㅦ㑣㥦㘵㌶㈰愹慢〹戹㕤〵扣挶㌹㜳捣㡣㥥㥤摣㌸户㈹㙤㡥ㅥ昶㔷㐸晡挲昹㈱㜴㌲摦慢㔴攰戵㜹㜹㑣㈵搰㐴㉦挱慢愴晣〵ㄸ㉣㑣㐷㜱㍤愹捣㍤ㄴ昷〳㔸㤵昳攸㤴摡㤶㍡戳㔳㔶捡攵㜱㐵ㄶ㕥㐴愶㕣愶㘳㜶捡㉣愴㘹っ慢捣㡥㙣慡捤搴搵㌶㤸っ〶ㅥ戴昳搳㘰㘳捣㤹挸㡡㥢搰搸㕣换㑦慡㔵㘶愷㌴ㄹつ捤㜳㤸攰㤳㕥搸㌵慦㈴㥦㍢㤵㘷㠷搶㌶㌴愳ㅡㄹ㐵ㅥ㔷㘵㈷捦㙡㥣㡦て㑤捥慤㙦ㄸ㘹捣㘹晥㑢㐴㐵㌰㉣昲㈵㐳㈳㑡㐵㘹愹愸㈸慤搸摣昸㘸ㅤ㍡㤴㤴㙣㤵㑢㡢敦㠵扥摡搲㔴㥢㥡㑢愷挹㝡㐲愰㘵㈴㌲㡥㈵攵㉦攲愸㡤〷捥㝣散㙣攷㉢㌲ㄷ㡦敤捤晢㈰㤶㘷㕡㤸昳㘹㔴㍥㙡搶换搰愴捥晣㌸攲㝥㈳愷㡥捥㘵愹晥㥦㍥摡㔹晥ㄲ㉣ㄷ㍥挹㉢散㝤㑥㔲㘰て㠰扢㔸摤㠸㍣昶㉡㕣㥤攸つ㉣ㄵ㜶㑤㕦㔶㘲搸㑢扢攴づ㐷㈰慦慣㜳㜶㡣㤱㌲敢㤰づ㔷㙦戴㜴戱ち㝣昸㕥㙦搴㌵摢戲㥡挶晡㝡㠳摤㡥㕤㜶㜲摡愸㌳㉢戲㝣挰㡢㑦〵敡㔹㄰搹㌷㙤㤶戱〰㉣㘳㠱㘴㜵捥㑥㘲㥡慣㍣愶慤挶㤹㐶㔳㙤换慣晡摡㜴〵ぢ㑣㘵晤㑢昴㔷㡣㈱㘵㜰愶㝡愹昱愴昰㐹戲昵㑣ㄵ攱ㅥ㠸扣〹扡㡥攱㐷慦㉥ㄵㅡ晥㠹捤捣愲挴攸㈳㙦㉡㝡㐷㔸㉢攷捤㠷挳㤱㝣㙤攰㈶づ㕦ㅢ㡥挷㠱ㅣ愰挴㉢㈸㤲慢㔷〰捥〳扥换㕥〵㘹㌳挵慥㈳〰扥㌱㡤㐶㘶〴㔲㝤ㅡ㥢㍡摡ㅦ㐵慥㐰㘸㌹摣㌴昹㤹昴㔸㠳㍣㕡攴攷捥慢捤㤸㑤ㄵ㘴㑣挶搳昱㌲愶㑢㙡㔶っ㌱ぢ敡㔰㔲㕥摥愹挲慢慥搱捡㔶㕦㍢㤵捣晤㔱敥搱㐵昶扦㤸㤸ㄸ㕣捥㔶昹搸㌶㥤㥦搶搶㝤㍣愷搷㔰攴昹ㄴ〰㍡ㄱ搰ㄹ愴晣㜵〸ぢ㘳㤳㥦㝦㠸㉣㐵ㅤ愰㌲昹㈱㕥㘶㐶㔶㈰㡢㔰愶㔴㤶换ㄳ改攴㑡㠵搴慣㉣挸ち昵挹㘰㙤㌲㝡戹㤹昱㔹㘳㉣㜳〳ㄸ㡥搲搲㌲㠴㕡㉢捣挱㉡慡ㄶ挶敡㈷㥢㌲㐷㔲昴㐴ㄳ戴㑡戴㜸㑢㕥㉣戰㍦㘳搰㐴昵攱搲ㅡ㝥㍣昶㘵〰昸㘸ㅢ晦挹㤷捦愷㔷〱㡥愷㕦㙦㠱㉡ㅦ昰㑣㙣㈷昹改㠳㉤㐰挴㐷㘰㜲㌶攰扡㜷㠹㡦㔱攴晤慢㐴敢ち挸㥦ㄹ㉦挵㍦愱挵㌱㔳敦㐶攳晦挲ㄱ㠷㈲愷㙢昶〰户晤慥挹㈴㍢搹㌵户愴ㄱ扢㈰㍥挵㠱㍡ㄵ㔷扣户〲㐶摦㥡挰捦扣〱摢㄰戰㉤〱㥦〳挰㤸㙢摢愱㤴昳攵〴㤷㉦挳㕥扥摣〱㜰昸昲㉢㤷㝤㤷㉦㝢搲晥㡥㈰攵㍦〲搰挶愸㡢㍣〱㔷㥥㔴ㄷ㌶㈴㍢戵愱戶〵〳㈲攳㍡愲戶〵愱敤㥣〵挱愱㑣㘸摡㔶づ㤴㉥愵晥捥㈴㙣挷㘲㔱摥慣慣㘷戱摣㍤㑤敢敢㈱戶㈶㜰慥㜹㕢㝢㈰㌹㤱昳㘸攳㕦㘹㘶㈷慣ㅣㄷ㝢㜲㈷晡戵㥥づ收昲㍢㙦捣晦㠷㜹愰散㐳㈵㝡㙦㜶ㅢ㜶㘰㕣㡥㝤㜰捣㘹攱㑦㘰戴摤㐵㕣搹㜱㥣㜶晢㌸㌵戴㜸㤵㜶晡攵攸㠶㘶っ慣㍥扢㠴摢㘶ㄷ晢㜰晣摣㤶㍣㠹戱愰㥢㉤㐱晡敤昸〶㑣㜶搲㐶㔳收㉦㜲愷挴戹㔹㤳㍡㜹搳摢捣〹㌷㡣昰攵扡扦㘱〹戵㤳敤㙢愶愱晤㤹攴挲㉡攰㉢改㙥㈷攷戰㠲愵戱愶搱㈰愳㌰戹㈵㌳捣㥣㈷㔷㍦ㄳ㑣㉣㕤昰㉤づ㜵㘶㌷愹攰ㄴ攵㕤㐱捦㔶愷㥡㌱㤳㙥攱ㄴ挹㍥㤲ㄷ扡㥥㥤㘴㈲扦ㄹ㥦㤵挱㡣挶㍥㥡㤰㙥㐱㉡慤㘳㠰㥦㠳昹敢㐴〸ㅥ㈹戳愳㈴㘴㥣戴㌶㍡㙦晥㐹昰ㅡ摡捣愸㘲挸捦捡搷㤷㠳挵愵㑢昹扡㝥㜰㠹㍡戰搷㔷扦挰㝣ㅢㄳ㜳㡣戵敥㑣㔰㕥㐹摤㔴㠲戲㌵挲挹挱慢戳攲㜱昶㕥挹㤵㔶㔳ぢ㍥㉣挶敦㔵愸攲愵㔳㠷改㑤㑢㉤㈶慡㜵ぢ扢㘴㐷㌷愴敢收㘶㑣㌹换㔵㘳戶㥣散晥㈵攲㔵挶ㅢ愵ㄵ慢㌶晣㘲㍢㘵㌴扥〱㐷㝤㜸㘸戳㤷扢㐲敦㡢㉢㑤敢〷㔲㌶㘸㝣㍣㠹〶昸昴㥤敤㡢㡦㤹㥦㝦㍡昷搶〷愵慥戹捣㜱昹攵㈸ㄸ摦㡡㔸ㅣ搸㤸㐳改愴敦捡换捥〵ㅢ搳㌸愶㤱㙢㘶ㄷ㙢㔴慤挵晡㑢〴ぢ攷㘹挵㑡搳㌰攱摦捣换㠴㐶㌰昴挹晦㌰戳户晦ㅦ捣ㅢつ㙥㌵攲㜷㌰攴㉣づ㕥㐵㘸戸愸㉤捤慤㙣〵昵攴㑣㙤ㄷ㐴㑣㄰㘱捤搴慣㥤㈹㝤㌷㜰摢㥦愹㤵㐲つ㝦㜸㔰〸戸㝡〹㜶㐵㌵㔳愳搴挷改㌸㥥㈳㠲敡〳㐰㐴戹㌷㘰て〲〶㠲㤴㜷〴愰㜰愴戱㔶㑤ㅥ㤹愸㔰㈸㈹慦攷〴扢愲㥥ぢつ㕣愷ㅡ㍥改㠴㑣㕢㉣〸戴㑥ㄵ捣㔴搵昷〴敡昹攷㥥ㅢ挴㐶ち愶㜹慡〶捡〵㡤戵㜴〸戰晥㈰㠸㘰㍡㘶攱慣戸〷㜸搶慣㌸〴挸㥦㥡ㄵ㙦〹㔵改敢㌰㡤㙦㠵㔲摥慣㌸ち㙥晢扥摥〶㙡昸挳㜷㡡搰〸㑦㠳㙦收㝢慡㔳㜱捤㡡攳挰攸〹〲㤹ぢ敡〱㐸ㄲ戰ㄷ〱㑣て㤵戳攲扤㔱敡攱慣㌰㜲戳㘲㝣㕤㠹挷〲㘳㄰搰㤸ㄴ昷㜲㤹㜷㑤㡡昷愵昹挱㌴捦挴捥㐲㔷㌲㥢㔳扡㔲攷㠶㡣㝣戱㘷扡㌶㕥〴㜳㍤愵换慡㘹㠴㐹㥦㜹㉥慢〱户㝤㤷敤〹㌵晣攱敢㐹㘸〴〷昲捤っ㔱て㡦っ〷㐶ㅦ㐱㈰戳㐷㍤〰㈳〹ㄸ㐵〰ㄳ㑡愵换㐶愳㤴㕢㐸戸ㄷ㘵㈱㉦㥦敤て㌸㝣ㄶ㜳搹㜷昹㙣っ敤㡦愵晤挱〰ㄴ晡慣ㅡ扣㜶㝣㌶ㄴ㄰改戳昱㌴㔲㠳㔲㥥捦㈶㠲摢扥捦㠶㐳つ㝦㜸㍣㑣㈳捡㘷㑣㉡昵㜰挹㘴㘰昴㈹〴㡥昴〶㑣㈵㘰ㅡ〱愳〰㤰㍥㥢㡥㤲户捦㍣ㄷ㕦〷〲づ㥦㌱㈵㔵㌵挰攵戳㠳㘸晦㘰摡㥦ち〰ㄷ㘰昶攴晢㔰慡昱〴㌰昹㍥っ挷ㅣㄱ愷〱挲〹戸㝡攵㑦ㅢ㘷搸愸改㐰㜱敡挸㤳㙦㙦ㅡ㈲づ〰㠸㔳ㄱ愱ㅦづ㜵捤〰㈹ㅦ㠴㤴㔱敢㘶㤸戲㑤ㅥ〸ㄴ㙦㠸搶慢昵㈱㥢昹慣㙤っ搹捣㜴㤵昱㑤挳慥㘰捡㙢摥㤰㙤戲昲㜶昷㝤㘶㐰つ㝦〵㐳戶〱㤶㜲㉦愵昶㤰㍤ㄳ㈶昵㔹慣㉤攵つ愸㈵攰〸〲搲〰㜰搸搶㘷愳攴㡣戴捣㤳㔵㜶㕤㈳㙤ㅤ搵敡愹搶〸㐰㘱㔷㘷㈲慢搵搵㌹搲捡㔷攱昰挰㌴㔷改㡡㐶ㅡ㘱扥㙢㕥㔷㍦ㄲ摣昶㕤㌱ㄷ㙡昸㐳搲㉣㡤攰㐰扥攷㠱慡㈶扢㐶搴㘶㘰㜴㝥㠱愰㤸敦つ㤸㑢挰㍣〲ㄶ〰㈰扢晡㝣㤴㍣㐷搴愸搷攸戰㄰㘸昴㜴㘶搶慡晡㕤㍤晤㈸㥡㍦㥡收㑦〱愰搰㘵愷㠱搷捥攸㜰㍡㈰搲㘵挷搲〸㌳㘴昳㕣㜶㍣戸敤扢㡣㤹戴昸㉢搱ㄷ搱㠸㜲ㄹ搳㘹㔵㤳㕤㉥㍢〱ㄸ晤㐴〲㤹㙡敢〱㌸㠹㠰㤳〹㘰昶慤㜴搹㈹㈸㜹㡦づ㥥㍥㍢つ㜰昸㡣挹戸捡扥换㘷愷搳晥ㄹ戴捦挴搹㐲㥦㌱㕢戶㥤㙥挶㕣㕡改戳戳㘸攴㑡㤴昲㝣㜶㌶戸敤晢㙣〵搴昰㔷愲㥦㐳㈳捡㘷㉢㜱愴㥡散昲搹戹挰攸攷ㄱ㜸㤵㌷攰㝣〲ㄶㄳ挰㠴㕤改戳ぢ㔰昲敡㘶昸㌶㈷㡦ㅢ昷㠵㐰挳㘵搷戹捣扢㕣㜶ㄱ捤㕦㑣昳㑣戵㉤㜴ㄹ昳㙢愵换戴㑢〰昹㔳㜳㈰㘶攵㑡㔷㉥愵昱㍢㔱捡㜳攵㘵攰戶敦捡扢愱㠶扦ㄲ㝤ㄹ㡤㈸㔷慥挵㤱㠷㉢㉦〷㐶扦㠲挰㝢扣〱㔷ㄲ戰㥣〰愶晥㑡㔷慥㐰㈹攷捡摣つㅤ摦㔲攵攱捡慢㠰㠶㉢㤹〸慣敡㜷戹㜲ㄵ捤㕦㑤昳㑦〲攰扡㌷㕤㑢㌵戶ㅦ昷愶敢㜰捣㝢搳㔳㠰戴㝥㙦扡摥㐶㌱攷㜷㤳敦㑤捣つ戶敥㑤㌷㐰㕤扢ㄱ愴㝣㄰ㄲ㜵慤㝢搳㑤戶㐹㈶て㙦捡扤㠹㔹挴㌲昴摥换〹收ㄷ换昰摥っ扢攲㐵㤴慣昰摡换㠹㕢㔹㜹扢昷㈶㈶㈴攳慦攰摥挴㡣㘴攵㕥㑡敤㝢搳敤㌰愹慦㘶㙤捣㔶昶〰摣㐱挰ㅡ〲㕥〷㐰摥㥢敥㐴挹戹㌷㌱〳㔹愹㔵㐸扢昲〱挲㕤㔴扢㥢㙡ㅦ〲㔰㜸〵晣〳㍣㙢搰攰ㄵ㈰㕦㠵昷㈶㈶ㄷ㑢㔷摣㐳㈳晦㐴㈹慦愷摦〷㙥晢慥昸㌷搴昰㔷愲摦㑦㈳㌸㤰敦㑦㐰㔵㤳㕤㠳挶〳挰攸てㄲ挸㜴㘵て挰㐳〴慣㈳㠰ㄹ捣戲愷㍦㡣㤲㔷㑦挷㜷㥢㜹昴昴㐷㠱㐶㑦㘷㍥戳㌲敦敡改㡦搱晣攳㌴晦〳〰㠵㉥晢〹扣㜶㕣挶㜴㘴改戲㈷㘹㠴㜹挹㜹㉥㝢ㅡ摣昶㕤挶晣㘵晣㈱㈳㠷㐶㤴换㤸挴慣㥡散㜲搹戳挰攸捦ㄱ昸㠷㌷攰㜹〲㕥㤰㤶搰㙦愵换㕥㐴挹换㘵昸㜲㌶て㤷扤っ㌴㕣挶っ㘸㔵㍦扦㐶换攷摢㠲㙤㝣㠵收㕦愵昹㑡〰ち㕤挶ㄴ㘵换㘵㕤㘹㠵慦挲㕥挶〴㘶改戲搷㘹㠴㤹捣㜹㉥晢㍢戸敤扢㡣ㄹ捦搲㘵㙦搲〸㙡㤱㙦愶㍤慢㈶扢㕣昶ㄶ㌰晡摢〴㌲㈵摡〳昰づ〱敦ㄲ挰㉣㘹改戲昷㔰捡摤捥㜳㙢捡㘰挰㜳㠱昴〱攰昰ㄹ㤳愶㤵㝤㔷㌷㕢㑦晢ㅦ搲㍥ㄳ㥣ぢ㝤搶て扣㜶扡ㄹ㜳㥥愵捦晥㐱㈳扢愰㤴攷戳㝦㠲摢扥捦㤸㈴㉤㝤昶㉦ㅡ㔱㍥㘳愶戴㙡戲换㘷晦〶㐶晦㠴㐰㘶㔱㝢〰㍥㈵攰㌳〲㤸㔸㉤㝤昶㌹㑡㕥摤っ㕦㠹攷搱捤晥〳㌴㕣挶㌴㙢㘵摥攵戲㉦㘹晥㉢㥡㘷㑡㜴愱换㤸〷摤㡥换㤸㈵㉤㕤昶㌵㡤㌰㕤㍡捦㘵摦㠲摢扥换㤸㔶㉤㕤戶㤱㐶㤴换㤸㕢慤㥡散㜲搹㜷挰攸摦ㄳ㔸敤つ昸㠱㠰ㅦ〹㘰㉡戶㜴搹㑦㈸㜹戹っ㕦改攷攱戲㕦㠰㠶换㤸㤸慤敡㜷戹散㔷㥡晦㡤收㤹㐴㕤攸㌲㘶㑥㕢㉥敢㐰㉢㝣ㄵ㕥㤹捣慢㤶㉥晢㠳㐶㤸㘰㥤攷㌲愶〸戴敦㌲㈶㘲㑢㤷攱㜹㜱捥㘵捣挶㔶㑤㜶戹慣〳㌰㍡扥戲慡㐴㌰㔳摢〳㔰㑥㠰㐶〰㤳户愵换㍡愲㤴扢㌲㜳㌳㥤㘰㈰攸攵㌳昹晤攷㍥挱㕣㙥㘵摦攵㌳ㅦ敤㜷愲㝤ㄳ㠰㐲㥦捤〴慦㥤搱㡣愹搸搲㘷㤵㌴挲㥣散㍣㥦㔵㠱摢扥捦㤸扢㉤㝤收愷ㄱ㐴㐶扥㤹挰慤㥡散昲搹ㄶ挰攸㕤〹㘴㜲户〷愰ㅢ〱摤〹㘰扥户昴㔹て㤴㜲㍥㜳㡦㘶㥥㕢㘴㕢〱㡥㝥挶昴㙦㘵摦攵戳慤㘹㝦ㅢ摡㘷慡㜶愱捦㤸㥦㙤昹㉣搴㕡㍦㘳昶戶昴搹㜶㌴挲㌴敥㍣㥦敤〰㙥晢㍥㍢〱㙡搲㘷㍤㘹㐴昹㡣㌹摦慡挹㉥㥦敤〸㡣摥㡢㐰收㠳㝢〰㝡ㄳ搰㠷〰愶㠸㑢㥦敤㠴㔲敥搲捣昹っ㕦晥攸㜱㘹昶〳ㅡ㉥㘳挲戸㌲敦㜲搹捥㌴扦ぢ捤㌳戹扢搰㘵捣攸㙥攷搲㘴扥户㜴搹㙥㌴挲挴敦㍣㤷昵〷户㝤㤷㌱㐱㕣扡㙣〰㡤㈸㤷㌱㑢㕣㌵搹攵戲㍤㠰搱〷ㄲ挸っ㜲て挰㥥〴〴〸㘰㔲戹㜴㔹㄰愵㕣㌷㜳㕦㥡㥥摤㉣っ㌸㝣挶ㅣ㜳㘵摦攵戳〸敤㐷㘹晦㕡〰ち㝤挶㈴昰㜶㉥㑤愶㠸㑢㥦挵㘹㠴戹攲㜹㍥㑢㠲摢扥捦㤸㔳㉥㝤戶ㄷ㡤㈸㥦㌱戱㕣㌵搹攵戳扤㠱搱昷㈱㤰㐹攷ㅥ㠰㐱〴散㑢〰昳搰愵捦〶愳㤴昳㔹慥㥢戵㤲ㅥ㔳つ㌸㝣挶戴㜴㘵摦攵戳愱戴㕦㐳晢㑣㈱㜷慤摣㠶㔳㡤㈷㠰㤵摢〸ㅣ㜳攵挶〴昳搶㔷㙥㈳㙤ㄴ㌳搰㌷㜹攵挶㑣㜵㙢攵㌶ち敡摡㘸㤰戲㐱攳散㈷㙣晢搹ㄶㅦ〶㘸㔳ㄶ㙥㑣㘹㤷㈱昶㕥戸㌱搹㕤㠶㜷㝦搸ㄵ㡦愳㘴㠵搷㕥戸㡤〵户晤昰㍥〹㌵ㄹ摥摤搵㘰㐵㉦㌱㍤㕥㜹㤷㔲㝢攱㌶ㅥ㈶昵〹慣㡤愹昳ㅥ㠰㠹〴㑣㈲㠰挹昴㜲攱㌶ㄹ㈵㘷攱挶㝣㜸愵收摡㔴㥣㐲戵愹㔴㘳㕥㝢㘱㑦㘷㌲㝢㍢㍤㥤愹敥搲ㄵ搳㘹㠴㌹敦㜹㍤晤㐰㜰摢㜷〵㜳攳愵㉢づ愲ㄱ搹㔹昰㍦ㄳ攴㔵㤳㕤㍤晤㘰㘰昴㐳〸㘴昲扣〷攰㔰〲づ㈳㠰昹昴戲愷捦㐰挹扢愷㝢㑥㜶っ挰搱搳㤹㕥慦散扢㝡㝡㡡昶搳戴捦㔴昸㐲㥦㌱晦扤ㅤ㥦㌱㍢㕥晡捣愴ㄱ愶挹攷昹㙣㈶戸敤晢㡣改昴搲㘷戳㘸㐴昹㡣㌹昵慡挹㉥㥦搵〲愳ㅦ㐱㈰昳敤㍤〰戳〹愸㈳㠰㈹昸搲㘷昵㈸㜹晢捣㜳戲搳〸㌸㝣挶㡣㝣㘵摦攵戳㌹戴㝦㈴敤㤷㜱㠲〷愸摥挴㤲摤敥昲㡥攰ㄶ愶ㄵㄶ愵㝣捡ㅡ戲㑣晥㥣摣戲戰づ〹户㍣㘴㥡愱㜵挴攷㤸挸昰〱て挹㡦㡤㑤㜸愲㕡㔶昸愵㔴㡥敥戳愸戸㔳昷㠲敦ㅤ㤵㙡㤴㤴愳㌵攵㘷晦㔲晣摤㥡㡥㍥ㅢ㥥晢ㄲ㐲敡昰愵戵愰㠹摤挷搶愶㥢ㅡ㥢ㅢ戳㉤扤㈶㈳愱扣ㄷ扦挷ㄵㅦ愱て㔴㤷㥦〵㡢㥥㜵昲挴捡ㅡ昸㡢㈶昳昸扤㠶扥搹つ㡤昳ㅢ㘴㙢捡㥢昹㜵戶搲㕦ㅤ㍢戲ㅡっ㐸搶㙢㈷㌸捦㕦㠱㠶㔲㔹㥦〷㕡搹挱慦摢㘵㙤㍥捡晤㙡㠶搶㑣㥡ㄱ㡦挴㌲攱㑣㉣㤳㡤〷ㄲ㤱㔰㈰㤹ち挶愲㌱㌰挲改㘰㌴㠰㉦改搵ㄶ㌸搰㑣㉡ㄴ㌳㠲㠹㔴搲㡣愷㈲愱㜰挰㐸〷攳㘹㝣㤷㙦㍣㤱㠹㥡㤹㐴㑡㕢攸㐰㐳愱㘴挸っ㘷搲愹っ㝥ㅢ㈷㤱㌶㔲挱慣ㄹつㅡ昱㔰㍣ㄲ㠸㘶挳㔹敤㈸〷㥡㠸㐴㡣㘴摡㠸ㄹ㠶ㄹ㡥㤸改㘴㈲㤱ち㠴ㄲ㘶㈴挵ㅦ搵㐹〵愲㝥㥦㍡㠹愳愱愳ㅦ㐳㜲㉣挹㜱㈰晥㑥㑡㜸㍣㔹㡢㐸㑥㈰㌹㤱挲捥㑡㤸慦愴搳㔰㜹ㄵ㠴㥢㥡㌲ち㍣ㅦ搷愴㐵㐶㤸㘵ㅤ㍢ㄶ愵扣ㄵ愵㥡㍡摦慥愹㘹捣㌴㉤㕦㠸搰ㄶ收挹㜹㉢攵昷ㅣ㉡攳㡡挱㔷㜰昰愴捥〰昱昹㤹㘸捡〶㘹㘷㠲㜶慤ㄹ㍡〳摦晡愸扥〷㤲扤㕤㍢ぢ晣捥攰换っ㡥㐹昸㔶㕤敤㙦攰㜴〱挷㤵㕢慦㥤つ摥ㄶ攰攵晦㠲㡥㝦ぢ攵戳て㔸㙤ㅦ㤲摥㈴攷〳㉥扡㐱㈸㍢摢㘲㤶挰㤶敦ㅥ攰昲〲ㄵ昵㌸㑢㕥ㄶ㄰攰戹づ㈰散搶㘲㌶㌸散摡昹㕤㜳㑢㔵捦㐵挰愱㙢㙥㘵㤷戵㡢㔱戶扡㘶㈴㘱㘴戲㘶〴ㅤ㈲㥤㠹〴挳㘶㉡㙥㘴捤㜸㌸㘱〶㤳搹㑣㍡㥣搰㉥㜱愰攱㜰㌸㤵㑥㠵㈳愱㘰㈶ㄳ〹愴攲愹戴㤹㠸㠵㐳㤹戴ㄱつ㈷挳愹戰戶搴㠱〶㌲㠹㘴ㄶ摤搷挸㐴㌲ㄱ㌳ㅢ㌴戲改㔴㈴ㄸ挸㘴㌳挱㐸㍡ㄶ挸㙡㤷㍡搰㐴㍣㤲㠸㘷愳戱㘰㈴㠰换㈴㤸㐹ㄹ愶㤱㑡㈶㠲㘸㔳㌸ㅡ〹㈴晣㕢慢㤳戸っ㍡晡㌲㤲换㐹慥〰昱㙦愳㠴㔷㤲戵㥣㘴〵挹㑡ち户㔵㐲㠹㤷㥡㔴搲㘹㐸散〰㈱扢愷㌸㄰㙥㘳搷㤱㕤攰㍡捡慦〷昱昹㝢㉡㙤㜶〱㥤昱搶ㄹ㘲㥤㌱昵敦愸㠴㌲㠲扢㌱ㄶ扢㤲摣づ㘱㜹㙦〸ぢ㍢愲敢㔳っ慥㠴㑤捥〲晣慥㉣㕡搹愵户挸㑥㥣㙢搴攱㤷㤶挶㈳㤵慢㠵慣扦㐲敥㑦㤹㤵㔰搷敥搵㉣㑦攱攰㐳㜹㔱ㄵ晡㈰晦㘲戴捦㑤㝥㍦敥收㘵ㄲ昹捡挷㈱㙥㥢㔶ぢ㉦愲摣捤㠲慤㐳㤰㤰昷㜵〷〲挶搹㌰ㄳ㕤攵㔵㤷㌷ㄳ摣挹㡢㕢摥ㄷ摣㑤捦㔵愳搵㙥戹㡦〲昰㐳ㅦ晤敢㤰戶户〹㥦戱戹ㄳ㡤ㄳ捣㑣㉢㙥搹㉥㡡㝢㌷㌱愸㐲扥㜷〳㔷㡥ㄲ愳攰ㄸ㌵㑡㘸昷〰搲敡ㅤ㔱㡣〰戴㜸攸㔰㙥昰昷户㉢搲敥㠳ㄵ㙢捣㌰昱晢㌳㈶㠶㠲㔰㌸㤲㡡ㄸ㐱ㄳ㤷戰ㄹ挹㈶〲昱㜴㈲㡡敢摣昴て㔰㡤扢ㅦ㍡晥㍤㔴改〱㤶㤸㈷㈵㑦㠷戲慡㍤㔱攲㤸愵攱晤㕦㝤昹㤹ㄴ㠵㍦晢愲㤵㤷慦扣㜲㠳㡡㍦㤰挲㍤㐹ㅥ㐳㑢㐴ㄸ㝣搹慥挷㔹〲㕢扥愳攰㑡㠷敥攵㜶攸㤳㠰戴敥搰㠴愷㐳㘳戰〴㌵㝣昸ㄶㄴ㘳㜱摣㉥㙢捦愰㙣昹㌵ㅣづ挵㐳戱㐴㉡㤶㠸㠶㈲㜰㙢㌲ㅢ㑤挵㠳愹㘴㍣㥥㠹挴㤲昱㡣昶慣〳㡤㤹挱㑣㌲㘶愶㡣㐰㌶ㅣ㠹㈴㘳愹㜴㌸㤶ち㘷戳昱㑣㌴㤳㑡ㅡ㌱敤㌹〷ㅡ挰つ㍥㘶ㅡ㘶搴㐰戴搲㤱㈰㘶ㄴ㐹㌳㤶捤〶戳搹㜰㉡㥡㡥㙢捦㍢搰㑣㌸ㄸ㐸愴㘳㔹愸㘴㌰㑦〹㈴昱㑢㔱㠶ㄱ〴㌸ㄱ㐶㠰㑤㝦㐲㥤挴ぢ搰搱㕦㈴㜹㠹攴㘵㄰㝦㔲〹㕦㈱敢㔵㤲搷㐸㕥愷㜰㉦㈵捣㔷搲㘹㐸っ㠲㔰㡥挵㍢挳㜵捥㔸晣づ㤵摦〵昱昹昷戵戵戵昷㔰昴扡ㅤ扦て㝥晥敤昸〳㜰ち㙦挷敢挱昳戸ㅤて㔶㙤㤳㠳㌹扦㤲搰晡ㄱ慣㡦〱ㄷ搵㄰捡㝥昱㑦㤶㔴扦愸〱㔷昶㡢㙤㕤晤㈲㜷㍢摥摡戳ぢっ㔳昵㝣ち㔳攸〲挳敤戲昶ㄹ捡㜶ㄷ㐸〴ㄲ㔹〴㍣㥣〸ㄸ戸㔳㘶㡤㘴㈶㥣〸㠶㜱㜱㐵㤳搱㐴㌶愴㝤敥㐰愳㤹㘰㈶ㅤ㌰挳改㐰㍣ㅥ挹〴戳愹㐴㈶㙥〴㈲昱㤴㤹㑣挵搲昱戸昶㐵づㅡ挹愶ㄳ挹㌴㙥挴㤸㔴挶攲攱㈴慥摡㠴㤹捤挶㤲〱㑣㐹㡤㤰昶ㅦ〷㡡㍥ㄴ㐸㘵戳㔱㌳ㄲ㠸㐴戲㥣〵㈴㠲愹㔴㉡ㅢ挶搷戵愳扢〴晤捣㌴〳扡㐴晦ㄲ㔴晦㡡㘴〳挹搷㈰晥㤱㑡攸㌵㔳ㅣ愵㠴ㄲ㥦㔳愷愶搸ㅦ㐲搹〵㌴㜷ㄷ昸㠵㤶㝦〵昱昹挷㈸㙤慦摢昱㔸㈵㤴ㄱ㘴戲愴昵㥢㘲㘵㔸㝦㠹昱㄰捡〸昲㠷敡㥣〸㑥〴㔷㐶昰攷㥦㜳㐳㘵㉥㠲㍦㠲㕢㍣㉡㑥㔲昵昰ㄷ㌵ㄱ挱挹㜶㔹昳愱㙣㐵㌰ㅥ捤㐴攳㔱㕣慥昱㐸〴ㄷ㕢㍣㤱挰扣㍦㤶㑣㠷㄰挳㔸㍡㤹搶㍡㌹搰㘸ㅡㄷㅣ㘷㕥愹㔴㈸ㄲ〸㥢㠹〴收昰愱㔸㈸ㅥづ㥡搹㘸㌰慡㜵㜶愰昸改ㄱ㌳㘱㠶㈲愹㐰㍣㡣㝥㘱ㅡ㤱㙣㈴㥢㌴㑤㑥慡搲㔸㈵㘸㤵づ㌴㘵愴搱て搲戱㜰㤲搰〰㝥㌲ㄳ㤳晦愸㤹㑣㈴愳愱㜴摡挸昸㤹昷〶㤷攲㠷㍥愱愳㔷㤱昸㐹戶〰昱㑦㔵㐲慦〸㑥㔳㐲㠹㤷㥡搲〶㌵挵㠱㄰捡〸晥ぢ慥㜳㉥攲敤㘸㜹㝢㄰㥦晦㈰愵敤ㄵ挱㠳㤵㔰㐶㜰ㄸ㥢㔷㐳搲㤷愶て㠵㤰㤳㉡㥦㜸〷戶㜹搳㐷㠱㐹摢戴㡢㥢昷㘱㈸捡〸慢扢ㄶ愴㈵㘲㠶㈷昷㜰㜰㜹〳搷㜷愵㘵㘶扡ㄵ㙢愶ㅤ㉥㌱戴挵户〹慥散㌱慦扢㝢っ㙦慥㜲ち晥慡㘷㡦㤹㘹㥢搲〶挲㤴㝤晢挴㡡㉦ㅥ㐹攲晢攳㠳ㄱ㑣㜲㐳㈹慣换攲㤸晥㐶㘳ㄸ㡥㌳攱戸㝦㤶慡㝥㑦攸昸㙢㔵㐹摥㍥㡦㔰㈵捡慡㘶愳昴扦戹㝤搶挱㌲晥㡡㙥㥦昵㡡㍦㥡挲晤㐸攲㜴㔲㈳昸搲㤱〹㤶挰㤶敦㈳挱㤵㉥㝢搲敤㌲摥㍥愵换ㅥ昷㜴㔹ㄳ㤴㘴晦摣〷愶㜰㤱㌵摢㘵㙤㄰捡㤶ぢ㐳㘹慣㔲戰攸㑤挵昰攳㤶㔸㕡挳㤹ㄹ挳㐸挶攰搶㜴㌴ㅤ㑣㘸晢㍡搰㜴㌶㤶〸㠴㘳攱㐰㉣ㄶ㡤挴愹ㄸ挶㔵ㄶ㡦㤹戸捥ㄲ㤱㑣㔲攳㠷㌰㉤慢㠹㜴㈰㤵づ〵搲挹㘸ㅡ㔷㑥㍣㥡挲昲ㅡ敢昵㔰っ㌷挱㔴㌶ㄵ搷㠶㌸搰戴ㄹ挲摡摤挸㠴挲㤹㈸㤶搶〱㉣慥㘱㍢㄰挶攸㥢㌲挲昱㡣㥦ㄹ㜷昲㈴慡愱愳て㈵愹㈱ㄹ〶攲㥦慢㠴㕥㜷捡㜹㑡㈸㤵㠸户㌴㘹㐸㉣㠴㔰㕥㘴㜷挰㜵捥㐵㌶㡥愰昱㈰㍥晦㔱㑡㥢㜷㑡㥤户㐵㥤㜷㐲㝤㍤㠸晦㘸㈵㤴ㄷ搹㐴〶㙦〲挹㜴㥡㍥ㄶ㐲ㄹ挱〳㔸〲㕢扥㡦〷㔷㐶昰㕡㜷〴㥤㜵攷搵㥥ㄱ㕣愴敡㌹〴愶㄰挱ㄳ散戲㜶㈸捡㤶慦㌳ㄹ摥攷㤲昱㘸㈰㠴戹㈳〷挶㜸ㅣ㐳ㄶㅣㅡ㑥〵㔳戸㝢ㅤ收㐰攳㌱㑣㌰戱㠰っ㘴〳搹〸㍥慡捤挱っ㔳愲㜴㈴ㄱつ㘳挴㑣㘹㌳ㅣ愸㤹㑤㈵搳㔹愰㌰㡢㐱敦〸㈶㜱㑦㡣挷戳㘶ㄶ〳㙤㍣㤶〹㙡㠷㍢㔰慣㘶戱散挴㔰㥢㐹㐵㈲搱㐰搶挸㤸愹㘸㌲㡣〹㙣摣㠸㈷㡤愴㥦〹㠰㜰㕡㠹㙥㐰㐷㑦㤱愴㐹㌲㈰晥㤳㤴搰㙢㤸㍣㔹〹愵愶㔴㤲敡搴ㄴ愷㐱㈸㈳㜸㠱㍢㠲つ戴摣〸攲昳㥦慥戴扤㠶挹㌳㤴㔰㐶昰〰ㄹ㍣㤲昹㌴㝤ㄶ㠴㌲㠲ぢ㔸㔲ㄱ㍣ㅢ㕣ㄹ挱搳摣ㄱ㜴慥挱㔳㍣㈳挸㤴㍦㜹昲挷挰ㄴ㈲㜸慥㕤搶㡥㐵搹扥㕡戲㤹㔰㌴ㅢ换挴㤲搸㔳ち挷〲愹ㄸ㉥㠶㘴〸扦㈱ち㍦㘶㤳㔱敤㌸〷ㅡち攲㜶㤶㡤㘴搲搱㤰㠱〸ㅡ㐹㑣㐲つ挰㡤㄰愶ㄵ㤸搶㘸挷㍢搰㐸㍣ㄶ㑤挲㠶ㄱ挱昵㡤㕦慦㑡㠵捤㜰㉣㠶㥦扣㡣㘵㐳愱㐴挸搰ㄶ㌹㔰㌳㤱つ㠶㌳㤹愰㠹㌱㈰ㄲ〸㐴ㄳ㠶㠹摤慣㔸㄰ㄷ㙣㉣ㄵ㌰㠳㝥愶㈳捡㤳㌸〱㍡晡㠹㈴㈷㤱㥣っ攲㍦㕦〹扤慥挱挵㑡㈸㌵㠹捦愹㡢ぢ㈱㤴ㄱ㙣㜶㐷昰ㅣ㠲捥〵昱昹㉦㔲摡㕥搷攰挵㑡㈸㈳㌸㠳挱㍢㡣攴㘲愸㡡愵㄰捡〸㕥挲㤲㡡攰㘵攰捡〸捥昴㡣愰改ㄹ㐱㘶ㅡ捡㤳㕦〶㔳㠸攰攵㜶㔹扢ㅣ㘵晢ㅡ捣㠶㌰㔳㡣愶挲ㄸ㌶㈳戱㜴挸㌰㠳搱っ㝥㈱づ㘳㕡㌸㤴㡥㠵戴㉢㜲搰㘰挴㡣㤹搱㐴㈲㤳㠹㐵㔲昱〴㜶ㅥ㠳攱㈰㤶㈷㠱㜸㉡㥡㌱戳摡㤵づ㌴㥤㡥〷挳㐹㌳㤰㘱㕣㠲㘹㈳㘹㐴戱㐵ㄴ㌰㌰攲㘶㌳㤹㜰㔸㕢敥㐰㡤㔸〲昳㑤㠳㤳㤴〴㈶慥ㄹ㉣㔴㈲っ㙡㉡㤰挶㔰㘰㐶晤㔷愸㤳㔸〱ㅤ㝤㈵挹㔵㈴慢㐰晣㔷㉡攱搵㘴㕤㐳㜲㉤挹㜵ㄴ㉥㔷㐲㐲昵㝣㜵㜱ㄵ㠴㌲㠲㤳摤ㄱ扣㠵挸㕢㐱㝣晥㔵㑡摢㉢㠲㔷㉢愱㡣㈰戶㤵㑢慣㥦〹扤ㅢ慡攲㕡〸慤愹捡㈸搸捥㑤㔵敥愱㕤㑣㔵慥㠳㕣㐶㌸㙦慡㜲扤㈷昷〶㜰攵㔴攵㍥㕡扥挹ㄳ㜳戳攲㍥㐰㡣敡㌱户㠲㉢㝢捣㔰㜷㡦㜱愶㉡㐳㍣㝢捣敤戶㈹敤㘱㤸戲㝡㠸ㄱ挸攰㔲ち㘶㌱㙤挴㙡㈰ㄹ㑢㈴ㄲ改〸慥㐴摣ㄵ搳㠹㘰㌲敥㕦慤慡㝦〴㍡晥㍢㔴改㔱㤶㘴ち㈳扤㐳㔹搵㥤㤰晤㙦愶㉡㜷挱㌲晥㡡愶㉡㜷㉢晥㙣ち敢㐸㥥㐱㑢挴㍤攰换㄰㍣换ㄲ搸昲㝤ㅦ戸搲㘵ㄱ户换㥣㘱㌲攴改㌲㈶㌹捡㡢散㐵㤸挲㐵昶㠰㕤搶㕥㐲搹㜲㘱ㄴ晢愵㔸㐳愵㔳㔸㐹㐵㘲㔱慣愲戰戲㠷ㄳ㌱㕤㐸㘳晦㍦愸扤散㐰戱挲收昲㉤㤱〹㤸戱㐸挰㌴戰愹ㅡ㡣㘵㌲㐹晣㥥㕦㈶㤰㡣〷戴㔷ㅣ㘸〰搷㑣㌰ㄲ捣㜰ㄹㄷ㌱㐳㈱〳戳㐷㕣㠶㐹ㅣ攱㌲〲昴㔵〷㙡㠴搳ㄸ㔴戳㘹㌳㙡愶㈳㤱㔴ち户捣㐴捣㡣㘳㌵㤲㐹〴挰昱㍦愸㑥攲㌵攸攸慦㤳扣㐱昲㜷㄰晦㐳㑡攸㜵㤱慤㔳㐲㐲昵㝣㜵昱㈸㠴昲㈲敢〵搷㌹㔳㤵て㠹晣〸挴攷㝦㑣㘹㝢㕤㘴㡦㉢愱扣挸㥡ㄹ扣㈶㤲捦愰㉡㥥㠴㔰㐶昰㜳㤶㔴〴㥦〶㔷㐶戰扢㘷〴扢㝡㐶昰ㄹ㔵捦㔷㌰㠵〸㍥㙢㤷戵つ㈸摢ㄷ㐱捣捣㐴㌱㈷挰捡㍣㠸〹愳㘹ㄸ搹㐴㥣摢㈸搸捤㡥攱㔱㡤昶戵〳挵㔲㉣㥢㠹㠵㤲㠱㜴㈸ㅡ㠹㘱慡㠲㜱㉣ㄶ挶敦㐳㠶㠳㌱〳摢敢摡㌷づ㌴ㅢ㡥㘱ㅥㄳ㠹㤸㔱㉣戴㌳挱㤰㤱挶戴㈵ㅡ挰㥣〵㡦㠵㌲搱㤴昶慤〳㐵慤㥣㠲攲㤹づ㝥昷㌹㤲つ㘰摡㥢㑡㤸㤸晣攰㔷㜱㔱づ晢㥦㔳㈷戱ㄱ㍡晡㜷㈴摦㤳晣〰攲㝦㕥〹扤㈲挸㐴㔱搹㠱㈵㕥㙡㔲㐹愷㈱昱㌲㠴㌲㠲㈵敥〸昲搷挵昵㔲㄰㥦晦ㄵ愵㉤㈳戸ㅥ㠶㜲㌳㑥晦慢㑡㈸㈳㔸㐱慤愳ㄸ挱㠵㡣搷敢㄰捡〸㜶〲摦㠹攰摦挱㤵ㄱ摣昸㤳搷㥡晣ㅢ㜰㡢搷攴㑣〱㤵愷㔰〵㔳㠸攰㕢㜶㔹昳愳㙣㐵㌰ㅤ㡢㘱昱㥣挹㘲㕥㡦㠵㌶戶㐲〲戱㐰㈶ㄴ挷搵㤳㌲攳㐶㌴愸㙤攱㐰㜱扢ち㐴捣㐰㌲㤶㡣㈶㈳改㑣㈸㤹挴㥣㄰㤳ち㌳ㅢ挶愳戶㑣㕣敢敡㐰㠳㔹㈳ㅡ㡤㘷戲㜸㤰㠷㈸愴㄰攰㤸ㄱ捡㘲搷っ㜳㕢㑣㠵㐲㕡㌷〷㡡㥢ㅣ㠲ㅤづ〶搳㜸㉣㠲㤵㜸㌲㥥㠸㐷搱㥡ㄴㅥ挱〵戲㠹慣晦㙤㜵ㄲ摤愱愳昷㈰搹㤲㘴㉢㄰晦㍢㑡㜸㈵㍤扣㥣㈴昷㤰㠳㜹慢昲昴愵㤲㔴愷㤲㔴ㄷㅦ㐰㈸㈳戸ㅥ慥㜳慥挱摥㤴昷〱昱昹搷㉢㙤慦挹收㠷㑡㈸㈳㜸〲㠳户㠸㘴㜷愸㡡㝦㐰㈸㈳搸㥦㈵挶㤴敦㝦㠲㉢㈳昸㥡㍢㠲捥㈸晡㡡㘷〴㤹㤰㉡㑦㘱㑦㤸㐲〴晦㙤㤷戵〰捡㔶〴攳挱㐴㌸ㅣ㠹㠷戹㙥㐳〴㌳㐶㉡㙥㘲换㌳㤱㑥挷搲㠱㔸㌴慡〵ㅤ㘸㌴ㅢ㑡愶昰㍣㌴㤱㑡攰〹㉡㌶㑥戳挱㐰㌴㘰㜲て㈶ㄸ㑦愶っ㉤攴㐰攳挹㌰挲㥦㠸㘰㑤〸つ㙣扦挰㘴っ㌳㥢㔰っ㑦慣㌰戵搴挲づㄴ㡦愶㈲㘱〳㡦慥㔲搸㑦㠹㠶㐲㈹散㤰㤹戱㜴〶摢戵㔸㌶㠶㐳晥㑦搴㐹㐴愰愳㐷㐹㘲㈴㜱㄰晦愷㑡攸㜵つ㝥愶㠴㠴敡㔲㕤㙡搲㠶昸て㠴㌲㠲敢摣ㄱ慣㈶㜲㈸㠸捦捦㑣㔹改㍣慦㔱昴㉢㈵㤴ㄱ㍣㥤挱㍢㡤㘴㍦㥡晥ㅡ㐲ㄹ挱晤㔹㔲ㄱ晣ㄶ㕣ㄹ挱㌵㥥ㄱ㕣敤ㄹ㐱收挷捡㐶㡣㠷㈹㐴昰㍢扢慣㑤㐰搹㡡㘰ㄲ㡢戸㔸㈸㥡っ㐵㘳〱㕣㔸㈶搶捣挹㜸っ㜷慢〰慥㥡㄰㤶散ㄳㅤ愸㤱㑣挴攰㘳慣愳㐳戸㘱㐵㌲戸㐲〳愱㔸㌸㥥挴愳㙥晣㄰㝣㔶㥢攴㐰ㄳ戸戹㠶捣㠰ㄹ㐸㘰挰挵㜳挴㐴捣挸挲㘸㌲㡡ぢ搲捣挴攲摡㘴〷ㅡ㑡㐶愳㔸ㅣ㈶搱㌳っ摣㕤㜱㜹㘳敤㠱慤昲㜸㌴㘱㠶愳㤹㠴晦㝢㜵ㄲ㔳愰愳㑦㈵㤹㐶㌲ㅤ挴晦㠳ㄲ㝡㐵㤰㐹扤昲昴愵㈶昱㌹㜵昱ぢ㠴㌲㠲换摤ㄱ㌴〸㑡㠱昸晣㑣摣㙤㌵㠲扦㈹愱㡣攰戹っ摥㌹㈴㐷㐰㔵晣〱愱㡣攰㙣㤶㔴〴〵㡣挹〸㉥㜱㐷搰㔹戲㉦昶㡣㘰㈹㤴㘴㈳ㅡ㘱ちㄱ㘴㙡㉥换摡ㅣ㤴慤〸㐶攳戸〷愵㌳愹㙣㈰ㄲ挵搶㘶㌶㤱㡡㈲㉢㈱㠱改㝦㌴㥣挶㈶愶㜶愴〳㡤挷〲挱㔴ㄶ㑥㐵㐴㈲ㄸ昳㤲戸㔹㐵愳㘶挸挴扡㈰ㅥ㡤愷戴㈶〷㡡㕢㕤〶㈳㘶㈶㠰愵㐷㈴〵愳搹㜴㍡㘵㘰挱㡦换つ戱て㙢捤づ㌴㥣㐸㘳挱ㄷ㌷㐲㔱愴㔱㘴㘳㈱慣昲㘱㍡㠸ぢ㌰㤸㑥㠴㘳ㄹ㍦㔳㠹攵㐹戴㐰㐷㥦㑢㌲㡦㘴㍥㠸扦㕣〹扤㤶散捣㌱㤶㥡ㄲ㥦㔳愷愶搰㈱㤱ㄱ㕣攴㡥攰〹戴㝣㈲㠸捦敦㔳摡㕥愳㘸㈷㈵㤴ㄱ攴ㄷ㔴㕢扦慢㝥㈶㑤㔷㐲㈸㈳㜸ㄶ㑢㉡㠲㔵攰捡〸戶㜸㐶戰挹㌳㠲㝥㔵捦戹㌰㠵〸㙥㘱㤷戵昳㔰戶㈲ㄸ挰搳㈴㉣攴搲戸㥦㘱扣㌳㐳㠹㐰㈰㘸㈶㐳昱㜸㌴ㅤ㐱㙡㐸㐴㍢摦㠱愶挳搱㔸㌶ㄸ㡡挷㌰㘷挵㐵㠸㠹〶敥㜲㐱㙣搴㘰ㅤㅦ㑦㐷ㄳ摡㘲〷ㅡ捦㘰摥㡡愵㘱〴〳㜱㈴㡡晤〰㉥晦ㄱ愹㄰㌲〴っ捣㝣戵ぢㅣ㘸㈴ㄱ挰㡦㔲㘳攴㡣攳㍥㠸㍤ㅣ戴〶㜳搱㔸㌲㤴㐸㠷㌰㡢㡤晡扢慡㤳㔸〲ㅤ晤㐲㤲㡢㐸㉥〶昱㜷㔳㐲慦晢㘰㜷㈵㤴昸㥣㍡㌵挵㔶㄰捡〸ㅥ敥㡥攰ち㕡㕥〹攲昳㌳愹ㄹ㝦㈵扡㔷〴户㔱㐲ㄹ挱换〹㕢㐶㜲〳㑤㙦〷愱㡣攰㡤㉣愹〸敥〰慥㡣攰ㄴ㜷〴㥤晢攰㈴捦〸昶㔴昵摣ち㔳㠸攰㡥㜶㔹扢つ㘵晢ㅡ㌴㜱〷挲收㍦戶戵攰㐵捣晦㘲愱㌴愶㈷㐶㉡㡤㠷㍥㘶㈴愹摤敥㐰㈳改㙣㍣ㄶ挲㙤㉦㠵㕢㈶搲㉡戰慤㠶ㄹ㘴㈰㡣㍤㑥㍥㕥㡣㙢慢ㅤ㘸㉡㤸㑥攳慥ㄶ挷昳愰㐴㈴㤹挴㜵㠵㑤㤹㑣搲挰㡦㠷㈷愳㜸挸愰摤攱㐰㈳㔸戰愷㌱ぢつㄸ㌰㤲挵㝦㈱㘴ㅡ㐵挳㘶㍣㤳〹㜱㍢搶摦㑢㥤挴ㅡ攸攸㜷㤲摣㐵㜲㌷㠸扦户ㄲ㝡㙤扡昴㔱㐲愹改㈸㐹ㅢ愲ㅦ㠴㌲㠲㐳摣ㄱ㝣㤸㤶ㅦ〱昱昹㤹㘳㡤㍦晣搶㈸㘸㙥ㅡ㙡㙤㝣敥愲㠴㌲㠲慢〸扢㡡攴ㄹ愸㡡摤㈰㤴ㄱ㝣㤶㈵ㄵ挱晥攰捡〸㐶摣ㄱ㜴㐶搱㤰㘷〴〷愸㝡㕥㠴㈹㐴㜰て扢慣扤㠴戲ㄵ㐱愴㝥〵攳搸挸㑣㘰愵㠰慢㈵㥢挲㍥㑡㍣ㄵ挷㈶㌶㕣㡢敤㘶敤㘵〷㡡〰㤸㤹㤰㤹挵㤶㌴愶慤㐶㍣ㄵ㌶〲愶ㄹ挲㔲㉥ㄸ㑢愷戰㜴㝣挵㠱㘲㜷㍡ㄳ㌲戰㌰㤷慢捣㜸摣挰攵㘷㐶㘳ㄸ㙡㌹扦㑣㐶戴㔷㜳搰㐰㌲ㄲ㐷㤲㑤㈶㠴慤敢㔰㌰㠲挹㜰㍡㠵搹㌱㉥㕥㉣㉡㡣戰㝦愰㍡㠹搷愰愳扦㑥昲〶挹摦㐱晣㝢㉡愱搷㈸ㅡ㔰㐲愹㐴扣愵㐹㐳㈲っ愱㡣㘰㉦㜷〴㍦㈴攸㈳㄰㥦㍦愲戴扤慥㐱㘶㠲攳捦晡敡㘴晤㐶ㅥ摤㐰昲ㄹ㑤挷㈱㤱ㄱ晣㥣㈵ㄵ挱㈴戸㌲㠲摤㍤㈳搸搵㌳㠲捣昳㤶昵㝣〵㔳㠸攰摥㜶㔹摢㠰戲㍤㡡㐶㜱昹㘱搸挴戸ㄹ挱㤴摦㐸㈶戱て㤶㡡愴搲㔸ㄵ㈲㌵㉡慣㝤敤㐰つ㈳㤲㡣〶㤰搵ㄴつ㐴攱攸㜰〲ぢ㤱㑣㠰て昲昰挸㍥㡡改挹㌷㌹㘸〰㕢〲㐱㍣㔳㌰挲搹㐸ㅡ搹㝣㔸㕡攰昱㉣㐶㘶慣ㄸ〲㠹愸昶慤〳挵㔳㍦ㄳ捦㝤ㄳ㜸㐴㤱㠸攰㍥㡢㑢㍦ㄵぢ㘳〷て㔳愹戰ㄱ㡤晢昷㔱㈷戱ㄱ㍡晡㜷㈴摦㤳晣〰攲ㅦ愴㠴㕥愳攸扥㑡㈸㤵愴㍡㤵愴扡愸㠶㔰㐶戰挴ㅤ㐱㠱㈴㈶扤ㄴ挴攷ㅦ慡戴扤㈲挸扣㜴晣搹ㄱ㕣捤愳摢㐹昸ㅤ㌶㘲㌸㈴搶戶搹㜷㍦扡户捤㍡搳㉥戶捤㤸戴㉥㈳㥣户㙤㌶搲㤳换摣㜳戹㙤搶㠵㤶昷昳挴散慦戸㝥㘲㔴㡦ㄹぢ慥散㌱㕦愱ㄱ㉡㝤㐶㜷戶捤晥〳㙥昱晡㜳扣㙤㑡敢づ㔳㔶て㌱㐳搱㘰捡㐴㝡ㅣ敥户搸愴㐱㐲〶慥㘰慥攱搳㈶ㅥ户㥢ㄹ晦〴㔵㝤て攸昸㈷慡㤲摣㌶㥢愴㑡㤴㔵㑤㐶改㝦戳㙤㌶〵㤶㌱㝦㉣摡㌶㘳㈶扡攴昳晢攸昵戵㈴㍢搰㐹搳㔵扢㝡戲愴㕣㜶㈰戸搲㘵ㅦ扡㕤收っ㤳ㅦ㜸扡㡣㈹收昸挳㈲ㄴ愶㜰㤱ㅤ㙣㤷戵㥤㔰戶㕣㤸㑣挰㠵戱㔴搰〸㈷㜰戱㘴攰㐳㙣㤸㈴戳ㄸ〷戳㈱㍣ㅦち㘸㝤ㅤ㘸㌰ㅤ㌴㌲㔸㠴ㄹ〱㙥㡦㘰㐲㤳つ挴㤰㘴㥢㐴㝡㉣㌶㔵㡣㠴搶捦㠱攲㜹㔱〲㕢搶㔹慣敥㐲戸摦㘱㘵㤱㑡㈰㌱〲㥢㘷〶㐶挳愴愱敤散㐰㈳㈹㌳ㄸ〸㠴つ散昹㤸ㄱ㘴㌵愵昸㤰捡㑣昱㤱㝢ㄶ扢〱㘹晦㈱敡㈴㜶㠱㡥扥㉢挹㙥㈴扢㠳昸て㔵㐲慦㡢散㌰㈵昴搰ㄴ〶㠴昲㈲㝢ㅥ慥㜳㤶散ㄱ㕡㡥㠲昸晣㈹愵敤㜵㤱㌱㈵ㅥ㝦昶㐵昶㄰㡦ㅥ㈴ㄹ〴㔵愴搵㕡㠱搳昷㘵〹㙣昹㥥〹慥㡣攰挳㥥ㄱ㝣挸㌳㠲㑣㜸㤷昵っ㠵㈹㐴戰搶㉥㙢㌵㈸㕢ㄱ㡣愷㐳㐹㙣㜵㘲㝦ち捦㠷㐲㔸㌱㈷挳愱㉣㈶昸昱㔴㌲㠴挷慣ㄹ㙤㤸〳捤攲愹㉢搶搲ㄸ㑤昱ㅢ改〶ㅥ摣攱戹㤰ㄱ㡣㐶戰攳ㄲ㐸㘵㡣戰㌶摣㠱㥡㔸㜹攳ㄱㅤ搶〸㈱散㤷〵㌱㥦㐵㘶㔳㌴㠹㜵〵戶㐴㌱慢搴㐶㌸㔰㕣㜹㤱㘴ㄸ戳ㄵㄳ戳㔸昴㈳敥愷昲昹㈲ㄲ愶戰㡤㤷㌶晣㐷愸㤳ㄸ〹ㅤ㝤ㄴ挹㘸㤲晤㐰晣戳㤵搰㉢㠲㜵㑡㤸搳愴㤲㔴ㄷ㡤㄰捡〸摥散㡥攰ㄴ捡愷㠲昸晣㜳㤴戶㔷〴㡦㔴㐲㌹㔵㜹㠲挱㝢㥣攴㔰㌶慡㐹〹て㐳愹戲㐳㌹㔳捥昷㙥晤慢㐱㕤愹挸晤昱つ㝡昸愶㜵㌳㠳敦㌷挶㉦づ户㉣ㅣ摥搰搲戴㤰㌹慦ㅤ昰晤挶搶户〲㤷㤵敥戵㜹戶㤸昳挹敦㑤攴扢㝣〵捥晡晦㘰㠷㝤㌲㤷愸㐹㡢㍢攲慤ㅦ㡥ㄳ㉥㍦ㅡ愷敢昹攵㝣㔶㝥昵㘴㝣戱戳㌹戰㘶㘸㝣攰昰〵㘹戳慥〶摦㠶㠸捣㙣摣扥㑡㝡搴㡦㙥挶㈱㝥㘹㜹㑡㘳戵晣㝡㍥㈶㜱㙦愱㤲户晢搷㡦㥣㕢㥢㠱ㅦ晡攵㌸敡ぢ㌰㤵摡昸㈶㐷慦㌲㠷挲户㠶昷挸㤵㕣摦慡扣㕤㡥㡢敦㍤㠵挳捤㡣戲搸㕣㈲昰改晡づ挲昳㠷っ㠶㌵搶攳搷攷〷㈲摤㕣ㄹㄸ摥㌰户㥥㉥搸捥攳㕢愵㠷搶戶挸㙦㘵摦ㅥ㜲愱捦㠷㝢戴ㄴㅣ戵挵愰扥攳搵㤷〳昷慤敥㡢捦㤲㤵㕦㡥愸晣㠹ち昳愳挰敡昹挲㉦㠷挲扡㌸〶昵㌰ㄴ㐲攷攷ㄶ戴㉣㜸ㅤ〷昵ㅤ㈹敢㔹㡡㝡ち扦〱㑦收㍥摢㈷挶敦㠷愶㥢㥡ㅡ敢㐶㘷㡡㙢㠱㍤搴㌲㡢戵ㅣ敢搴戲㤰戵ㅣ㘱搵㌲㠲戵㠸ぢ㔱ぢ㙢攲㝤捡愷搷ㄱ㝥㥣〳攷挷ㅥ戴〶ぢ㍥㕣挲捦户攱散敥㍥㝤づ攱㥣扥搲〲晥㉢ㄱ㡢散〲捤㠹ㄳ散〲挱攲㐴ㄴ攸㍡ㅣ㤷㔴昱昳〱散㑤㝣扢㕥ㅢ〶摢㠵㈱搶晦ㄵ昶晦晥㈱搶㜷㝦㝥㍡戸敡っ愵㜹愸攸扤戸扡㝣晤昱㠵扦戴㘲㙢慥戳晥㔷搴㍦㐴㥣て捤㝥㈸敢敦㤱扣㑦昲〱㠸昸ㅢㅡ昵㌶扥㍡㝢昹㝥ぢ昴晢㙦ㄹ㕢戳攴愷扤捥晡收㠷捡㠸㌸换ㄶ㝣㜹摣㠳愷晤戱攵挷攳捥㝡㜷㜲昸挶ㅦ〶ㅦ敡㕦っ㑢昸挳㤶〸捥扦戲㠳攰㘷〲㌸㝥㠸㌳愰挱㡢㤶㔱搶ㄷ搰㌹㤷㠱㙤〵昸㘲ㅣ㘹㐷㠱㠷㉥㌵㉥慦㑢㠵挵㈹搰㔱扥昱改挷㔰㜱㤹愳挸㡦つ㘸挷㠱㠷㥥㔱㠳㈰㠴挵〹㠰攷㘲戶㠸昰换ㅤ昸㔲挲㑦戴攰挳㈴晣㔸ㅢづ〱㘲㜶㌲攱㔷㌸㜰㝥㝣㐰㍢搵㠲て㤵昰㠵㌶摣ち昱改㠴㜳攰㜶㐲扣摣㉥挸㄰慦戰ぢ㌲挴㉢㔱㔰愷㔱挵晣晦捤ぢ昱昵㑡戳慤㄰ㅦ㌲慡敦挳㌸ㅦ攷昵挳扡㐳慡挵敤搰昴ち㜱ぢ㑥挹㌳挴捤戶㘰搵㤵挷㈷摥ㅡ晤敢搸搵㡦㑥ㅣ昴收散慦昶ㄶ㜷挰ㄲ慦㈹晤ㅣ㥣㍦捦㔴㥥慤捣㈲㈷昷㕣㝡〵〷㝣晢敦〶ㄶ㝦昸搲㈶㜰搱ㅤ敥㐷挱㡡昹㝤㌸搲ㄶ㠳慢㜱ㄸ㠹㈷换敢㔱摦ㅥ慤摦ㄹ㜲摦㔹慢㠶㉣㝥慦㔹挱㈰づ〶挲戸㠴㉤㜸〰昶㘹㤲㉣挱摣敢摣挹攷㝥ㅤ㘸㔶㙢㈷㍦搳ㄶㄴ晥㈶戹晦㜱㔸挲㕦㠹㝥愹㜵㐲㑦愳㈰晢户〹つ愷㝦㉦㘳ぢ㤸㜴㙣㥤敢㌳㌸搲慥〰捦㥦摦扦攳〱㘱㐰㑤昵ぢ㥦扥㥣㝡㉦㍡㝡捦㔲㙦㈵㜸昰搱戰扥㐰ㅦち戴敡㙣㍥㝤ㄵ搱㉦㌹㘸㈶㘳㙢搷㔸攸ㅡ愲て戴搱㡣て扥㑢㠹攸㤷ㅤ昴昳㐴摦㘰愱㠷ㄲ㍤搵㐶㕢㝤晢㈶愲戹㝦愲慡ㄳ慦摡〵ㄹ敤搷散㠲散摢㑣扤㔶攷㔰昵づち㥢搷户摦㔵㥡㙤昵敤㤷敥愹㜸㤸㈱㔵慦㤳〲愳慢〵㔳愸㜳攱捤つ㕦ㄳ㜰㑡㥥㝤㝢扣㉤㈸晣挵㜵晦㍦㘱〹㝦昸敡㈴㥣㍦晡敢愷㈸挸昰㡥㠵㠶ㄳ摥㌵㜴づ㔳㡢慤昰㝥㠶㈳敤㉥昰㌰ち昱捥ㄱㄲ愳㙤㕦㕡㥥㕦㑢昸㔷づ晣㜳挲敦戵攰扣㜳㠴挴㜰ㅢ㙥戹晥㝥挲㌷㌸㜰㈶㔸㙢て㕡㜰摥晤㐲愲摡㠶㐳㠰戸慥㈳晣㙢〷晥ㅦ挲ㅦ〱慦攸昶ㅣㄲ㠳愰愸〲攵搳ㅦ〳愸敡ㄷ挲㘱攷捦摦㙤㝥㔵㥡㙤㠵ぢ㤶搷攱敤㝡㔵っㄱ㘵攵摥攱㑡愰㜹㥥攱㡡摢㠲挲摦㠷昷㤷挳ㄲ㥡㠱㉤㌶㥣ぢ挲挵㠴㘹ㄹ慥㈸㌴㥣㜰㍤㐷て㜵㠱挸ちㄷ戳愸戵ㄷ挰㐳戸攸晦戰〸〲捤㝥㙥昹晦㈵挲慢ㅣ㌸㌳愹戵㔷㉣㌸愳ㅢㄶ㝢搸㜰㉢扡慦ㄱ捥㔴㘵换㍡戳愹戵㌷㉣㌸挳ㄵㄶ扢搹㜰㌶搴愷扦㐹㌸㔳㤹㉤㌸㌳慡戵户挱㉢ち㔷㔸昴㠳㘲㉥㕣敦〲㔴挵㐴攷捤ぢ搷昶㑡戳敤㜰㔵慣㜳挵ち㠷扢づㄱ㝤愱搹て㠷㠵㤳㠳㕥㘸㥥㘷戸㜶戴〵㐵扦㘶捦㑣㙡づ摡晡㐷㌸ㄷ㝡㑦㡥㈵㌲㐵㥡摣㝦搰㌵㌸攰摢扦㍢戰㌲戴ㅦ㠳㡢搰敥㠹戲攵戲㠱㌸搲晥〵㉥攲㌷ㅥㅥ㑥㡡㙤㔰愱ㅡ敢㝤晡㈷㌴ㄳ〷愸ㅦ㡤捡ㄹ㑤㙥挴敦摥㕡愳扢搹㠲挲ㅦ㤸昷㌳搵㔸㌶攴㑢慢㈱晢愰㉣晢搸ㄶ搰㜰晡搸〶㔶㕡つ㤱搵挶㐱㌸搲扥〱慦㜰挴㡦㡡㑡愸攵愲扡㤱㝡㐳ㅤ㍤㘶ㄴ㙢摦㠳㘷㡤昸㔱愱〳慤㠶㘰㥦晥㈳搱㌵づ㥡㐹挵摡捦ㄶㅡ㘳㜸㔴㤴摢㘸慢㈳晦㑡昴㌰〷㍤㠴攸摦㉤㌴敥て㔱㈱㙣戴搵㡦㑢昰㉤㙦㔵攳㠸㠱摢晥晣㜰㌰㕥㘹戶搵扦㝣㌷昴挹ㅢ扤捦㙡ㅥ㔳㉤愶㐳戳㥦ㄳ慡摣攸晤敢て慤昴慦㕦㙣挱㝢㙢㍡扣㜷攱晣㕤昷㕦㔱昹挱昱つ挳摥扦挲捦㥣㘲ㄹ㉡つ攷㠲㍥㜳〸捡㌲㔴㍦㐱挳〹㔵〵㠴挲㠰挸ち搵愱㌸搲㝣攰愱㍢昱㠲㡤㡡敦㠰捥昹扣㌳攱㈹〷捥㡣㘱慤㡢〵攷攸ㄱㄵ㕦摢㜰换改㝥挲搳づ㥣㔹挳㕡㔷ぢ捥搱㈳㉡晥㘳挳㉤慦㜷㈷㍣攳挰て㈷㝣㑢昰㡡㠶㠳愸昸ㄴ㡡戹㡥戳㌵㐰㔵つ㠴㙦㔶戸ㅡ㤵㘶㕢攱㉡㈹㈹ㅣづ㌶っㄶ昳愱搹捦㈳㕣ㅦ愳㜹㥥挳挱㍦㙣挱㍤昷㍥昳改搸㔵捦搵慣晤㕡敢攰扦敡㤳㘹㝥㈶㄰换㜰昵挴戹㈰㕣挷愰㉣挳昵㈱㌴㥣㜰昵愲㠷㑥㠰挸ち搷戱㌸搲晡㠰㈷慦㤰㔸㐲扣〷㜰㉥㕡㝤㠹㍥搱㐱㌳㍢㔸摢搹㐲て敤ぢ昴㕢㌶摡ち搶慥㐴㥦攴愰㤹㈰慣敤づ㕥挱㔵ぢ扤搷愱㤷㜳晥〰敡㥤散攸㉤愲摥㐰慢㤶ㅡ搶昲戲㕤㡢ㄵ攳〰㈴㔵攷㄰戳㔹愱㍡㔷㘹戶ㄵ慡摢㍥ㄴ敥㉢㙢搱慥攲昰㙡㜱㌱㌴晢㜹㠴敡㌹㌴捦㌳㔴捦摡㠲て㥡敥晦慤戴攷晢㌵慢户㍦晤愱摡㠳㑡挳㝥㘶ち换㔰挵㜰㉥〸搵㌲㤴㘵愸㥥㠶㠶ㄳ慡〴摤戲〲㈲㉢㔴㤷攳㐸摢换㜲换㠸扥戱愴㜸㍣捦㉤晢㄰扤搲㐱㌳つ㔸摢搷㐲て㈷晡㘱ㅢ㙤㠵㙡〸搱㔷㌹㘸㘶〲㙢㐳挱㐳愸摣扢㄰搰㝢〰㝡戹㔰つ愳摥㉡㐷㙦㌹昵㐶㔸戵㡣㘴㉤昷搸戵昰散㝣晡㈸愲㤹㝣愱㝡㤴㘰挶㉦ぢ昲㔶挵捣㕦ㄶ搸㈴挱っ㘰㔵㑦搵㉤㈸㙣㕥㜸㙦㔵㥡㙤㠵户昸㑡㐴〳敥㠶㘶㍦㡦昰慥挱㈹㜹㠶昷づ㕢戰攰㔴晦ㄷ搷扣昰晡搰㌳㠲慢捤㍢づ㕡搳㕢㌰㙦㤸㜷㕤㝤ㅣ捥㥦㘷㉡捦㔶㈶〴㤳㍢㥥㕥挱〱摦晥〷㠰㤵㕤㘱〲戸攸ち㡦愰㙣挵晢㘱ㅣ㘹㤳挰挵㐸㍡㑥摥㤸㙦㐶㠵戹ㅢ昳ㄴ㥡㜹ㄴ㈰挵ㄲ捣㤴敤挷ㅡち敥搲搷戵㜶〶搷摡㠲收㌵捦㙣晢挰戵㍦㡥㌹愳慥昲㠱㤲挰㌵搳晣捣戲㤵慤㍡挸㙡搵㡢㈸换づ㝡㌵㌴㥣づ㝡〸㕢挰っ㔲慢挱捣㥦搵づ〳て㘳挹㠸扥昱㠸㔸〱戰ち戶㑦㍦㥣㘸㘶慡㕡㘸愶搰㙡㈹ぢ㍤㥣攸换㙤戴搵㐱㌳㐴㌳愵搵㐲㌳㡢㔶换㠲㔷搰㐱愱户ㄴ㝡慡攳㘰ㅢ㡡㝡㝦㜷昴㤸㔲慢ㅤ㘱搵㌲㤲戵㕣㘸搷㘲㜵搰㍡㐸慡㍥㈴〶㙥攳摢昵摡㠴㉤愲㡦㤴收㥦敢㙣搸㈲㘲㑡㙣㍦㔴㔶㌸ぢ㍣て捤昳散㙣攷摡〲昳㠶㙥晢捥㥥㝡敤搰㑢愶ㅦ晥搴づ〷扦㜲戱㥦改戴㌲㔴㑤㌸ㄷ㜴愰慦㔰㤶愱㍡ㅢㅡ㑥愸㕡攸ㄶ㈶㠸㕡敥㘴愲慣㌶て扣〲㜷挶攲攲っ愸攵摣戹㠰㝡㑣㌱戵昴㤸㌵慢ㅤ〵㥥っ㌱搰愷〰㥤ぢ昱㌱㐴㌳㉢搵㐲㌳㜱㔶㍢捥㐲㘳㜴㠸㡢ㄳ㙣戴攵晣㐵㐴晦攰愰㤹㍢慢㥤㘸愱㌱㘲挵挵戱㌶摡敡㄰㈷㐳㔲㈵㄰愳捤ぢ㔵愹搲㙣㍢㔴慥昸换挳㕥㐳〴戳㘰晢㜹㠴㙡〱㥡攷ㄹ慡昹戶攰搸捦愷扥㌹㙡昰愳挳㙦摢慢攷㜹敢搶扤㔷敥敦〴㑢㌲㔴㘷攲㕣㄰慡㉡㤴㘵愸收㐲挳〹搵摦攸㤶敥㄰㔹㑥昴攳㐸㍢〷㍣っ〳摣㤴ぢ㠹㈳㙤扦㔸户挳昳〸敦攱挰户㈰㝣戱〵攷愶㕣㐸搴摢㜰换改㑢〸摦搲㠱㜷㈵晣㈲昰㡡昶ち㐳愲ㄶ㡡戹㥥㜰〹ㄵ户㜲ㄴ扢㔱昱㔲慢ㅥ敥收㠵㠴㘹搷㘳㠵㙢ㄹ㐴㔵扤〹㠲敢昸㜶扤㌶攱捡敡愳㌴摢っ搷㈳摢扢敦搲㈵㥦散戱㜵戵搸ㅤ㥡㕥攱㍡ㅣ捤昳っ搷っ㕢㔰ㅥ扢㜵挴愰㈳㡥ㄸ扦㜴慦昵晦ㅥ搵㙦晡敦晥晥戰㈴挳戵ㄲ攷㠲㜰敤㠹戲っ搷愱搰㜰挲戵㡡㝥㠹㐰㘴㠵㉢㠰㈳敤ㅡ昰攴ㄵ㤲㑣㠸〳㙤户㔸搱扡㡥攸愸㠳づㄲ㝤〳㜸〵搷㈱昴愶㐲㉦攷晤㥢愸ㄷ㜳昴㐲搴扢挵慡㘵㜸㕦愰㈷摡戵㔸捥扦㡤攸戸㠳づㄳ扤摡㐲㡦㈴㝡慣㡤戶扡挴ㅡ㐸慡慡㠹㐱㡣昸㜶扤㌶㈱㔴㐳㤵㘶㥢愱㉡搹昰㤰换㉣て㠷㠸晤愰改ㄵ慡㔱㘸㥥㘷愸㐶摡㠲〳扡扥戰昵㤹㉦昶ㄸ㝦捦改てっ㕦扡昴戱慤晣晢挳㤲っ搵扤㌸ㄷ㠴㙡㍣捡㌲㔴挳愱攱㠴敡㝥扡㘵ち㐴㔶愸㈶攰㐸㝢㔰戹〵㉢戸敡㍣户慣㈳㝡慡㠳㥥㐸昴㈳ㄶㅡ昷慢愸ㄸ㘴愳㉤㤷㍦㐶昴㌴〷㍤㠹攸㈷挰㉢〸㉣昴㤲搰换〵昶㈹敡㑤㜷昴㈶㔳敦ㄹ慢ㄶ摣㐳愳㈲㙡搷㘲㜵㥦攷㈰愹㌲㠸㠱〳昹㜶扤㌶㈱㔴㈹愵搹㜶愸㍣㤶㈹㐷㐰搳㉢㔴〱㌴捦㌳㔴㝢摡㠲敢㉦㤸㌱昶敤㈷㔶㡥㍣攳晢㘱愷慣扢敦捣搵晥搹戰㈴㐳昵ち捥〵愱㙡㐴㔹㠶㙡て㘸㌸愱㝡㡤㙥㘹㠱挸ち搵ㅣㅣ㘹㙦㠰㠷㐱㤰敢扥愰搸㉤捦㉦㙦ㄲ㍥搷㠱ㅦ㐹昸摢ㄶ㥣慢捡愰攸㘷挳慤㘰扤㑢昸㍣〷摥㐴昸晢ㄶ㥣㙢搶愰攸㙤挳慤ぢ㘴㍤攱昳ㅤ㜸㌳攱ㅦ㠱㔷戴慡っ㡡ㅤ愰㤸ぢ敥挷〰㔵㥤㐰㌸攲挴户敢戵〹攱㍡㔱㘹戶ㅤ慥挲㉢㙢攷㈱攲㑣㘸㝡㠵㙢㙢㌴捦㌳㕣㕢搹㠲㌳摦㍣昴挳㌷㙢㜷ㄸ扤昴晣昵摦㕥㘳㍣戹扢晦㉣㔸㤲攱晡っ攷㠲㜰㥤㡢戲っ㔷て㘸㌸攱晡㠲ㅥ㕡〲㤱ㄵ慥昳㜰愴㝤〹㥥㝤捦ち㠸㉤㠰捥捤ㄳ㌶㄰㝥愱〳㍦㥦昰㙦㉣㌸敦㈵〱㔱㘹挳慤㜰㙤㈴晣㈲〷扥㤸昰敦㉤㌸㙦㜱〱愱摢㜰㉢㕣㍦ㄲ㝥戱〳扦㠰昰㥦挱㉢扡挵〵㐴㌹ㄴ㜳攱晡ㄵ愰慡ㄵ㠴㈳㑥㝣扢㕥㥢㄰慥㤵㑡戳慤㜰㜹敥戸摦〰㑤慦㜰㤵愰㜹㥥攱晡攳㝢㑢戰㔷挵搵扦㍤戸晤㜶愳㔶ㅦ㔹㌳扤㘹敦㠵ㅢ晣㌷挲㤲っ㔷㈹扥㐴㄰攱扡ㄵ㘵ㄹ慥摦愰攱㠴慢っ㐲戱〶㈲㉢㕣户攱㐸搳挰㤳㥢〰昱㤰昸〹㘰㐶换昲㘷〵搱㜷㍡攸摢㠹昶㠱㠷愱捤晤㜸ㄱ㝡摦㐱㉦攷捥捥搴扢换搱㕢㑤扤㉥㔶㉤搸㌰ぢ㠹慦敤㕡慣愱捤㑦昴摤づ晡づ愲扢㕡㘸㙣挶㠵挴㝦㙣戴搵㈵扡㐳㔲昵㌰㌱㠸ㄱ摦慥搷㈶㠴敡ㄱ愵搹㔶愸㑡扣愶ㄷ捦㐰搳㉢㔴㥦愰㜹㥥愱晡户㉤攸㕦㔵昹挱㍥愵㡤㈳㑦扤攱㥤戳㉥ㅣ㜱改㐳晥㘷㘱㐹㠶㙡㕢㥣ぢ㐲昵㈲捡㌲㔴晦㠴㠶ㄳ慡敤改㤶搷㈰戲㐲昵ㄲ㡥戴㥥攰ㄵ㡤㍤〱昱㈱昴㜲摥敦㐵挵搷ㅤ挵㤷愹搸〷㍣㕣㤲ㅣ攳〲攲㍤挰㜳㐱敥㑢昸ㅢづ晣ㄵ挲㜷戶攰ㅣ㐱〳攲㉤ㅢ㙥昹㝦㔷挲晦敥挰㕦㈵㝣㜷ぢ捥昱㌹㈰㕥户攱㔶㜰〷㐰㔴昵㈱㐱㠸ㄳ摦慥搷㈶㠴敢㈳愵搹㘶戸㑡㑡搶戹捣攲㄰〳攱㘷搰昴ち搷㑢㘸㥥㘷戸㕥戴〵㉢敥慡㌹㍢昴捥戲搱昷㕥扦戱攵㠰㈵㈳㙦昶㝦づ㑢㌲㕣㈱㥣ぢ挲昵ㄵ捡㌲㕣捦㐳挳〹㔷㠴㝥搹〸㤱ㄵ慥つ㌸搲㘲㤶㕦㌸㜹㡦㠸愷昳晣㤲㈰晣㍢〷晥㌵攱㝢㔹㜰㡥㙣ㄱ昱戸つ户慥挴㝤〸晦摥㠱㝦㐳昸扥攰ㄵ㡤㙣ㄱ昱㌰ㄴ㜳㥤㘱〸ㄵ㝦㜰ㄴ扦愵攲㔰慢ㅥづ戸ㄱ昱㠰㕤㡦ㄵ摤㘱㄰㔵㌱㐷ㄴ戸捤〸㔷愹搲㙣㉢㕣㜳㙡㝢扢㈷敦敢㥥㔸㌸愱㕡昸愰改ㄵ慥戵㘸㥥㘷戸敥戶〵扦㉦搹㙤户愹㝢っㅣ㜳㑡攳㥤搷敤戰㜱挵㘴挱㈴㔴㙥戰攸晢攱㕣搸〹昹ㄶ㕤ㄴ㜷㝦㍡㠴ㅣ扣晤㝥㜰㘵㘸挷㠰㡢搰㌲㠹搳㡡㕦㜷ㅣ㘹攳挰挵挸㌸づ㡦搵挵敤愸㑦敤户昸昴〹戴挲㐴换㕣㥢㜳捦㐶㙥㙡慤捤㌷摡㠲㌹㘷㉦㕣昹晤挰昱㐳敥摡㌸㙦攴㔷ぢ㥥㥤改敦愹摡㌱捤㙡㐷ㅦ㤴㘵ㄷ扢ㅥㅡ㑥ㄷ㍢㠰㤵㌲ぢ搱㙡㈲搳㉦戵㠳挰挳㠵捤㍥ㄳㄵ㔷〳㥤扢戰て㈱㝣㔷〷摥㤷昰挳㉣㌸㝢㘴㔴慣戰攱搶㤵㝡㌸攱捣㠹戴慣㌳つ㔳㑢㔹㜰昶㤴愸戸摣㠶㕢㍤㈵㐳昸敥づ㝣㘷挲戳攰ㄵ昵挸愸㔸ち挵㕣㡦㥣〵㔰㔵㠴㜰㐴㠰㙦搷㙢ㄳ㐶〴愶㔵㑡捤戶扡㤸攷昳ㄱ㘶㔵收挲㤵㝢㍥戲〴捤昳散㘲ㄷ搸㠲㈷ㅡ㥥㍤慡戱搳敡㌱㔷㝥㝥挱攳ㅦ摦戲摥敦摦ㄷ㤶㘴户㘹挰戹愰摢っ㐵㔹㠶敢㝣㘸㌸攱㥡㐳て㌱攵搰㜲㈸㜳㉤戵㈶昰散㜰〵挵搹㐰攷挲搵㐲昸㈸〷㍥㡣昰㜹ㄶ㥣攱ち㡡㌳㙣戸ㄵ慥〵㠴㌳〱搲戲捥㥣㑢敤㈸昰㡡晣ㅦㄴ愷㐰㌱攷晦㘳愸戸㥦愳㌸㠲㡡挷㔹昵㌰捥㐱㜱㠲㕤㡦ㄵ攷㐵㄰㔵㑤㈱〸㜱晡昳攱㘲づ㘵扢攱敡戵攸㤷㜵慥㕥㔰㌲愴㙥㑡戵㘰ち愵㔷戸㡥㐱昳㍣挳㜵戴㉤㌸攳㡥敤づ㘹㕥㌶㘰搸敤㤷敤扣㜶攳戴つ愹昲挳㘰挹㌳㥢㡥ㄹ㤷捤〳攵㡦搴昳㍢㠷捤㘶挹愸㐲㔳捡戳㑣㌹散㤴戵搸捣㤸㤴扦㠴㕥㈷扦㘲戸㜳㜶慣搱㌴摢㙣ㅡ㔳摢㘰㌶㜷捥㑥慥慤户扦㌱㜶㔸㘵㤶㍦㄰㡢愴捤㜹昸敤昴㈶㕤㤶愸慣㘵挷㌷㠱搱㌱㍢扡ㄹ扦昵㥤愹愸㥦㘰戴戴㤸㑤つ㝦㠵慦ち挵㤷㍥昳搷㠳昰㤲扦敢㕣敡昹㝤换晣㈲㘵捦㐴㐱换㠵㌹㝦愸摦㝢㉥㉤慤㄰愵㥢昷㐵愱摡愹攸㜲敥㕦㝤换攰晢㌷㥢㙡㔳㜳㕢㙡ㅢㅢ捡挴㐲㠴搹捡敢㕦㔴㈲戳㤲㑡昰㝤挰晡改搰搱捥〰改㠰㘴㑣㌹戸㠳昸昴㌳挱㤱扦〰㈱㐹㐹㌹ㄳ㔳ぢ㑦㤰摦㠲捤㕦㘹㈹㈹㥦㕦㥢㘹㤹愵捤㌲㙢㘷捥㙡挱户㕤㜷攲㔹慢㔷㔹〶慡㙤㘵㜵昲戲散㔸㍦挳㘸㙡㌲ㄶ㔶搴捦愸㌳ㅢ㘶戶捣慡㤸㌱て㘹慣㘸㌷㤴㉢㉡㉡昴扦愱㍤ㅣ㌹攴㍤㘹ㄶ㤸戴慡㥦つ㉥ㅢ挰户㘰㝥愴攴㥥攳收捥㔱摣㜳摤㕣㈶〷戲㜷㙢攷㠱摢扡换ㅡ㍤㕤戶ㄸ㍡㍡㕤㤶㜳搷ㄲ戲昸㠳ㄹ㤶扢〴昳ぢ改㌲昵ㄲ挷愰㈰ㅢ㜷ㄱ㤰捥㠹㉣㔲摣㡢挱㜵㑥攴㘴挵扤挴捤㍤㕤㜱㤷扡戸晥㜳挰㤵㈳敡愵攰敡㤷㤱㉣〳昱昹㤹〵㈷〵㤷愳㠸愱昶㍣㤴攵ㄹ㕦㠱㜲ㄵㄲ㝡捤㌴㝥愲扢搷㍣㝥ぢ㜸㜳愹㌰搴㤹㝥ㅥ摡㈶搷㌹㤶〳慢慤〰改㠰散㌷挱〶攲攵搳㔷㠲攳㍥摢㈵慡㘹慢㈰㜰㑥㠳〹㙡戲挶慢挱㙤摤挷〷愹㥡㑢摣摤昲㕡攸㘸搷㠱攴㜷换敢挱㜱搷扣っ㜵攴昹㜹戹㙡捡㡤㐰㍡㝥㕥愵戸㌷㠱敢㌴昰㍡挵扤搹捤㘵攲㤹㡣搴㉤㙥㉥搳戱㜸㌲㍡慦戱㌲㌱挱戳搱户㐳㔶搰㌱敥㈰换搵㌱搶挰㐶㕥㠳㤹㥢㈵慢扢搳㕤摤晤㡡㝢㤷㥢扢㑥㜱敦㜶㜳ㅦ㔳摣戵攰㍡愷捣㠴㈴㔷㠳㐷㜸㌶昸㍥㘸ㄴ㌴昸〱戲㕣つ㘶敥㔲㕥㠳㕦㔲搵㍤攴㙥挴㙢㡡扢捥捤㘵慥㤱㍣戹㠷摤摣㜷ㄵ昷ㄱ㜰㔵㠳晤㑣挹㘱㐱㝦ㄴ㕣晤㌱㤲挷㐱㝣㝥㘶攵㐸挱ㄳ㈸愲㈷㝦㡣戲㍣㌳昶攴㔲㤱㔰㘷㤶搷㜳㥦愶㍥㝢㙥慥搷㍥㑢㤶敢捣㍥㔱捤㜸㥥㜶㔰㌳摦㠲㐹㌶搲㍡㝢㙤㤹〸㉡敢㈵敥摥昹ㄲ㑤戱㜷收㐶㠰㔷挸㜲㔹摦〰㍢㜹㝥摢愸慡㝢㡤㠶愱㉡㠷㌲㈶搴㐸て扤づ慥搳㠸㕦ㄵ昷つ㌷户〴㥢㉤ㄲ晢㜷㌷㔷〳搷ㄵ攸㕤㍣ㅢ晣㌶㌴ち〲晤㉥㔹慥〶㔷挰㑥㕥㠳㍢慢敡摥㜷㔷攷㔷摣て摣摣敥㡡扢摥捤摤㕡㜱㍦〴搷㌹攵㥥攰扡㍣扣㠳㘷㠳㍦㠶㐶㠱㠷晦㐵㤶慢挱扤㘰㈷慦挱㝤㔵㜵㥦戸ㅢ戱慢攲㝥敡收づ㔰摣捦挰㜵㥡ㄶ㔰摣捦摤搸ㄸ戸㙣戰昶〵戸慤て㘴摤㍣㑦攴㑢攸ㄴ㥣挸〶戲㕣㈷㤲㠰晤扣ㄳ搹㐷㌵攳ㅢ㜷㌳㠶㈸敥户㙥敥㌰挵摤〸慥㜳㈲愳ㄴ昷㍢ㄷ搶捦㠷敢㠴攸摦㠳慢晦㐰昲㈳㠸捦捦攷敢㔲昰ㄳ㡡戸挴㈶愰㉣捦昸㘷㤴㡢㙦ㄶ攵敡㑣昳㉥戹㕦㠱搵㝥〳挹摤㉣㌸㤳昸ㅤㅣ昷搹㑥㔱㑤攳〷晥㥣ㅥ㝦㤰㕤愳㑥ㅦ㤷㠹摦扦昳㥡慢㜴㠰㐶㠱㉦换挹㜲昹昲㄰搸挹昳攵攱慡扡㡥敥敡㌲㡡㕢攱收捥㔲㕣ㅤ㕣挷㤷㜵㡡㡢㑦㘸收ㅡ摣〴慥散挵㔶㠳㌷㝡㌶戸ㄲㅡ〵つ慥㈲换搵攰ㄶ搸挹㙢昰〲㔵摤ㄶ敥㐶ㅣ愳戸㕤摤㡤㔸愴戸摤摣摣㤳ㄵ户扢㥢换㈷愸戲挱㥣昲㤴㠹捦㍣ㅢ扣ㄵ㌴ち挶㠹㙤挸㜲㌵昸㙦戰㤳搷攰昳㔴㜵摢戹慢㕢愲戸摢扢戹㤷㈸敥づ攰㍡ㅥ㕥愶戸㍤摤㔸㍥㐳㜴㜹㜸扤㘷㠳㝢㐳愳挰挳㍢㤱攵㙡昰㉡搸挹㙢昰㜵慡扡㝥敥敡㙥㔲摣㥤挱㜵㥡㜶㥢攲敥攲挶慥㔱摣㕤摤㕣㍥㐹㜳㌵昸つ捦〶昷㠷㐶㐱㠳昷㈰换搵攰晢㘱㈷慦挱敢㔴㜵㝢扡慢㝢㑣㜱〳㙥敥㔳㡡ㅢ〴搷㌹㡤攷ㄴ㌷攴挶昲㜹㤲㙣戰㌵愹㜹捥戳挱㔱㘸ㄴ㜴㠹㌸㔹慥〶扦〶㍢㜹つ㝥㔳㔵㤷㜴㔷昷慥攲敥攵收慥㔷摣扤摤摣㡦ㄵ㜷ㅦ㜰㥤搳攰ㄳㄵ㔷ㅦ㝥挴戳挱㠳愱㔱搰攰㙡戲㕣つ晥〲㜶昲ㅡ扣㐱㔵㔷攳㙥挴㐶挵ㅤ收收晥愸戸挳摤摣㕦ㄵ㜷〴戸㑥㠳㑢㜱慤挹〶㕢戳㠹戵㥥つㅥつ㡤㠲㉥戱㍦㔹慥〶㤷挱㑥㕥㠳㉢挰㤰㜳㠱戱敥㐶㜴㔶摣㜱敥㐶昸ㄵ㜷扣ㅢ摢㕤㜱㈷戸戹摢㠲敢敡ㄲ户㜸㌶㜸㌲㌴ち㍣㍣㤵㉣㔷㠳户㠷㥤扣〶昷㔲搵㑤〷搲昱㑦㕦挵㍤挰摤㠸㕤ㄵ昷㐰㌷㜷㠰攲ㅥ攴收㠶挰㜵㜵㠹㔵㥥つ㍥ㄴㅡ〵つ㥥㐱㤶慢挱ㄱ搸挹㙢㜰㐲㔵㘷戸慢摢㐷㜱㔳㙥敥㄰挵㑤㠳敢㥣摣㌰挵捤戸戰㝥敥慥ㄲ愲㥢攰敡㔹㤲㤹㈰㍥㍦㌷㔸愵㘰ㄶ㡡戸〹㡦㐱㔹㥥ㄹ㙦挲愵攲㈲㜵㘶㜹㌷摤搹搴攷㑤搷㥡攷昲㠶㕢㑦㤶敢捣㈶㐰㉡扢㑡㈳〴捥つ㜷㥡戲㙥摤づ捥㔵搶㑢摣昳摣㈶㥡捡㕦改戶ㄴ㔸㍦〰㜶昲晣㜶㠸慡㙥㥥扢扡挳ㄵ㜷扥㥢㥢㔱摣〵㙥敥㉣挵㕤〸慥攳㑤㙥ㄹ扡〲㝤㡡㘷㠳㡦㠱㐶㐱㠳㡦㈳换攵㡥㌹戰㤳搷攰ㄶ㔵摤㈲㜷㈳ㄶ㈸敥〹㙥敥㌱㡡㝢㈲戸㑥搳ㄶ㈹敥㐹㉥㙣昹改攰㙥昲搶て㜷搵㌷昳攷㔳㑥㐶愵㠲晢㌵㜲昳晥ㄴ㤶㘰㡣敦慡扦搹摣㡡㑡㤶戸㕢㐲㜶〵㔷ㅥ㔵摣㈵挹㤵戸㍢攲㤴〴㜷㌸搸㝣晤㔴㕡㕢㘲换昴搳摣戶㉦㔲ㅡ搲㌶㌷㌰ㅣ晤慡㑢昲㑡摣戰㜰㘴攲㔲㤴攴㥥敦〲㐴㤰㝢扥晢戰㐹愵㥡攰收㠵ㄴ捣户〵㠳愴㐰㠸㘵㑡㌰捦ㄶっ㠶㐰㍦ぢ㡤㈹攷收㐶攱㉦攳戸㝥㠳〸㥦〶㙦㌲搲㉤愳㕢捣㝡っ捦㈵㝡晤㘴晣挶ㄹ㜷摡㝣昵晣扣戱晣㈰㥦㔶㍦㜹ㄶ㝥〳㙤ぢㅢ摢摦挱㜴㜵㌸づ戶㡢挳㤲㍡摢搴㌴搶捦㌱㥡㡣㔴㥤㐹㐸晦㥣搱ㅥ㠵ㄲ㠹㐷㠷㘱㥦㈹改搳晡愷っ㔵〳㜷〰慣㐲㙣㌲戰㐲㔰㐱晦ㅢ㝣挲㜰㠸摣㤱㉣㡡攵昰㤳っ攸搹っ㈱昷㙦ㄸ㄰晤ㅣ㜷㐰㔷搹㕣搹㍤〴㌷㘰愴挶戹挴㜰摦㐵㙡㥣攷搶攰ㅥ㡢っ慣散〲㌷愹㤲散㕥摣㔳㜱㠲㕥挵扤ㄴ愷㈴戸㑦㈲㙤㥦㑦㙢摣㈲㤱戶ㄷ扢㙤㜳㍢挴搱愸扡㉢慦挴敤㡦㥣㙣慤㉡挹㔳攵㤶㠶戴㝤〱慤㜱㌷㐳摡㕥攲戶捤㥤㡢㥣晥扡扣ㄲ㜷㉡㜲㌲敥㔰挸㤲戴捤㥤〹搹㐳㘷ㄷ㜴摤挷㤴攰㠸㠲慥换ㅤっ愹㔱敢敥扡㤷戰㌱摣捤㘰昷捤㠵㉡㜷㘴〵㡤㝢ㄸ昲㔴㉥㈵㥥摢ㄷ昲㔴㉥㜳㥦ち昷㉥㥣收㡡㤷㤴挶㌲㘲戸㈵㈱㌵㉥㜷㙢扣愶㌴㘴搰戸敤攰攸㔷扤㤱㔷攲㌶㠳㈳ㄳ㙦愳㈴㕢㜳〵慤扤㙢换昴㉢摤戶戹㔳攰㘸㔴㜱㠷㈰㔷㕡㥦㔷攲㡥㠰㤴挹㔳晤ㄸ㈵㘹㝢㌹慤㜱愱㑦㤹扥挲㙤晢ㄳ愵㈱扢ㄷㄷ昳㌹摢㕣挴㍢搶慡戸㜸㜷㘴㠲ぢ㜰㘹㝢㈵慤㙤戰㘵晡㔵㙥摢㕣㘷㍢ㅡ㔵㕣㕦攷㑡ㅢ㔵㐹晡㡢敢㘹㐷㈶扥㐷㐹㠶昷㤰㠲づ挱戵戵ㄴㅣ㕣搰㈱㝥㔴㠲㠳摣ㅤ攲㕡㌶㠶㙢敦戶㍢挴慦㐰挸㔳戹㥥㜸㉥慣搹ㄴ晤〶昷愹㜰㔵㥤㙢㘰〷㤴愴挶㡤㘴㤷摢㌲晤㈶晢㠰挰慡㡥㜶挱扡㉤㜰㐱散攸㔷㜱㈱㉣㑢昲攴戹〰㜶㘴愲ㄲ㈵㘹晢㘶戲慢㙣㤹㝥㡢㝤㈰㙤㜳つ㥢搳攷摡搵搱慦攲㥡㌵㔷攲㕡搵㈹〹慥㐳愵敤㕢挹收ㄲ㤴㌲晤㌶晢㠰㠵㉡㉥㌷ㅤ㡤㉡㉥㌳㜳㈵㉥㉦㘵㐹戶㥢换㑡㐷㈶㝡愳㈴㙤摦㑥昶㑥戶㑣㕦㙤ㅦ㄰㔸搵捦㉥㔸㍥攱㡡㌰㘷㙤ㄷ㔵㤲ㅤ㤱㉢挰㥣敤晥㈸㐹摢㜷㤰扤㠷㉤搳搷搸〷搲昶㥥㜶挱戲捤挵㥢愳㕦挵㐵㕢慥愶㤰㉡戱㈶挱㠵㤸戴㝤㈷搹㕣㠳ㄱ愹摦㘵ㅦ㐸摢㕣㙦攵慣㜱㥤㤵㉢㜱㝤㤵㉢㜱㕤㈵㑢昲〲攴㥡㐹摡扥㥢散㙡㕢愶慦戵て〸慣慡戱ぢ㔶扢戹㈴捡㔹ㅢ㥥㔷攲ㄲ㈸㘷㥢换ㅢ㘹晢ㅥ戲昷户㘵晡扤昶㠱戴㍤搶㉥㔸戶戹㝡㜱昴慢挶慢㤲昴㌷㔷㉢㑥扤㠲㉢ㄱ㘹晢㍥戲戹〸愱㑣扦摦㍥㤰戶愷摢〵㙢ㄲ挴㠵㠶愳㕦㜵㘰㕥㠹ぢぢ㐷㈶戸㘸㤰戶ㅦ㈰㥢敢〵㘹晢㐱晢㐰摡㌶散㠲搵㙥慥〹ㅣ晤慡戴㉡挹㍥挸㌵㠰㈳ㄳ㈶㑡㜲㝣愸㉥ㄸ㌸戸ㅥ㤰㠲㈱〵〳挷㑣㈵ㄸ散ㅥ㌸ㅥ愱㔵慥ㄷ摡ㅥ㌸㘶〳㈱㑦攵㌱攲敢㐹攸愶挷敤〳㜹㉡㡤㜶㐱㥥㡡㘸㐲㐹㙡㍣㐱㌶㈷晤㔲攳㐹晢㐰㙡㜰㠲捦〳敢攴攷攷㤵㌸愱捦挹ㄶ慡㤲散㙣挷愰㈴㙤㍦㐵㌶攷攷搲昶搳昶㠱戴捤戹㜸㑥晦㠴扣ㄲ攷摥㔲㈶ㅤ㝢㤲㉡挹㡢㐴㑥㠶㜹㙥敥㙦㔰昳㥦〲っ㘷㕥晡戳㌸挰搲敡㔴㕢㈷ㅦ㜵㥡㐲㍤㉦㔱㔵㘷攱扦改搰㉡㕤㈰搲㠷㘷づ㍦晣挷慡戲㕥摢㤶ㅤ㌰愴昳搲昵捦㝣戴昸戵㐳〶晤晢搷㘵换㕥晢㜸昱㜳扦摥㥦ㅡ昴攴捡㤵㡦敤㜷攵㜳ㅦ㜵捤㉥㉦扤敢挷㌱换㡦〹捥㍥收挸散搴摤㐷ㅥ㜳攰ㄱㄳ㠳ㄳ戶攸摦愱㐳挷㡥扢㜴㝢㙡敢㕤晤㡢㡥㕣㉢ㅥ㝥㙢慢㠶㜲㑥搷㌶㘱㡡挷㜳摤捣戵挱ぢ愸㐱㥣㑤㔲攴ㄳ捥晤愴㑦㕥挲〱㝣㜲慥㐲扤㡣〳昵昲㥦愷㔰慦㔸愸昳ㄵ㉡捦扦㡢ㄵ敡㌵ぢ㈵攷㕥㐵㌵㉥㔱愸㌷㈴慡㡡搳愰晦愵㝦㠵㥣㌷ㄵ㌵㠳昳㈷㜹攲㙦捡㘶㠸㘵昸㑦扡㈷敦挴㌹㘷㤲愸户㉤㤴㥣昵ㄴ搹攲散㐷愲摥戵㔰㜲晥㐲㔴㥥慤ㄵち昵扥㠵㤲㌳㤱㈲搴㔵ち戵㕥愲慡慥挵㝦晦㔳昷挸㔹㐴搱㈹㜱㌶㈱㑦改㈳搹っ㜱㈳晥㉢㜶て㘷㄰ㄲ昵戱㠵扡搹ㄳ挵戹㠰㐴晤换㐲摤慡㔰㜹扤攷㌶㠵晡挴㐲摤慥㔰㜹㑥㕣慤㔰㥦㔹㈸㜹㠷㉤㜲㈲敦戴戲挶㉦㉣㤴扣㔷ㄶ㥤㈳敦㤹ㄲ昵愵㠵㤲㜷扤㈲搴㕡㠵摡㘰愱攴晤慢愸㐶摥挷愴慤㙦㉣㤴扣ㄳㄵ搹攲ㅤ㐹愲㌶㕡㈸㜹㑦㈹㐲昱摥㈲㔱摦㑢㔴ㄵ㠷昷晦㘹ㄷ㤰昷㠳愲㘶昰扥㈰㥢昱愳㙣㠶㤰昷㠰㈲ㄴ敦〵ㄲ昵戳㠵㤲愳㜹ㄱ㡡愳扡㐴晤㙡愱㌸〲换ㅢ㕣〷晢㍥㌶ㄴ㉡ㄵ愲㐴㜰搰㤵㠲搲〲㠱ㅣ挳㘸昷て㈰搸ㄳ攵㥢愳㤶㠴㤷攴挳晤慡搳〸㡥㔸ㄲ昱挷㐶㙢愳㐱搵挴㐱㑡ち㝥㉦㄰㜰㕣㤲㠲摦ち〴ㅣ㈹愴攰搷〲〱〷〷㈹昸愵㐰挰昱㐰ち㝥㉥㄰㜰〸㤰㠲㥦ち〴扣敡愵攰挷〲〱慦㐳㈹昸愱㐰挰㑢㑦ち扥㉦㄰昰㙡㤳㠲敦ち〴扣挰愴㘰㘳㠱㠰搷㤴ㄴ㝣㕢㈰攰㘵㈴〵摦ㄴ〸㜸攵㐸挱搷〵〲㕥㉣㔲戰愱㐰挰敢㐳ち扥㉡㄰昰㤲㤰㠲㉦ぢ〴扣ち愴攰㍦〵〲昶㑢㈹昸愲㐰挰慥㈸〵㥦ㄷ〸搸晢愴攰戳㝣㠱㥦㥤㑡昶捦慤㍡昱㌶㔸捥晦摡搸戵㥢㘰㌶愵捤㠶㤶摡㍡㤳㍢㌵搰㉤愹慣慦㤹摢摣搲㘸㙤㈶㌵㤷换敤愳攲敤愵慥㠴昷捦㠳晡㉣ㄶ㘹㤵㜵攸散㌳㜵戲㐵摣㤸晡戳㥢㑣ㅤ㜱㌶㝣攳㘱㙣捦戶昷㤹慣㍤愶㑤㐳搹ㅢ㑣㕢挳㍢㍥ㅡㄷ㝡敥㔰㤶慢㔸收㑢敢昴晦〱㑣ㄵ〱挷</t>
  </si>
  <si>
    <t>Changes resulting from upcoming NAVFAC CL reporting requirement changes.
• Added the ability to report by 5% CL.
• Added the ability to adjust which three CL's are reported on the risk drivers charts.
• Adjusted the colors for the risk drivers charts for the color blind.
• Added info on 'D-Project Data' summarizing the rounding of risk ranges &amp; thresholds for risk drivers charts.</t>
  </si>
  <si>
    <t>Other CL to Report on Graph</t>
  </si>
  <si>
    <t>Worksheet</t>
  </si>
  <si>
    <t>㜸〱捤㕡㝢㙣ㅣ挷㜹扦㌹摥㉥㙦㡥慦㤳㘴㌹㝥㑡㔷㤹㜲摣搰㘲㜹㝣㐸愴ㅤ㔶㈶㡦愲挴㠴ㄲ㈵㔲㡦愴㑥㜰摥扢㥢ㄵ搷扡扢愵㙦㤷ㄲ㤹扡㜱㤰ㄶ㙥㠳愲つ敡扥㤰㈲㙤ㅣ愳㌰㥡晣搳〷ち搷つ搲㍦敡扡㘹㘲搸㙤㕣ㄸ㐵昳㐷㕡㈳㠸㤳㌶㌶㔲昷〱搴㙤摤扡扦摦散敥昱敥㜸愴㘴㐶〶戴挴㝤㥣挷㌷摦捥捣昷㥣㙦㌶㈶㘲戱搸㍢㜸昸㥦㑦㠲㠵㍢㤶搶㍤㕦㔵〶㜳㙥戹慣㡡扥攳㔶扤挱愹㕡捤㕡㥦㜷㍣扦〳〸㘶摥㐱扦㘷攴㍤攷ㄳ㉡㤹扦慣㙡ㅥ㤰㡣㔸㉣㤹㤴㜱昴㐷扦㜴㔴㤰ㅣ㈵ㄳ〰摤挰㡡㥤捤㑤㉦ㄴㅥ〶改㈵摦慤愹㝢㌳攷〳〲㤳搹散㘰㜶㜰㜴㉣㍢㍣㌸㜴㙦㈶户㕡昶㔷㙢㙡戲慡㔶晤㥡㔵扥㌷㜳㝡戵㔰㜶㡡ㅦ㔶敢㘷摤㑢慡㍡愹ち㐳㈳〵㙢㜴㍣㍢㍡㌶㘶㑦㑣㡣㜷㥢愰㝣㉡㌷㝤扡愶㙣敦㝡搱散㈴捤㠵摣昴攰㈹攵㕦㉦㥡㐹搰〴挹ㄹ户㘲㌹搵敢㐴搴攰〶㡦捣愸愲㐳㑥㈸㔵㜳慡ㄷ〷㌱敤愶㡤㐶敤挸攰㉣㜶扣㘸㜹㝥㑥㤵换㡢捡收〲扢㉢摣㌳㔵㔳搵愲昲㝡㉢挷搶㡡慡ㅣ㜶㝢挹捡㜹慢㜶捡慡愸〴ぢ㝤㤵㠰㙦㜳㈵㔵昵ㅤ㝦扤愷㜲捥㔳㡢㔶昵愲㈲㡡㔱㌹扥敡㤴ㄲ〹㤱㐸挴㍡摥摦㙥㌲㥡㌷㠳戳戵㘲㙥搹慡昹扡㐶慥㘵摢攱㌶㐸㠸㥥㜸搳戴㈸㐵㤹㤶㔱㘴搳㤲㔳昹戰慡㔵㔵㤹㉦攱摡〶㕡㤰昴㥥〴㕢㕦摦㥣㘸㌵㘴㡣攸ち㠵㥦㑢攱㕢愴㈴㐸〱㤸㕤〰扢㈶㜳昳晤搹㈳㜷ㅦ戸㉦㜳攰敥晥愹㙣㜶㔴㜶ㄳ愱〷㐰㈴晥つ慡搴㐸㠰㈳攲㜹㉢㥥㉦挴昳挵㜸扥ㄴ捦慢㜸摥㡥攷㉦挶昳换昱扣ㄳ捦㍦ㅣ捦㕦〲㑥昴㈴㍢㍢攳攱昳捦〳㐷扦昶愵扤㜷㑤㍦晢㠳摤慦㝦敦搱晤㡥愰昶㘸㌵敡㐳㐱愶〱捣㕤〰改挹愹㜳つㄳㅡㅢ㤳扢搹扦〷㐰㠸㌷㌰ㅦ捥改㠱㐷㥣愷て㔸㠹㘳扦昰户慦慤㉦㝣攵摢扦摣扤ㄷ摤㘷挲㤵捥搴慣㉢㄰㤷つ㐹㠴晡昱敦敡㉡〸つ戴挷散㈳㜶㌶㕢ㅡㅢ戲㐶㉣㠳㝢㜵慤㡣扦〹戸摤昶〵愷㕡㜲慦㘸㐹攸戶㘷㥤戲慦㙡扡搲㘷攳㕦㈰捤扡摥㘳ㅦ㕢㠳ㄹ㈸〶㐲㜳㤳㥤㔳㌵ㅦ敡攳慦㙦㐸搲ㅤ搳㤶愷㌶慡〳㈱敤㘹㜷戵㕡昲㙥㙦摦戹攴㕢扥扡慤戵㙦㠳挸愶㘱㑢㔰㉤攵改㈹敤㙢ㅤ㜶摥㉡慦慡愹㌵㈷攸扥戳愵ㅢ㑡收ㄶ戶敥㥤慤愹㐷敡扤㥢㘶㌴〵㌳㝣㔹搳摥戴捡愰㉢㤸㔷㈶户散㝡慡慡愷㌷㔰㌹敤ㄴ㉦愹摡㤲愲ㄱ㔷㈵扤搴扤散ち㌵㝤㘰愱㡡㠵㐲㜷㑢〷ㅡ㕢戹搱慡㕡㔲㈵捣㜷〵扢扣㝥搶㉡㤴搵捤㑤㈸挱㍢搱㜱㙢㔳昳慣㕢㕣昵㜲㙥搵慦戹攵收㥥愹搲㘵ぢ搶愵㜴搲㉤愹㠴㝥㘲〱ㄴ戱㡥づ㈱㘲昷戴㔳㔳搲昶愸挸つ㐲㐲㜳戱㍤㜲㠳㄰ㄱ戹慤〱愸㔳㐶愱㐱挸㠸晦攳摢捥愴㔱〸㠹㍤戴㉤㜶ㅢ㈱攵愰㕢㥡ㄵ㙦㜰ㄱ晣〱ㅦ捡㡡㕡ㄹ敦摦㥡攴㠶㕣㕥㘵愶つ㕣愱捦㈶昶㌶㥢愶挹搶㘵敦扤㐵㡥挷昷㠴慢㍦㜶ㄹ㍥攴㠴㔵㉤㤵㔵㙤摢㠸㐳㜰㐶昲㘶㠲昷ㄱ摣㐲㜰㉢挱㙤〰挶㙢戰㙦㕢敥㈸㡤愶㔸ㄳ敢挶ㄵ愷攴㉦㥢换捡戹戸散愳つ㤱㑡㌲挹敤摥昴挸㍢搰㈴敦㈴搸〷㤰㑡挵捣晤㐴㌲㔳㌲挳㝦㍦〶搰㍤戵敡扢㤹㔰ㄶ㔲挲愰㜷㜸昷㍥㡣挱㤱搴㉥ㄳ㌱㡤㘷㔴攰㤹扤㡥㡥㜶㕢㜱挲昲㤶㝤㙡攱戶㥤摡㕢ㅤ㈰搱扢㌸挷㝥㠰㔳㈷㔴ㄹ㍡㝣扤挲㈱㠳慥敥慡㙥㤷晥攷收捡搲㝡戵戸㕣㜳慢㠸㄰㘷㉣摦㥡㉡㈲戶昰㠴㘵㔶收摤摣慡㙦㔶㑥㌸昸搷㕤㔹㔴㉢捡昲㜳戰搱㝥㑦㘵ㅥ㜱㠹㌶愲㜳愵㌵愳ㄲ㠴ㄴ㌳捡㉢㑡挶ㅥ㜳戰㐹㙢㈶㑡㌰戲摤ㄵ㕡ㄹ戵收㤳㜴㘷攵戴㠵搸挵㤷㐰ㅡ搰愳㠲ㄲ㐷昶攸戶㘸㜴㉡慣㠱㐲㕡ㄷㅢ愸㜴改㠶㠰㔲㡣㘲〳昷〹㠷㥢〸㘱慢晡㥣昳㥤戲㌷ㄸ㙥敦攰㡣㡢搸㔴改ㄸ㤹摢㙥㥡㤰㉥㜳㕢㘶戵㙡㌹㠳㤷㠵㘲㈱㈰㡢愹ㅣ慦戹慢㉢っ㘰慥ㄷㅤ搲㡡挹㠳〰㕦昸搷㉦摦㝦昰户㝦晦㥤昰晦㘳搰ㅦ晤㐸㐶㉢㤲挲捥㉡晥改㐷摥㠳㝦愹敤晡っ挶㍥㙤捤散ㄶ㜱ㄶ〵戵扢㠲搵㥥慤㈹ㅤ㌸㈶㜵㘵㝤㐵昵㔴㉥戸戵㑢〵搷扤㐴收昷敡㥡户慣㤴捦㘸慣㉢っ㍥㔹ㄶ㐲㜴㜴㌴㐵㕡つ㘱ㅢ攳㌸昳㕥㠰㥥愹㜲㌹ㄳ㔱昴捣㐳㘸敡㠰㍢㌱〷㔱ㄸㅦㅥㅡㅥ捤攴㤶ㄶ愷㌲㘷㔵㘵愵㡣㌸㈰㌳㜶㌰㔳㜱㑢㤹搱㑦㥥㥡㍡㍦㍢㤵换愸㤲攳ㅦ㍡㜴㈸㍢㌲㜵敥㌸搱〷搷捡摥㥡㜸ㄹ扢挳愰敡㌹㘳晤愹昱挷㘳て晣改㙢㝦戶扢昳ㅢ㉦㡤㠸㙦㠶ㅤ㥢㐲㌷ㅤ戱攱㥤㌲㑢㌰㑣㌰㐲㌰㑡㌰〶㈰㕥挰㔰ㅡ㌲㤴㥢ㅦ㜹〴㜵㌹㑥㌰〱〰㜳愴㌹〴㙢㜴㍦慡收〷〱㕡慣㤱㘰㘸㐸㡢㈴㈷〹㝥ㄲ㐰㔰㈵愹扢㌱㜹ㄴ㘰㑢〱㘰㍣戹㔹〰愶搱㥡㤲摢昴〹〶㥢ㄴ〲挹㑤㤷摣㘶挹㉤ㄶ㝦ㄲ㙥挸愶㥤㝡㈶散㘸㡤㑢つ㕡昹㔶㔵搳㈱㝢摤㘳㌷挴〲扤㐰㌶敤㜳㔵挷昷扡㙣㥡攴㔹挷㥦昱晣㙥ㅢ〰㐵㍤攴㌶敤摣ㅡ〶つ搸攷ㅤ㜵攵㉣㠴㙤晦收㉥㥣㘶㜲慢㥥敦㙡㉢戲㙦㜳晦㡣㝢捡昵㘷ㅣて攲戲摥摦愶㍢攸戹戰慣慡㠸戶㙡〸扡慥㠶攴慥慣愸㔲㥢㌹㉥戹慢戵愲㥡㥢戹ㄱ攲㌵ㄱ㤸挳ㄸ㌴づ挶㔰ㅣ摣㍡㍥㘹搸㜷晡散㌸戴㔴散搰摤搳っ挵攴㍣㈱㠸㐰敥攵㐹ㄴ㈱晥〶㘳㠰敤㐵愴㈱〲愴㐹㑢搹㘰㙢搰搶ㄳㅥ㌱收慡㥥㔳㔲愹戰㜶搲愹昶㠶挵㠵㔵扦愹挷㕡摢ㄳ昶挰㤴㉣㔴挱晡愲㔵㉢摤〸㕣挱挲昰〴㉣ㄱ㈶晥㜶戶搱〱㤹㔸散捤㈸〵昴收㘳㔰昶㔳㘸收㕥㌳搴㙡㙢搹敢敡㠸㐲㐳〰㑤㐳搷挳敤慥㌷㈷㔹㍢愹慣慡收挲㤲㕦㥡㔱㤷㝢㌵㠶㠲㠰㈳㠹㔰㔶㝢㥡慢摡挱㑢㝢慡攰戹攵㔵㕦昵搶㑢㕡搱愵扤愸㘰慢㜱ㄸ敡慥㤷㑥ㄷ㝤ㅣㄷ敢昴㜸搰戹㜱㌸㠴ㅤ㐹㠴㕣ㄲ㥡㑦收㌶挲摢扣〸敡搰づ戹㡡搰挵搶捦て㡦㡡摦晡ㅣ㥦㉦ㅤ㡤㐵㠵ㄴ㥦㤸挱㄰晡摡㑦㍢搴愴㍤搱㈱㍣戰㜰摡㜸㜵㐷㙤㍣㘸昴搸摡敥㈱㥢挰晣㔱ㅦ㔵愷㡣攴㥥敦ㄴ慤㜲㜹扤搷㥥慢ㄶ换慢㈵㌵㙦ㄵ㔴㌹戲搹㙥慤㜲㠳昰㑢㈷㍦〳㕥㙤戳㉦㘱搸㍦㠷っ㘸㜴戶摡戱㤹ㄳ㜲〱摢㙡㥥㈶㤸捣㥤㐴㌶〹愵㤴㍣㐳〸づ昱㝣昳慥㑦㤸㜴晤扢㌷昲㈳㍡㍢〷ぢ户愹㠹愶㡤〱㜷晤㤰慡ㄵ慦〱㙤摥㥤㜷㤱㐰㈸㌵㌴㥤㜰㠲愶ㅢ㐶扤㌴户㑣搳摣愹㥦挱㕥攱㜹㌳㡣扢㘰晢㠲㍡愲愴㐰㐷㜸ㄸ㙣つ搵ㅢ攲ㄱㅤ〲㘸㕢挸愰慢㡦㠶㉣㠸ㅦ捥㍡㝥㔹㜵搹扡㕦㤷㤳搴っ敥㘶愷㝤㜶ㄹ㘱敦㑣㡦㝤扣收㤴捡㑥㔵㌱ㄶ㐱㐲㡢ㄹ搱㜹㜵ㄱ愹㤷搳慥攷㌰敢摥㘳㥦慤㔹㔵㙦㠵愷㥢攲晡敥愶㥡㘶㤶㘱㑦㍢㔵攸㔱昰㑥㤶晢散愵㘵昷ちㄲ昷慢㤵敡㜱㙢挵扢㈱ㄸ挵㍢㠵攰〹㤴㉢㉥攲㜱㤱㡣㈷㜷敡戲㈰攱㈰挹㌰㍡㑥㄰戲㡡㐷昶㙤搴㤶㕣ちㄳ㕦㔴㕢捥愹㈹敦摤昶攰㕤扦昵搰㈹㠸㐵㡥㔹〲昸搰昱㜳㜳ㅢ改搲ㅦ改搶挲㘰㤲㘱ㅢ㡦愰挵愲㥥㥢㘱挶愲㌷㄰ㄵ戶㔱㜲愴收㌸㙢慤攲㤷戲㌵づ㈵ㄱ㑥㤴攸㉣捥攲攰摣つ挵㠷〵㐶挲〱愶户㌷愸㌰慡慢㔸㘵㉦散换戹㤵㡡㐵搱愲㔸㉥挱㝣慢愴づ戱㘱㐹愴つ愰攵㉦㙣戲搶搰㘴慤改㈶㜸㘵收㕢㜵㤹戴摣㡢㔶捤昱㤷㉢㑥㌱挹ち㜳愲㌷㠴㑣㐲㠴昴㈱ㅦㅢ捡㐷ぢ㈶攲搵搶攴㐶㜰ㅥ〷扢〷㜱㠴攰搶㤱晤㤰摣戸㜶攵㘲㠷挹㉣㠸慦㍥㘶挹㜳愰㘶㌰て挴ㄸ㔷㍦つ㜱ㄸ㕡戴ㄱㄲㄹ昴戰㕢㥥〷㠸㥥〴㌳㍤摢愶ㄸ㜸攲㑦捤扢㔶㘹ㄶ㘹㜳户搶ㄹ摥戲㈵挱㕡㥡㤴㕡㥡㘹愵ㅣㄲ戲㐸昴㕥㐶㌸㕣㑢戲㘱〹〹㥢〴ㄳ㔲㘶挰㐳敥㑤捣㌰扡㤲敤摥㌵ㄷ搱敡て㡦摦㡤㔷㠶㜳㥢攸扦㜱㘶晣㈸㔷㥢㑡改㡢㡣ぢ㈸捡㡦〰〸㈶慣戸㥥ㄶ㠴㡦ㄲ攱愷〰っ收㉤㕡戵㘴换ㄴっ㠹ㅢㄵ愶㠶㤲ㄵ㉥〷㔱㠷㠹㠴ㄱ㔲㑣搸ㄲ戳㉢挹ㄴ㡤㝣㄰攰愵ㄷ㕦攴ㄹ㌹㈶㤸攳㠸摥捦昳㐵㉡挵捤㤳ㅦ㈳昸㌸㠰攰挱㕤㘷㈰㠳㜳㐹ㅥ搵攸㕣昲㄰㡡㜰搶㠲愶㠸㘳愳愷㠱㤳㜰改ㄶ㥡㠹挵㜳㍦愳㙡㌲昴㙡ㄱ㥡㘰㌴挰㈸㑤挸〲愰㔹〴㌰㈶愷捥㡦㌱㘵㤰㤲㈵㐲㤰㘴㡤㤱㐲昰㙣改换挴ㄱ㈰搰㥦挵㑣〵戰㉦攷㝡㝥㈶扡つ捣㕣昹〹㌷戳攸㜸㤷㌲㡣㙢敥换㘰扤㤸㘰㡢㠹ㄵ㑣㐳搰捣㑡ㅢ㐰㌰ㅦ㐱敢㔵㤷收㘵㤴慦㉥捤捣㕢㘸㘹㜶挲〲㉢㠲㝣㠸㌸㄰㐷㌹ㄴ㤱㠷㔱㤴扣㈱ㄳ捣㘳戴㐱㈸ㄳ愱㐲〴昸散ㄸ挵㐴㔶〱敡㥣㥤㐶㈵ㅡ搶挰㔹㤷㠸㉢〰〶㡦㤸搷㜶愴愵㐸愴ㅢ昲っ戴扥摥㉥晢捣慡㔵挶㔵攸〲㠲㕤㥦㑤㌷㠲㜹㑢〴㐷㡥搶慢戸收ㅢ㔲㥣搶昵ㄲㅥ晣㌸㔷搶扡〷捤戸攱摡㍣㘲敥散㐸㤲㌲㍥㡢愴捦戵扤㠵ㄲ搱㜹㤹㠹摥㝣㍥㤶攴㍢愹搲㈹㔹㈳㠴挴㌳ㄵ愰㐵愸搱㈰ちㅥ㕡㌷戵ㅡっ戰户〹ぢ㕡愲㜹㡥摦戳㘱挴攸慥〶捡晣敡愱㥤昵㙢㡥づ㜸慤㈰ㄸ戹㙦㥡㠳㘰攰愰㕢㉦㠷〵㔶っㅡ晦慢晡ㅢ㍡㈹攴㈹攸㜹晣昵㌲扣㍤㡢㑣㡥〶㈵㥡户愰ㅢ㤳㜶㙢㌸挱㈴㕡敦㐲敡㘳昷㠲㔴搷㑤㉤㜷㑦㝡ㄸ㝢攸搸㡣捦㠰㐵㕢㡥攷愴㌷戸挲㌱㝣捣㌵㠰㥢㑥㍡挵㥡敢戹戶㥦㔹㐲挴㥡攱㙤㈴㙣挴搰㤴昱昳愰搸昶㥤㕣㔸愲捡慦〶㌴愳㔳㤷慡敥㤵慡㥥㡤攱昱㔲㔶敦㔷㘷㈷㕦挳ㄳ㡤㝥敥挲㉥愶㈳㥥愷㉦愰㡤愶挲晣〴挰挱摣㜴㙥㌱㍦㍣㍡㌴㌶㍥㔱ㄸ户㈷㠶慣搱挳㐷㑡㠵愱㠹㤱搱挲攱散攱愱㐲㘹㜸昸昰㤰昹搳㜵搴㠹㈳㈳㈳㠵〹晣挶て攳ぢ㤲㘲㜶㝣㜴挴㔲ㄳㄳ㙡㘲散㠸ㅡ戲㡡ㄳ㘹㍡㈶㤲㤷㡦ㄲ晣っ㐰㥡晥㐸㌷㝤㤲㑤㡦戱㠹摥愹ㄹ慢㡦㥥㠵㔳㘶捣㜸㕤㥦㌴晤ㄱ㌵挱晣㌴㐰㜷㙥㍡慦㕤昴㈲㙥㐹捤㥦㐵换㉥戴㌴㝦㥦㘱晥ㅣ㥡㝢搱摣㄰晤愶改搰㐸㐵㝦搴㈰ㅦ㘷㠹昷昶㠲㑥㡤搶㌰㈵搶挰㌴㙡㙢愰㜵㥦㘱ㅢ戴敥㈱晣搷㕣㠹㌸㠰㝡㑣㔸㙤㕢ぢ㘸愵收挹㕦㘴㌷㍤搵收㤱摡㠹㄰攷㤷挲㙥愲〸㍡㤱㜳㉣搴㌰〱捡㈳捡㌱昳戳〰㕢ち㤹㔸〱ㅡ〵慤㔹㔰攸㕦㈸㘵昲㔷〰㝡㍡搲昴㈵㘴㤵昹〴㐰㈰㉦㈳㙡愲㤴ㅤ㔳攳㠷ぢ挳挳愳ㄳ㈳㜶挱戲㑢搹昱攱愲㘵㐳㜰㡡㈳㔹昳㔷敢愸㠷㑢㐳愵㈳攳挳搹㈱㝢搴ㅡㅤㅡ㠶㤸ㄵ㠷戳愳攳㘳搶攱散㜸㜶㝣散㐸㥡㕥㡡攴攵慦ㄱ晣㍡㐰㥡捥㐹㌷晤〶㥢㝥㤳㑤㜴㔵捤㔸㝤昴㔷敦㡤扣搰换㘹㑥㝦ㅡ〵㐹ㄱ㤱ㄴ㠸㌴ㅤ㥦㙥攷愹㔵晥づ㐱ㅦ㠰愰㝤搵㝣㝡ㄲ〵㈲昰㈷戴㘱㐳㐱㝥㤱戵昰㤷愶㈹搳扢晢ㄴち㍤ㅤ〶戵愴㙤慥㘲扢敦㜸愸㈲㝢㉢㜳ㅥ㐴ㄸ户㤴㘷摤愹晡户㐴扢㈲搱ㅥ㠸㙥㐸て㙥戴㐴戹挱㘸搸㐲慤㍥づㄷ㝥㜰ㅢ攸ㄸ攰㝤敡摥㡤㕡挳㔵摦敤ㅢ慤㐸〴㈳㍤愵㑡ㄱ㐵て㔱㕤㈲摥㈱㍥搰㉥挹ㅤ㕥㘷攱〶㈹㈲㜰慣扡㕡攱㙤搳敤㙤挲摦㘹挷搷づ㠲户㕤㐲搲㐶㤹扦ぢ戰㘷戲扦改ぢ愲㝥㈴㝤㡣〷㈱扣敦攲㤵㘴挲㠶㈵收〴昸愴攴搳㠰㠲㤶㡡捣㄰㤲挶捥晣㍤㠰㈴摥㜹㔲扦攸〲㕥㜴愸摤摡㜴ㄲ㠳摦㕡㠴づ㌱㕡愱搷晣㉥㌲㡣㑦㑡㝥ㄹ㔰搰づ㜲敥㙣ㄲ戴㠷愴慦㉢㡦〳昶攰搷㝡㈵戴〸㠴戶㤷㘷㘷挲㡥㑤㤷㘷㌴㍦㥣㠴晣〳㠰扡㔰㙡扢挲搶㍦っ扢㠹㤲愶㈵搱㐲昹㐷㈸㐰㈸愹昹昷㙦扤摣〶慢㌸㠰㜵㌷㝤昵㜲っ㕦戱慣㔳㔳㍢㜰ㄸ㌲昴㜶㈴攲昷敤㡣ㄶ挳㉣敥ㅣ㝦挶㐹㉣昴㐷愰戳㤹ㅦ晢㐱㔵晥㌱㠰愰攵〹㔸㑦ㄳ㘷㍥〳戰㝢戲扦改晢戰晥戱㌱㌱㠷ㄹ㐴㕣㑢挹㘷㌹㤲收㉡ㄸ㐹㡢㘷㝥〵愰ㄳ㈳捦ㄳ晤ㄸ搰㈳扥愶攴㔷㠹㑥㝢ㄶ㔱㄰戴㙢㔱扦愰㌱㘹挷昷〷㐲昶㙥扡ち㍣ㅡ㜶戴㕥〵愶㥦〴㈵捤换攷㔰㤰㝦㐱昰㍣㐰㉡晤挵愸攳㉦㔱〰㤳㘹㠰摡㉡㑦㈰搳㐱〶㘳攳戳㉤㕡㍡挳㘶〸搵㘵〷㕦㑤㤱㍤晡㉥愸慣攳㡦㙥㈴㌳㙡昸㜰㙡ㅥ戹㌹愴㌰昰㐹㘱攸㔴㤱戳攳愱㌲㍡㉥㑢㕤搳扣戵ㄷ㙡㌸㍦㜷摡㜳ㅥ㌲㠰愵㈴㍥㐸昰昱㈱㕢昵㐶㌸ち㈰㈲㑣㔰㡣㈱挸扣扥㡢户つ挶昶愲扢昵㜸摤㤰收摣搸㡦㈸攳ㅤ㘷づ㘴㘷〷〱昳㙢㜸㔹㕦晤攰㜹㤹昶摡㡢㡢〹挸㠱昶攱慦て摦慡㑤〸晤愴晣㍡㜰捤㙦㜰昲㌰㑤㐲慦〳㤷㠱昲〵戴〴ㄹㄴち㝦㉣昱㌴挰㜶㌶㤸㘶愳戳㤲户昸ㄱ㜳戲㤲㉦慢敡㐵㝦戹晥攱㌲づㄸ昸㕥㐳扥㐸㑡昸昱㉤㠲收㡤㔴攵㑢㘱ぢ㕢搳㌴㐱㕡㈶晦㥡㕤㝦㐳昰㑤㠰㔴㥡㔶㐸㜷扣㡣㐲㑦㠷愰晤㜹ち㍦挹挵挶挵愱戶㡢㝢㠵〸㕣摣挶挲晥㡥㑤㕡愱昵挲っ慡㜵㉢挷ㄸ昳捦㜲㍡㉤ㅦ㌵㜵㜵㤱㡤搱㈳愸搷㝡〵㝦㡦㐲㝤㕤㔴㕦摤晡㉤ㄴ㐸㠴㍦昱ㅣ〰㙤愵戸ㅢㄳ愵㠱晡㈰㉡挹戸㈹愸㜶扡攳㘰搸挱㜳㝡ㄲ㠹戲攷愳㡥晥戰攳㈸ㅡ攴户〱っ慡㘵敢㌹慦㐱㤸ㅡ㑥㕣昴㕣戲挲晢㍡捡㔵慡㐲㜷慡㉤慤㔹㘱ㅡ扢扡㉢挴ㅤ愸攳散慥户搴㜱㝢敢㑤㝡捣慤㐱㑡㡡㕦㑢ㄱ㘵㘰㠳攸摥搶ㅥ㡤㡦㥤攱收挴づ㙣㙤摡愳〹㥡㐰㑢㡡㙢㐶㑣〶ㅦ慥晤〳㐶搱㈲ち㔹㉦改慡㐱搹扥㘶愵愳搹摦攱挱昴ㅦ昹㜲㙡っ㘹挸㔷〱㈲扥昷㔱攴搹㥡㤴〰㝤ㄴ㜵㕤愳扡〸㡡戸㘶晤晥㤰挳㤱㑣㔰散㜵挷扥ㄶ㤹愰㉡攸㡥㍢ㅢ㘵攲扢㈴昶㌲〰攵㐲扥〶㄰散㐶扤愴慢㠲捡挰ㅤ㤱摦〳㄰搴〳㍤摤敦愳㔰㥦㉥㈵㜹㘳扡㤴攰晡㜴晢㈸㝡晡㐴戸㈶㡡て㤵ㅥ㝡攸慤扥㐴收戶挴㐷ㅥ攸晥摣慢㉦㝣攷㠹㔷㍥㌶昹晤户㍦晦昹㔷扥晢挴㡢㙦㝦戵㌰昹㔷㑦㍤昵晣㠷扥昰攲㜷㜶摢㑦挶㥦㜹㙢晥挹㐷戳㤷ㅥ㝤挴㍥昷㠱攳㡦㝥昴攱㌳搹搳扢〶㍡㍡㍡㍢摦扦攷敢户摣㤳晥搴㈳捦㡡㍦晦搶晢慡〶戹㜷つ扣攷㡣㜶挸愸㝦攲㠲㌴户㔰㘸㑡昶愶㕦㐵ぢ挵㔴晥㠰攰㜵㠰㥥㜸ㅦ㜷昶扤㕣戲㈰㡢戸㙣昹〶㠰搰㡣㘱敤㍣㐰昴愴挹㈰㍤戳ㅦ愲㈰晦〵愰㈷㉥昴㑡㔸㝦ㄳ㠰㍢愲㝦㥣扢㤶㡦扥㔰㍥愶搱㤰挴㈷㈵㕣㡦敥攸つ㍢搲㘸㤰晦づ㈰昴㥢㔹晢て搶愲ㅦ摦愵〷㜴戵㔰攲晢㜵㐷慡㤱搲㝦愲㌵捤愹攸㠹扥㠵〲㑣㌴挹㙢㠱晢㉦昶㤲扣敥晤敦愰㤷㐳㜴敦晦愰㘰㜰挸㌶慡摡㝣㙤㥦㈲㠵㑡㜰㈷愷慤ㄹ扥敤愴〹搹㙣摦㜶戳㜹愰〹㌵ㄵ㌴ㄱ昶〵挵扡愱敢ち扢㘸ㄹ摦慤㤵敢挴摡昸㠳㌷摤户扤愱ぢ㡣摣戵㘱㠵ㄶ敥㙤㤰㑤ㄹ〰㐲㙥ㄴ㜵㕤㜰㙦挹㌵昹扦〰搱㈳戸挷摣㔲昹㝦〰攱挸㡤㘲㌰㤲晢慥㐷扥㠳㐲昴昴㤱㍥ㅦ㌳ㅤㄱ散攳㐰㍥㘶㍡挲散晡㝦㘳㐴攲㝦</t>
  </si>
  <si>
    <t>㜸〱敤㝤㜷㥣ㄴ㔵ㄶ敥摣㠱㈹愶㥡㌰つ㈶㑣㌸㈰㉡㡡㘰昷㜴㐶㔱㠶㈱㉡ちㄲ捤搸愱ㅡ㐶㈷攰〴㠲愲㠲㌹攷ㅣ㄰昳㥡挳慡㙢ㄶㄴ挵㠸慥㌹慤㘲づ扢敢㥡〳愶昷㝤愷㐲㔷㜷㔷て戳扥㥤摦昳㡦㌷搰愷敢㥥晢㥤㔳愷捥㜷慢晡搶慤㝢扢换㔴㔹㔹搹敦昸攳㍢晦扡㜳㘳㡢㘹㡢㕡摢㡣挶攱㜵捤つつ㐶扡慤扥戹愹㜵㜸㙤㑢㑢㜲搱愴晡搶戶㙥〰㘸戳敢㔱摦㕡㌱扢戵晥㜰愳㜲昶㝣愳愵ㄵ愰㡡戲戲捡㑡扤ㅣ昵㥢㕡㉦扦㕤搰㘹愵㜷愷〰慡㑣搷㈸㝡㔰㔴㔲攸ㄴ㍥㡡㥥ㄴ扤㈸㝡㔳昴愱愸愲昰㔳昴愵攸㐷戱〱挵㠶ㄴㅢ㔱㙣㑣戱〹㐵㝦ち敥㕦摦㡣㘲㜳㠸㕥㕢㐰㑣慦ㅢ㍤㌹㜵〸㡥㘶㕡㕢㜳㡢戱㘳昵㑣㌳收㤱挱攰昰攰昰㜰㈴㔸㌳㍣戰㘳㜵㕤㝢㐳㕢㝢㡢㌱戲挹㘸㙦㙢㐹㌶散㔸㍤愵㍤搵㔰㥦摥挳㔸㌴扤昹㔰愳㘹愴㤱ち㠴㔲挹㜰㍣ㄸ㡥㐴戲㠹㐴扣搷㤶昰扣㔷摤攸㈹㉤㐶戶昵㝦攵㜳〰㝤㑥慥ㅢ㍤㝣㉦愳敤㝦攵㜳㉢昸㠴换㌱捤㡤挹晡愶晦㤱搳ち㜲ㅡㅡ㘳愴敢㐹扥㘱戴搴㌷捤ㄹ㡥戰昳ㄲ㡤㔲㙣昸㌸㘴㍣㥤㙣㙤慢㌳ㅡㅡ愶ㅡ㔹昲摥慢㤱㌹㌳㕡㡣愶戴搱摡愷㜱散挲戴搱㘰㔵户㔶㌶捥㑣戶散㤵㙣㌴扡㜳愳慡搱攴㙤㘲挶㘸㙡慢㙦㕢搴扢㜱㐶慢㌱㌵搹㌴挷㈰愴愲㜱㝣㝢㝤愶㝢㜷搵扤㝢㔹户敤扣㠲ㄱ㙥㠶㡦㙢㐹搷捤㑤戶戴㐹㠹慣〵扤戰慥ㄶ㈲㠱攷㠵挵㔶㔴㕤㘰㐵㥡愶搵㌷敥㘱戴㌴ㄹつ摣〹挹ㅢ㕡〰㤲㥣㤸愹㜷㤲㘳ㅦつ㠹㔱㍤慤昳㡤㠷挲扤攸搵ㄴ〳㈱戴㐱㄰晥㤱戵㌳〶〷㘳摢づㅡ㔱㍤㘸摢挱戵戱愸扥㌵敢〷㐳愸敥㙦攱攴㜵摢昳〴㉡㥦㥤㉣㥦㥤㉡㥦㥤㉥㥦㥤㈹㥦㙤㤴捦捥㤶捦㥥㔳㍥㝢㙥昹散晡昲搹㠷㤴捦㍥ㄴㄸ晢慦戲㐷㡦㜲敢敦㥤ㄷ搷昶㕤昷搳捣摤㑦搸戹㕢晦㑤慦㌹晦㝣挵昳㔵㑥摣㙤戱愱㙦〷愱つ㠱㈸㠸㈷ㅡ搰户㘷晤づ㄰㑡扤㠲㜸ㄸ㤳晥攲愸㡢て㌸㘲敡攴昳㙡㌷㍦㍥昴㥦敢㍥㔵㍣敦挵搹㡥〴て㠳搰㠶㐳昴捤㍦戸㘰㌰慣敦㐴㐰〰㐲愹攷㉤㙦扦摣昵晤ㅢ㠳㔷〶㐶㍦㝣攴昱挳扥㝡㘴挵㥥㡡ㄷ㄰昱㔶㐳㜰〸㐲ぢ㐳ㄴ㠴ㄶ慦搱㈳慣㡦㐲㈸昵㤴攵慣㜷戸昵戶㜷㙡㔶㡦㍦㜵晥愱昷㡣摣昲户愵ㄵ㙣㤰ㄱ㉦搲ち摢㐳㙤㙢㙢㝢攳㍣㕥㄰慤戶㉡㔷慦挶㌱慤㙤㔳㤲㉤㡤慤晦摢㐶㡤㈶扤扥㔶㕤摢摡搸昵慤ㅡ㍢昹㥦戴㙡㉤㡥㌴㙦㍤扤愵ㅥ攷㙥㝢㐳戲㘵挷㍤敢㥢㐶づぢ敥㌸愹晥㔰愳愱摥㘸㙤ㅢㄹ搸㌱ㅥ搸㘶㘴㔴㑦㤰戳ㄱ㄰摡捥㄰㥢㡦慣ㅤ攷㙡晥挱昸戶㠳慡㠷昱㑣愸ぢ挶昵㕤〸ㅤ〹愱搴愳ㄶ扤摡戰慡㤳扦戸搶㌷敡挲昳ㅥ戸㜵慢㘱㥢㝥愳㐸㤲戴㤵摤〸ㅥ〵愱搵㐲ㄴ戴㤵㜰㔰ㅦ捤晡㍡〸愵ㅥ戴㥣㍤㌱㜳㥦㔵㜷㡣㘸慡㍤昵挷㙤㙦㉡ㅦ晡㘶㠵攲㐷㤵㌸ㅢ㑢昰㌸〸㙤㍣㐴㠱戳㔰㐴㥦挰晡㠹㄰㑡摤㘳㌹㕢ㅤ㠹㕤㝦挳㠵㙦搶㕥㕢昵攸㕤㑢㥥昲昷㔴晣挸ㄳ㘷㝢㄰㍣〹㐲摢ㄳ愲挰㔹㉣愲敦挵晡挹㄰㑡摤㙥㌹㥢晣昷㥡㘷挷捦㝥㘱捣攵㈳㙦摢㙤㑤昷〳㥥㔴㍣昳挵搹摥〴㑦㠵搰愶㐱ㄴ㌸㡢〴昵改慣㥦〱愱搴㡤㤶戳换捥㝥敦挵㔷㍥㙢ㅥ㝤攷搶㠷㝤㝣敦㈱㕦昷㔷晣〸ㄶ㘷戳〸摥〷㐲摢ㄷ愲挰㔹㌴慥敦挷晡晤㈱㤴扡挶㜲㜶敥㑥㑦ㅤ晡摣㥤㘵攳㡦ㅢ㝢挴摥㑢㡥㙥㜸㐴昱愳㕣㥣ㅤ㐸昰㐱㄰摡㙣㠸〲㘷戱戸㝥㌰敢㤳㄰㑡㉤戳㥣ㅤ㌳愷㌶㍡昱昴ㄳ㈷摤昲搵摢㤷ㅣ戵敢㜱摤ㄴ扢〴攲㉣㑤㜰〶㐲㌳㈰ち㥤挵昴㉣敢攷㐰㈸㜵㤱攵散昹〱户慣㠹㙥昳晣攴㝢㝣敦つ㜹晡昰㈹て㉡㜶㉤挴㔹㍤挱㠷㐰㘸扣㌸ㄶ㌸㡢㐶昴〶搶㌷㐲㈸㜵㡥攵慣㙤捦㡢摥㌹攱㤶㡦㐶㉤搹㜴捡摡ㄳㅢ搴㙡挵㉥㡡㌸㙢㈶㜸ㅥ㠴㜶ㄸ㐴搱ㄵ㉥愲户㄰搰ち愱搴㘹㤶户戵摤㡤摤㔳摤扡㡤扦㘹摤㔳攷㥦扡攲㤳㥢ㄴ晢㍡攲慤㥤攰昹㄰摡〲㠸挲搰愲晡㐲搶㉦㠲㔰敡〴换搹㜷戳ㅦㄹ㌴㌷戹捤戸愵ぢ扦㝦愳摦㕦〷捥㔰散㌳㠹戳㈳〸㕥っ愱ㅤ〹㔱攰㉣ㄶ搶㡦㘲晤搱㄰㑡㉤戱㥣愹㠵敢捡摥㕣㜶敡戸搳㕥扢散㤹搷㔳捦晤慡搸昷ㄲ㘷㑢〹㍥〶㐲㍢ㄶ愲挰㔹戴㐶㍦㡥昵挷㐳㈸㜵戸攵㉣㍥慢㕢昵攵㉦扤扥挷㝤挷慦挸捥ㅡ昲㔵㐰戱て㈷捥㑥㈴昸㈴〸敤㘴㠸〲㘷昱㠸㝥ち敢㑦㠵㔰慡捤㜲戶攱昷换昶㌸挶㜸㙡散昲捦搶㕣搳戲搵戳㍢㈹昶〵挵搹改〴㥦〱愱㥤〹㔱攰㉣㥡搰捦㘲晤搹㄰㑡㌵㔹捥㝥㕤晤挳摤搱ㄹ愷㡦戹㘹攷㝦㌷㑦ㄹ㜴敥扤㡡㝤㑡㜱㜶㉥挱攷㐱㘸攷㐳ㄴ㌸ぢ㐷昴ぢ㔸㝦㈱㠴㔲㜳㉤㘷慦㥥㝤捣㘵て㡥㕥㍢收攴搹攵㈷摦戱昴㥢昹㡡㝤㔳㜱㜶㌱挱㤷㐰㘸㤷㐲ㄴ㌸㡢㐴昵换㔸㝦㌹㠴㔲㈹换搹挴㜳攷摦昸改搲㕤㈶㕦戹收晢㐳㑦㤸㜵捤つ㡡㝤㕣㜱㜶〵挱换㈱戴㉢㈱ち㥣挵㙡昴慢㔸㝦㌵㠴㔲〷㔸捥㍥摢㝥㠷敥ㄷ㡣㍤㘷搲摦搶㍤㍤愰㜷攳愸㥤搵愶愸ㄶ㘷搷ㄲ㝣ㅤ㠴㜶㍤㐴摦㤱㜵㤳摣㔷摤㘰㐴晦ぢ〱㌷㐰㈸㌵搳昲戶敤㐹〷㐶换㙦㘹ㅡ扦散昹㉦攳㙢㙥㌸愳㐵戱搳㉤摥㙥㈲昸㘶〸敤ㄶ㠸㠲搰攲㈱晤㔶搶摦〶愱搴ㄴ换搹ㄷ〳ㄶ㙣㔹㔱㝢搸愸昳捡㜶㍣㙡挴慡昷㤷慢捤㔱㉤捥敥㈰昸㑥〸敤慦㄰〵捥㘲㈱晤㉥搶摦つ愱搴敥㤶戳敦㥥㝣晣昴㜹㜷ㅥ戹晢敤扥慡㠷收㔶㐵ㅡ㝡晤つ搵㝢㕢ㅤ慤㌱㉤挹〵攸慤收㍡挲攸晤昳摦晡敦〰㜰〳㤰㡤㘴㘳搹㘰㌰ㄳ〹㈴㐳挹㡡㙡戸敤㙣扦㤳㙤扤㔷㜶㔶㝤㔳愶㜹㠱㜴㐴㝢㘵挷搵㌷戴ㄹ㉤㔲愸捡攲捤散㑣㑢戹㜷㜶散㐲摣㠵愴捤㍥敢㠶搹㍡愳愵つ扤昷戶㐵戹㡦晣㉤㐶㈷㕢㡤㕣㜱愸攵㝢㜴㜳㝢㔳愶㜵㜳敦捡㘹㙤挹㌶㘳戳挲扡㥣㤳㈲戳㘹攸搹ㅢ慤ㄲ搲㠰㐲戳㤹挹㠶㜶愳㜶㘱扤㔹扤㘵㐱㌵晡昸捤愹搲戵攳㕡㡣挳㥣摡愲㠸㙡㜱攳㌹㕦㝣ㄷㅤ愵㔹㘵挶㔵㕤㌷户戹搵㘸㤲昰㠶㌶㑥愹㑦ㅦ㙡戴㑣㌳㜸摢㙡㘴攴㔰㌷㘲㤵㜵愳㌱㜴㜲ㄳづㄴ户づ㤹㐱㙥㉤ㄳ㙤㌴㘵㡣っ攲㥤㠷㉣㉦㥡㥥㑣㌵ㄸㅢ攷㐱捣㝤愲㘲搳㍣昵戸收㜴㝢㙢㕤㜳㔳㕢㑢㜳㐳㝥㑤㙤㘶㝥ㄲ㌷㌷㤹㍤㥢㌳㐶㜷昹㉢㌳愵㉡敢搶㑤愹戲㈱㕥ㅤ㑥晡㙥攵㝤㠴慢㤱㙣㠹㔶搳㌱搸搵㠸〸昶扣晦㜰㍣㘳挳搵挸㠸摦扥挳㐸摣㡤㤰攸㐰㠷㘸㡦㐶㑡愳晥昹㈷摥昰愹攰〷㍣㌴ㄸ㍣㉢换〷㤷㜶㤹㙢㤷敢㠹搴挵ち㐷㈹㠸敥㈰㘹攲搶㘹㝢㕤ぢ㉥㉦摦挰㍡晡戱昳㜱ぢ㍢㈱搹㤴㘹㌰㕡㍡ㅣ㘳㔱㡣㐸扦㤷攲㍥㡡晢㈹ㅥ愰㜸㄰愲愲づ搷戸㤲ㄹ攵㑤㥢㕡愸ㄶ㔵㉣愸捦戴捤搵收ㅡ昵㜳收戶㐱㠷戱㤹捡㑡愶扢攸㑦㝦ㄸ㉡晤ㄱ㡡ㄵ㄰㍥㕦㤹戶ㄲ敦㘵㥡㑦㝦㤴㙦㡦㐱昴慡㙤㙦㙢慥戶摡㠲㑦㔵っ㠴敥扦扦㠵㉥㠷㤵㉥㜷散ㄸ㔲㘹慤㘸挴挰㐰㙢户㙥㕥愹㤸㤰㙣㥤摢挶戳戰攳㑡晡㕢㐵昱㌸㐴慦㈷㈰昶㥡㘰㌴攰ㅣ晥㕦㡤挶㔴㙣つ㥦敢扤敢㘷昷㙡攳挶㘹㡢㥡搲㜳㕢㥡㥢㌰㈶㌶㈶搹㤶慣㑤㘳㘸愳㔵㈵戵挶㐹捤㜵敤㙤㕡攳㠴㝡扣昵㙡㥣㙡捣㌳㤲㙤㜵戸㐶户昵㙥㥣㠴㘱ㄱ戹㠸㑥捣㉣慣㘸㌴㐷㌴挶ㄸ慤㘹㥤㐳ㅦㄳ㜱㑤㕡愸㘱ぢㄷ搹㕥㡤扣捡ㄸぢ摢攸扡㐷㈳敥㌷搱㤶㜴㠰㠶㡡㤵戹㐵换摥愲戳慤㝤㔶〹ㅥ晣戲改昲搲㔳ㄴ愶愷㌲㌶ㅢ㝣㝣攲〳户扢㈵ぢ㑦㥦ㄹ㙤昵つ慤挳慤昴づㅦ搳㡣愱㌱㐳㐶〵㤹㜶㑤㐳敢搲㍡㈴慢昰㉣攷搸挹攴㜴捡㜴㡢㔰挶户㌴户捦攳㥤收晦捡て㝤㤵改慢㈱慥昸敡挶㥤户戹晣戶摦慤昷愳㜱晥挸㥦㍥㠸〸㌶㜶ㄶ昱㈶㝦晡搳㜸昳㜵㔴㔷㌱ㄸ〸捦换㙣㠹㘱㥥ち攰㝢㌵攲㘸愷户ㄸ㌲㙥㔵㈹㠵㐵昳㡣摥㡤戳㥡㕢づ㑤㌵㌷ㅦ㑡昲晢㐸愹㜵慥㘱戴㜱㌰愸愷㌵昶挵㙤愵㔴户㙥㜹㈳㍤慥㔱愳慤攰㕦㕢〳搱扢戶愱愱摡昶搸慡㍤て㔵㌷㝣㥣㘸㉦㘰㈳㕥ㄳ愸〹㔷搷㑤㥢㕡㕢㍤摤㘸㥣搷㠰㝥㐰㜵㘴㥢敡挶收㑣㜵昸愸扤㙡㘷㡥慢慤慢㌶㌲昵㙤挳㠶つぢ㠶㙡㘷㡣㈷㝣昸挲㠶搶㠵㙡㈷㘴㠷㠳㍡㡦㔶㉣扡㉡㝥㐲搹愸晢㍥㝡愸㕦㡦愷㥥ぢ愹攱㔶㐵搱搰搱戶搸㕦㌵㕥晡㑢ㄴ㉦㔳扣㐲昱㉡挵㙢㄰㙡〸㑣㜹㈱挳㜶晥㥦晥〶捡晡㥢ㄴ㙦㐱攰㜲㈴っ攱㙡昴て敡㜸㌵昲㈹戵ㅤ摥㜸ㄱ搲摦愵㔸ぢ愱戶㠷攰改㕡愶扦〷㔱㤲昳㈱㐴ㄴ㜱晥㈱戴㍥扤㠳㍡戵〳㄰攴㕤㘷㥥㜵㘶㔶㘷㔶搵㐶㔶づ㡡㤲戳愱㔵㔱㌴ㄴ戶㈳捣慡㘹晦㙦㡡㉦㈸晥㐳昱㈵挵㔷㄰慡㑦挹攴㝣㐳捣户ㄴ摦㐱戸㤲昳〳㜵㔶㜲㠶㘱㕢㤲昳ㄳ㤵敢㈰搴㑥㄰㘶㜲㝥挶㔶挹攴っ愷㐱㔱㜲㝥㠳搶愷㜷㔰愷〲㐰㜸㈵攷攷摦㑡戴㥣㜵㔶㐵搱挸㕥つ㍣㔵攳愵昷㔰㄰㤵ㄴ㍡㠵㡦愲㈷㠴晡ㄶ愶摥㉤愷㌷㌱㝤㈸慡㈰㕣挹改㑢㥤㤵㥣㄰㥣て攴づ㌶愰㜲㐳〸ㄵ㐱搱㑣捥㐶㈸㤶㑣㑥㤸㔶㉢㈱挰㡥搳㙥昵晥㌰昱改ㅤ搴愹㈸㑣扣㤲昳㕥愹攴慣戵㉡㡡㐶㉡ㄳ昰搴挱摤㐶摥㜸愰ㅦ搸扣扢㡤愲㝥戴搹挹晣晦㜷ぢ㝦扡扢㠵晣㍢㠵ㅤ搶搳㍤㉥戸㔷㈸搹㌳晣晦㝤㙤慦攷㤹㘶㕦㝢㈰㉦〳敦㤴扣戰㙣㡤㙡㝤㌰挵㌶㍣摢㜳ㅦ㐹摢㤹㐵㌵〲㈷摢㐰扣昴㈱〴㙤て㔱挱愱改㡥㝢㡥㌸㕤慢〰敡捥〷〸扤ㅢ挷ㄸ搹㈴㥥㍦㑡㙦㑦㈵晦㕦㜶〶扢攳㌱㌰㡥挰敥〹㜶㝣㄰㠸㥤ㅤ㉤慤昰㉥㌲晦搱ㄸㅥ搸㘵挶ㅢ㑤搳搱攳㘹晤㕦昶昱晥㤷㝤㐵㝤〷ㅣ戴晤㔷昱ちㅡ㐳攷㡦㠹㤶㍤收戳愳㍥㝢㜶㔹㈵㡦㤰ㅡ㝤㘷㡡㤵㄰㜹㥦ㄸ挳㔱攷敢愸㑥㡤㠴㠹昳㠹愱㠵㠰敦㠶挶㘲昶㌷㥥㈹昵愹昱戴㔵㔱昴〰㘴㌷㜸慢挶㑢㡦挱㤱ㅥ愷㐸㔰㡣愰搸ㄹ㐲慤㉡搹昲㐷ㄲ戳㉢挵㙥㄰慥㤶㕦㑢㥤昵㤱㍡ち捥〷㜲〷㜵㔴㡥㠱㔰愳㔱㌴㍦㔲挷愲㔸昲㈳戵㤶㔶㉢㈱昲ㄲ㌴〱㈶㍥扤㠳㍡㔵〷ㄳ㈷㐱慥捥搸ㅤ愵㤲㜳扢㔵㔱昴㐰㘷㉣㍣㔵攳愵敦㡤㥤敡㔳㈹愶㔱㑣愷㤸〱愱㙥㉣㤹㥣㔹挴散㐳戱㉦㠴㉢㌹晢㔳㘷㈵㘷ㅣ㥣て攴づづ愴昲㈰〸㌵〱㐵㌳㌹戳㔱㉣㤹㥣昱戴㕡〹㤱㤷㥣ㄴ㑣㝣㝡〷㜵㙡㈲㑣扣㤲㜳㘱愹攴㕣㘰㔵ㄴ㍤愰摡〳㥥慡昱搲て挵㑥昵〶㡡㐶㡡㈶㡡㘶〸㜵㔶挹攴ㅣ㐶㑣ぢ㐵㉢㠴㉢㌹敤搴㔹挹㤹〴攷〳戹㠳〵㔴㉥㠴㔰㝢愱㘸㈶㘷ㄱ㡡㈵㤳戳㈷慤㔶㐲攴㈵㘷㌱㑣㝣㝡〷㜵㙡㌲㑣扣㤲㜳㘴愹攴㉣戶㉡㡡ㅥ戸敤つ㑦搵㜸改挷㘳愷晡〹ㄴ㈷㔲㥣㐴㜱㌲㠴㥡㕦㌲㌹愷ㄲ㜳ㅡ挵改㄰慥攴㥣㐹㥤㤵㥣愹㜰㍥㤰㍢㌸㥢捡㜳㈰搴㜴ㄴ捤攴㥣㡢㘲挹攴㑣愳搵㑡㠸扣攴㕣〰ㄳ㥦摥㐱㥤㥡〱ㄳ慦攴愴㑢㈵㈷㘵㔵ㄴ㍤㐰㥣〵㑦搵㜸改㔷㘰愷晡㜲㡡㉢㈹慥愲戸ㅡ㐲ㅤ㔰㌲㌹搷ㄲ㜳ㅤ挵昵㄰慥攴摣㐰㥤㤵ㅣ㍥㤳ㅣ挸ㅤ摣㐴攵捤㄰㙡㍦ㄴ捤攴摣㠲㘲挹攴散㑢慢㤵㄰㜹挹戹ㅤ㈶㍥扤㠳㍡戵㍦㑣扣㤲㌳戱㔴㜲㈶㔸ㄵ㐵て㐴て㠴愷㙡扣昴晢戰㔳晤㝥㡡〷㈸ㅥ愴㜸〸㐲㡤㉥㤹㥣㐷㠸㔹㐱戱ㄲ挲㤵㥣挷愸戳㤲㜳㄰㥣て攴づㅥ愷昲〹〸㜵㌰㡡㘶㜲㔶愳㔸㌲㌹戳㘹戵ㄲ㈲㉦㌹㑦挳挴愷㜷㔰愷㤲㌰昱㑡捥㑥愵㤲㌳摣慡㈸㝡挰㥢㠶愷㙡扣昴㤷戰㔳晤㘵㡡㔷㈸㕥愵㜸つ㐲つ㈹㤹㥣㌷㠸㜹㤳攲㉤〸㔷㜲晥㐱㥤㤵㥣っ㥣て攴づ摥愵㜲㉤㠴捡愲㘸㈶攷㍤ㄴ㑢㈶挷愰搵㑡㠸扣攴㝣〸ㄳ㥦摥㐱㥤㥡〳ㄳ慦攴㙣㔴㉡㌹ㅢ㕡ㄵ㐵て慣敢攱愹ㅡ㉦晤摦搸愹晥〵挵㝦㈸扥愴昸ち㐲昵㈹㤹㥣㙦㠸昹㤶攲㍢〸㔷㜲㝥愰捥㑡づ㥦㠱て攴づ㝥愲㜲ㅤ㠴㙡㐰搱㑣捥捦㈸㤶㑣捥愱戴㕡〹㤱㤷㥣摦㘰攲搳㍢愸㔳㡤㌰昱㑡捥捦扦㤶ㅡ㍡戰㉡㡡ㅥ挰㌷挳㔳㌵㕥㝡てっ㌴敢㤵ㄴ㥣㡥愸晢㈸㝡㐲愸㙦㘱㕡㘲攸㠰㤸㍥ㄴ㔵㄰慥攴昴愵捥㑡捥㍣㌸ㅦ挸ㅤ㙣㐰攵㠶㄰慡〵㐵㌳㌹ㅢ愱㔸㌲㌹㠷搱慡㈸㌹晤㘱攲搳㍢愸㔳慤戰昳㑡捥㝢愵㤲戳搶慡㈸㥡㑦搰づ㑦搵㡣㘲㈰㘳ㅦ㐴戱㌵挵㘰㡡㙤㈰搴㥢㈵㤳戳ㅤ㌱㐳㈸戶㠷㜰㈵㘷㈸㜵㔶㜲收挳戹㈴㘷ㄸ㤵挳㈱ㄴ愷㈶㤸挹搹〹挵㤲挹㔹挰戰㡡㤲㔳〳ㄳ㥦摥㐱㥤㕡〴㍢慦攴慣㉥㤵㥣㈷慣㡡愲昹ㄱ㐷挰㔳㌵愳搸㤹戱敦㐲㌱㤲㘲㔷㡡摤㈰搴㡡㤲挹愹㈵㘶㌴㐵ㅤ㠴㉢㌹㘳愹戳㤲挳㈹ㄷ㤲㥣昱㔴㑥㠰㔰㐷㐱㘵㈶㘷㈲㡡㈵㤳㜳㈴挳㉡㑡捥㈴㤸昸昴づ敡搴搱戰昳㑡捥㉤愵㤲㜳戳㔵㔱㌴摦㘳㈹㍣㔵㌳㡡ㄹ㡣㝤㈶挵㉣㡡㝤㈸昶㠵㔰搷㤵㑣捥晥挴ㅣ㐰㜱㈰㠴㉢㌹戳愹戳㤲㜳っ㥣㑢㜲㤲㔴愶㈰搴㜱㔰㤹挹㐹愳㔸㌲㌹挷㌲慣愲攴㘴㘱攲搳㍢愸㔳挷挳捥㉢㌹攷㤶㑡捥㌹㔶㐵搱晣㤵ㄳ攱愹㥡㔱㌴㌳昶㜹ㄴ㠷㔱戴㔰戴㐲愸搳㑡㈶愷㥤㤸昹ㄴぢ㈰㕣挹㔹㐴㥤㤵㥣㤳攰㕣㤲㜳〴㤵㡢㈱ㄴ愷挲㤸挹㌹ㄲ挵㤲挹㌹㤹㘱ㄵ㈵㘷〹㑣㝣㝡〷㜵敡㔴搸㜹㈵㘷㔱愹攴㉣戴㉡㡡收攳㥣づ㑦搵㡣攲㘴挶㝥ち挵愹ㄴ愷㔱㥣づ愱㕡㑡㈶攷㑣㘲捥愲㌸ㅢ挲㤵㥣㜳㔱搴捥㠳㈸㜸㈶愹捥挰㥥㈴㔳攷搳敡〲〸㜵ㄶ㔴㘶愶㉥㐴戱㘴愶捥㘴㡣㐵㤹扡〴㈶㍥扤㠳㍡㜵㌶散扣㌲㌵扢㔴愶づ戲㉡㡡㈶ㅢ㥤ぢ㑦搵㡣攲㙡挶㝥つ挵戵ㄴ搷㔱㕣て愱昶㈹㤹愹ㅢ㠸戹㤱攲㈶〸㔷愶㙥愱捥㙡㐶攷挱戹㈴攷㌶㉡㙦㠷㔰㥣户㘴㈶攷づㄴ㑢㈶攷㝣㠶㔵㤴㥣扢㘰攲搳㍢愸㔳ㄷ挲捥㉢㌹㘳㑢㈵㘷㡣㔵㔱㌴㜹敡㘲㜸慡㘶ㄴて㌱昶㠷㈹ㅥ愱㔸㐱戱ㄲ㐲敤㕡㌲㌹㡦ㄱ戳㡡攲㜱〸㔷㜲㔶㔳挷㘶㠴㠷㐹㤷挰戹㈴攷㈹㉡㥦㠶㔰㥣㠷㘵㈶攷ㄹㄴ㑢㈶攷㔲㠶㔵㤴㥣㌵㜴慢㜷㔰愷㉥㠷㥤㔷㜲㠶㤶㑡捥づ㔶㐵搱㘴戰㉢攰愹㥡㔱扣挶搸㕦愷㜸㠳攲㑤㡡户㈰搴攰㤲挹昹〷㌱敦㔰扣ぢ攱㑡捥㝢搴㔹㉤㘷㌹㥣㑢㜲㍥愰昲㐳〸㜵ㄵ㔴㘶㜲㍥㐲戱㘴㜲慥㘴㔸㐵挹昹ㄴ㈶㍥扤㠳㍡㜵㌵散扣㤲搳户㔴㜲晣㔶㐵搱攴戶㙢攱愹㥡㔱㝣㠵㥤敡㕦㔳㝣㐳昱㉤挵㜷㄰捡㔷㌲㌹㍦㄰昳㈳挵㑦㄰慥攴晣㡣愲昶ぢ㐴攱〵攸㍡散㘹㈰昷昶㉢慤㝥㠳㔰㝦㐱搱捣搴敦㈸㤶捣搴昵戴㉡捡㔴㜹㌷㘶慡㠳㍡㜵〳散扣㌲昵挳㉦㈵晡捥摦㕢ㄵ㐵ㄳ昷㙥㠲愷㙡㐶搱ㄳ㍢搵㝢㔱昴愶攸㐳㔱〵愱扥㠴愹㜷摦戹㉦㌱晤㈸㌶㠰㜰㘵㙡㈳敡ㅥ㠳㔷㥣㘳㥣ぢ㈸挹搹㠴捡晥㄰敡㔶愸戶挶ぢぢ㜶㔰㉣㤹㥣㕢㠸㈸㑡捥ㄶ㌰昱改ㅤ搴愹摢㘰攷㤵㥣㝦㤴㑡捥摢㔶㐵搱㐴挴㍢攰愹㥡㔱㙣㠳㥤敡摢㔲㙣㐷㌱㠴㘲㝢〸昵㙡挹攴っ㈵㘶㐷㡡㘱㄰慥攴散㐴摤㘳昰㡡攴摣㠹㌷㐹㑥㤰捡ㅡ〸㜵ㄷ㔴㕢攳㠵搵つ㈸㤶㑣捥㕦㠹㈸㑡㑥ㄴ㈶㍥扤㠳㍡㜵㌷散扣㤲昳㔸愹攴㍣㙡㔵ㄴ㑥慣慣攰㌴愵挲戹㈲戲攴挵㤹㜲收㝡㐰搵〷㘰㉤㍢愳愹扥慤戵㘷㤶㜳㡡挶搵户攱〹㐲慦㉣〴㌶挵㘴㌳㤹㥤攵㌲ㅡ㥡㥤㔹㙦㉣攰戳㠳慤㡡慢戰ㅡ愸慥扤戵慤㔹愶挱っ㈸慥ㅦ搳扣㔷㜳摢㤸晡㔶捣㜷㔸㌴搸愳摡慣㤹㌵搷㘸挲㜴挱ㄶ捣ㅡ㕣ㅦ愸㜹摥㍣㈳攳ㄱ攳戴收昶㤶戴㌱㜱捣㥦㘱挲愱㌲攷昳㤴㘱捡㠸㔲㘵㙡㥢搲㑦㄰㕤㜹摦ㄲ摣㤴㘳㥡㠹晡㠳昳搵搸ち戱扥〲㑤慦っ㑥搰搴昵㕡㌶㐳㕦㔹挵㝤㔰㜵摣㐴㕣㔳ㄸ㝢〲散换㠲㔶㔳搷摢㥡㈳㍢戱愹戵㍥㘳昸慣ㄲ搶㡥昴戱㌶㈷户户攵搵㈴ㄷ㙥㘰搵㘰㉥捣攴㈶㔰㥦㑥戶㘴晥っ慣攰挰昰㘷㔲愲㌴晣晢㘳㠹㌶摤㤴㤵㝤昹扢㌲㌷扦㍣ㅡ㈷晢㘸㉢搷昷㐳攷㌹㌵挹㌹ㅤ戱攱㥡〱㕡〵㝣㙦愶摢㔱㔷戲戴愷㤱㙣ㄲㄶ愶戵㘵挶ㄸ昳晢〸挲㐰〳挷㈲扣〶㘳㠳晣愲㍣戳搴戳戵愹搶收㠶昶㌶愳㡦戳㈵㈷扡㥥㥤㙡㘰戲ㄱ㘶昳昶㜲戶愶愴摢㌰摦搹昱挷㤹扡㝦ㅥ㠶㤰㤱敥ㄶ㑢㑡㜸搲㍡㘸扣昹〷挱㜳攸て戲ち㌲戳昲昷挵㙥敡㤲㡢昹㜷挳㙥㘵昶㠶㡦㝦㘵ㄵて挰㝤攱㐳挹晣㙢慤㝢扡㉥捦愴つ散㔹攴收ㄵ㑥㉥㕥扤㙣ㅤ㘷捡昶捥捡㜵て搳攱戹愶慤㡡愷㑥〳ㄶ挷戶搵愷㤳つつ㡢晡㘴㈷㌶愵ㅢ摡㌳挶愴㘴捡㘸戰慦搹捤㉤㡤㝦ㄲ扥扡昳ㄴ㌰戹敡㈰㉦㔶㔲㈶㘲搱戲㍤㌹昸て㕦收㤴㕥㠷㌳㑤ㅢ〳㔱㌱戲㜶㘶㡣㤳㝢㝣晡㔸敢散攳晣摣晦㝡㠶戴て㐶晤㜲昳晢㘵㜱㉢㉥㜰㐵㉡㕥搹㌸㘱搴㤹㘴㉤攷㥤ぢ㌶愹㜹㔲㌳㈶挰㘷㕣慡〹昵愶敡㑦㜳㜶〹㔹㥡愶晤搱㡦ㄹ攴ち㝦㕦晥㙥扤㜳㤸ぢ㝦㕦敥挶㑦ㅡ㥥㈲て愳㔴㌸搵搴㜵㡡㐸て㐰㉥㠵㥣ㅦ㔵挵敢㤸搹㝤㤸㕥摦搶㘰昴捣㑡扤㙣㔷昲挴㘰㌶㝢㘴愷捦挵戴捤㌱扤戳攳㕢敡㌳つ昵㑤〶扢㈲㔸㤰挱〵挵㤳㡣㌹㔸㍡㌰愵戹戵㥥换㐲㝢㘷愷户㈴㥢㕡攷㜱㜶㙥㝡㔱扦扣㤲㤰㔵㤱ㅤ㕤摦㠴搳挸摣㈷户慢戲搳收㌶㉦挰㔲晢昶挶愶昱挹㜹慤㝦ち愲慣てㄶ㘴挸㍣户捡㔵㜹戹慡㉣慦晣愳㥦㔸摡㌸㥣ㅦ〳敡㥡㕢摢慡敤挵攰搵ぢ㜶㙡慥㥥㕡摦㝡㘸㌵㑦换ㄱ搵㐱昴ㅡ捡捡㌸晢慦㥣挲㘲昳ㄱ㙣㜵㜰㘲㤳㐸㙢㙤〷㑦㙣㠶㥤户〸搷㜳㙥戹昳㔵〶扣㔸敢攳ㄱ㔹慦〹㄰扢㡦㥦㌱㌱户㈲攸晦敡㝢〱㉡㔶挰㜳〷㥦ㄹ搲㜲㥣攵〷ㅢ〱摣挷㙣㑤搴戱㜱改搲㈸㔸㉡㙣愱扥慣㘰搸㔸昱㌱㑢㌸㌷挷㘱㙥㜸㉦㕣ㅢ㜰㡤㐶㝥㜱㜱敥㘳ㄶ搸敦㙢㑣㌶戴㕡㜵㜵捤㡤㡤㐹戶㍥戶摣㘹戸挰ㅢ㤵搲〹挷挵㐶捦㐲㐸ㄳ戵㔴挹㠵㔰㈵ㄷ㡡ち㥦摢㕣㔲㈴摢昴搵㍣㈷搹㔲摦㌶户戱㍥㕤挹〲㤷晤晣㈹㥡㉤㥡㔰㜷㈴搳晥㤳戶㡢ㅥ㙤攱〴㈶㜳捡㌹攸ㅥ㡥㥢っ愶㡥昴愳㜱㤷换㠷扤晡㠳敢㌵搰㝣攵㐶㑣摦ㅤ摥㉡㜰户㉦扤㘰㠹挵搵㔳㐳ㄳ㤵敢㤴㝡㤴〰扣昴㍤〰攷〶㕦摤㔷㐱㜴㌸㡢扥〷〰扥㐹捤挹捣㌸慣っ㙢㙥改㘱㝤㡦㐵㈵愸攵㔵愷挵捦㤵ㄳ㜵㔸㜳㠴戵㑣昳搱㘱㙥愹愴㘲ㅡ搶㈴㜴攷㥡ぢ捤攴㤰攷㜵㔹㐵㐵捦㑡慦㝤㑤戴㝤つ戶㘶㤸扢扦〷㘴㘲㤱晦㝦敤ㅤ摦㡤㐷敢昳攱㐰戰㡡ㄹ㔲摦㤳挷昴㌸㡡㍣㥥〲挰㕥〴㑣㠶愸㔸㡤捡挲戳愴攴㉡〳ㄸ㤴㔵㌴㜲昵㐳㘵㈳て〷晤ㄲつ㙢㈲戰㡡〲㈹搱㝡㔶㍥㠱㝡㝤ち㔰捦㍤晢散㐸㙣㤷愹愷㈱散晤㙦㠲㙤㥦㡦挹搳昷收晥愷㐲愸㤷㔰㤴㐵㌶㉢戱㠱ㄹ㍦摣㠵㜵攷㌲〳摢昸㌴㔱㉦㐳挵扢ㄷ晢捦挵㈴㍥昵㘷㕡愸㔷㔰捤㝥㌷㌹㕣㕦ㅦ㑥扤ちㅣ晢㜱㑡㥦〵㜳㙤ㅦ〸㜶㈴愲〱攸㌰〱挱㜲昹ㅡ㑡散㑣㤸㝦㈵㍦敥搴ㅢ〰昰㈳て㙢搱㘱㈹ㄱㄴ㕣㐳搵㥢㔰昳㍡慡敦て㠴㝡ぢ㕢㉢昰㐲慣㘶㜳㍤㤰〱慣户戹晥㐳㉣攰攴㈰㍡戱ち敡㕤㙣搸㈹㜶戵㠱搹挰攸〷ㄳ戸搶ㅢ㤰㈴㈰㐵挰㝢〰戰ㅤ攸㘹㤴ㅣ敡㍥㜴㤹戹愸换搰捣愰搹扦〱㜰㔱㌷〷㍡㥢扡戹搸㈶㜵㕦㐰㔵㥡扡㝡ぢ昵ㅦ愰㍡㑤摤㤷〰㥢搴ㅤ〲㜳敤㔰ち㔰㠷㉦慤㐰㠵㑦㙦戰㝣㝥㠵㔲㘷戸晢〶戸昵㜰昷㉤㈰挲㕤ㄳ㝣慢敦㔰㕡㠱㤷挳摤㍣㘸搷捦摤て㘲㠱搴ㅤ㐶㈷㔶㐱晤㠴つて敥㕡㠰搱㕢〹㕣攷つ攰㌷〰改敤〴晣っ㠰㜰㌷ㅦ㈵㠷扢摦㕣㘶㉥敥ㄶ搰㙣㈱捤㝡㈰〴ㄷ㜷㠷㐳㘷㜳㜷〴戶挹ㅤ愷晤㤷收㙥戱㠵攲扡㠰㑥㜳挷昵〳㈶㜷㐷挲㕣㍢ち㠲愷㕤㥣㘷㡢㑦㍦摡㜲搹ㄳ愸捥㔰搷ㅢ戸昵㔰挷㜵〸㐲摤㔲昸㔶㔵㈸慤挰慥ㅣ敡㡥㘵〰敢㍤敤晡挲っ晦换昴攳攸㐴捣昱扥〱戶㍣愸㍢ㅥㄸ晤〴〲㌷昴〶㥣㐸挰㐹〴㙣〴㠰㔰㜷㌲㑡づ㜵㕣捡㘰晢㜵㔱㜷ち捤㑥㠵愸ㄸ〸挰㝦㌱ㅤ㥤㌷愰扡㌳㜸㈷㘳〸戹戱扡摥㔹昷搰摣〶㔹㙢㡣捥㌵ㄲ㔷愰㤳㝢㔷昴㡣晥㐴攳㙣㌸㍥㈴搳敥㘷晣攱㕢ㅡ昳㐳㠷户㉦㡡㌳捤愵㘱㘹愷㈱攱㥢攴扥㉥愵ㅡ昹㘹㙢愹㑦戵昳㍥㐳昶换㤶摢㍤搷㔷㔶㥣㥦㉥つ敥㜴㔸慡㙤㔰㕡㐱㥣㔲收㜵晥㑣ㄲ戸摥〶户ㅤ捣昰ㅦ㡦㕥改㠴收㝣㜱㔶扢摤㌰㉡愰戰㍥㑡捦〶㐶㍦㠷㐰捥㜸昷〰㥣㑢挰㜹㄰ㄵ㥣㕢㕤搸て换㥦㈲㡥㤱㐸ㅤ慥扢换㌷㍦㜱㈵㘳㈵ㄶ〵捡ㄲ挸ち改戴昴㜴㉤㕤搴捣㔵㡢㤵戰挱㔶㘳慢㌶つ㍤㕡㈳攳㌳㕢ㄷ㍢〹ㄸ㠰㉣㉢㉦敦㡥㙥㥤㔶戸㘰愶㘸户㜴㌱捤㤰㘹散㙡〰㐲搰捥㐷挴ㅢ㜱㜴ㅡ晥㘷㑦㑢捦㌵㌲敤つ㠶摣慣㐸㉡摤ㄳ㥣㌰捡㜹㈱搰ㄸ挴攷慣㙥㍢〵㥦㑡㡥晡㐲敡ㄷ㌱〵ㄷ㐳愸ㄸ〰慥敢摥愵㌴戳扡ㅢ㤷㘱㥢散㜳㙥㜶改敢摥攵ㄶ㉡〱㔴愷慦㝢㥣攴㙤㕥昷㤶挱㕣扢〲㠲搷扤㌰敥户㜰摤㕢㙥戹摣ㄹ愸捥㕣昷㌸ㅤ㝣㍤搷㍤㑥ㄶ㤷㘶㜸ㄵ㝣慢摤㔰㕡㠱㕤愱ㅤ㤹捤昰ㅡ〶戰摥㘶㔸ぢ㌳晣挷㔳㜰㍡ㄱ㜳扣㜳㝡戹㥤㘲㔷㜷攳㍡㘰昴敢〹攴搴㜳て挰㕦〸戸㠱㠰戱〰挸㜵敦㐶㤴㥣敢ㅥ攷㥢摢㘶慥敢摥㑤㌴扢㤹㘶㝢〳攰愲敥㔶攸㙣敡㙥挳㌶愹攳捣昱搲搴摤㙥愱愶〱搵㘹敡愶〳㙣㔲㜷〷捣戵㍢㈱㐸㕤㈸㠲扤攳改㡥攵㜲〶㔰㥤愱㙥ㄶ㜰敢愱㡥㔳搹㠵扡扢攱㕢敤㡢搲ち散捡愱敥㙦っ㘰扤搴敤て㌳晣挷晡㜵㍡ㄱ㜳扣㜳昲扢㥤㘲ㄷ㜵昷〱愳摦㑦㈰㈷挶㝢〰ㅥ㈰攰㐱〲㘶〳㈰搴㍤㠴㤲㐳ㅤ㘷挳摢㘶㉥敡ㅥ愶搹㈳㌴攳捣㜵ㄷ㜵㉢愱戳愹㝢ㄴ摢愴㡥昳摡㑢㔳昷㤸㠵㙡〴慡搳搴㜱㠲扣㐹摤㉡㤸㙢㡦㐳㤰扡㤸㐹摤ㄳ㤶换㘶愰㍡㐳摤㘱挰慤㠷㍡㑥戴ㄷ敡㥥㠴㙦搵㡡搲ちㅣ愸㐳摤搳っ㘰扤搴戵挳っ晦换昴㘷攸㐴捣昱扥〰㕢㜶㡡㕤搴㍤ぢ㡣晥ㅣ㠱㥣戶敦〱㔸㐳挰昳〴㉣〲㐰愸㝢〱㈵㠷㍡捥搵户捤㕣搴晤㥤㘶㉦搲散㜸〰㕣搴扤っ㥤㑤摤㉢搸㈶㜵㥣㜵㕦㥡扡㔷㉤搴㠹㐰㜵㥡㍡㑥摦㌷愹㝢つ收摡敢㄰愴㉥㘲㕥㌰摦戰㕣㜲㝥㝦㘷愸攳㐴晦昵㔰挷㘵〰㐲摤㕢昰慤㑥㐷㘹〵づ搴愱敥ㅦっ㘰扤搴㥤〹㌳晣挷㜴づ㍡ㄱ㜳扣㥦㡤㉤㍢挵㉥敡摥〵㐶㕦㑢㈰ㄷㄵ㜸〰摥㈳攰㝤〲捥〵㐰愸晢〰㈵㠷㍡慥㈴戰捤㕣搴㝤㐸戳㡦㘸㜶〵〰㉥敡㍥㠱捥愶敥㔳㙣㤳扡攵㠰㤴愶敥㌳ぢ㜵㈵㔰㥤愶㡥㡢ぢ㑣敡㍥㠷戹昶㑦〸㔲ㄷ㡤㘳敦㍥晤㕦㤶㑢慥㍥攸っ㜵搷〲户ㅥ敡戸㐸㐱愸晢〲扥搵昵㈸慤挰慥ㅣ敡扥㘴〰敢愵㡥慢ㅡ昰ㅦ㤳㔴攸㐴捣昱捥㘵つ㜶㡡㕤搴㝤つ㡣晥つ㠱㕣昲攰〱昸㤶㠰敦〸戸〵〰愱敥㝢㤴ㅣ敡戸捥挱㌶㜳㔱昷〳捤㝥愴搹㝤〰戸愸㕢〷㥤㑤摤捦搸㈶㜵㕣戱㔰㥡扡㕦㉣搴〳㐰㜵㥡㍡㉥㝤㌰愹晢ㄵ收摡㙦㄰㜲挱㌴愹晢摤㜲挹戵ㄱ㥤愱敥ㄱ攰搶㐳摤ち㐰㠴㍡づㄹ慡㤵㈸慤挰㠱㍡搴㜵㠳㜶晤搴㜱捤〵晥攳慢㙤改㐴捣昱晥㌸戶散ㄴ扢愸慢〰㐶搷〸攴㠲って㐰て〲㉡〹㔸つ㠰㔰挷敦捣㜵愸攳㉡っ摢捣㐵㥤㡦㘶㍤㘹昶ㄲ〰㉥敡㝡㐳㘷㔳搷〷摢愴敥㘵㐰㑡㔳㔷㘵愱㕥〱慡搳搴㜱㘱㠶㐹㥤ㅦ收㕡㕦〸愱㉥㠶扤晢昴㝥㤶换搷㠰敡っ㜵㙦〰户ㅥ敡戸挰㐳愸摢㄰扥搵㕢㈸慤挰慥ㅣ敡㌶㘶〰敢㍤敢戸㈲〴晦昱戵挱㜴㈲收㜸㝦ㄷ㕢慢㔰㈸ㄸ戳散て㡣扥㈹㠱㙢扤〱㥢ㄱ戰㌹〱敦〱㈰搴㙤㠱㤲㐳ㅤ搷㠸慣戲晣扡愸摢㤲㘶〳㘸昶㙦〰㕣搴㔵㐳㘷㔳㌷㄰摢愴㡥慢㍤㑡㔳㌷挸㐲晤〷愸㑥㔳挷㘵㈳㈶㜵㕢挳㕣ㅢっ㈱ㄷ㑣戳㥢戲㡤攵昲㉢愰㍡㐳摤㌷挰慤㠷扡㙦〱ㄱ敡戶㠳㙦昵ㅤ㑡㉢㜰愰づ㜵摢㌳㠰昵㔲昷〳捣昰ㅦ㕦㌹㑢㈷㘲㡥昷㥦戰戵ち㠵〲敡㠶〲愳敦㐸㈰ㄷ戳㜸〰㠶ㄱ㌰㥣㠰㥦〱㄰敡㜶㐲挹愱㡥㉢㔸㙣㌳ㄷ㜵〱㥡〵㘹搶〳〱扢愸ぢ㐱㘷㔳ㄷ挶㌶愹攳㕡㤴搲搴㐵㉣㤴づ㔴愷愹攳愲ㄶ㤳扡㈸捣戵ㄸ〵㍥敢㠲㐱㤳扢戸攵戳㈷㘰㥤攱慥㌷㜰敢攱㡥慢㘳㠴扢ㄱ昰慤慡㔰㕡㠱㈳㜵戸摢〵摡昵㜳搷ㄷ㘶㐸㈸搶㔷搰㠹㤸攳㥤敢㘹㔶愱㔰挰摤慥挰攸扢ㄱ戸愱㌷㘰ㄴ〱戵〴㙣〴㠰㜰㌷ㅡ㈵㠷㍢㉥戰㔹㘵昹慤挶扢捦㈷昷攴㜵㌴ㅢ㐳戳㠱〰戸戸ㅢ〷㥤捤摤㜸㙣㤳㍢㉥㤵㈹捤摤〴ぢ戵㌵㔰㥤收㙥㌰挰㈶㜷ㄳ㘱慥敤づ㈱愷㥤㌹㤷㘰て换攵㌶㐰㜵㠶扡敤㠰㕢て㜵㕣扢㈳搴敤〹摦㙡㝢㤴㔶攰㐰ㅤ敡㈶㌳〰㈸攵搰㔹攱㥥㕢〴㤲捣㈷㔶㐳㠱㄰敡愶搰〹搱㝣㜱戵捦㉡㙣ㄴ㔰户㌷㌰晡㔴〲戹ㄲ挸〳㌰㡤㠰改〴散〴㠰㔰㌷〳㈵㠷㍡㉥晦戱捤㕣愷摤㑣㥡捤愲搹捥〰戸愸摢ㄷ㍡㥢扡晤戰㑤敡戸㤰愷㌴㜵晢㕢愸㤱㐰㜵㥡㍡慥〸㌲愹㍢〰收摡㠱㄰昲㘱㘷㍥〱㌸挸㜲挹〷㘲㥤愱慥ㄶ戸昵㔰挷㤵㐵㐲摤挱昰慤敡㔰㕡㠱〳㜵愸㑢㌱〰㈸㍢愶㙥㉣㄰㐲㕤㥡㑥挴ㅣ敦攳愱㕤㠵㐲〱㜵ㄹ㘰㜴㠳㐰慥㔳昲〰㘴〹㤸㐳挰㐴〰㠴扡戹㈸㌹搴㜱㜱㤲㙤收愲慥㥥㘶㠷搰㙣〶〰㉥敡ㅡ愰戳愹㙢挴㌶愹攳㌲愳搲搴㌵㔹愸㔹㐰㜵㥡㍡慥㔷㌲愹㙢㠶戹㌶て㐲捥㍡昳〹挰㘱㤶㑢㉥㘸敡っ㜵晢〳户ㅥ敡戸敥㐹愸㙢㠵㙦㜵㈰㑡㉢㜰愰づ㜵敤っ〰捡㡥愹㥢つ㠴㔰㌷㥦㑥挴ㅣ敦㐹㘸㔷愱㔰㐰摤〲㘰昴㠵〴㜲ㄵ㤵〷㘰ㄱ〱㠷ㄳ㤰〶㐰愸㍢〲㈵㠷㍡㉥㥤戲捤㕣搴㉤愶搹㤱㌴㙢〶挰㐵摤搱搰搹搴㉤挱㌶愹攳㈲愸搲搴㉤戵㔰㠷〱搵㘹敡戸㥡捡愴敥ㄸ㤸㙢挷㐲㤰扡戸昹㔹㜷㥣攵㤲换慤㍡㐳㕤㍢㜰敢愱㡥慢戲㠴扡ㄳ攰㕢㉤㐰㘹〵づ搴愱敥㈴〶〰㘵挷搴㜱ㄹ㤷㔰㜷㌲㥤㠸㌹摥㡦㠰㜶ㄵち〵搴㥤〲㡣㝥㉡㠱㕣攳攵〱㌸㡤㠰搳〹㌸ㄲ〰愱敥っ㤴ㅣ敡戸戰换㌶㜳㔱㜷㈶捤捥愲搹挹〰戸愸㍢〷㍡㥢扡㜳戱㑤敡戸㐴慢㌴㜵攷㔹愸㔳㠱敡㌴㜵㕣敢㘵㔲㜷㍥捣戵ぢ㈰攴慣㑢㘰敦ㄸ㍢户㕣㜲㌱㔸㘷愸㍢ㄳ㌸愱㑥扢〸㤶㝦㘰㐶㤱攲㤲㌲㘱昶㘲㌸㔰㘷愳戴〲㤱㌸捣㕥捡昸愰散㤸㔹慥㐱ㄳ㘶㉦愳ㄳ㌱挷晢昹搰慥㐲愱㠰搹换㠱搱㤷ㄱ挸㌵㘹ㅥ㠰㉢〸㔸㑥挰㠵〰〸戳㔷愲攴㌰换㠵㘸戶㤹㡢搹慢㘸㜶㌵捤慥〶挰挵散戵搰搹捣㕥㠷㙤㌲㝢つ㈰愵㤹扤摥㐲㕤ぢ㔴愷㤹攵摡㌴㤳搹扦挰㕣扢〱㠲捣㠶捤㤳昲㐶换攵昵㐰㜵㠶搹ㅢ㠰㕢捦㐹挹㌵㙥㐲摤捤昰慤㙥㐲㘹〵づ搴愱敥㔶〶〰㘵挷搴㜱㔱㥣㔰㜷ㅢ㥤㠸㌹摥㙦㠳㜶ㄵち〵搴摤づ㡣㝥〷㠱㕣㌱攷〱戸㤳㠰扦ㄲ㜰〷〰㐲摤㕤㈸㌹搴㜱㤹㥣㙤收愲敥㙥㥡摤㐳戳㠷〰㜰㔱㜷㉦㜴㌶㜵昷㘱㥢搴㜱挱㕢㘹敡敥户㔰㡦〰搵㘹敡戸㜲捥愴敥〱㤸㙢て㐲㤰扡㠸搹〱㝤挸㜲戹ㄲ愸捥㔰昷ㄸ㜰㈶㜵㍣㈹ㄱ㝦搱㍣㍥戵ち㄰愱敥ㄱ㈰搴攳㈸慤㌰㤱收㐳愱㤵っ〰捡㡥愹㕢つ㠴㔰昷㈸㥤㤸㍢㉡㔳㑦㐱扢ち㠵〲敡ㅥ〳㐶㕦㐵㈰搷昳㜹〰ㅥ㈷攰〹〲㥥〱㐰愸㕢㡤㤲㐳ㅤㄷ昱搹㘶㉥敡㥥愴搹㔳㌴㝢つ〰ㄷ㜵捦㐰㘷㔳昷㉣戶㐹ㅤ㤷攳㤵愶敥㌹ぢ挵昵㝡㥤愶㡥敢晡㑣敡搶挰㕣㝢ㅥ㠲搴挵捣㕥捣ぢ㤶换户㠰敡っ㜵晦〰㙥㍤㘷ㅤ搷〷ち㜵㉦挲户㝡ㄷ愵ㄵ㌸㔰攴摦愴敥㘵〶〰㘵挷搴扤〷㠴㔰昷ち㥤㠸㌹摥㍦㠰㜶ㄵち〵搴扤ち㡣晥ㅡ㠱ㅦ㝡〳㕥㈷攰つ〲㍥〲㐰愸㝢ㄳ㈵㠷㍡㉥㌱㕣㘵昹㜵㔱昷ㄶ捤摥愶搹㔷〰戸愸㝢〷㍡㥢扡㜷戱㑤敡戸㔸戰㌴㜵㙢㉤ㄴ㔷ㄳ㜶㥡㍡慥㍡㌴愹㝢て收摡晢ㄴ㈳敢昶戴㙦搹㍦戰㝣㝥〷㔸㘷戸晢〱㌸攱づ昳挷㤱㔲㌶〰搷搴㔹挵愵㡢挲摢㠷昰慢戸㠶㜱〵㄰づ㙦ㅦ㐳扢㝥摥㝥㠶㤹昰昶〹攰昶㥦晡ㄵ摡㔵㈸ㄵ昰昶㈹㌰晡㘷㄰㡡㙢ㅦ㍤〰㥦ㄳ昰㑦〲㝥〷㐰㜸晢ㄷ㑡づ㙦攵ㄸ收戵捤慡攱摦扡㕤晦㌷捤扥愰㔹㑦〰㕣扣㝤〹㥤捤摢㔷搸㈶㙦扤〰㈹捤摢搷ㄶ慡㌷㔰㥤收慤て挰㈶㙦摦挰㕣晢ㄶ㠲愷㕣㍣挴㄰昵敦㉣㤷㔵㐰㜵㠶戶扥挰慤攷㤴敢〷㠸㔰昷〳㝣慢つ㔰㕡㠱㕤㌹搴晤挴〰㤰挰㡥㑦戹㡤㘰㈶搴慤愳ㄳ㌱挷晢㈶搰慥㐲愱㠰扡㥦㠱搱㝦㈱戰扦㌷攰㔷〲㝥㈳㘰㔳〰㠴扡摦㔱㜲愸摢挲㘵收㍡攵捡㌰㕢㐴攷㙦㍦愹㙤〰㜰㔱搷㡤搳㐸慣搹て摤戱㑤敡戶〵愴㌴㜵ㄵㄶ㙡㍢愰㍡㑤摤㄰㠰㑤敡㌴㤸㙢㍤㈰攴㙡㘹㔲㔷㘹戹摣ㅥ愸捥㔰㌷ㄴ戸昵㔰户㈳㈰㐲㥤て扥搵㌰㤴㔶攰㐰ㅤ敡㝡㌱㠰昵㔲户ㄳ捣㠴扡摥㜴㈲收㜸て㐲扢ち㠵〲敡晡〰愳㔷ㄱ㔸攳つ昰ㄳ搰㤷㠰㄰〰㐲㕤㍦㤴ㅣ敡愲㉥㌳ㄷ㜵ㅢ搰㙣㐳㠸ち㉥改敢摣ㄲ挲ㅥ〸捦敦㕡搷㈹摦昷搸㌷扢㜷㝢戲〱㍦摤㌶ㄹ㡢㡢摡愸晡㌳㑣ㄶ敦㙥㉥昱㕡敦攴㈰㌹㠴晤てㅣ㠰㈳㉢捣㐱晥㐴㈲敢搸攴敢㉤晦搸ㄲ㌰㕦挵㍦搷晤晥㝢攷昶挲㔶㤱晦㠵㤳㈰〹㔷愳㡤㐱ㄸ捦愵㕡ㄴ愵〹攵㕤戸㐷㝢㘹㉢敡愰敤㘰㤱㐵挱敡㈹㝡摤㈰㌷㈵㥣㤳晦㠷㌶㘰㙥㕡㈷搶㕡昴㐷㜰㙡慣㔷っ㙡扣慤摤㡣ㄸ散㠲慦㡡摤愱㉤㥣㌵㔶㌴㝢ㅦ㤷㈱㉣ㄸ攵㍣晥㘹㙤㡢ㅡ戰㜶㠲㥢㥣㐵㘶㙥㜱戲戸㔹㡤愰㥢㕢戰㘲慣㝢攱㔷攴㍡戶㝦㠳慢㥥ㅢㄶ晣㔸㠵㤸戱㘶〲愲愹昸〸ㄴ㤵戴㘷搰㌹㔶㘸挳㍦㙤ぢㅣ搳㠶㝢搶愷㕢㥡㕢㥢戳㙤搵搳戰㐴愸㥡㍦㕦㤲挵㘲戱摡㡡て攰搱㜳㥦㍣戰敥㑤晣㤵挳昹晣㘶㔱摦愱㑤捤ぢ㥡㈴㥡㡡㔶晥㡡ぢ昷愶昷攸挱摤㜰〹㤹晣㙤㡤挴昹昷㐰愰㌴搶〷㘰挷扤扢昹㈷愱捣㡢㡥戶ㄵ捡摢搴㡤慥㥢㍡㍢ㅡ㐹㈵㈲愱㑣㈸ㄱ挸〴挳㠹㑣㌶ㄱつ〶愲搹㜰㑤㈰㤴㐸〶〲ㄱ㐳慢㜶愰挹㑣挴㠸挴㈳㤹㐸扡㈶ㅥ㑥挶㙢㤲㐶㌲ㅢ㌵愲㤹㐸㌶㥡㑣㐶㘳〱晦㥥㤶㝢㝤㈰㙣昴㐱㄰晥扤㙣搵搶㔴つ愶㙡戲慤㈲㐰愰㔵㔳愰㘲攴㥡㠴晥㍦ㄴ晥扤攱ㄹ晦换戴敤戰戳㕥㜵愳㘷换ㄴ挲愹昸㜵ㄵ㙤〸㌴㝤愱挹晦㔹㐹㙤㝢愸晢㐰敤㕡㔲攴㥦㙡㜹搱〷挲㤵㍥㤴㜱㔷㘳㑢㑤㠷㥥ㄷ㐵㥦㝡〹摣昱愴攵扥昰つ改㐰昰攴㥢㠱愲㤰㤳㜷昲捤昴搴捥㠲㤶㈷愰ㅥ㠰戱摡搷ㄳ戳扦慤慤㈱㠶ㄱ昰㜵㈰戴㍣㐱搴㜳〸㠰捤ㄲ捡㌲㥤㙤㡤捤㑡㍤〳つ㥢㔶㝥搳㌸〸〶搲㌴愲挰愱㘹捣㐶㔹㥡㐶っ㘵戳㘹ㄸ㤹㘸㈲㤶㡡〴㙡〲攱㘰㌸㘸挴㤲挱㜸㌰㥥㡥〷㌳昱㔰挸㌰㠲〱㉤敥㐰㔳搱ㅡ㈳㥥慣㠹㈵㤲㌵搱㜰㈰㤶㑥㠶〳㠹㑣㌸㥤挸〶戳㌵昱㙣㑤挴㝦戰攵㕥㑦挰㐶ㅦ〱攱㑦摡慡㕣搳㐸搹㉡〷㔵㤵㠶慡㙢㥡㐶〶㥥昱ㅦ㕦攱挰㤰搸ㅡ㜴㜲敦㌷ㅣ㍤㉢敢愸摦ㄶ㕢㙡づ昴㈶搹て㈰㥢㌹戲挷〱㐱戲攷愲扥㤸散㝡㑦敤㈱搰ち搹ㄳ㘰慣ㅡ㍣㌱㑤戶㜶㜷㘲ㄸ〱㕦昳愰ㄵ戲敦㐶㄰挵㘴晦搵㤳散挳㘰㈴㘴敦〵㔷㈰扢〵㘵㈱㝢㌲捡搶㜵㈰ㄹっ挵攲搱㐴㉡㥤〵㜹攱㐴㉡ㄶ㑥㠷㘳愱㘰㈲ㅤ㑣愴㔲攱戸㌶挵㠱愶㈲愹㑣㑤㈶ㅢ挹㘴つ㈳㥣捡挶昰〳戸㐶摡㠸〷戳㠹㘴㌶ㄶ挹㘶晣慤㤶㝢㝤㙦搸攸㔳㈱晣㙤戶㉡㐷㜶扢慤㜲㔰㔵昳愱敡ㅡ戲ㄷ挰㌳晥ㄷ㤱扤搰搶て㘳攵晥㡣㤷扦捡愰戸ㄸ挱㈴晢敡㍣戲て〲㠲㘴ㅦ㠱晡㘲戲ㄷ㝢㙡㡦㠴㔶挸㍥ㄸ挶敡㘸㑦捣㔲㕢㥢㈲㠶ㄱ昰㜵㉣戴㐲昶攵㥥㘴㕦敡㐹昶㜱㌰ㄲ戲戳㜰〵戲㡦㐷㔹挸㥥㠳戲㐹㜶㍣㥡㌴㘲改㔴摣〸㠴㤳㘱㈳ㄶ㑤愴㘳㤱㔰㍡㔹㤳づ㐶挲改㔸㉡慡捤㜵愰挱㘸㄰愷㍢㥡㐳㈴ㄲ〳搹㐶㌲㥣ち愷㜱慡〷〳㤱㔸㈰ㅡ㑡晡戹捥㠰敥昵㝡搸攸㠷㐰昸㑦戴㔵㌹戲㑦戲㔵づ慡敡㘴愸扡㠶散㔳攰ㄹ晦㡢挸㍥搵搶戳搷慦户㌲㕥摥㉣慢搳愱ㄷ㌲摢愱攲〶㡤搵㤹㤰㤲晣㔳㕣挹搷ㄶ〰㔲昲㈳㕣㥤攴挹挸㔹昰㈴㡣㉣㠲㌱ㄸ㌹摢㉡㙢㠷愳㙣㌲㤲捥攲㙡㙢㘴〳搱㜰㌰ㄱ㑥㐶㐳㠹㔰㈲ㄲ捣挶㔳搱㠸㤱㑣〴愳〱敤〸〷ㅡぢ挵戲昱㌴捥扥㑣搰〸㠷戳搹㐴㌰ㄵ㡣㈷㡤㙣㑤㌶㤵挰㜹ㄹ搴ㄶ㍢搰㐴㌸㘳㘴愳㠹㜰つ㔶挷㠶愳㤹㔰㉡㠶ㅦ慤㑢㠵〲挱㐴㑤㌸㠰㑦㙣敤㐸〷ㅡ㡤愶㌲㘹戴㠷㔰㌴ㄵて愷㡣㘴㉡ㅡ挲㡦㘱〷㤲㠱㥡㥡㘰㈸㤴捡昸捦戱て攲㈸搸攸㐷㔳㉣愱㔸ち攱㍦搷慥㍣㠶慡㘳㈹㡥愳㌸㥥㤵攷搹㤵㌹㈳昱㐱换㡡ぢ㔱戹摥扥户㌵㌱㥦㌹㔴㈹㤵㔶ㄹ㘵㜴敦搱愳攸敢㑣昲晢攱㤸戳㉦㝤㜶昶搸㌵㡤戲㘲㍥攸改戸㕢㙤ㅢ戱ㄵ攴㍡㜰㌴㤶㌶㝥㉡て敡㌴〸㥦晦㈲敢愸戴搳㔱散㠷づ〳扥㤸摤晥挱ㅤ㜶㍡戵㌳愰昷攸㕦㥣〹㜵㝥㐷攴㉣㘸ち㝢ㅣㄷ摢㌹㝢〱扢搶捦〱㐲㝥〸㔷㝥ㄲ㔷㕤㡡㑡昳攲㜴㈸づ㈸昷㐹㜴〱㘰扣㌸㕤㠶㝡㘹捦㜹摤㡥换㍤戵换愰㤵㡢搳㐵㌰㔶换㍤㌱㔷搹摡㑢㠸㐱㐰昲扡〶㕡㌹㍦っ搷昹㤱敢㜶愴㍤㑦㠵㙢㘱㈴愷挲㌲戸挲愹挰㈹晢㜲㜱扡〲㘵昳㔴〸愶戲改〸㍥㡤㌲㠹㌸㑥㠵㙣㈰㔱ㄳ捤挶㠲愱㐰㈶㤳㡣〷㤳昱戴戶摣㠱〶㙡㤲搱㐰㉣ㄵ㡢〷搱㜲㠳愹㐴㍣㤰〹㈴㘲㠹㘸㈰㤸㐹挱㐵摣㝦扤攵㕥扦ㄲ㌶晡㔵㄰晥扦搸慡摣挵改〶㕢攵愰慡㙥㠴慡㙢㉥㑥㌷挱㌳晥ㄷ㕤㥣㙥戶昵愳㔸㜹ㄳ攳摤㡤愹扥ㄵ㝡㤳散㘹㜹㘴摦ち〴挹扥つ昵挵㘴摦敥愹扤〳㕡㈱晢㜶ㄸ慢扦㝡㘲敥戶戵㜷ㄲ挳〸昸晡ㅢ戴㐲昶㥥㥥㘴敦攱㐹昶扤㌰ㄲ戲敦㠱㉢㤰㝤ㅦ捡㐲昶摦㔰㌶挹〶㘷戱㘸㉡㤱挸愴㌳昱㜰㉣ㄸ㑦挵㐲〱㕣〷㠳㠱㈴㝡㤳挹慣愱摤敢㐰愳搱㑣㍡㙥搴㠴攳㔱摣㝥㘴㡣㔸㈲㤴㡣㘴㘲㠹㉣慥㤰愹㈸㍡ㅦ㝥㉥ㅦ㤰戳昴㍥搸攸昷㐳昸ㅦ戰㔵㌹戲ㅦ戴㔵づ慡敡㈱愸扡㠶散㠷攱ㄹ晦㡢挸㝥挴搶㡦㘳攵㘳㡣㜷㉣搳扣ㄲ㝡㤳散㥤昳挸㝥〲〸㤲晤㈸敡㡢挹㝥捣㔳扢ち㕡㈱晢㐹ㄸ㉢㉥㌵㈸戶㝣搲搶㍥㑤っ㈳攰敢㘹㘸㠵散㠸㈷搹㈱㑦戲㥦㠱㤱㤰扤〶慥㐰昶戳㈸ぢ搹捦愳㙣㤲㡤㕦搶㡣攲㔳㉢㠱㕥㐶〴摤㠸㐴挲㌰搲愱㐴㍣㔴ㄳぢ㐷ㄳ㌵挹愰昶㠲〳㌵搰ㅡ㌲㌵戸㤱㐸〶搲攱㔴㍡㤴っ㈷ㄳ搱㘴㍡㠸昶ㄱ㠹㠶㡤㤰晦㌹换扤晥㜷搸攸㉦㐲昸搷搸慡ㅣ搹捦摢㉡〷㔵昵〲㔴㕤㐳昶摦攱ㄹ晦㡢挸㝥搱搶昳㐷づ昴户ㄸ敦ㅥ㑣昳换搰㥢㘴㙦㥤㐷昶㍢㐰㤰散㔷㔰㕦㑣搹慢㥥摡搷愰ㄵ戲搷挲㔸扤攱㠹㜹换搶扥㑦っ㈳攰敢ㅦ搰ち搹㕢㝡㤲扤戹㈷搹敦挰㐸挸晥ㄸ慥㐰昶扢㈸ぢ搹㥦愰㙣㤲ㅤ㠸㘴ㄲ㤱㐸㌸㥢ち㐶㤲攱㙣〲㠴㠶昰愳戹戸㔵挸㘲摣〰搴㙡㥦㍡搰㉣㝡愲攱㐸㈰ㄱ捣ㅡ愹㜰㈶ㅣ㑤㐵挳㜱㡣㌰愴㙢㤲挹㔰㍣㔵ㄳ昶慦戵摣敢㥦挱㐶晦ㅣ挲晦㥥慤捡㤱晤扥慤㜲㔰㔵ㅦ㐰搵㌵㘴㝦〸捦昸㕦㐴昶㐷戶㝥㉡㉢扦㘱扣㝢㌳捤㥦㐰㙦㤲摤㌳㡦散敦㠱㈰搹㥦愲扥㤸散捦㍣戵㥦㐳㉢㘴晦〸㘳昵㉦㑦捣ㄷ戶㜶ㅤ㌱㡣㠰慦㉦愱ㄵ戲㉢㍣挹敥收㐹昶㔷㌰ㄲ戲㝦㠳㉢㤰晤㌵捡㐲昶敦㈸㥢㘴愷挳㐶扣㈶ㅢ㡤搵㐴搳〹㤰㕤㤳㐸㐴㐳㐶㉣㥥㑣愴ㄳ㌵攸㥢挶㌵づ敤㔸搰㌸㍡戰㌱っㅣ㘵戲㌵戸㤳㠸挶㠱捦㈴ㄳ搹㑣㑤㤴搷昱戸晦ㅢ换扤慥㘰愳㤷㐳昸扦戵㔵㌹戲扦戳㔵づ慡敡㝢愸扡㠶散ㅦ攰ㄹ晦㡢挸晥搱搶敦挳捡㥥㡣㜷ㄶ搳捣戵ㄲ㈶搹摦晣攴敥愰昵〱㠲㘴晦㡣晡㘲戲㝦昱搴晥ち慤㤰敤㠷戱晡摤ㄳ愳㐰㡦昸敢㐷っ㈳攰慢ㅢ戴㐲昶扦ㄱ㐴昱㔰挱㍦愱晤〰㠴㌳㘵昲㈷㐳㠶摤㘱㈴㘴㙦っ㔷㈰扢〲〵㈱㝢ㄳ㤴㑤〶㜱ㄷㄱ攰㙦㕥〷㤲搹㈰㑥搷㘴㈲㤰づ㘶㤲戱㜸㈴ㄵ㑡挷㜸ㄹ敦敦㐰㌳㌵㐶慣〶㤷敢ㄴ㙥㍢挲〶㉣㜰㔳ㄳ㡡搴〴㠲昸ㄴ捦㘶搲㔱扦㘶戹搷㌷㠵㡤扥ㄹ㠴扦㠷慤捡㤱㕤㘹慢ㅣ㔴㤵づ㔵搷㤰敤㠳㘷㘴戹㠸散㥥戶晥㈰㔶㙥捤㜸て挴㤶敡つ扤㐹昶㕢㜹㘴㙦ぢ〴挹敥㠳晡㘲戲慢㍣戵㝥㘸㠵散㈱㌰㔶晤㍣㌱ㅢ摡摡ㅤ㠸㘱〴㝣㙤っ慤㤰晤㡡㈷搹㉦㜹㤲扤〹㡣昰ㅦ搳摥攱ち㘴昷㐷㐱挸摥〹㘵㤳㙣っ昷〶㐳㐱〳㍦㜳ㅥ㡥㘲㔴㌸㥡㑡〶㌰搴ㄳ挶㔵㌹㠹〱㠳㙣㔰ぢ㌸搰㜰㈴㔱㤳慡挹愴㐲攸㥥㠵挳㌵ㄹ㜴搰戲改㠰ㄱ㡡㐶戳㌵㌱っㄶ昹㌷戵摣敢㐱搸攸㌵㄰晥捤㙣㔵㡥散捤㙤ㄵ〱〲慤摡〲慡慥㈱㝢㑢㜸昶㈲㝢㠰慤捦㌰㍤㍢㌳㤲㌴搳㕣つ扤㐹昶㘳㜹㘴敦ち〴挹ㅥ㠸晡㘲戲〷㜹㙡户㠶㔶挸ㅥ〵㘳戵㡤㈷㘶㍢㕢㍢㥡ㄸ㐶挰搷昶搰ち搹て㜹㤲晤㠰㈷搹㍢挰〸晦昱〵㌱㜰〵戲㠷愲㈰㘴㡦㐷搹㈴ㅢ㈳㝦㤱㜰挲㐸挵㘳搹㐴ㄸ㈷㘸㉡㠴戱㕥摣㡡㠵㠲㔹昴挴㈲㐱㙤㠲〳挵愸㐰ㄲㅦ昰改㘰〸ㅦ昲㠹㉣扥㜱ちㅤ㌳㝣摣㘷㠳愹㐰ㄶㄷ〸晦㡥㤶㝢㝤㈲㙣昴摤㈱晣挳㙣㔵㡥散攱戶㡡〰㠱㔶敤〴㔵搷㤰ㅤ㠰㘷㉦戲㠳戶晥㄰愶㘷ㅡ㈳愹㘷㥡㐳搰㥢㘴摦㤴㐷昶㑣㈰㐸㜶ㄸ昵挵㘴㐷㍣戵㔱㘸㠵散㝤㘰慣攲㥥㤸ㄱ戶㜶㍦㘲ㄸ〱㕦扢㐰㉢㘴㕦敢㐹昶搵㥥㘴㡦㠴ㄱ晥攳㙢㝡攰ち㘴敦㡡㠲㤰㍤ㅢ㘵㤳散㌰㐶晤㔲ㄸ挶て㑢慦㉢㙤愴㠲㠱㔰㈸ㄲ㡢搴㘴攲攰㌶㤵搴づ㜶愰㌵㈹㥣昴㌵㔱っ昷ㅡ散㥥愱㑦㠷昳㍢ㅢぢ㠵㌳挹㈸㐶〲つ晦㙥㤶㝢㍤〹ㅢ㍤〵攱ㅦ㘵慢㜲㘴搷摡㉡〷㔵㌵ㅡ慡慥㈱扢づ㥥㠵散㈱攸愵㤸㘳晣摢㘳换㍦挶搶ㅦ挲㔰攷㌱㐷捤㑣昳㌸攸㑤戲捦捤㈳扢〹㌰㤲㍤ㅥ昵挵㘴㑦昰搴㑥㠴㔶挸㥥〷㘳戵㠷㈷㘶㑦㕢摢㐲っ㈳攰㙢㌲戴㐲昶改㥥㘴㥦敡㐹昶ㄴㄸ攱㍦㝥㐳〲慥㐰昶摥㈸〸搹ぢ㔰㌶挹㑥〴㐳改㙣〴摣㐶㜹攳ㄵ㑡㈶㈲昸ㅣ㑥㘴㈲搱㔰㈶㥣㠸㘵㘲摡㐲〷㡡㕢戳㜸ㄴ㉤㈰㡢昳㍥ㅣ㡥㘴搰㠱て愴攲攸㡣搷〴㔳改㜴㈶攳㥦㙡戹搷ㄷ挱㐶㍦ㅣ挲㍦捤㔶攵挸㥥㙥慢〸㄰㘸搵っ愸扡㠶散㤹昰散㜵㘶捦戲昵昳㤹㥥㘳ㄹ㐹㍢搳扣㉦昴㈶搹㐷攴㤱㝤〲㄰㈴㝢㍦搴ㄷ㤳扤扦愷昶〰㘸㠵散㤳㘰慣づ昲挴ㅣ㙣㙢㑦㈱㠶ㄱ昰㤵㠲㔶挸㙥昷㈴扢搵㤳散㌴㡣昰扦㑣㍦〳慥㐰㜶〶〵㈱晢㑣㤴㑤戲㔳攱㐸㉡㤶挴〵㍣㠱攱晡㑣㌰㤳〸㐴㐲搹㠰ㄱ挶㘸〹扡搸攱戰㜶㤶〳㡤㠷㙢愲愱㜸㈸㘱愴挳攱㌰〶㔴攲昱㄰挶摡㐲㐶㈰ㅥ愹㌱挲戱慣摦戰摣敢㘷挳㐶㍦〷挲㥦戵㔵㌹戲攷搸㉡〲〴㕡㌵ㄷ慡慥㈱扢ㅥ㥥扤挸㍥挴搶㉦㘶㝡㉥㘵㈴㐷㌰捤つ搰㥢㘴愷昳挸㕥〶〴挹㙥㐴㝤㌱搹㑤㥥摡㘶㘸㠵散攵㌰㔶㠷㜹㘲㕡㙤敤㔵挴㌰〲扥摡愱ㄵ戲て昴㈴㝢㝦㑦戲攷挳〸晦昱晢ㅦ㜰〵戲ㄷ愰㈰㘴㕦㡦戲㐹㜶挴挸㘲搰㌳㘴㘴㜰搶攲㠳㌸㡡摥㜸㌶㠴㝢㘹㈳ㄹ㑢㘷㡣㘰㔲晢㡢〳つ〴〲昱㐴ㄶ户㕡㌱㜴捡戳㘱っ敥〷㌲昱ㄴ㍥搸昱戸㈱ㅤ㠹挶晤ぢ㉤昷晡つ戰搱㙦㠴昰㉦戲㔵㌹戲て户㔵〴〸戴敡〸愸扡㠶散挵昰散㐵昶㤱戶晥ㄸ愶攷慦㡣㘴㈹搳㝣㌴昴㈶搹㝢攴㤱㝤て㄰㈴㝢〹敡㡢挹㕥敡愹㍤〶㕡㈱晢㕥ㄸ慢攳㍣㌱㈷搸摡晢㠹㘱〴㝣㥤〴慤㤰㍤搶㤳散㍡㑦戲㑦㠶ㄱ晥攳㤷㑤攰ち㘴㥦㠲㠲㤰晤〸捡搶㘷戶㤱〸㘱㝥㐶㉣㔸㠳愷戴搹㔴㑤㠲ㅦ攰㌵挹㔰㈸ㅥ㡦愶㐲㠹㤸戶挲㠱愶攳愱㘰㍡ㄵ㡡㈶㌳攸㡤攳昱㑦㍣㤶挱戹ㅦ〴㈸ㅤ㠸愱㕦敥㍦搵㜲慦慦㠴㡤晥㈸㠴晦㌴㕢㤵㈳晢㜴㕢攵愰慡捥㠰慡㙢挸㍥ㄳ㥥扤挸㍥换搶昳㐷㤰昴㘷ㄸ敦㠹㑣昳㌹搰㥢㘴㠷昲挸㕥〳〴挹㍥ㄷ昵㐲昶昳㔰搸㝦敡㍣㑦敤昹搰ち搹㉦〰慢㉥昴挴㕣㙣㙢㕦㈴㠶ㄱ昰㜵㈹戴㐲昶㌰ㄷ搹摡换㠰㤴㝥㔰㌸搴戳〵㕣〶㑦昸㡦摦㌸㠴㌱㕡挰攵㈸㐸ぢ㜸つ㘵敢㜴㡦㐴愳挱㐴〴户㔸攸㠳〵㜰㥤㑥〶戲愹㙣㈰㤲㐲愷つ昷㘸㘹敤㜵〷㥡㡣攰㈶㥤て㙦㌹㥡㠶戱戸㈴ㅥ摦愶㙡㌰㉥㠳㡥㝡㌲㠹昹㍡换㉣昷晡ㅢ戰搱摦㠴昰㕦㘱慢摥愲敡㙤慡㤶摢㉡〲〴㕡㜵㈵㔴㕤搳〲慥㠲㘷戶〰敤㕤散㉣晦㌱搹㕡㘸㍣㥥愷扤〷㜵攱搳戳慢㉤㉦晡ㄹ㑣收〷㡣晢㜴㌲㜵㉤昴㘶㝢搹㍣慦扤㝣っ〴摢换㜵愸㤷昶昲〹㌶散㍦㜵扤愷昶㉦搰㑡㝢昹ㄴ挶敡㐶㑦捣捤戶昶㜳㘲ㄸ〱㕦户㐲㉢敤㘵㈳㔷㝢挹㍤㌸摢挰戳㘹摣〶㈳晣挷晣㘷戸㐲搳戸ㅤ〵㘹ㅡ晦㐱搹㙣ㅡ㜱㑣搵挰挰㕡㌲㡡㍢昵㜰㌲㄰㡡㘳㠰〵㥤昴㥡㙣㈴ㅤち攳搱扥昶愵〳つ㘰㝡㐷㈲ㄸ㑢㘶愲昸搰㌰攲㘹㍣㉢ぢ攱㌹っ㍡昶戱愰㠱捥㥦晦づ换扤晥ㄵ㙣昴慦㈱晣㜷摡慡摣挵攱慦戶㡡〰㠱㔶摤〵㔵搷㌴㡤扢攱搹敢攲㜰㡦慤㍦㡦改昹㤹㤱㥣换㌴摦ぢ扤㐹㜶户㍣戲㝦〳㠲㘴摦㠷㝡㈱㍢敦攲㜰扦愷昶〱㘸㠵散㌲捣㙣㔵て㜹㘲ㅥ戱戵攵挴㌰〲扥㔶㐲㉢㘴晦晡愳㙢㄰㡥ㄷ〷㤹㥣昵㌳戴挵㠳㜰㡦挲〸晦昱㉤㈱㜰〵戲ㅦ㐳㐱挸敥㠱戲㐹㜶㉡㤳づ㐴〲〱㍣晦捡㘶挳攱㑣ㅡ㥦攰ㄹ㈳ㅥ㌵㤲㐶㄰昷㜱攱ㅡ慤搲㠱㘶㠲㜸㜶㤲つ挶㌰㍣㠳ㅢ㌸㑣昱〹ㅡ㈹㝣㉡㐴㐲㐶㈴ㄶて愵㤲晥㔵㤶㝢㕤㠷㡤捥㙦挷昵㍦㙥慢㜲搷㠱㈷㙣ㄵ〱〲慤㕡つ㔵搷㤰晤㈴㍣ぢ搹扣づ攸㍣昵㜵㥥攸晥愷㙣晤㈵㑣捦〶㡣攴㘲㙣愹㘷愰㌷挹晥㈷㌲㥡㝢㈴扥㌱㄰㈴晢㔹搴ぢ搹㜹㘷昶㜳㥥摡㌵搰ち搹晤㘱慣㕥昰挴扣㘸㙢㌷㈳㠶ㄱ昰昵㌲戴㐲昶㐷㙥戲㥤㤹㜸ㅦ㜸㤲晤ち㡣昰ㅦ㤳㌴攱ち㘴扦㡡㠲㤰扤ㄵ捡㈶搹攰ぢ㈷㘶㌴ㄱ挴昸ㅡ㙥摢昱㘱㥦收㕢㌶ㄱ捦愶㤲㜸㤸愶㔵㍢搰㘸㈴㤳挱愳敦㥡㠰ㄱ挹㠴㔳㈹㔸㠶㠲㈱㈳ち㙣ㄸ愷㝢㌰敤㝦捤㜲慦て㠴㡤㍥〸挲晦扡慤捡㥤搹㙦搸㉡〲〴㕡昵㈶㔴㕤㐳昶㕢昰散㜵㘶扦㙤敢㤷㌳㍤㐳ㄹ挹ㄵ㑣昳㍢搰㥢㘴扦㤴㐷昶㜰㈰㐸昶扢愸㉦㈶㝢慤愷昶㍤㘸㠵散〰㡣搵〷㥥㤸て㙤㙤つ㌱㡣㠰慦㡦愱ㄵ戲㥦㜳㤱慤㠵〱㈹晤戱晦㡣㘷ぢ戰摢愴晦㔳戸ㄴ敡愳昰㘲㔲㥦っ攱愳ㅢㄳ㠱挲㐹捣挲挳捤㜸㈲㥡挶㌵㍤ㄵ㐸攳戹㐹㌶ㄸ㡣㙡㌱〷㕡㤳〸ㅢ攱㥡㜸㈶㤰㐱昷㍥ㄴ㑥攱〹㝡㑤ㅣ捦㔸〳㤱㥡㜸㄰て搵晤㥦㔹敥昵㌸㙣昴〴㠴晦㜳㕢㌵㠲慡㥤愹晡愷慤㜲㔰㔵晦㠲慡㙢愸晦㌷㍣ぢ昵〵愳㌴㕦搸晡㕡挶㜵ㅤ昹扦㤶㐹晦ㄲ㝡㤳晡〷昳愸ㅦぢㄸ愹晦ち昵挵搴㝦敤愹晤〶㕡愱㝥㍣㡣搵㜷㥥㤸ㅦ㙣敤㐴㘲㙣敡㝦㠲㔶愸扦挷㐵㝤敥ㄳ晣㉥㑦㤶搷挱〸晦昱愵攸㜰㠵昳晣㘷ㄴ㠴散扤㔰㌶挹㡥㜱㤲㙤〸㤳㈱挲㥣晡㠲㠹㤷戸㜴攳㠹㕡㍣ㅥ挰攳㤲㐸㌲愶㑤㜶愰昱㄰㍡㝣攸换〷ㄳㄸ㙥挷慣㙤摣昹愵㔳愹㈴㍥昳㈳搹㙣㈴ㄱ昳晦㘲戹搷愷挰㐶摦ㅢ挲晦慢慤捡㥤攷扦搹㉡〲〴㕡昵㍢㔴㕤㐳㜶ㄹ挶摦扣捥㜳㘵敢昹摢㜰晡㝥㡣攴㈶愶扡ㅢ昴㈶搹搷攴㤱㝤㈰㄰㈴㥢敢㠵㡡挹收晡愰㘲慤〶慤㤰㍤ㅢ挶慡搲ㄳ攳戳戵㐹㘲㙣戲戹㔴㐷挸㕥收㐹昶㘵㥥㘴㜳挱づ昲㠸敦捦㠰㉢㤰摤〷㘵㈱㍢㡢戲㐹㜶㌰㡡〱ㄹ㍣ㅤ㐵户㍣ㄱづ攱㜹㑡㈰㡡挹㑢㐶っ愳敦㤸㠴ㅢち㘹㜳ㅣ㘸〶挳㌱ㄹ摣愸ㅢ㠹㈰攷㙢㈶ㄲ愹㜰㌸ㅥ㠸㐶㐳㌱捣捣㐶㑦捥捦㘵㍦㜴慦捦㠵㡤㕥て攱昷摢慡ㅣ搹㝤㙤ㄵ〱〲慤敡〷㔵搷㤰捤㘵㐳㕥㘴㜳㈵㤱攸敦㘴扣㉤㡣攴づ愶㝡㘳攸㠵㌶㝥㡦㍦〱㝣愹晥戶戶ㅤ㕡㥢ㄲ晦㘶搰㑡㜶攷㐳摢扢㕢挵〰㤴㜷㉥晤摢㘶慥愹晣㐳戱㠸〵扦搳㘲㘴昰戳〸昳昰敢㐶㡢挶㌶戵戵昰晢ㄹ捡扡攱㘷ㄱ捣㉦ㄸ敥㕥㍥攲㡦昹攲㜴㐳晥㤶〸㕦ㄵ㈷愳㕤晣㕦昸攱戱收㈶㈰搲攳㔶㜸改ぢ㜱挰ㄵ〳㜱戸㥥㍦㉥㘴㉥㘵㤸㠶摦㠳㌰㠶搷㡤㡥つㅦ扢㌰㙤㌴昰攷㥣戰攰〱扤愷戲㡤ㅡ㈷戶㘲搳㘸㘹㥤摥㕣㉢㍦㉦挴㤹㡡㝤敤㌵ㄱ㐳ㅢ挷户搷㘷㤰㠷㙤㜲ㅡ晢户扣㙣戳挹㉤㡥㕤敦ㅣち㍦㌶戲㔱慥攴晡㠲收捤㜳㕡晣㜰ㅢㄲ㙥㘴㙣㡦慤㔸昶搷扤扣㥢ㅡ㔶㍡搹攳㕡搲搶愲㈳摢㑤㉢㌳戱戹挷敦㔱㡣慥㙦㤳摦㜳搹〲昵㑡摦ちㄹ搲づ㐷慥㝡㡣ㅣ㕣㍢㜳㜰㉣㕡㜱㍣攸昸敦昶㔴捣〰㕣㘳㜱挷㘲戶挴㐱搸〱㘹㔰㝡㌵㜷㜵ㄴ㜴晤戰慢ㄹ㠳㠳戱㙤〷㡤愸ㅥ戴敤攰㕡敥㜵㈹昶敡昹㍤改㘳㥡ㅢ㤳昵㑤挳㜱㠰昶㤱㡤㙤㙡㙦捣摦㈵〹攷㥦㑦㕦挲㕤昲㍣愶㍦慡ㄴ㔷搲昰㤰愴挰〵㈹㠳戱愵慦愱㜸㥥㠲搳㐶搵㘲〰摥挲㤷㔴㍦㕡戱攸慡昸〹㘵愳敥晢攸愱㝥㍤㥥㝡㉥愴㡥戰㉡摥㜹㜱㙤摦㜵㍦捤摣晤㠴㥤扢昵摦昴㥡昳捦㔷挳攱㠹㐱攸㈷㘰㡦捥㐹ㄸ戰戵㈷㌲づ㝡挶换㕦〳慤㥣㠴㈷㐱摢扢㥢㡡愲捣ㄳ㔱㉤㠰㜷戶㝥㘹戰愷搰㠴换㌹捣㙣㜱㜵㠹㜶ㅡ㜴㐵搹㡡〶㔴㉢㡣散㈳昴改㘷搰㜲㠴㘳ㄹ愷攵㔹搰㤹㤴〲摥っ戸㥤〳㥦㝥づ攱㜵〰㜹㘵攲㄰㐰㍤㌳㔱㙦㔵攸㉦㡥扡昸㠰㈳愶㑥㍥慦㜶昳攳㐳晦戹敥㔳㌵づ㥥㈴ㄳㄷ挱慦㤳㠹〹戶昶㘲敥捤捥挴敥搰㑡㈶㉥㠱ㄶ㤹搸ぢ㘵挹㠴〱敦㑥㈶㉥愳〹搷㍡㤸㤹攰搲ぢ㙤ㄹ㜴ㅢㄴ戶ㅢ晣㡣㠴㑡挲㌲㤷㡡攵㌴㥤敡㤸㑥愱改㔵搰㔵㑡敢㈶晥㐰攰㜳戹戸㠶㜸㉥㘶昰捡挵㍥搶㈱ㄷ戵㡡㔹㔶挵㉦㜷㝤晦挶攰㤵㠱搱てㅦ㜹晣戰慦ㅥ㔹戱愷㍡〸㥥㈴ㄷ㌷挲慦㤳㡢㠳㙤敤㑤摣㥢㥤㡢ㄴ戴㤲㡢㥢愱㐵㉥戲㈸㑢㉥愶挱扢㤳㡢㕢㘹挲愵〰㘶㉥戸㌲㐱扢ㅤ扡愲㔶ㄱ慦㔱㤳㘱㤸㑢挵㥤戴㍣挴戱㥣㑢换扢愰㌳㕢〵攰㝢〰㥥换挴㍤㠴㜳愶扦㔷㈶挶㔹〷㕣㤴㠹戱㔶㐵敦㜰敢㙤敦搴慣ㅥ㝦敡晣㐳敦ㄹ戹攵㙦㑢晤㕣㈰㈰㐷昷㈰晣攲攸㌸愱㕦㡥慥づㄶ捥搱㍤捣㥤ㅥ㠵㉡昳攸づ挷㤶戶〲㍡㙤攴攰㘹㠳㠳昱㡡摤〰㉥晣扤ㅢ昹㘹㌲敢慡挰改敥扣㠶戶㌴㌷㑣捣㌰戳戹て〲㥥㔳晣戴昲改㡦㜲㈷㥣㔱㙦敥㠴敢〳戴㔵收㑥㜰ㄵ㡡慢㥤戱ㄳ敥㠸攱晡昴㈷㠸㕥攲愰戹㐴㐰㝢搲㐴㑦㈷㍡㘶愱挹慥㑦㝦㥡攸愵づ㥡慢〴戴㘷愱ㅢ㠰昶㌶捥㝤㠹ぢ挶户ㅤ㔴㍤㡣㤷扢㍡ㅥ㔸〸㕥㍡扡摣㘱㡡㝣㘷㉥㜷㙢戸晢㘳戰㔳㍢㝥㜵慣㔵㘰㜸㡡㉢ぢ㔸挳㍣㈸慥㌰攰㙥戱㕤㔶挵改昹晣㥣攳换昵挷ㅦ㠵㤳扦㔱收㕢愵昵敥ㅦ㘵晥慣攲㘷扢㔵㜱㑥扦㔸ㅥ愸〶㥥㔳㕢戱昶攸挲ㅦ摡㌵㉤扦㝣挴㝣户㘵晦㔱敡ㅣ㔸收ㅡ㔷〸㜴㤹ㄷ摦攱〸捡昳㤲㌳捣慡搰㠶㔵㥤晣挵戵扥㔱ㄷ㥥昷挰慤㕢つ摢昴ㅢ㜵〱㍣挹㘹昶㌲㡥摦㌹捤㉥戲戵慦㌰㉢搸㌱㕦晥㑢愰㤵㠶昸㉡戴㘸㠸换㔰㤶㠶戸㍤扣㍢つ昱㜵㥡㕣㠹㉡戳㡤㜰㡥扤昶㈶㜴㐵愷㔹㌸愸戶㠱㘱敥㌴㝢㥢㤶㔷㌹㤶换㘹昹づ㜴收㘹〶昸㐰挰㜳愷搹㕡挲㌹㘷㍤㤷㠹摣挷搰ㄶ搶〱ㄷ㥤㘶㥢㕢ㄵ㑦捣摣㘷搵ㅤ㈳㥡㙡㑦晤㜱摢㥢捡㠷扥㔹愱㙥㠵㈷挹挴挷昰敢㘴攲㜶㕢晢〹昷㘶㘷攲㑥㘸㈵ㄳ㥦㐲㡢㑣摣㠳戲㘴㘲ㄳ㜸㜷㌲昱㌹㑤㌸攳摢捣〴㈷愰㙢晦㠲慥㈸ㄳ愱㠸摡〰㠶戹㑣㝣㐱换晢ㅤ换㝢㘹昹㈵㜴㘶㈶〰慦〲㍣㤷㠹慦〹㝦っ㈰慦㑣昸慣〳㉥捡㠴㙥㔵慣㡥挴慥扦攱挲㌷㙢慦慤㝡昴慥㈵㑦昹㝢慡㈷攰㐹㌲昱㈳晣㍡㤹㜸搲搶晥挴扤搹㤹㜸ㅡ㕡挹挴㍡㘸㤱㠹㌵㈸㑢㈶㉡攰摤挹挴㉦㌴攱㜴㘸㌳ㄳ㥣㥤慤晤〶㕤㔱㈶㘲ㄱ愵㘰㤸换㐴㔹㈵㉣㕦㜴㉣㕦愰㘵㌹㜴㘶㈶〰晦昵〷㜷㈶扡ㄳ捥搹捥㕥㤹昸ㄱ㔰捦戳攳〷慢㘲昲摦㙢㥥ㅤ㍦晢㠵㌱㤷㡦扣㙤户㌵摤て㜸㔲扤〳㑦㤲〹ㅦ晣㍡㤹㔸㙢㙢㝢㜲㙦㜶㈶摥㠷㔶㌲搱ぢ㕡㘴攲㘳㤴㈵ㄳ摦挰扢㤳㠹㍥㌴攱㕣㘱㌳ㄳ㥣扡慣昹愱㉢捡㐴㈴愸晥〳挳㕣㈶晡搱昲㜳挷昲㔳㕡㙥〸㥤㤹〹挰晦〹㜸慥㑤㙣㑣㌸愷〲㝢㘵攲㘳敢㠰㡢摡挴㐷㔶挵㘵㘷扦昷攲㉢㥦㌵㡦扥㜳敢挳㍥扥昷㤰慦晢慢敦攱㐹㌲戱〵晣㍡㤹昸搱搶㙥挹扤搹㤹㔸〷慤㘴㘲〰戴挸挴㙦㈸㑢㈶摥㠳㜷㈷ㄳ搵㌴㔱戸晥㤹㤹攰扣㕥㙤㄰㜴㐵㤹㠸挶搵㍦㘰㤸换挴㘰㕡㤶㍢㤶扣㠶㙡摢㐲㘷㘶〲昰㌷〰捦㘵㘲〸攱㥣㈷敢㤵㠹㤷慤〳㉥捡挴㑢㔶挵戹㍢㍤㜵攸㜳㜷㤶㡤㍦㙥散ㄱ㝢㉦㌹扡攱ㄱ搵〷㥥㈴ㄳ挳攱搷挹㠴摦搶敥挴扤搹㤹攸〷慤㘴㈲〰㉤㌲戱㌱捡㤲㠹攷攱摤挹㐴つ㑤㌸换搴捣〴㈷扤㙡㘱攸㡡㌲ㄱ㡢慢㘷㘰㤸换㐴㤴㤶㥢㌹㤶晤㘹ㄹ㠷捥㍡㍢攲㙡㌵攰戹㑣㡣㈰㥣㤳㐸扤㌲昱愸㜵挰㐵㤹㔸㘹㔵ㅣ㌳愷㌶㍡昱昴ㄳ㈷摤昲搵摢㤷ㅣ戵敢㜱摤搴戶昰㈴㤹ㄸ〵扦㑥㈶㠶搸摡㕡敥捤捥挴づ搰㑡㈶㐶㐳㡢㑣っ㐷㔹㌲昱㄰扣㍢㤹ㄸ㐳ㄳ㑥搴㌴㌳戱ㄳ戶戴㜱搰㔹挷ㄳ㔳昷攵ㅤ捦〴挲㙢ㅣ㜸㠰昰摤愱㉢㑥㕣㑣摤つ换㕣攲㈶搱㜲㘷攰扤㌲㜱扢㜵挰㐵㤹戸捤慡㜸㝥挰㉤㙢愲摢㍣㍦昹ㅥ摦㝢㐳㥥㍥㝣捡㠳㙡㔷㜸㤲㑣㑣㠵㕦㈷ㄳ愳㙣敤㌴敥捤捥挴㘸㘸㈵ㄳ搳愱㐵㈶挶愱㉣㤹戸〹摥㥤㑣捣愴〹㘷㌱㥡㤹攰㜴㐹㙤ㅦ攸慣㌶ㅥ㔱搷〳㥤㘳㜶㍦挲㜷㜷攰ㄳ〸㍦〰扡愲㑣㐴㈳敡㙡㔸收㌲㜱㄰㉤㌹晤搰㉢ㄳ换慣〳㉥捡挴攵㔶㐵摢㥥ㄷ扤㜳挲㉤ㅦ㡤㕡戲改㤴戵㈷㌶攰慢攳㘷挲㤳㘴㈲〳扦㑥㈶昶戱戵〶昷㘶㘷㘲㍦㘸㈵ㄳ㔹㘸㤱㠹㠳㔰㤶㑣㕣っ敦㑥㈶收搲㈴㠹㉡㌳ㄳ㥣㑢愸ㅤ〲㥤挷㉤㑣㐴㥤㥦㜷㙣つ㌴㑤㌹愶〷搳戴〹㍡晢ㄶ㈶愲捥〶㍥㤷挵㜹挴ㅦ〲㤴㔷㉥㑥戳づ戹㈸ㄷ愷㕡ㄵ㙢扢ㅢ扢愷扡㜵ㅢ㝦搳扡愷捥㍦㜵挵㈷㌷愹㈶㜸㤲㕣捣㠷㕦㈷ㄷ昳㙣敤〲敥捤捥㐵ぢ戴㤲㡢㠵搰㈲ㄷ昳㔱㤶㕣㥣〸敦㑥㉥づ愷〹㘷挰㤹戹攰㔴㍢㙤㌱㜴㔶慢㠸慡㘳昳㡥攷㈸挲て㜷攰ぢ〹㕦〲㕤㜱慢㠸慡愳㘱㤹㙢ㄵ挷搰㤲㔳搷扣㌲㜱戸㜵挰㐵㤹㔸㘴㔵㝣㌷晢㤱㐱㜳㤳摢㡣㕢扡昰晢㌷晡晤㜵攰っ㜵〲㍣㐹㈶㑥㠲㕦㈷ㄳ㈷搹摡㤳戹㌷㍢ㄳ愷㐰㉢㤹㌸〵㕡㘴攲っ㤴㈵ㄳ敤昰敥㘴攲㌴㥡㜰㝡㤸㤹㠹㌳戱愵㥤〱㥤㜵愵〸慢挳㠰捥㌱㝢ㄶ攱攷㌸昰戳〸㍦〷扡愲㑣挴挲慡ㄱ㤶戹㑣㥣㐷换㑢㠱昷捡挴㕣敢㠰㡢㌲㌱挷慡㔰ぢ搷㤵扤戹散搴㜱愷扤㜶搹㌳慦愷㥥晢㔵㉤㠳㈷挹挴㈵昰敢㘴㘲戹慤扤㤴㝢戳㌳㜱ㄵ戴㤲㠹换愰㐵㈶慥㐳㔹㌲㤱㠶㜷㈷ㄳ换㘸挲戹㔳㘶㈶㌸㐹㑢㕢づ㥤搵㈶㙡搴㙣愰㜳㤹戸㡡昰ㅢㅤ昸㕦〸扦〶扡愲㑣㐴㙢搴晥戰捣㘵攲㍡㕡㜲搲㤳㔷㈶㘶㕡〷㕣㤴㠹ㄹ㔶㐵㝣㔶户敡换㕦㝡㝤㡦晢㡥㕦㤱㥤㌵攴慢㠰扡〷㥥㈴ㄳ㌷挳慦㤳㠹㝢㙤敤㉤摣㥢㥤㠹晢愱㤵㑣摣ち㉤㌲昱㌰捡㤲㠹扤攱摤挹挴敤㌴㔹㠹㉡㌳ㄳ㥣挱愴摤〹㕤搱愱挵㈳㙡捦扣㐳扢㡢㤶㡦㍡㤶㉢㘸㜹て㜴㘶づ〱㥦〸㜸㉥㠷昷ㄲ捥ㄹ㐱㕥㤹ㄸ㘳ㅤ㜰㔱㈶敡慣㡡つ扦㕦戶挷㌱挶㔳㘳㤷㝦戶收㥡㤶慤㥥摤㐹慤㠱㈷挹挴挳昰㙢㘷挲㙦捦㄰㔰㉦搸搵㡦㜰户㜶㑡㕥㠴㔶㔲戲〲㕡愴攴㔵㤴㈵㈵扢㘱㌷㑥㑡ㅥ愵〹㘷摡㤸㈹攱㤴ㅥ㙤ㄵ㜴㔶攳㐸愸㥤昳づ散〹挲摦㜴攰慦ㄳ晥㈴㜴㐵ㄹ㡣㈶㔴っ㤶戹挶昱㌴㉤昹摣摥㔶㈹捥攳戱㔳愶㌸ㅤ挶㉢㔹㌵㔶㑥㡡㤲ㄵ戴㉡㝥㕤晤挳摤搱ㄹ愷㡦戹㘹攷㝦㌷㑦ㄹ㜴敥扤敡㘳㜸㤲㘴扤㠰㍤摡挹㔲㥦摡摡扦㌳づ㍢㐷㥦㐳㉢㌹㝡ㄱ㕡攴攸ぢ㤴㈵㐷挳攰摤挹搱换㌴攱㤴ㄳ㌳㐷晦挱㤶昶㉡㜴㘶㡥挲ㄱ戵㍤搰昶㤱昸昴搷〹晦摡㠱㝦㐹昸㥢搰ㄵ攵〸㤶摢挰搲㑥㠸㑦㝦㥢㤶㍦〳敦㤵㠹㙡敢㠰㡢㌲戱㤵㔵昱敡搹挷㕣昶攰攸戵㘳㑥㥥㕤㝥昲ㅤ㑢扦㤹慦㝥㠳㈷挹挴晢昰敢㘴愲捣扡㍢搳㍦攰摥散㑣㤴㐳㉢㤹昸㄰㕡㘴㐲㐳㔹㌲戱㌹扣㍢㤹昸㤸㈶㥣㡦㘱㘶愲〷戶戴㑦愱㌳㌳ㄱ㠹慡㑤㠰捥㘵攲㜳挲㝤づ扣㤲昰㝦㐱㔷㤴〹㔸㙥〰换㕣㈶扥愰㈵㈷㔲㜸㘵愲㡦㜵挰㐵㤹攸㙤㔵㑣㍣㜷晥㡤㥦㉥摤㘵昲㤵㙢扥㍦昴㠴㔹搷摣愰㌶㠶㈷挹挴户昰敢㘴愲扦慤晤㡥㝢戳㌳戱ㄹ戴㤲㠹敦愱㐵㈶〶愰㉣㤹搰攱摤挹挴㡦㌴攱㘴〵㌳ㄳ㥣ㄵ愱慤㠳捥捣㐴慣㐶㔵〰㥤换挴㉦㠴㜳搶㠲〹慦㈶晣㌷攸㡡㌲〱㑢〵换㕣㈶捡昰戳㤳㡡戳っ扣㌲昱换昷㈵㙥㔸㝦戶㉡㍥摢㝥㠷敥ㄷ㡣㍤㘷搲摦搶㍤㍤愰㜷攳愸㥤搵㜰㜸㤲㑣㘸昰敢㘴㈲㘰㙢㝢㜰㙦㜶㈶㙡愰㤵㑣㔴㐲㡢㑣挴㔱㌶攳㡦㘲㑢昳㐱㡢㍥㔶摤愴扣戱户㘰㐴㝤㠷㥤攷づ愰ㄷ㕤昲戱扥㘹捡㤹〱㕡ㅦ攸搰挷慡摢㜳㌰扥㕥㔴㝤〵㝣㉥㔵㝥攲㐷〰㘵扢㔰㥣〰㘰搷㉢㍥㝡昷㑡挵扦㑡愵攲㥦㔶挵戶㈷ㅤㄸ㉤扦愵㘹晣戲攷扦㡣慦戹攱㡣ㄶ挵愷昳㤲㡡㡤戱㐷㈷ㄵ攳㙤敤㈶㡣挳㑥〵ㅦ戴㑢㉡晡㐳㡢㔴昰㘹戹㌴㡡㑦攰摤㘹ㄴ㥢搱㘴ち慡捣㐳摤ぢ㕢摡ㄶ搰㤹㡤㈲ㅥ㔲ㅦ攴ㅤ改〰挲昹㠸摢㠴昳㌱扡㔶つ㕤㔱愳㠰攵扢戰戴ㄳ攲搳〷搱㜲㍦攰扤㌲昱愶㜵挰㐵愷挷ㅢ㔶挵ㄷ〳ㄶ㙣㔹㔱㝢搸愸昳捡㜶㍣㙡挴慡昷㤷㉢㍥扡㤶㑣っ㠱㕦㈷ㄳ昲㑣ㅡ〹搰户攷摥散㑣昰㈹戴㘴㘲〷㘸㤱〹㍥㑡㤶㑣扣〲敦㑥㈶㜶愴挹㕣㔴㤹㠷㤶挵㤶㌶ㅣ㍡敢昴〸愹扦〳㙤㜳敡搳〳㠴昳昹慦〹㥦㐳㜸つ㜴㐵㤹㠸㠵搴㜳戰捣㘵㈲㑣换ㄶ攰扤㌲昱愴㜵挰㐵㤹㔸㙤㔵㝣昷攴攳愷捦扢昳挸摤㙦昷㔵㍤㌴户㉡搲攰攷㘳㕥㌹扡ㄱ昰慢敦㑣戱ぢ㠴捦捦㈷扤㔲㌱ㄲ㐵㍣摣㥤㡦戲攷愰㌲ㅦ敢戶づ慦挳㉦扥戶昱㑢昴㡣㔶㔱㔴㈱㝤ㄵ㔹㍥搷散㤹㌵搵㝣㉣㡢㉦晥慢㙦㘸㤰敦捣敢㤵摤㌳搹㜲愸搱㌲愹扥挹㘸敤㤵㥤㔶摦㘸㝤〳摣ㄸ晣ㄲ㌱㝥㌱ㄶ㑦㠶攷搷㘷㡣ㄶ㕤㑡㌴搶戲㤳㕢愰攸㤱㥤搸㍡愳搵挸㔴㌶㑥㐹戶戵ㄹ㉤㑤㝦㠶慦慦挴户ㄸ㜶攷㐰㌸㕡㔳㌷愵捡捡㍤扦㐰㤰摦っ攸昹挰挱㑣㘱㉥ㅦ㤳昰晤㡤㝣挲㕡㕥㕥愹捡晦搸㤷㔷㙡扢㠲戶㉡㍣㄰㌶搲挹搶戶敡昹晣挶挲搶㜲戵ㄲ敤㐰㈶㍡晥戳㘶㔳ㄹ慣攷㜳っ㝤ㄴ戰㕡㉤㐴㌷㍣〹㔵㜲ㅣち捦ㅦ㐶㐳㘳㝤㈱㌸㡦慣㘲㈱㥡㐰攱㠱昱敢ㅣ挷搱愲㘲㐱㝤愶㙤慥㌶搷愸㥦㌳户つ㕦摢搸㤳㐷㙢晦㜵㕦っ搳㡥㥥ㄷ昳ㅣ散搱㌸㍢搹搲㤲㕣㔴搹㌸扢挱㘸㥡搳㌶户㜲昶㝣㍣㈳挷敦㉢挳戸戲戲㔲ㅦ㠳㜸戸㉢扥搴ㄲ㈸改㔵ㅦぢ㉤ㅢ㉡戵晥ㄳ愰㤱㔶㍢㡥戱㡦愷㤸〰攱昳㥦㘸㔷㑣㐴ㄱ㘷昱㐹㈸戳㐹敢捣㔳戹扡摢㌳㉦㤳㘸捦扣攴㜲戲ㄷ㔵㉢戱㉢ㄱ昸㠹〶昸㘰㕥散㍦㜵〶ちㄲ搷ㄴ㈰敤戸搴㌹戶㜶㙦㘸敤㘳昰㕦〴慤㐴㍢㤵㕥愷㔱㑣㠷昰昹昹㕣㔳㉡㘶愰㠸㘸㉦㐱搹ㄵ敤つ㥥搱敥㐳晢晣㘸昷愳捡ㄵ敤㘵昰㤳ㄷ敤㜲㈸㈴摡〳㠰㜴愲攵㠳㑢搱ㅥ〸慤ㄳ敤㡤搰㑡㔰〷搱敢㙣㡡㠳㈱㝣㝥㍥㜹㤴㡡㈴㡡㠸㤶捦ㅣ㕤搱㕥敥ㄹ㙤㠶昶昹搱㘶愹㜲㐵㝢㉢晣攴㐵㝢㈷ㄴㄲ搷㕣㈰㥤㘸敦戱戵昵搰摡搱慡〷慤㈰戴㐳愰㜵晦㜰㜷挶昵挳摤摤搵昹㜶㜰㘵㑢捡㜲㈷㐴〳㙣戴㐶㠸㙥㜸㔶㈶ㅦ〵㄰㍥扤〹ㅡ㜷㠰㝣挲㤸ㄷ㈰㥦〶㑡㠰昳㠰㜴㐲㜹挲搶ㅥ收搶㍥㙤㙢㕢摣摡㌵戶戶ㄵ㕡㜴㘷攵搳挹捦㐷㔱㤲㘱晥㈶户摥㑥㌱ㅦ挲攷攷搳㈸愹㔸㠰㈲㔲晦㉡捡慥搴㥦㘸ㅦ㕤摥改㝥㌸敤昳㔳扦㤸㉡㔷敡㕦㠷㥦扣㈳㝢ㅢち㌹戲愳㠰㜴㔲扦搶搶ㅥつ慤㝤扣晥㡦愱㤵愰㤶搰敢㔲㡡㘳㈰㝣晥㑦散㡡㘳㔱㐴戴㝣㔶攴㡡昶〸捦㘸㑦愰㝤㝥戴㈷㔱攵㡡昶㜳昸挹㡢昶ぢ㈸㈴摡㔳㠰㜴愲晤摡搶㥥ち慤ㄳ敤㡦搰㑡戴愷搱敢改ㄴ㘷㐰昸晣㝣慡㈳ㄵ㘷愲㠸㘸搷愱散㡡戶搹㌳摡㜳㘸㥦ㅦ敤㜹㔴戹愲晤〵㝥昲愲㉤㐳扦㔸愲扤〰㐸㈷摡敥戶昶㐲㘸㥤㘸㝤搰㑡㔰ㄷ搱敢挵ㄴ㤷㐰昸晣㝣昲㈲ㄵ㤷愲㠸㘸㝢愱散㡡㌶敤ㄹ敤㌲摡攷㐷扢㥣㉡㔷戴㝤攰㈷㉦摡㝥㔰㐸戴㔷〱改㐴扢戱慤扤ㅡ㕡㈷摡㉤愰㤵愰慥愱搷㙢㈹慥㠳昰昹昹㜴㐴㉡慥㐷ㄱ搱づ㐰搹ㄵ敤㉣捦㘸㙦愴㝤㝥戴㌷㔳攵㡡戶ㅡ㝥昲愲ㅤっ㠵㐴㝢㉢㤰㑥戴㐳㙣敤㙤搰㍡搱づ㠷㔶㠲扡㥤㕥敦愰戸ㄳ挲攷攷ㄳっ愹昸㉢㡡㠸㌶㠰戲㉢摡㍤㍣愳扤㠷昶昹搱摥㑢㤵㉢摡ㅡ昸挹㡢㌶ち㠵㐴㝢㍦㤰㑥戴㈳㙣敤〳搰㍡搱㡥㠲㔶㠲㝡㤰㕥ㅦ愲㜸ㄸ挲攷攷㔳〶愹㜸〴㐵㐴㍢ㅡ㘵㔷戴扢㜹㐶晢㈸敤昳愳㕤㐵㤵㉢摡㌱昰㤳ㄷ敤〴㈸㈴摡㈷㠰戴攳㔲㤳㙣敤㙡㘸敤㘳昰㑦㠵㔶㠲㝡㤲㕥㥦愲㜸ㅡ挲攷攷㤳〰愹㜸〶㐵㐴㍢ㅤ㘵㔷戴㈱捦㘸搷搰㍥㍦摡ㄷ愸㜲㐵㍢ㄳ㝥昲愲摤てち㠹昶㐵㈰㥤㘸て戲戵㉦㐱敢㐴㥢㠱㔶㠲㝡㤹㕥㕦愱㜸ㄵ挲攷攷㘸扤㔴扣㠶㈲愲攵㌸扤㉢摡敤㍣愳㝤㤳昶昹搱扥㑤㤵㉢摡戹昰㤳ㄷ㙤〳ㄴㄲ敤㍢㐰摡㜱愹㜹戶昶㕤㘸敤㘳昰捦㠷㔶㠲㕡㑢慦敦㔱扣て攱昳㜳㍣㕤㉡㍥㐰ㄱ搱㜲㈴摤ㄵ敤收㥥搱㝥㑣晢晣㘸㍦愵捡ㄵ敤攱昰㤳ㄷ敤㔱㔰㐸戴㥦〳㘹挷愵㡥戱戵晦㠴搶㍥〶晦㐹搰㑡㔰晦愲搷㝦㔳㝣〱攱昳㜳捣㕢㉡晥㠳㈲愲攵㘸户㉢摡㉡捦㘸扦愶㝤㝥戴摦㔲攵㡡昶㌴昸挹㡢昶㉣㈸㈴摡敦㠱㜴愲㍤捦搶晥〰慤ㄳ敤㈵搰㑡㔰㍦搲敢㑦ㄴ敢㈰㝣㝥㡥㑢㑢挵捦㈸㈲㕡㡥㐸扢愲敤收ㄹ敤㙦戴捦㡦㤶昳㝥摤搱㉥㠳㥦扣㘸慦㠲㐲愲㉤〷搲㠹㤶㐳捦愲敤〶慤ㄳ敤捤搰㑡㔰摤改戵㠲㐲㠳昰昹㌹㜶㉣ㄵ㍤㔰㐴戴ㅣ㌵㜶㐵晢挳㜷㕥户〵㤸摣㕤ㄸ㙤㉦慡㕣戹扤ㅤ㝥昲愲扤ぢち㠹慢て㤰㜶㕣㡡挳挳愲慤㠲搶㍥〶晦挳搰㑡㔰㝥㝡敤㑢搱て挲攷攷戰慥㔴㙣㠰㈲愲攵㠰㉥愳搵㌶㐴戹昸愶收㥦㥥搱㙦っ慣戶〹㐴晥㑤㑤㝦㘸摣㐷昰㈸㝣攷ㅤ〱㐷㝣㈵搶捤㠰戴㘳㔵ㅣ捤ㄵ敤收搰摡挷攵㝦〱㕡〹㜴ぢ㝡摤㤲㘲〰㠴捦捦㐱㔷愹搸ち㐵ㅣ〱㠷㕢㕤昹㝥搷㌳攲㐱戴捦㙦ㅤ㠳愹㜲攵晢㘵昸挹㡢㤶㘳慦ㄲ搷戶㐰㍡搱㜲㕣㔵戴摢㐱敢㐴晢㍥戴ㄲ搴㄰㝡摤㥥㘲〷〸㥦㥦〳愳㔲㌱ㄴ㐵㐴晢㈱捡ㄲ㉤昳㕤慥㕥昲㡣㜶㌸敤㤹摦摣捤㔱㠰㉡㔷戴ㅣ㍤捤㡢㤶攳愳ㄲ㔷つㅤ愳㜷换㤷攲搸愷㘸㐳搰㍡搱㝥ぢ慤〴ㄵ愶搷〸㐵ㄴ挲攷攷攰愵㔴挴㔰㐴戴摦愳散捡敤㙡捦㘸㐷搰㍥㍦户扢㔰攵㡡㤶㈳㥣㜹搱㜲っ㔳攲摡ㄵ㐸㈷摡㌲㥣挳愲摤つ㕡㈷㕡つ㕡〹㙡㤴散㠸㘲㌴㠴捦捦〱㐶愹愸㐳ㄱ搱㔶愲散㡡昶〱捦㘸挷㠹ㄳ㈰㜳戹㥤㐰㤵㉢摡㕥愸㤵㌰㜶㐷㠵ㅤ㠶昲摢摡㍤愰戵㐳昶㙦っ慤挴㌰㠹㑥昶愴搸ぢ挲攷摦挴慥㤸㡣㈲㠲敢㡦戲㉢戸摢㍣㠳㥢㑡晢晣㔴㑥愷捡ㄵ摣㘶昰㤳㤷捡〱㔰㐸戴㌳㠱戴攳㔲㠳㙣敤㉣㘸敤㘳昰て㠱㔶愲摤㠷㕥昷愵搸て挲攷攷戰㥣㔴散㡦㈲愲摤〱㘵㔷戴㔷㝢㐶㝢㄰敤昳愳㍤㤸㉡㔷戴㍢挲㑦㕥戴〱㈸㈴摡ㄴ㤰㑥戴㘱㕢㥢㠶搶㡥㔶㡤㠰㔶㠶〳㉦挳敥㌹ㅣ戸ぢ㥡㜴㘵戹愶㌸㤶㈶ㄵ㤷㕡ㄵ㈳愵㐲愹㕤散㡡㑢慣ち捥㡢搴攷挰㘹〵挷摡ち扦ㄹ㔹愶愴㥡㈳㐴慥㥦晥㐰搳㉣搳ㅢ愷攱㜷㈷㌸㔸攴㙢攴扣㜵㤹搴愹㌵㑥㥢㡢摦愵攸㙢㘱㠷㍡㤸㝥㡥挶挱昶㜱㔴㘲戳㘹㕤㜳攳扣㘴㑢㌲搵㘰㄰㌲㌴攷㜴愳挲ㅡ挱㈳〷㑣㐳搹愰搲㑢〷散〰㌹㥡㔵愹㍡つ慣㔴㌴搰攷㈲㈷扤戱愱㜲㕢㔲慣ㄸ㠵㍣㜵㝡㈴㑤挱挳ㅦ晣㠵㤴㝡〴愰㐶㘳㘷昴愱ㅦ㠲㤲摤ㅡ慡㌸ㄸ㐵㙤㈵㠷慥慡㌸〸㈵㈵扣攳㑢㡣㈰㠵晡昳ぢ摡〴〷愴愴攲扣㠲㌶㌱挱慥㌸搷摤㈶㥡戸㝢づ㔸戱㕤攴㜲㤰摢㤲㙣愸㐹愸㘵㐶昴㜹挴敦㠵㉤〹昷㌰㜷戸㔳㉣㉤㉦㍦㘵㔵ㅣ㠵㜲㠲㔷㔳㔱㤲愸捥㈸〸㤷㈳㔲㔲㜱㝡㐱戸搳敤㡡搳摣攱戶㜳昷ㅣ戱敡㌸摣㝤㠰㤰㜰ㄷ㄰扦ㅦ㑡ㄲ敥㐲㜷戸〷㔸㕡㌳摣〳敤ㄲ㜳慤づ㐲㐹愲㍡戱㈰㕣づ㐹㐹挵〹〵攱ㅥ㙣㔷ㅣ敦づ㜷㌱㜷㥦㐴㔵挷攱㜲愰㑡挲㍤㡡昸㉣㑡ㄲ敥搱敥㜰攷㕡㕡㌳㕣㡥㐳攵戲摢㘰摢㉦愱㝤㤳㙤扦㤴㈵ㅥづ昹㤸攷戶愸攲㌰㤱㘳㕦搵㤲㔷攲戰㤰搴㙤㑦摢㌶㤴攴㠸㡦㉡㐸〵㠷㠸愴攲挸㠲㔴捣户㉢ㄶ扢㔳㜱㍣㠳㔹㠰慡㡥㔳㜱㌸㄰㤲㡡ㄳ㠹㕦㡣ㄲ㐳搱㑦㐲挹㌹㉦㡥戲戴㘶㉡㌸㉥攴ㅣ㡡㕡㠲㤲㐴戵愰㈰摣愵㜶挵晣㠲㜰㡦戱㉢摡摤攱㥥挶摤㜳っ愹攳㜰㑦〰㐲挲㍤㠳昸㤳㔰㤲㜰捦㜴㠷㝢㡡愵㌵挳攵挰㔰㉥摣搳㔰㤲㜰攷ㄵ㠴换㐱㈲愹㘸㉥〸昷っ扢愲挹ㅤ敥戹摣㍤〷㤱㍡づ昷ㅣ㈰㈴摣昳㠹㍦て㈵〹昷〲㜷戸ㄷ㔸㕡㌳摣ぢ敤㤲㥣ㄷㄷ愱㈴㔱搵ㄷ㠴换㔱㈲愹㤸㕢㄰敥㈵㜶挵ㅣ㜷戸㤷㜰昷ㅣ㐵敡㌸摣㘵㐰㐸戸㤷ㄱ扦ㅣ㈵〹昷㜲㜷戸㔷㔹㕡㌳㕣づつ攵戲换㈱㈱㠹㉡㔵㄰㉥㠷㠹愴㈲㔹㄰敥㜵㜶挵挱敥㜰慦攴敥㌹㡣搴㜱戸㌷〲㈱攱㕥㑤晣捤㈸㐹戸搷戸挳扤搵搲㥡攱㜲㙣㈸ㄷ敥敤㈸㐹㔴晢ㄷ㠴换㜱㈲愹搸慦㈰摣㍢敤㡡㝤摤攱晥㠵扢攷㌸㔲挷攱摥〳㠴㠴㝢㈳昱昷愲㈴攱摥攴づ昷㝥㑢㙢㠶换挱愱㕣戸て愲㈴㔱㑤㉦〸昷㈱扢㘲㕡㐱戸て摢ㄵ㔳摤攱摥挶摤㜳㈰愹攳㜰ㅦ〵㐲挲扤㠳㜸㡥ㅣ㐹戸㜷扡挳㝤挲搲㥡㥦㤸ㅣㅤ㤲㜰昱㕥愶㥥㠴㤴㜰昷㉣〸㤷㈳㐵㔲㌱愹㈰摣愷敤㡡㍤摣攱摥挳摤㜳㈴愹攳㜰搷〰㈱攱摥㑢晣ぢ㈸㐹戸昷戹挳㝤搱搲㥡攱㜲㜸㈸ㄷ敥换㈸㐹㔴攳ち挲攵㔰㤱㔴㡣㉤〸昷㔵扢㘲㡣㍢摣㠷戸晢搷㔰搵㜱戸㙦〲㈱攱㍥㐲晣摢㈸㐹戸㉢摣攱扥㘳㘹捤挶挰昱㈱〹㔷慥っ㙢㔱㤲愸㜶㉢〸昷㍤扢㘲搷㠲㜰摦户㉢㐶扡挳㕤挵摤㜳㉣愹攳㜰㍦〶㐲挲㝤㠲昸㑦㔱㤲㜰㔷扢挳晤摣搲㥡搹攵〰㔱㉥扢晦㐲㐹挲㡤ㄷ㠴换挱㈲愹㠸ㄵ㠴晢㠵㕤ㄱ㜵㠷晢っ㜷捦挱愴㡥挳晤ㅡ〸〹昷㌹攲扦㐵㐹挲㕤攳づ昷㝢㑢㙢㠶晢㠳㕤挲㝢㤹晡ㄱ㔲愲ちㄶ㠴换搱㈲愹〸ㄴ㠴扢捥慥搸挹ㅤ敥㡢摣㍤㐷㤳㍡づ昷㌷㈰㈴摣㤷㠹㉦ㄳ㠱て攱㔷摣攱㜲愸挸愱扦㡡㐳㐴戹散㜲㘸㐸愲摡愱㈰㕣づㄷ㐹挵昶〵攱㜲〸㐹㉡㠶戸挳㝤㠳㕥㝢㐰㜴ㅣ慥て〸〹昷㉤攲㌹㝥㈴搹㝤ㅢㅢ㑥㥦愱㡦愵㌵摢㉥挷㠸㥣攰ㄵ挷㠶㘴攷㕢ㄷ㠴换昱㈲愹ㄸ㔴㄰㙥㍦扢㘲愰㍢摣戵昴捡昱㈴〹昷㍤㙣㤸㜷ㄶ捥㤶搹㤷摥ㄸㄵㄲ敥晢挴㜳戰㐸挲晤〰ㅢ㑥戸ㅣㄸ㜲〲慣攲㠰㤰㤴挰㑢㤹摡〲㈵㠹㙡㡢㠲㜰㌹㌸㈴ㄵ㥢ㄷ㠴换〱㈳愹搸捣ㅤ敥㈷昴捡挱愳㡥戳㍢〸〸〹昷㌳攲㌹㕡㈴攱㝥㡥つ㈷㕣㡥っ攵挲摤捥㉥㐹戸㐳㔰㤲㥤㙦㔴㄰㉥㐷㠷愴㘲挳㠲㜰㜷戰㉢㌶㜰㠷晢〵扤㜲昴愸攳散づ〷㐲挲晤㤲㜸づㄷ㐹戸㕦㘱挳〹户挶搲㥡愷ㅡ㠷㠴㜲搹攵㔰㤰㐴搵愷㈰㕣づて㐹㐵敦㠲㜰愳㜶㐵㉦㜷戸摦搱㉢㠷㡦㍡捥㉥〷㡤㈴摣ㅦ㠸摦㠵㠲晤摤ㅦ戱攱㠴换戱愱㕣㜶㌹㈶㤴ぢ㜷ㄴ㑡ㄲ㔵㡦㠲㜰㙢敤ち慤㈰摣搱㜶㐵㠵㍢摣㕦攸戵づ㐲挲晤ㄵㅢ㘶摢㜵戶捣戶换㔱㈳〹昷㌷攲㈷㔰㌰摣摦戱攱㠴扢扢愵㌵㑦㌵㡥ㄲ㌹挱㉢㡥づ㐹戸㘵〵攱㜲挴㐸㉡㝥晦搶ㅣ攳戰㠷㌲昶戲㉢㝥戳㉡㘴㈸愳㕢㑦㜸攵㠸㔲挷搹㥤ち㠴㠴㕢㐱㍣㠷㤰㈴㕣つ㈵㈷摣㤹㤶搶㙣っㅣ㈶捡㘵㜷ㅦ㤴㈴慡㥦慣㥤摢㈳㉦ㅣ㌲㤲㡡ㅦぢ挲攵㌰㤲㔴晣攰づ搷挷摤㜳㐸愹攳㜰て〲㐲挲敤㐵晣挱㈸㐹戸扤摤攱愶㉣慤ㄹ㙥摡㉥昱㔴慢㥡㠳ㄲ㝦㤶愰㝣愱㑡ㅦ㥣㌹昸攰ㅦ慢扡㔷㙦搶㝤㥦㔱扤㉥㕥晢昴晢攷扣㝣挰挸㑦㝥戹散戲㤷㍦㍣攷搹㕦ㅥ㑣㡤㕣㝤搵㔵慢㜶扦攲搹昷晢㘵㤷㤷摦昳攳愴攵㡢㠳㠷㉥㍥㉣㍢㘳㠷昱㡢昷㍤㘴敦攰㤴扥㐳扢㜵敢搱㘳扢つ㥥散㍦挴扦攴戰㝢搵捡㌷㌶㘹慡㤸㡢ㅤ㜴㘲㠴㠵㔱晦挱攱㤰㍥㍣㜲ㄹㄳ㘱扢戲扦㉦〹摢㘵晥㐳戰㜳ㄹ㥢昳〳愳昷㠵攸㕤㕥搵搴挵㠷慣㘴挰愳㈸ㄶづ㝣㐸㉣ㅢ㌰㤶つ捤㔸摡扢㍡ㄶㄹ捤㈸㡡㘵愱ㅤ换挶㡣㘵ㄳ㌳㤶挵㕤ㅤ换㔱搸㠱戴捥㍣㡥㡥戶㘳搹㤴戱㙣㈶戱愸㈵㌶㜴㜳㤴敤㍦晦㔲ㅢ扡〵㔱摤慡㌸㐰搰㤵㡤㔷㥤㘸㠷㤱ㄷ昱㐹㜶ㄸ〳ㄸ昱㔶ㄲ㜱ㄵ敦晥扢㌴㤶㌳㍣㘳攱戰㠱戴慡㠱㡣㘵㤰ㄹぢ㙦敤扢㌴㤶昳㍤㘳戹挰㡥㘵㌰㘳搹挶㡣㠵昷敤㕤ㅡ换㘵㥥戱㕣㙥挷戲ㅤ㘳ㄹ㘲挶㜲㘵㔷挷㜲戵㘷㉣扣㥢ㄷ㡥㜶㘰㉣㐳捤㔸晥搲搵戱摣攸ㄹぢ㙦搵㈵㤶㘱㡣㘵戸ㄹぢ㙦愷扢㤴㈳戹晦㉥扡ち摤㘹挷ㄲ㘰㉣㐱㌳㤶㝢扡㍡㤶㝢戱㠳攲慢㄰㙦戲㈵㉦㈱挶ㄲ㌶㘳㜹愸慢㘳㜹挴㌳㤶ㄵ㜶㉣㔱挶ㄲ㌳㘳攱㕤㙥㤷㜲㈴户挵㐵ㅣ慤戶㘳㐹㌰㤶ㄱ㘶㉣扣㠵敤搲㔸攴㥥户㈸㤶㌵㜶㉣扢㌰㤶㤱㘶㉣㉦㜶㜵㉣收つ㉤㜶㤸昷ㄹ昰㡡ㅤ换㙥㡣㘵㤴ㄹぢ㙦㍥扢㌴㉦㜲户㕡㤴㤷户敤㔸㐶㌳㤶㍡㌳㤶戵㕤ㅤぢ㙦㔱搹戹搳挷㘰㠷㑡㙥㑣ㄹ㤹扤ㅣづ摢㘵㝥摥愰捡㔹㌵㡥㤱㡤㌷㈳晢愴慢㈳㤳扢捥愲㉣㝤㙥挷㌲㤱戱散㙥挶昲㐵㔷挷㈲户㤴㐵㜹攱慤愵攴㘵ㄲ㘳搹搳㡣㠵户㝦㕤摡㝡攴㝥戱㈸㉦扣㙦㤴㔸㈶㌳㤶㈹㘶㉣扣户敢搲㔸㜸㤳㈸慤㘷㙦散㔰挹慤㘱㔱㘴扣㐵㤴挸愶㌱戲改㘶㘴扣㡤敢搲挸攴扥慦㈸ㄶ摥晦㐹㉣㌳ㄹ换㉣㌳ㄶ摥愳㜵㘹㉣㜲㔳㔷ㄴぢ㙦敥㈴㤶㝤ㄹ换㝥ㄲ㡢㤲扢㈰㐲昷㐷㤹㥦㙦昲攲㝤㡦摣㕢㕥㘳摤㕢㡥㐶㑤愵㉡㔳扣ㄷ㤲㡡慢慤ち㍦㙤て愲㉤敦㑦愴敡捡〲ㅢ摥戳㐸挵昲㈲ㅢ摥㐷㐸搵ㄵ〵㌶扣户㤰㡡㘵㐵㌶散敦㑢搵攵〵㌶扣〷㤰㡡换ち㙤晣昶敤㠰攲ㅤ㠰㘰㉥㉤㌰㘶㥦㕣㉡㉥㈹愸㘰㍦㕤㉡㉥㉥昴慡搸㜷㤶慡㡢ち㙣搸㥦㤶㡡ぢ㡢㙣搸挷㤵慡ぢち㙣搸敦㤵㡡昳㡢㙣搸ㄷ㤵慡昳ち㙣搸㍦㤵㡡㜳㡢㙣搸㘷㤴慡㜳ち㙣搸㡦㤴㡡戳㡢㙣搸户㤳慡戳ち㙣搸摦㤳㡡㌳㡢㙣搸〷㤳慡㌳ち㙣搸㉦㤳㡡搳㡢㙣搸㔷㤲慡搳ち㙣搸㝦㤲㡡㔳㡢㙣搸愷㤱慡㔳ち㙣搸捦㤱㡡㤳㡢㙣搸昷㤰慡㤳ち㙣搸ㅦ㤱㡡ㄳ㡢㙣搸㐷㤰慡ㄳち㙣搸㙦㤰㡡攳㡢㙣昸㔹㉥㔵挷ㄵ搸昰昳㕤㉡㡥㉤戲攱㘷慥㔴ㅤ㔳㘰挳捦㘱愹㔸㕡㘴㈳㥦㤸㍣摦㤶〰攳㥣慢晣㡣ㄴ㠳愳ぢ㍣昱㜳㔳㉡㡥㜲㝢㍡㤶戶晣㉣㤳慡挵〵㌶晣㝣㤳㡡㈳摣㌶㜲㝥昳㌳㐷慡ㄶㄵ搸昰㜳㐸㉡ㄶ扡㙤㘴㍦晣㙣㤰慡昹〵㌶晣扣㤰㡡㜶户㡤散㐷慥散㍣捡搳㠱㜱㡥㤲搷㜲㌱㘸㈹昰挴敢扢㔴ㅣ收昶㜴ㄶ㙤㜹捤㤵慡收〲ㅢ㕥㠷愵愲挹㙤㈳㝢攷戵㔱慡ㅡち㙣㜸扤㤴㡡㐳ぢ㙤晣扣㜴捡㠵昵〲㙣㘰㉡ㄷㅤ挹攰摡㠵搸昰㤳㉣愹扤挸慣㘵㘲愴昶㘲搶昲㈰愵昶ㄲ戳㤶㠱㑢敤愵搸愸愰挳づ愶〶㑤㌱㕡搲㐶㔳㕢㝤㠳挱愹㐹昸搸㉢敢摤㔸搷摥摡搶㙣捥㥥㙡慤㤰昹㔲挵昳愹晡ㄱ㍥㌴て敡㌳㔵㤴㔵收愶㌳戱慡愷㔵挵㤹㔸晦敤慣慡ㅥ㌸㌶扥㌰㝢㜵㐰挷ㄳ慢捣㐹㔵㥤㐳㔹㌳慡㉥㐳㜶㝣昸㕥㈹㑣愹捡㙤㑡㔹㌱昳㙣㍢晡攵搸戰晦ㄴㄹ㘰㑡昵㘵㄰㤶㘵㙥搳戴㈴㉢㘲㜹〵㌶散㍦㐵㜶挴㜲㜹捥㌲户㘹㕡㤲㌱戱扣搲㘵㔹挵挸昸愷昹敤㔰慡戸㑢㔳㘵敦愳㡡扥㑣㤵㙤摣昳晦〰攸〸捤晥</t>
  </si>
  <si>
    <t>㜸〱敤㝤㜷㝣ㄴ搵ㅡ㜶㑥㐸㠶捣㔲戲愲愸愰㘲㔰挰㐲摢捤㜶ㄵ㈱㠴㕥〴愹昶戸㘵㔶愲㈹㤸㐲ㄳㄵ㉢㔶戰㈱昶㉥㔶㙣㔷慦㕤㠳㘰慦搷㙢戹敡挵敥戵㕥挵摥昵㝢㥥㌳㜳㘶㘷㜷㘷㐳慥㥦昹㝤晥昱㙤戲敦捥㜹摢㜹捦晢㥣㘹㘷捥搹㉤ㄲ㐵㐵㐵扦攳挵㑦扥㑡戸戱晤捣挵捤㉤㐶晤戰敡挶扡㍡㈳搹㔲摢搸搰㍣慣慡愹㈹扥㜸㑡㙤㜳㑢ㄷ㈸㘸㌵戵㤰㌷㤷搶㌴搷㉥㌱捡㙡ㄶㄸ㑤捤㔰㉡㉤㉡㉡㉢搳㡢㈱敦㘳扤扤慡愰搳㑡㉦㈱㠱㔶㤱慥㤱㜴㈵㈹㈳搱㐹㍣㈴摤㐸扡㤳昴㈰改㐹㔲㑥攲㈵搹㠲愴ㄷ挹㤶㈴㕢㤱昴㈶搹㥡㘴ㅢ㤲㙤㐹㔸扦摥㤷㘴㍢㤰敥摢㠳捣慡ㅥ㍤㉤㜱㌸㕡㌳戳愵戱挹ㄸ㔲㌱挷㡣㜹㠴摦㍦捣㍦㉣ㄸ昲㔷づ昳つ愹愸㙥慤㙢㘹㙤㌲㐶㌴ㄸ慤㉤㑤昱扡㈱ㄵ搳㕢ㄳ㜵戵挹挹挶攲㔹㡤㐷ㄸつ㈳㡣㠴㉦㤰㠸〷愳晥㘰㈸㤴㡥挵愲摤㜷㠰攷㝤慡㐷㑦㙦㌲搲捤㝦㤶捦㝥昴㌹慤㝡昴戰㝤㡣㤶㍦换攷㡥昰〹㤷㘳ㅡ敢攳戵つ㝦㤲搳㔲㘲ㅡㄸ㘳㈴㙢〹扥㘱㌴搵㌶ㅣ㌶っ㘱㘷㈵ㅡ愵挸戰㜱挸㜸㌲摥摣㔲㙤搴搵捤㌰搲挴扤㝢㍤㜳㘶㌴ㄹつ㐹愳戹㘷晤搸㐵㐹愳捥ㄲ㌷㤷搵捦㠹㌷敤ㄳ慦㌷㑡戸㔱㕥㙦攲㌶㌱㘵㌴戴搴戶㉣敥㔱㍦扢搹㤸ㄱ㙦㌸捣愰㑡㘹晤昸搶摡㔴㐹㠹㈸㈹㈹敡戲㡢㕢㌰ㄲ㥢㘱攳㥡㤲搵昳攲㑤㉤戲㐴搴晣㙥扡㡥ㅥ㈲〳捦ち㡢扤愸㈲挷㡡㌰捤慣慤㥦㙣㌴㌵ㄸ㜵慣㠴攰つ捥㔱㤲㌹㌱㔳㙦㈷㐷戵㠶挰㠸㙥搶晥挶愶戰ㄶ扤㠲愴㍦㠸戶ㄳ㠸㜷㐴搵散〱晥挸愰㥤昶愸搸㘹搰㠰慡㐰㔴摦㤹昲〱㈰愲攴つ散扣㑥㝢敥㐰挵㌵昱攲㥡㐴㜱㑤戲戸㈶㔵㕣㘳ㄴ搷愴㡢㙢づ㉢慥㤹㔷㕣㔳㕢㕣㜳㜸㜱捤ㄱ搰㔱慦戲慥㕤㡢慤搷挳换〶㜶敤晤㝤㜸摡敤㔵㝤扤敦搵㥤昷㠰攰晥㉡㜷摣㐱搸搰㜷〱搱㜶〵挹㡤㈷愶敦㐶昹敥㈰㐲扣㡣㜸ㄸ搳摦摦ㅡ昵摤㑦昵攳慢㔷摥戶攲昴扥晢㙦昹戰攰㝥㉦㥤つ愱昲㔰㄰㙤ㄸ㠸㜷㐴昵ㄴ㐷攳㐲㌱㝤㌸攵㍥㄰㈱㥥户㥣戵㈶慦㕣㜷㠲晥昹愴晢捥昹戹㘹㤳ㅥ㌹㐱昰昸㈱㥤㔵㔲㌹〰愲〵㐱㜲㈳㡢攸㈱捡挳㈰㐲㍣㘹㌹㝢挵㜳昱㌳摦㝤㥣㤸㜸敦攷摡㠵昷昵㙤扢㐲戰㍦㑡㘷㔱㉡挷㐰戴㍤㐰㜲㥤㠵昵㍤㈹摦ぢ㐴㠸昵㤶戳て㙡敥摡晡昵换昷㤹㜸昲㘱㕦㝤㔹扦昳㈸㕤昰㜸㈶㥤敤㑤攵㤱㈰摡㈸㤰ㅣ㘷㤱㤸㕥㐵昹㘸㄰㈱ㅥ戴㥣敤昱挲㔳㡦㙥㝦㜱㥦㐹㌷挷づ㤸戴搴㔸昷愴攰㜱㔱㍡ㅢ㐳攵戱㈰摡㌸㤰㕣㘷㍥㝤㍣攵ㄳ㐰㠴戸摢㜲戶扡㙥敥㔵慢㉦㝢㘱昲攵晢挷㈶㠷㔶晥戳㕥昰昸㉡㥤㑤愲昲㘴㄰㙤ち㐸㉥〰〱㝤㉡攵晢㠰〸㜱扢攵捣搸㜶挱㜹攳ㄶ㤶㑣㔹㜵改つ扤㥢㜶昸戰㔱戰㥢㐹㘷搳愹扣㉦㠸㌶〳㈴搷㤹㕦㥦㐹昹㉣㄰㈱㙥戲㥣㡤㠹㉦㥦㜴晦㝦㍥㥢㜶昱㐷㝢昵㤹摥昵挵愴攰昱㕥㍡㥢㐳攵戹㈰摡㝥㈰㌹捥搰敦昷愷晣〰㄰㈱慥戵㥣ㅤ㜸昷愲㍢摡昶㕣㌲晥㤴挷㔲㔳㕢戶晢愰㔱昰扣㈱㥤ㅤ㐴攵㠳㐱戴㐳㐰㜲㜲ㄶつ敡㌵㤴ㅦち㈲挴攵㤶戳攲㉦捥㝤㘲㙤㜸攳㤸摢㝥敤㜹㙣昰晤㥡户〴捦㍦搲㔹㠲捡㐹㄰㉤〵㤲ㄳ㔹戸㔲㌷㈸㑦㠳〸㜱愱攵㙣㐴戰㜴摥愳〷ㅥ㌴晥戸㥤㡦晡㝥挵つ㘳扦ㄲ㍣㡦㐹㘷昳愸㕣ぢ愲ㅤづ㤲攳㉣ㄸ搰戹㝦敡㜵㈰㐲㥣㙢㌹㥢㌴㜹挵ㅥ㝢摥摢㘳散晤㠹慢㍥㥢㜵挰ㄶ㌳〴捦㠷搲㔹〳㤵ㅢ㐱戴昹㈰㌹捤っ〷昴㈳㈹㙦〲ㄱ攲㑣换搹搳㥢㈶っ㕤㜲挰捡㐹㔷㡦㉣㜹攳㠲昱摤敥ㄷ㍣慦㑡㘷㉤㔴㙥〵搱ㄶ㠰攴㐴ㄶち敡ぢ㈹㕦〴㈲挴㜲换搹攳愷戶晥㌸㝡晥㐵ㄳ慦ㅢ㝦搷〹〳㘷㕦摤愷㤴攷攷㤰摢㈱㌰昷攸㕡搵摣摣㕡㍦㥦㤷ㄷ搶㤱㥦晢㡥㕥㍦愶戹㘵㝡扣愹扥昹捦㍤㐵攰〴戱戹㜳㐴㔵㜳㝤攷㥦㈳㔰挹㥦㜲㡥搰㤶㈰㔹挳㘶㌵搵攲㑣搸㕡ㄷ㙦ㅡ㌲戵戶㘱挴搰捡㤰て慦㈱㔳㙡㡦㌰敡㙡㡤收㤶ㄱ扥㈱㔱摦挰ㄱ㠱〰搹㍥晤㈸㈶㜸㈹㠸㜶㌴挸㜶㈳慡挶㌸づ扤晥攸愰㥤㉡㠶昲ㄴ㔳敤㡦敡挷㔰昵㔸㄰㈱㤶㔹㐸㍦戸㜰㕥扦慢㝥扤㘳昲ㅤ㡤㥢㉥㝢攱戵㤷收〸㕥㠴挹㙥㜳ㅣ㤵㡦〷搱㑥〰挹敤㌶ㄱ晤㐴捡㑦〲ㄱ㘲㠹攵散㥥搵て慣昹戴㜷搵愴搵挳㑥摡晤愷慢户㥦㈹㜸㌱㈷㥤㉤愷昲㈹㈰摡愹㈰㌹ㅤ㍡㔸愹㥦㐶昹改㈰㐲戴㔸捥㘶扦戸㌴戶攷㡦㉢㈷㕥㌳昸晡摦㙦晣昱捥㥢〵㉦ち愵戳㌳愹扣〲㐴㕢〹㤲ㅢ㔹㔴㍦㡢昲戳㐱㠴㘸戰㥣晤㌰戴㜸搰戱换扦愹扡敦㠷搳昷ㅤ昴敥挶愸攰挵愵㜴㜶㉥㤵捦〳搱㔶㠱攴㐴ㄶ昵改攷㔳扥ㅡ㐴㠸㜹㤶戳㕦ㅡ㙢㝤㜷摦㔶㌱昵敥㌳㔷晣㔲晦㥢戱㕥昰㈲㔵㍡扢㤰捡ㄷ㠱㘸ㄷ㠳攴㐴ㄶ㡣攸㤷㔰㝥㈹㠸㄰〹换㔹㥦㕦㐷ㅤ扥攲㤳㥡㜱㙢㕦㍦愱敦㡢ㅦ慤昵ぢ㕥散㑡㘷㤷㔳昹ち㄰敤㑡㤰㥣挸㠲㔱晤㉡捡慦〶ㄱ攲㈰换搹愰搸〱㙦㝦㝡愵㙦挲㝤摢摣昷昴㤲愷扡㜵ㄳ扣㘸㤶捥慥愵昲ㅡ㄰敤㍡㤰ㅣ㘷㔱扦㝥㍤攵㌷㠰〸㌱挷㜲㜶㘵攸㥥攵摢㝤扥㜰搴昱ㅦ㕦㔸ㄱ㌹晥捥㈹愲㉦挴搲搹㑤㔴扥ㄹ㐴㕢ぢ㤲搳捣㔰㔸扦㠵昲㕢㐱㠴㤸㙥㌹ㅢ㌹愷㜴㠷㝤愲捦㑦扥㜷慦て捡㜶㜹㜹攴晥㠲ㄷ昱搲搹敤㔴扥〳㐴晢ㅢ㐸㑥㘴㐱㥦㝥㈷攵㜷㠱〸㌱挹㜲戶㝣挱㤳㡦㝤㜵攳戹攳㉦晥㜰搳㙦扢ㅡ㑢捦散㝥㌷挴晢㕡ㄷ㕣㘳㥡攲ぢ㜱搵㥡戹㈰挶㕤〰晦㌶㝦㈷㠰ㅢ㠱㜴㈸ㅤ㐹晢晤愹㤰㉦ㅥ㠸㤷㔶挰㙤㐷慦㍦搹搵扢愷攷搶㌶愴ㅡㄷ捡ぢ搲敥改㜱戵㜵㉤㐶㤳㉣㤴愷昱㘱㕥㔴换㜲㡦昴搸㐵戸ㅢ㐹㥡搷慥㕢愵慢㡤愶ㄶ㕣挵户㉣捥ㅣ慣戶ㅦㅤ㙦㌶㌲挵挱㤶敦搱㡤慤つ愹收敤摣㠵㌳㕢攲㉤㐶摦㕣㔹挶㐹㥥搹㑣㕣攱ㅢ捤㌲愴㝥戹㘶㜳攲㜵慤㐶搵愲㕡㔳扣㐳㡥ㄸ搷晡㡤㠹挲搲㜱㑤挶㤱戶㌴㉦愲㉡摣㠰㉥㤰扥昳㕡㘹㡡捣戸㉡慡攷㌵㌶ㅢつ㌲扣挱昵搳㙢㤳㐷ㄸ㑤㌳つ摥扥ㅡ㈹搹搴摥ㄴ㔹㌷ㅣ㠳愷㌵愰愱戸㠵㐸敤攴攴㌲搱㐶㐳捡㐸㈱摥昹挸昲攲㔹昱㐴㥤戱㜵㤶㡡㔹㈷〴㝤戲搸攳ㅡ㤳慤捤搵㡤つ㉤㑤㡤㜵搹㤲慡搴㠲㌸㙥㜲㔲㔳ㅢ㔳㐶㠹㝣ㄵ㤹㔴ㄴ㜵改㈲㐴搱慥㙥愷㑡晡㙥收晤㠴愳㤳昰慥愵㝤㘵㐷㈷愲戲敢㝤㠸敤ㄹㅢ㡥㑥㐶晤摤摡㡤挴搹〹愹敤㙢㔷摢愵㤳搲㘸摢散ㅤ㙦搸っ攰〳ㅣ敡っ敥㤵挵〳ち扢捣昴换捤㐴敡㐰㠵愳ㄵ搴㙥㈷㘹搲慤摤昷㍡㔷戹戸㜸㑢慢昵㘳ㄷ攰㔶㜶㐲扣㈱㔵㘷㌴戵㍢搶㈲ㄸ㤱㝥て挹扤㈴昷㤱摣㑦昲〰㐸㘹㌵㡥㜱〵㌳㕡〲つ戱㐸㉣㉥㕤㔸㥢㙡㤹愷捤㌳㙡て㥢搷〲ㅥ挶㘸捡捡㤸敥扣㤷晥㄰㔸晡挳㈴㙤㈰ㅥ㑦㤱戶づ㥦㐵㥡㐷㝦㠴ㅦ敢㐱扡㔷戵戶㌴㔶㔸㝤挱㈳㑡晢㠳昷扦摦㑡ㄷ挳㑡㤷㜷敥ㄸ㕡㘹㉥慤挷〰㐱㜳㤷㉥㙥愹㤸㄰㙦㥥搷挲扤戰㝤㈱晤㙤㈰㜹ㄴ愴晢㘳㈰晢㑣㌰敡戰て晦㔹愳㌲愵㍢挳攷㘶敦晥㜹改扢㜵晤捣挵つ挹㜹㑤㡤つㄸㅢㅢㄳ㙦㠹㔷㈵㌱挴搱㉣攲㕡晤㤴挶敡搶ㄶ慤㝥㐲㉤㍥扡搷捦㌰收ㅢ昱㤶㙡ㅣ愳㕢㝡搴㑦挱昰㠸㍣㠸㑥㑣㉤㉡慤㌷㐷㌶挶ㄸ捤㐹㥤㐳㈰ㄳ㜱㑣㕡愴㘱ぢ〷搹敥昵㍣捡ㄸ㡢㕡攸扡㙢㍤慥㤴搱㤷㜴㈸つ㤶㔶收ㄶ㉤㝢㐸㥥戲昶㔸㈵㜸昰捡㑤㠷㤷㙥㤲㘱㝡㉡㘲户挱改ㄳ㈷摣ㄲ㡢收敥㍥戳㕢㙡敢㥡㠷㔹改ㅤ㌶愶ㄱ㐳㘴㠶ㅣㅤ㘴摡㌵つ扤㑢㙢ㄷ慣摣扤㥣㘳㈸搳㤲〹搳㉤㐲ㄹ摦搴搸㍡㥦搷挸㝦㤶ㅦ晡㉡搲ㅦ〷戹晣换ㅢ昷ㅣ㜸改慤扦㕢㥦挷㘲晦㤱㉦㝤㈷㙡戰戳戳㠸て昹搲㥦挲㠷愷㍤㔹改〰㘸戸ㅥ㘶ぢっ昷㤴㐲扦㝢㍤㕡㍢慢挹㤰攳㔷㘵戲戰㜸扥搱愳㝥㙥㘳搳ㄱ㠹挶挶㈳〸㝥㑦㔹㙡㥥㘷ㄸ㉤ㅣㄴ敡㘶㡤㠱㜱㕢〸搱愵㑢搶㠸㡦㘳昴㘸㐷昸搷㥥〳改㔱㔵㔷㔷愱㍣㌶㙢捦㠳搵〵愷ㄳ敤〵㙣㐴㉢㝤㤵挱㡡敡㤹㌳慡㉡㘶ㄹ昵昳敢㜰ㅤ㔰ㄱㅡ㔸㔱摦㤸慡〸ㅥ戳㑦搵㥣㜱㔵搵ㄵ㐶慡戶㘵攸搰愱晥㐰搵散昱㔴ㅦ戶愸慥㜹㤱ㄸ㡥散㜰㜰攷㤱搲挵㔷㐵㑦㉥ㅡ㜵敦〷て昶敡晡攴戳〱㌱捣ㄲ攴つ㈱つ㐲㝤ㄵ㜸敢晦㈴㜹㠹攴㘵㤲㔷㐸㕥〵ㄱ扢挲㤴〷㌲㙣㘷扦昴搷㔰搶㕦㈷㜹〳〴㠷㈳㠹㄰㡥㐶ㅢ挹攳搱挸㈳挴㉥昸攰㐱㐸㝦㡢攴㙤㄰戱ㅢ〸㜷搷㈲晤ㅤ㤰㠲㤸敦㑡㡤㍣捣摦〷搷愳户㈳ㄳ扢㐳㠳戸敢捣戳捥捣敡捣慡攸㙤攵㈰㉦㌹㕢㔹㠲扣㈱戱㈱㌰慢愰晤㝦㐹㍥㈷昹㠲㘴ㄳ挹㤷㈰愲㘷挱攴㝣㑤㥤㙦㐸扥〵㜱㈴攷㝢ㄴ戵ㅦ㐰㜲づ搵㘲㈸㜸㌲㔳㍦㘲㐳晦〹㐴っ〷㌱㌳昵㌳戶ち㘶㙡ㄸつ昲㌲昵ㅢ戸ㅥ扤ㅤ㤹昰㐱挳㉤㔳㍦晦㔶愰ㅢ晤㘴〹昲挶晢㉡攱愹〲㙦扤慢〰㈹㈳搱㐹㍣㈴摤㐰挴㌷㌰㜵敦㐶㍤愸搳㤳愴ㅣ挴㤱愹㉤挸戳扡㔱〰捥晢戳㠲㉤挹摣ち㐴㠴㔰㌴㤳搳ㅢ挵㠲挹〹搲㙡ㅤ〸愰戲㍢戱扥㉤㑣㍣㝡㍢㌲ㄱ㠶㠹㕢㜲摥㈹㤴㥣户㉤㐱摥昸㘵ㄴ㥥㉡昰搶晢愳㔲㝤㈷㤲㥤㐹〶㤰っ〴ㄱ慦ㄷ㑣捥㉥搴搹㤵㘴㌷㄰㐷㜲〶㤳㘷㈵㈷〶攷晤㔹挱㔰㌲㠷㠱㠸㍤㔱㌴㤳㌳ㅣ挵㠲挹搹㠳㔶敢㐰戲㤲㔳〹ㄳ㡦摥㡥㑣散〵ㄳ户攴㍣㕥㈸㌹㡦㔹㠲扣昱搸扤攱愹〲㙦㝤㑦㔴慡敦㐵㌲㠲㘴㙦㤲㤱㈰愲慤㘰㜲慡愸㌳㥡愴ㅡ挴㤱㥣戱攴㔹挹ㄹ〹攷晤㔹挱㜸㌲㈷㠰㠸㉡ㄴ捤攴㑣㐴戱㘰㜲㐶搱㙡ㅤ㐸㔶㜲愶挰挴愳户㈳ㄳ愳㘱攲㤶㥣戵㠵㤲㜳戳㈵挸ㅢ㕦ㅥ〳㑦ㄵ㜸敢戳㔱愹㍥㠷㘴㉥挹㝥㈴晢㠳㠸㌵〵㤳㜳㈰㜵づ㈲㌹ㄸ挴㤱㥣ㅡ昲慣攴㡣㠵昳晥慣㈰㑥㘶〲㐴㡣㐷搱㑣㑥ㄲ挵㠲挹ㄹ㐷慢㜵㈰㔹挹㐹挳挴愳户㈳ㄳㄳ㘰攲㤶㥣㜳ぢ㈵攷ㅣ㑢㤰㌷㕥㍥〹㥥㉡昰搶ㅢ㔱愹㍥㥦攴㐸㤲㈶㤲㘶㄰㜱㐶挱攴戴㔲㘷〱挹㐲㄰㐷㜲ㄶ㤳挷愳㌳㑥㕤㤳昱搱㥦ㄵㅣ㐵收㔲㄰㌱ㄵ㐵㌳㌹㐷愳㔸㌰㌹㔳㘸戵づ㈴㉢㌹换㘰攲搱摢㤱㠹㝤㘰攲㤶㥣挵㠵㤲戳挸ㄲ攴㡤晦㑦㠷愷ち扣昵㔳㔱愹㝥ㅡ挹改㈴㘷㤰㥣〹㈲㥡ち㈶㘷㈵㜵捥㈲㌹ㅢ挴㤱㥣㜳挹戳㤲戳㉦㥣昷㘷〵慢挸㍣ㅦ㐴捣㐴搱㑣捥㙡ㄴぢ㈶㘷〶慤搶㠱㘴㈵攷㈲㤸㜸昴㜶㘴㘲ㄶ㑣摣㤲㔳㔳㈸㌹㠷㔸㠲扣攷ㄹ㜳攰愹〲㙦晤㙡㔴慡㕦㐳㜲㉤挹ㅡ㤲敢㐰挴㝥〵㤳㜳〳㜵㙥㈴戹〹挴㤱㥣戵攴㔹挹㤹ぢ攷晤㔹挱慤㘴摥〶㈲昶㐷搱㑣捥敤㈸ㄶ㑣捥㝥戴㕡〷㤲㤵㥣㍢㘱攲搱摢㤱㠹〳㘰攲㤶㥣戱㠵㤲㌳挶ㄲ攴㍤㥦㌹〸㥥㉡昰搶ㅦ㐴愵晡㐳㈴て㤳戴㤱慣〳ㄱ㝢ㄷ㑣捥㝡敡㙣㈰㜹ㄴ挴㤱㥣挷挹㕢て慦搸慤づ挶㐷㝦㔶昰㈴㤹㑦㠱㠸ㅡㄴ捤攴㍣㡤㘲挱攴ㅣ㐲慢㜵㈰㔹挹㜹づ㈶ㅥ扤ㅤ㤹㌸ㄴ㈶㙥挹ㄹ㕣㈸㌹扢㕢㠲扣攷㑤〹㜸慡挰㕢㝦ㄵ㤵敡晦㈲㜹㡤攴㜵㤲㌷㐰挴㠰㠲挹搹㐸㥤㌷㐹摥〲㜱㈴攷ㅤ昲慣㥥㤳㠴昳晥慣攰㍤㌲摦〷ㄱ〶㡡㘶㜲㍥㐰戱㘰㜲㔲戴㕡〷㤲㤵㥣㡦㘰攲搱摢㤱㠹㌴㑣摣㤲戳㐵愱攴㜸㉤㐱摥昳戳㜹昰㔴㠱户晥㈵㉡搵扦㈲昹㥡攴ㅢ㤲㙦㐱㠴愷㘰㜲扥愷捥て㈴㍦㠲㌸㤲昳戳ㄴ挰㉢㝡づㅦ挹昵㘷〵扦㤲昹ㅢ㠸㌸〲㐵㌳㌹扦愳㔸㌰㌹㠷搳㙡ㅤ㐸㔶㜲㡡㡢㤹㥣㜶㘴愲づ㈶㙥挹昹晥搷〲㔷挸摦㔹㠲扣攷㠱つ昰㔴㠱户摥つ㤵敡摤㐹㝡㤰昴㈴㈹〷ㄱ㥢㘰敡㝥㠵扣〵㜵㝡㤱㙣〹攲㐸㑥㙦昲搶挳㉢㤲搳㠸㡦晥慣㘰ㅢ㌲户〵ㄱ㐷愲㘸㈶愷て㡡〵㤳㌳㥦㔶㜹挹搹ㅥ㈶ㅥ扤ㅤ㤹㘸㠲㥤㕢㜲㌶ㄶ㑡捥扦㉤㐱摥昳捤ㄶ㜸慡㘰ㄴ〳ㄹ晢㈰㤲㕤㐸㜶㈵搹つ㐴扣㔲㌰㌹㠳愹㌳㠴㘴㈸㠸㈳㌹挳挹戳㜶慢㔶㌸㤷挹昱㤳㔹〹㈲ㄶ㠲㘵㈶㈷㠰㘲挱攴㉣㘰㔸㜹挹〹挳挴愳户㈳ㄳ㡢㘰攷㤶㥣昵㠵㤲昳㠸㈵挸㝢㕥㝢ㄴ㍣戵昳攴㈲敢愹愸ㄷ扡㔹㑦㉥昲挶攴捤〱敢晦晦攴攱㉦昷攴㈱晢愹挳敥㥢ㄹ㙡捦㜹敥㔰㜰㤴昹㙥㜴㠸晦㍦㙥㥦㍢㐷搲ㅣ户ㅦ挹挳㐰㕢挱〳㑢ㄵ挴晡㘸㤲㙡敥敤㤹攱慤戱㘶㔱㉣㐵㙥攵㐱㘵ㅣ㤵挶㠳㤴ㅥ〳㔶晢愳搰搸㕤换愱㔴挲㘹ㄴ㍤敡挷ㄸ改㌸收㌴捡㤱㘳ㄱ晦㝦㌹戰㕣㠲愹愵㈲㌳慡摣㝥㈳㄰㝢㍦㌴㐲换㝤㈲㤵㍤摤づ㤳〰㔳攳㡤㠶㔹ㄸ㍤㙤愶晡㥦㌵㕥晣㘷昹㘱㑣晡〴挰愶㕥愵㜷愳㌳㜴扣㑤㐸㔷㔱搷〵ㅣ昴慦愹㈹㉡愳㌷㜲昴愳㐹搶㠱㘴㕤㙢㑣㘱愷㘹㑦㈶㡥㠵㠹㝤挶搰昶㠵㝥ㄷ㜴ㄶ㜳散㜲㙤愱戳挶捤㤶㈰㙦敥挷㜱昰㔶㠱户㍥ㅢ㡥昴㌹㈴㜳㐹昶㈳搹ㅦ㐴慣㈹搸昳て愴捥㐱㈴〷㠳㌸㝡㝥つ㡡摡愱㈰戹㘳㤷挷愳愶晥慣㉤づ愱㥥〰ㄱ㈷愲㘸㥥㕦㤳㈸ㄶ㍣扦㥥㐰慢扣㙣愵㘱攲搱摢㤱㠹㤳㘰㘷㘷换㌱捡㝢㙥愱㑣㥤㘳〹昲㈶戶㉣㠷愷ち㐶搱挸搸攷㤳ㅣ㐹搲㐴搲っ㈲捥㈸㤸愹㔶敡㉣㈰㔹〸攲挸搴㘲昲搶挳㉢慥捣㑥挱㠷㑣捥㔱㘴㉥〵ㄱ愷㠱㘵㈶攷㘸ㄴぢ㈶㠷ㄳ㙣昲㤳戳っ㈶ㅥ扤ㅤ㤹㌸ㅤ㜶㙥挹㔹㕣㈸㌹㡢㉣㐱摥㐴㥤㌳攱愹㠲㔱㥣捡搸㑦㈳㌹㥤攴っ㤲㌳㐱㐴㔳挱攴慣愴捥㔹㈴㘷㠳㌸㤲㜳㉥㜹搶㤵搹ち㌸㤷挹㔹㐵收昹㈰攲㉣戰捣攴慣㐶戱㘰㜲㔶㌲慣㜵㈰㔹晢搹㐵㌰昱攸敤挸挴搹㌰㜱㑢㑥㑤愱攴ㅣ㘲〹昲㈶ㅥ㥤ぢ㑦ㄵ㜸敢㔷㌳昶㙢㐸慥㈵㔹㐳㜲ㅤ㠸搸慦㘰㜲㙥愰捥㡤㈴㌷㠱㌸㤲戳㤶㍣慢攷㥣〷攷㌲㌹户㤲㜹ㅢ㠸㌸ㅦ㉣㌳㌹户愳㔸㌰㌹慢ㄸ㔶㕥㜲敥㠴㠹㐷㙦㐷㈶㔶挳捥㉤㌹㘳ぢ㈵㘷㡣㈵挸㥢㐸㜵㈱㍣㔵㌰㡡〷ㄹ晢㐳㈴て㤳戴㤱慣〳ㄱ㝢ㄷ㑣捥㝡敡㙣㈰㜹ㄴ挴㤱㥣挷挹戳㝡捥㐵㜰㉥㤳昳㈴㤹㑦㠱㠸㑢挰㌲㤳昳㌴㡡〵㤳㜳㌱挳捡㑢捥㜳㌰昱攸敤挸挴愵戰㜳㑢捥攰㐲挹搹摤ㄲ攴㑤っ扢ㅣ㥥㉡ㄸ挵慢㡣晤㕦㈴慦㤱扣㑥昲〶㠸ㄸ㔰㌰㌹ㅢ愹昳㈶挹㕢㈰㡥攴扣㠳愲昶㉥㐸敥搱昹ち搴㈴㌳昵ㅥ慤摥〷ㄱ㔷㠱㘵㘶敡〳ㄴぢ㘶敡㑡挶㤸㤷愹㡦㘰攲搱摢㤱㠹慢㘱攷㤶愹㉤ち㘵捡㙢〹昲㘶扤㕤ぢ㑦ㄵ㡣攲㑢㔴慡㝦㐵昲㌵挹㌷㈴摦㠲〸㑦挱㑣㝤㑦㥤ㅦ㐸㝥〴㜱㘴敡㘷昲搶挳㉢㡥捥㙢昰搱㥦ㄵ晣㑡收㙦㈰攲㝡ㄴ捤攴晣㡥㘲挱攴㕣㐷慢扣攴ㄴ㜷㘱㜲摡㤱㠹ㅢ㘰攷㤶㥣敦㝦㈹㌴愸㘰〹昲㘶昱摤〴㑦ㄵ㡣愲ㅢ㉡搵扢㤳昴㈰改㐹㔲づ㈲㌶挱戴挰愰〲㜵㝡㤱㙣〹攲㐸㑥㙦昲慣㝤散㘶㌸㤷挹搹㠶捣㙤㐱挴㉤㘰敤㡣㌷㔶昱愰㔸㌰㌹㙢愹㤱㤷㥣敤㘱攲搱摢㤱㠹㕢㘱攷㤶㥣㡤㠵㤲昳㙦㑢㤰㌷㉢昱㜶㜸慡㘰ㄴ〳㔱愹㍥㠸㘴ㄷ㤲㕤㐹㜶〳ㄱ慦ㄴ㑣捥㘰敡っ㈱ㄹち攲㐸捥㜰昲搶挳㉢㝡捥ㅤ昸㤰挹昱㤳㔹〹㈲敥〴㙢㘷扣戱收〱挵㠲挹昹ㅢ㌵昲㤲ㄳ㠶㠹㐷㙦㐷㈶敥㠲㥤㕢㜲搶ㄷ㑡捥㈳㤶㈰㜷㤶㘵改㍤昰㤴㍢㜱㐴慥㠳戱攷㥦㌹敥㌰㝢㐲㔹㑢捦㙥愸㙤㘹敥㤶收〴愳㜱戵㉤戸〵攸㥥〶挱愶㌴改㉢愷㙡㌹㡣〶愷攷搴ㅡぢ㜹昱扦㘳扥〸㑢㠴慡㕢㥢㕢ㅡ攵㥣㤸㝥昹昲㌱㡤晢㌴戶㡣愹㙤挶攴㠷挵〳㕣挴愶㘴敥㍣愳〱㜳〷㥢㌰㠵㜰㜳㑡㡤昳攷ㅢ㈹㤷ㄸ㘷㌶戶㌶㈵㡤㠹㘳晥ち戳て㠵㌹戹愷〸昳㐷㠴㈸ㄲ〳ぢて〱㌸昲扥〳戰㈹挶㥣ㄳ昱〷㈷慦戱ㄷㄶ改愳搰昵㡡攰〴㕤㕤慦㘲㌷昴ㄴ㤵摥ぢ㔶晢㕤挴㌱㥦戱ㅢ㤴㍤㘹挰㙡昲㝡㔸ㄳ㘶㈷㌶㌴搷愶っ㡦㔵挲ㄴ昸㥥搶收戴搶㤶㉣㐹㝣搱㤶㤶〴ㄳ㘳愶㌵〰晡㘴扣㈹昵㔷㐰〵つ挳换㠴㐴㘸昸晢㘳㠹㌶摤ㄴㄵ㙤攲㌸㌵㕦㥢㡥挵捥㍥摡捡昵㝤㘰戸捥㔳戲㜷㐷㙣㌸愶㠳㜲〸愱〷搳㙤戳换㔸㥡㙡挴ㅢ㈴ち㌳㕢㔲㘳㡣〵㍤愵㠶㠱づ㡥㤵㜹㜵挶㤶搹㐵㌹攸愰愷慢ㄲ捤㡤㜵慤㉤㐶㑦㝢㑢敥攸㝡㝡㠶㠱㤹㐷㤸摡摢摤摥㥡㥥㙣挱攴㘷摢ㅦ愷敤晥㜵㄰㐲㐶㑡㉣㤴㠴挴㐹㙢愷昳㘶㌷㠲晢搰ㅦ㐴ㄵ㘰愶攵敢昳㤱攲愲ぢ昹扡㘱㘴㤱摡昰昰㔵㔴㝡㍦摣攷㡥㉡㘴ㅦ㙢㥤㜳㜷戹㈷㙤愹愶㤴㥢㐷㌸㜹昰敡慥㜸㥣㌶摢㈳㉤㡦㝢㤸ㅢ捦愵㌹攵摣㜵敡戰㘲戶愵㌶ㄹ慦慢㕢摣㌳㍤戱㈱㔹搷㥡㌲愶挴ㄳ㐶㥤㍡㘶㌷㌶搵晦㐵昰㉡攱㉥㘰㘲搵㑥㕥慣愴㑣挴㑡㘶㌵㔳昸てㅦ收㠴㕥㡤㍤㑤ㅢ〳㔲㍡愲㙡㑥㈰㡡〰㍣晡㔸㙢敦㝢〰愵晦㜹扡戴〷㐶扤㌲㤳晤攵㡡㔷ㅣ攰昲㔸㍣戲㜱昶愸㍤攳㕡敥㜷づ戵㈹㡤㔳ㅡ㌱ㅢ㍥攵㘰㑤愸㌵㔹㝦㤹扤㑢㠲愵㘹摡ㅦ㍤捤㈰㔷㜸㙤晡摤晡攴㔰ㄷ㕥㥢㐶昲㑣挳㕤攴㈱㤴㜲攷㥤㍡㜶ㄱ㜹〵㈰て㠵㝣挰㔱捥攳㤸㜹昹㌰慢戶愵捥攸㤶㤶㜲戹㕤挶ㅤ㠳搹散㥡㥥㌵て㜳㌸挷昴㐸㡦㙦慡㑤搵搵㌶ㄸ扣ㄴ挱敡っ慥㌲㥥㘲ㅣ㠶㜵〴搳ㅢ㥢㙢戹扡慤㐷㝡㔶㔳扣愱㜹㍥愷敡㈶ㄷ昷捡㉡㐹戰㑡搳愳㙢ㅢ戰ㅢ㤹㜵㜲扢㍣㍤㜳㕥攳㐲慣扦㙦慤㙦ㄸㅦ㥦摦晣㤷〰捡㍡戱㈰㐳收扥㔵㉣㡡㡢㐵㔹㜱搹ㅦ㍤㘳㘹攳戰㝦昴慢㙥㙣㙥愹㔰㉢挴㉢ㄶづ㙦慣㤸㔱摢㝣㐴〵㜷换㍤㉡晣戸㙡㈸㉡慡㐴㤵挵㈴ㄶ㥡て㘳慢㥤ㅤ㥢㐰㕡ぢ㍤戸㘳㌳散慣戵㠴慥ㄳ捤敤敦㌷攰挱㕡ㅦ㡦挸扡㑦〰㤹㌴㝥昶挴捣昲愰晦慢㉦ぢ㈸㙤㠳攷㜶捥ㄹ戲攷搸㙢ㄱ㝡㐳戹愷搹㥢挸㘳攷搲㘵愷㘰㈹户㠷㝡搲㔲㠷㥤ㄵ愷㔹慡㜳㜳ㅣ㈶㡡㜷挷戱〱挷㘸攴ㄷ〷攷㥥㘶㠱搷㝤昵昱扡㘶㑢㔶摤㔸㕦ㅦ㘷敦㘳捦㥤㠹〳扣㔱㈶㉦挲㜱戰搱搳㈰戲㡢㕡慣昸㈲戰攲㡢㈴ぢ攷㙤慥㉦㤲摢昴搵㜸㔸扣愹戶㘵㕥㝤㙤戲㡣〵慥〱晡㑢㜴㕢㜴愱ㄲ㈴㔳扤㘴摦挵ㄵ㙤敥ㄳ〸㜳晥㌹攰ㅥ㠶㥢っ愶㡥昰愳㜳ㄷ换㤳扤昸㠳㡢㌷搰㝤攵㡤㤸㍥〹摥㑡㜱户㉦慦㠲㘵㉣㡥㉢㌵㜴㔱㜹㥣ㄲ㡦㔰〱㙦㝤㌲搴戹挱㜷挹〶㤰㜶愷搴㜷㠵㠲㘷㑡㘳㍣㌵づ换挴ㅡ㥢扡㕡㕦㙥㔱〶㘸㜹搴㘹昲㜲ㄹ㐵㌵ㄶ㈰㘱㘱搳〲㕣㌰㌷㤵㤱㌱ㄳぢㄴ㑡戸〰㐳㌳㌱攴㝥㕤㔴㕡摡慤捣慤慥㠹捡搷〰㙢扡戹昳换㐱㈶收昹晦㙣摦攸㐸戶搶攳㐱㐳㡡昴㈹愰晡㔴戶改㔱ㄴ搹㥥ㅣ㠵㝤愸㌰つ愴昴㜱〸㜳昷㤲㠲㑢づ㘰㔰㔴㕡捦愵㄰㘵昵㙣づ慥㑢㌴㉣㤰挰㤲ち愴㐴敢㔶昶ㄸ攴晡㜴㘸㍤晢捣㌳㈳戰㕤㈴㥥〲㔱昵㙦㠳㙤㡦㠷挹搳昷㘵晤㌳㐰挴㍦㔱攴摤慢㠴つ㑢搷㔹㠵㜵攷㌲ㅢ摢㌸㥢㠸㤷挰攲摤㡢㝡㌹㤰挴㔹㝦㡥愵昵㌲挴扣敥㈶㠶㥢扢㠶ㄳ慦㐰㡦搷㜱㐲㥦ぢ㜳㙤㍦㄰㜹㈱ㄱ〳捦愳敦㙦戹㝣ㄵ㈵㕥㑣㤸慦㠲愷㍢昱ㅡㄴ㜸捡㉢搲㜹㠸㤵ㄱ攴ㅣ㐳挵敢㘰昳㌸慡ㅦ〸つ昱〶戶摡昰㐶慣㘶㜷㍤㤸〱㙣戶扢㙥㤴ㄶ㜰㜲〸㥤㔸〵昱ㄶ㌶㔴㡡ㅤ㝤愰〶㍡晡愱㔴㝣摢㕤㈱㑥㠵〴ㄵ摥㠱〲晢㠱㥥㐴挹㠶敥㝤㠷㤹〳扡ㄴ捤っ㥡晤ㄷちづ攸づ〳㑦㐱㌷て摢㠴敥㜳戰ち㐳㔷㙢㘹㝤〱慤づ㐳户〹捡㈶㜴㠷挳㕣㍢〲愴㜴㐴昵搴㤰〹㕤㥤攵昲㑢㘸㜵〴扡慦愱㈷愱挳昵ㅦ㌲㥡ぢ摢㌷㄰㑢搸敡攱㔷㝣㡢㔲ㅢ摥㌶㙣㡤慣㝣戳戰㝤㉦㉤㤰戵昹㔰㔷㉦昱㈳戶㕣㘰㍢ㄲ㍡㝡ㄳ㙢晢挹㕤愱㤹ち晣㕡㈰昱㌳ㄴ㈴㙣慤㈸搹戰晤收㌰㜳挰戶㠰㘶ぢ㘹搶ㄵ敤㜴挰戶ㄸ㍣〵摢ㄲ㙣ㄳ㌶捥昸㉦っ摢㔱㤶㤶づ慤づ挳挶愵〳㈶㙣㑢㘱慥ㅤつ㈲昷戸〸㙡昷攸挷㔸㉥扢㐱慢㈳戰㜱㤱挱㘶昶㌸㉥㐱㤰搰㉤㠳㙦㔱㡥㔲ㅢ慡戲愱㍢㥥〱㙣ㄶ扡㉤㘰㠶晦㈲晤〴㍡㤱收昸攴愲〵ㄷ攸㑥㠴㡥㝥ㄲㄵ戹愰挱㐵攱㘴㉡㉣愷㐲㙦㈸㐸攸㑥㐱挹㠶㡥慢ㄸ㤴㤹〳扡㔳㘹㜶ㅡ捤晡㐳挱〱摤ㄹ攰㈹攸捥挴㌶愱攳㝡㠴挲搰慤戰戴㜶㠶㔶㠷愱ㅢ〰㘵ㄳ扡㤵㌰搷捥〲㤱搰㠵㔱扢㐷㍦摢㜲㌹㄰㕡ㅤ㠱㙥ㄷ攸㙤〶㍡㉥㤰㤰搰㥤ぢ摦㘲㌷㤴摡㔰㤵つ摤㉡〶戰㔹攸〶挳っ晦㜸〸㐹㈷搲ㅣ㥦㕣㔲愱㔲散㌸㔸慥㠶㡥㝥〱ㄵ戹摣挲㐵攱㐲㉡㕣㐴㠵攱㔰㤰搰㕤㡣㤲つㅤ搷㔸㈸㌳〷㜴㤷搰散㔲㥡敤〹〵〷㜴㤷㠳愷愰扢〲摢㠴㡥慢㈵ち㐳㜷愵愵㌵〲㕡ㅤ㠶㡥换㉥㑣攸慥㠲戹㜶㌵〸愱㡢挴㔰扢㐷扦挶㜲㌹ㄲ㕡ㅤ㠱慥ち㝡㥢㠱㡥换㌷㈴㜴㙢攰㕢㔴愳搴㠶慡㙣攸慥㘷〰㥢㠵㙥㉣捣昰㡦㙦㍤愰ㄳ㘹㡥捦昱搸㔲㈹㜶㐰㜷㈳㜴昴㥢愸挸挵㈰㉥ち㌷㔳㘱㉤ㄵ㈶㐲㐱㐲㜷ぢ㑡㌶㜴㕣〱愲捣ㅣ搰摤㑡戳摢㘸㌶ㅢちづ攸敥〰㑦㐱昷㌷㙣ㄳ㍡慥攵㈸っ摤㥤㤶搶㕣㘸㜵ㄸ㍡㉥ち㌱愱扢ぢ收摡摦㐱㈴㜴㍥搴敥搱敦戶㕣㜲搵㐸㐷愰㍢㄰㝡㥢㠱㡥㡢㑢㈴㜴昷挲户㌸ㄸ愵㌶㔴㘵㐳㜷㍦〳搸㉣㜴㌵㌰挳㍦㔶㑣搳㠹㌴挷㘷ㅣ㕢㉡挵づ攸ㅥ㠴㡥晥㄰ㄵ戹㔴挵㐵攱㘱㉡戴㔱㈱〹〵〹摤㍡㤴㙣攸戸㍥㐵㤹㌹愰㝢㠴㘶敢㘹搶〸〵〷㜴㡦㠲愷愰㝢っ摢㠴㡥㉢㑤ち㐳昷戸愵㜵㈴戴㍡っㅤ㤷慣㤸搰㍤〱㜳敤㐹㄰㜹㠹ㄲ㐰敤ㅥ晤㈹换㈵搷戴㜴〴扡㔶攸㐹攸摣㉦㔱戸散㐵挲昶㌴晣㡡㠵㈸戵愱ㅡㅢ戶㘷㔹昹㘶㘱攳㍡ㄹ晣攷㕣愲ㅣ〵㤶㑡慦〳戶攷攱㔲㝦㠱戵㜱ㄱ㡤㡢挲㍦愸昰㈲ㄵ㡥㠶㠲㠴敤㥦㈸搹戰㉤㜳㤸㌹㘰㝢㠹㘶㉦搳散㔴㈸㌸㘰㝢ㄵ㍣〵摢扦戰㑤搸戸〶愶㌰㙣慦㔹㕡愷㐳慢挳戰㜱㌱㡤〹摢敢㌰搷摥〰㤱戰㘱㔴〴戰晤摢㜲挹搵㌶ㅤ㠱㙤㈵昴摡㠱㡤ぢ㜲㈴㙣ㅢ攱㔷㥣㡤㔲ㅢ慡戱㘱㝢㡢㤵㙦ㄶ㌶慥攰挱㝦づ㙣慢挰㜲㐱攵ㅤ戸搴摦㘵㙤㕣摥攳愲昰ㅥㄵ摥愷挲㙡㈸㐸搸㍥㐰挹㠶㡤㙢㝡㤴㤹〳戶晦搰散㐳㥡㕤つ〵〷㙣ㅦ㠳愷㘰晢〴摢㠴敤ㅡ愸ㄴ㠶敤㔳㑢敢㕡㘸㜵ㄸ㌶㉥昳㌱㘱晢っ收摡㝦㐱〸㥢㌵㈸晣戹攵昲㍡㘸㜵〴戶ㅢ愰搷づ㙣㕣㉡㈴㘱晢〲㝥挵㑤㈸戵愱㤱㌶㙣㕦戲昲捤挲挶戵㐵昸捦㠱敤㔶戰㔴㝡ㅤ㝢摢搷㜰愹㝦挳摡戸昰挸㐵攱㕢㉡㝣㐷㠵摢愱㈰㘱晢ㅥ㈵ㅢ㌶慥㌶㔲㘶づ搸㝥愰搹㡦㌴㝢㄰ちづ搸㝥〶㑦挱昶ぢ戶〹ㅢ搷つㄵ㠶敤㔷㑢敢㘱㘸㜵ㄸ戶㌶㈸㥢戰晤〶㜳敤㜷㄰㥥摦愲㐱搴敥搱昹散㤴ㄵ慦㠳㔶㐷㘰㕢て扤捤㥣摦㌶㐰㐵㐲㔷っ摦攲㔱㤴摡㔰㤵つㅤ扥搱戲〳搰㍤づ㌳晣攳㝢㔵改㐴㥡攳昳㐹㙣㙤㐰㈱㘷㤴㐵㠳㡥摥㤵㡡㕣ㄶ攵愲㔰㐶〵㝥㑦慢㜸ㅡちㄲ㍡て㑡㌶㜴㕣ぢ愵捣ㅣ搰㜵愳㔹㜷㥡扤ち〵〷㜴㍤挱㔳搰㤵㘳㥢ㄹ攴慡愶挲搰㜹㉤㉤㉥㝢敡㌰㜴㕣ㅥ㘵㐲户〵捣戵㕥㈰摣攳挲扣㝢昶攸㕢㕡㉥摦㠰㔶㐷愰摢〸扤㜶昶㌸㉥戱㤲戰㙤〵扦攲㉤㤴摡㔰㡤つ摢搶慣㝣戳㝢摣㍢㌰挳㝦捥ㅥ昷ㅥ㔸ㅢ挰捤㠱㙤㕢戸搴晢戰戶昷摤ㄵ晡㔲㘱㍢㉡㝣〰〵〹摢昶㈸搹戰㜱㤵搶〶换慦〳戶ㅤ㘸搶㡦㘶㕦㐲挱〱㕢〵㜸ち戶晥搸㈶㙣㕣㙦㔵ㄸ戶㥤㉣㉤㉥挸敡㌰㙣㕣戸㘵挲戶㌳捣戵〱㈰㠴㉤㘸㕥㤶っ戴㕣㝥ぢ慤㡥挰昶㍤昴摡㠱㡤㡢扦㈴㙣㠳攰㔷㜰ㄵ㔸ㅢㅡ㘹挳戶㉢㉢摦㉣㙣㍦挳っ晦㌹戰晤ち搶〶㜰㜳㘰摢ㅤ㉥昵挱慣㡤㑢挹㕣ㄴ㠶㔰㘱㈸ㄵ㝥㠷㠲㠴㙤ㄸ㑡㌶㙣㕣㍦愶捣ㅣ戰つ愷㤹㡦㘶摤愰攰㠰慤ㄲ㍣〵㕢〰摢㠴㡤㉢挱ち挳ㄶ戴戴戸㔴慣挳戰㜱㐹㤹〹㕢〸收㕡ㄸ㠴〷捡戰〹㕢挴㜲㔹づ慤㡥挰戶〵昴㌶㜳愰攴搲㌴〹㕤っ扥挵㤶㈸戵愱愱㌶㜴㝢㌲〰㌰㘵搳㈹㜰㑥㠲㐰㘲捤愱昵摥搰㐰〱摦〱㐰㈷搸㤰敦㙤挰摤㠰㐲づ㜴㈳愰愳敦㑤㐵㉥㜴㜳㔱ㄸ㐹㠵㔱㔴攸〳〵〹㕤ㄵ㑡㌶㜴㕣摤愶捣ㅣ搰㡤愶㔹㌵捤〶㐲挱〱摤㔸昰ㄴ㜴攳戰㑤攸戸㑥慤㌰㜴攳㉤慤㕤愰搵㘱攸戸攰捤㠴㙥〲捣戵㠹㈰昲㡡搲㍣挷㑤戲㕣㜲㐵㕣㐷愰ㅢっ扤㜶昶㌸㉥㥡㤳戰㑤㠶㕦挱搵㜳㙤㘸愴つ摢㔴㔶づ㘶晢戰つ㠷㠶㠴㉤㙢慣搲て敥〶㤸收挰㌶つ㉥昵改慣㡤㑢昰㕣ㄴ昶愵挲っ㉡〴愰㈰㘱㥢㠹㤲つㅢ搷摤㈹㌳〷㙣戳㘸㌶ㅢ愴㤴て㌵晥㠷戵㔳㥣㙣愱摢ㄳ搵攴㝣㤹捣扣戴ㅥ㘹攷㌴戴㉤搳搶㝣㌴挷慣戳ㅣ㥥㥣愷㠱愷㠰㝦愱㌹㘵㘸ㅦ㤲愹㥥愹晤攱挷昷收〳ㄶ㍥慡ㄷ㕣ㄶ㈵㍢㤵㌶〷〹摦㈶昳つ愷ㄵ挸㑦㑢㔳㙤愲㤵捦搴㘵扤㍣扤㤷㤰㔸扢㌸ㄷ㔳挹づ㌷ㄷ㤶愲ㅡ愵㌶ち㠵搰搷攱㐳摦㥦〰㠲搹㝥㠷ㅢぢつ搹攱づ愰ㄳ㙡昳捤㈵㔸ㅢ戰挱づ㔷㡡㑦敢戱搱㠱搰搱て愲攲㜸㜷㠵㠳愹㜰〸㐸㈹ㄷ〲攵㍥㜳捣㕥捦㠴㔹㜷㍡㕣㤷挸慦㍥攷㔷㜸㤵攱摢戰攴㜷㝦㤵捡〷㜴摤ㅣ摦搹愵㤹㕦搷㔵〶ㅢ㙣搵㌷㙢㌳昱昴搶㐸㜹捣摥挵〷㘲〲㜱ㄷ攳捡戲戸㑣换㕤摤㤹㔷㉤㕤捣㌴攴㥡㉢搱て㈱㘸㌵㠸㜸ぢ捥挴㠴晦ㅡ昹㠴㥥て攵㘵ㅡ㥤慢㈱㌰㥢㉦づ㑤㑣㔶攵昲愳つ搸㘲㝥㌸㔸敦昱㙣㠱㤲㥥㠰㔴㑦㠲㠸搹㔰㜰ㅣ敦っ㥡㔹㡦搵搲搸㈶昲㕣㐴㔴昸㜸㜷㤸愵㌵ㄷ㕡ㅤ㍥摥㜱㌵㤲㜹扣㥢〷㜳慤ㄶ㐴ㅥ敦㈲っ㕡㍦摣㜲戹㍦戴㍡㜲扣攳扡愵㜶㡥㜷㕣搱㈴扢摦ㄱ昰㉢づ㐶愹つ搵愰晦㤸摤慦㥥㤵㠳搹㝥昷慢㠱〶㝢㥣摥〰㜵昵ㄲ㕣昶戴〱愵㥣攳㕤㈳㜴昴昹㈰㠲㑢愲㕣ㄴ㡥愴㐲ㄳㄵ㤲㔰㤰挷扢㘶㤴散攳ㅤ搷㐱㈹㌳挷昱慥㠵㘶慤㌴㙢㠴㠲〳戶㠵攰㈹搸ㄶ㘱㥢戰㜱㐵㔳㘱搸ㄶ㕢㕡㐷㐲慢挳戰㜱㘹㤴〹摢ㄲ㤸㙢㐷㠱昰ち㈳㘸㕥捦㉦戵㕣㌶㐳慢㈳戰戵㐲㑦挲㔶昸㘹㈸㤷㔸㐹攸㡥㠱㙦戱㄰愵㌶收㕥㐱户㡣〱㠰搹㍥㜴㡢愱㈱愱㍢㡥㑥愴㌹㍥戹㈸㙢〳ち㌹搰ㅤてㅤ晤〴㉡㜲挱㤶㡢挲㠹㔴㌸㠹ち㐷㐳㐱㐲㜷㌲㑡㌶㜴㕣愵愵捣ㅣ搰㉤愷搹㈹㌴攳㡡㉡〷㜴愷㠱愷愰㍢ㅤ摢㠴㡥敢慤ち㐳㜷㠶愵㜵㍡戴㍡っㅤㄷ㙥㤹搰㥤〹㜳㙤〵㠸摣攳愲愸ㅤ敢愶㉣㤷㕣搹搵ㄱ攸㔶㐲慦㥤㍤㡥㡢扦㈴㙣㘷挱慦㌸ㅢ愵㌶㔴㘳挳㜶づ㉢〷戳㝤搸捥㠵㠶㠴㉤敢ち㘳ㄵ戸ㅢ㘰㥡〳摢㜹㜰愹慦㘲㙤㕣㑡收愲㜰㍥ㄵ㔶㔳㘱㌵ㄴ㈴㙣ㄷ愰㘴挳挶昵㘳捡捣〱摢㠵㌴扢㠸㘶㔷㐳挱〱摢㈵攰㈹搸㉥挵㌶㘱攳㑡戰挲戰㕤㘶㘹㕤ぢ慤づ挳挶㈵㘵㈶㙣㤷挳㕣扢〲㐴づ㝥㤸㠳晢㔷㕡㉥慦㠳㔶㐷㘰攳攲戳捤散㜱㕣㥡㈶愱扢ㅡ扥挵㑤㈸戵愱愱㌶㜴搷㌲〰㌰摢㠷㡥㙢搹㈴㜴㙢攸㐴㥡攳昳㔶㜰㌷愰㤰〳摤㜵搰搱慦愷㈲ㄷ扡戹㈸摣㐰㠵ㅢ愹㜰㍢ㄴ㈴㜴㌷愱㘴㐳挷搵㙤捡捣〱摤捤㌴㕢㑢戳〷愱攰㠰敥㔶昰ㄴ㜴户㘱㥢搰㜱㥤㕡㘱攸㙥户戴ㅥ㠶㔶㠷愱攳㠲㌷ㄳ扡㍢㘰慥晤つ㐴摥㐵㐷㔰扢㐷扦搳㜲挹ㄵ㜱ㅤ㠱㙥㍤昴摡搹攳戸㘸㑥挲㜶ㄷ晣㡡㐷㔱㙡㐳㌵㌶㙣㜷戳㜲㌰摢㠷敤㜱㘸攴敦㜱㕣㘶户〱愶㌹戰摤ぢ㤷晡㝤慣㡤㑢昰㕣ㄴ敥愷挲〳㔴㜸ㅡちㄲ戶〷㔱戲㘱攳扡㍢㘵收㠰敤㈱㥡㍤㑣戳㔷愱攰㠰㙤ㅤ㜸ち戶㐷戰㑤搸戸㠲慥㌰㙣敢㉤慤搷愰搵㘱搸戸ㄴ捦㠴㙤〳捣戵㐷㐱攴㌹捥㍣㔰㍥㘶戹攴㕡扤㡥挰戶ㄱ㝡ㄲ㌶敤㜱㔸晥㠱㐹㤵㠲㉢晥㈴戲㑦挰㠱㜸ぢ愵㌶攴挱㐶昶㈹挶〷㘶晢挸㜲㠹愰㐴昶㘹㍡㤱收昸㝣て摣つ㈸攴㈰晢っ㜴昴㘷愹挸㈵㠳㉥ち捦㔱攱㜹㉡㝣〰〵㠹散ぢ㈸搹挸㜲㥤愰㌲㜳㈰晢て㥡扤㐸戳㉦愱攰㐰昶㈵昰ㄴ戲㉦㘳㥢挸㜲挵㕦㘱㘴㕦戱戴扥㠶㔶㠷㤱攵搲㐱ㄳ搹㔷㘱慥晤ぢ㐴ㅥ㑢捤挷㌶慦㔹㉥扦㠵㔶㐷㤰晤ㅥ㝡㥢㌹㤶㜲〹愲㠴敥つ昸ㄶ㍦愲搴㠶㠶摡搰㙤㘴〰㘰戶てㅤ搷㉣㑡攸摥愴ㄳ㘹㡥捦㕦挱摤㠰㐲づ㜴㙦㐱㐷㝦㥢㡡㕣搰攸愲昰づㄵ摥愵挲敦㔰㤰搰扤㠷㤲つ㕤㌱㐶搷㤵㤹〳扡昷㘹昶〱捤扡㐱挱〱摤㠷攰㈹攸㍥挲㌶愱敢づ㤵挲搰㝤㙣㘹昵㠰㔶㠷愱敢〹㘵ㄳ扡㑦㘰慥㝤ち㈲慦㕥捣㤹㈵㥦㔹㉥换愱搵ㄱ攸戶㠰㕥㍢挷搲㕥㄰㑢搸晥ぢ扦㘲㑢㤴摡搰㐸ㅢ戶㉦㔸㌹㤲搷㍥㙣扤㘱㈶㘱换扡㝡搹〶摣つ㌰捤㠱敤㑢戸搴扦㘲㙤摢扡㉢㝣㑤㠵㙦愸搰〷ちㄲ戶㙦㔱戲㘱摢摥㘱收㠰敤㍢㥡㝤㑦戳㠱㔰㜰挰昶㈳㜸ち戶㥦戰㑤搸〶㐱愵㌰㙣㍦㕢㕡扢㐰慢挳戰敤ち㘵ㄳ戶㕦㘰慥晤ち㈲㡦愵收搵换㙦㤶换摤愰搵ㄱ搸〶㐳㙦㌳㝢摣㄰愸㐸攸㡡㌰ㄸ㈰㠶愲搴㠶㠶摡搰ㄵ㠳扢㜹攸㠶挳㑣㐲搷㠵㑥愴㌹㍥晤攰㙥㐰㈱〷扡ㄲ攸攸愵㔴慣㜴㔷搰愸搰㤵ち〱㈸㐸攸捡㔰戲愱ぢ㍢捣ㅣ搰昱昷昸㜴て㐸改㈸㈸㜴㙣㑤㘰㔷㠴攷㜵㉣搴㤴摦挰戲㐵㝡摦搶㜸ㅤ㝥愰㙤ㅡ㔶ぢ戵㤰昵㔷㤸晤㕤㘲慥搹摡散〸㠸㙣挲㠱〷昷㐳换㜲㜳㤰㍤㕡㘲戵㑤㝥攱捣ㅦ㕢搳攵㈹晤昶愷摦㝦敦㔸㉤散ㄵ搹㕦〱〳㤰㜰㔵搷ㅤ㠰㜱㕦慡㐲㌱㝦敦ㅦ敤挶㉤慤〶户㥤㔵ㄳ㌹换愱攸㜵换捣ㅣ㙦捥收ㅦ㕣㠷〱戸づ㉣㥥攸㠹攰挴㔸户ㄸ挴㜸挵昵㔲〷㔵昰㕤㍡〹摣摣愱戱扣改昸搸㠹戱〲㤴ㄳ昳㘷戶㉣慥挳㘲〸㙥㜲愸捣摣攲散㙦㔳㡣愰ㅢ㥢㑡戰搸㌵昷㑢慢㙣摢扢攱慡摢㔶㌹㍦㐵㈱捤㈸㤹㠰㘸㑡扦〰㐴〵敤ㄹ㜴〶ㄵ摡昰愵昵㐲㥢戶㥡㕡㥢㙣㙡㙣㙥㑣户㔴捣挴㥡㥦ち晥㌸㐹ㅡ慢扦慡㑡晦ぢ㡦慥㜵戲㘱㈵つ晣㉤挳〵晣慥ㅦ捦ㄱつ㡤ぢㅢ㘴㌴愵捤晣㡤ㄶ搶愶㜷敤捡㙡戸㈶㑣扥㜶㐶攲扣㤳ㄱ㈸㡤昵慤㔰㜱㡦㉥摥㈹㈸昳㝣愱昵㐶㜹㘰昵攸敡ㄹ㌵㤱㔸㍡㤹㑡挴㐲㤵晥愸㉦ㄸ〸挴ㄲ晥㤴㘱㈴搳戱㤴ㄱ㡡㔶㔶㠶つ㙤㙢㕢㌵ㅡ昵攱昷㙣〲晥戸㉦ㅣつ㠶㝣搱㐴㈴つ㠵㔸㌰ㅤ昷挷愲㠱㐴挰㍢搵㜲慦㙦〳ㅢ㝤㕢㄰敦㍥㡡搵㠷慣扥㘴㑤㔳㉣㕢慢㝣㍡㔸㡣㕣㤳愱晦㠹挴扢㉦㍣攳扦㐸摢〱㔵㜷慦ㅥ㕤㈳挷㐹㘷攰户㔳戴㝥攰㙣〱㑥昶㡦㐷㙡㍢㠲摤ㄳ㙣挷ㅡ㈱敦っ换㡢摥ㅦ慥昴晥搰搰㉢戰㈵㘶㠱捦㠳愲㐷㙣〴㜶摣㘹㔹㤷㐷ㅦ〰つ敥㝣戳㔱㤴攰㘴㥤㝡攷戸㜲攷㠲换ㅤ㔰ㅦ〴㘳戱扦慢捥㠱㡡扢㉢㜵ㄸ〱摦〷㠳换ㅤ㐴扣㡡〰搸㉤挱挴ㄷ㉢㐰㠵摤㑡扣っづ扢㔶㜶搷攰㝣㝣搹㌵㠶㐰て㕤愳〶㘵搹㌵㠶愲㙣㜶㡤㄰戰㑥㈵ㄳ扥捡㐴搲ㄷ㑣〵㐳昱㤰摦㐸㈷㝤昱捡捡㤰ㄱ㡦㈷搳摡㌰㕢㌵㘸昸㤳㠱㘸㘵㌸ㄱ㐸㐵㠳挹㔸㌸ㄱ㡡晡㈲㝥㘸㐶㘲戰㑣㈵扤㠷㕡敥昵攱戰搱㝤㈰摥戸㘲㘵扡㐶㐲戱愸㈰㔵换㤳㘰㜵㑥搷攰慡〰晣ㄷ改散ㅡ㍡㝢㠳㑥散扤㠶攲敦㐲㘱㡣晣㐱搸ㄲ㠷㠱㙦㠲晤㈸戲㤹〱㝢㉦㘸㄰散㜹㤰攷㠳㕤敢捡㍤ㅣ㕣〹昶摥㌰ㄶ㜵慥㍡昵㡡㍢㡡㍡㡣㠰敦㐶㜰㈵搸て㈳〸〵戶㌶ㅡ㉡〵て㉣攲㐱搷ㅥ愰晡愴昷㐸戸㤴搰㡦㠱ㄷㄳ㝡㝦㘵捡㔷㤹㑥愴㐲愹㜴㌲㘸〴㐳戱㠰ㄱづ㐷挲〹㝦㈸㄰〵㉢愰㡤戵㔵㔳挹㘸ㅣ㐷㠳戰攱㡦㠶㠲㍥㝦㉡ㄱ〹㈷㘳㌱㕦捡ㄷ㡤㐷㘲愱㠰摦摢㘴戹搷挷挱㐶ㅦて攲㙤㔶慣〹㘴㑤㈴慢㐵戱愸㈰㔵换㕢挱敡ㅣ攸ㄷ挰㌳晥昳愰㕦愸昸㐳㈹㥣捥㐸㠶㌰改㡢挱㌷愱扦㈵ぢ晡㤹搰㈰昴㕣㠴㤰て晤㔱慥摣愵攰㑡攸㘷挳㔸㜰ㄵ㐱扥攵㌲挵㥤㑢ㅤ㐶挰昷昱攰㑡攸慦㜷㐰㥦搹捦搷戸愲㝣〲㡣攴㝥㝥㈰㕣㘱㍦攷㡣㝦〹昶㐱㈸㥢㘰㈷攲㠹㐴㘵ㄸ扦㔹ㅣち攳㘰㥥慥㡣㈵挲愹㔰㈰ㄵて㠴㔲挹㄰捥っ摡挱戶㙡㍡ㄱ㡦〳搴〰昴〲挱㑡扦㉦㠶㔳㐲挲㕦改昳㘳㕦昷㈵搲㘹敦㐹㤶㝢晤㄰搸攸㌵㈰摥㤳ㄵ㉢戳㥦㉦㔷㉣㕢慢晣ㄴ戰㍡〷散㔳攱ㄹ晦㜹㘰㥦愶昸㥣㤵愰捦㘳扣㝣㝡㈰捥〰摦〴晢晣㉣戰㡦㠰〶挱㍥ㄳ昲㝣挸㔶戸㜲㔷㠲㉢挱慥㠷戱㌸摢㔵攷㕣挵㙤愴づ㈳攰㝢ㄵ戸ㄲ散戳㕣挱㕥攱ち昶昹㌰㤲㘰㌷挳ㄵ挰㕥㡤戲〴扢〵㘵ぢ散㔰慣㌲㄰昶愷㡤㘸捡ㅦ㡣挷㡣㘸挲〸㔴〶㔲㤵㐹晣㘸㜵ㄸ攷㝣慤搵㔶つ〵攲㠶ㄱち㐶攲戱㠴㉦ㄸ㌱挲㠹㤴挱㉥ㄲ〹㐶〳愹㐰捡㘷㜸戹晡㠰敥昵〵戰搱ㄷ㠲㜸㉦㔴慣っ搸㕣㠲㤰慤㔵㝥㌱㔸㥤〳昶㈵昰㡣晦㍣戰㉦㔵晣ㄸ㠵换ㄸ㉦㠷搱挴攵攰㥢㘰ㅦ㤳〵昶〹搰㈰搸㔷㐰㥥て昶㤵慥摣慢挰㤵㘰㥦〴㘳挱㤵ち昹㤶㙢ㄴ㜷㌹㜵ㄸ〱摦搷㠳㉢挱㕥攴ち昶〲㔷戰㙦㠰㤱〴晢㜴戸〲搸㌷愲㉣挱㍥〳㘵ㄳ散㘸㉡ㄴて愴㔳㍣㤱㈷㠲㜱㕦㈴㙥昸挳挱戴㉦㤶昶〷㤳改戴㉦慡㥤㘹慢挶㡣㠸㤱慣㑣㐶晣㤵〶づ攷㠱㘴㈲㄰ぢ㠵㔳昱捡㜸㌸ㅣ㠸㐵晤㤵摥㥢㉣昷晡ち搸攸㉢㐱扣㌷㉢㔶〶散戵㡡㐵〵愹㕡㝥ぢ㔸㥤〳昶慤昰㡣晦㍣戰㙦㔳晣㤱ㄴ㕥挰㐸昶㘶㥡敦〰摦〴㍢㥤〵昶挵搰㈰搸㝦㠳㍣ㅦ戲㍢㕤戹㜷㠱㉢挱扥ㄴ挶攲㙥㔷㥤㝢ㄵ昷㜲敡㌰〲扥敦〷㔷㠲㝤愸㉢搸㠷戸㠲晤〰㡣㈴搸㔷挳ㄵ挰㝥㄰㘵〹昶㌵㈸㥢㘰晢晣〹㕦搲〸㐶搲戱㐴㈴ㄸ挱㈵戹㉦敡㌷㘲昱㘸愵攱㌷㤲㘱㕦㑣扢搶㔶㑤愷㈳愹㔰㌴改㐷摦〸〷挳㠱㘰㍣ㄱ慡っ〵ㄳ㐶㌴㤴慣挴慦㔵㠶扤㕣攱㈰昷搹㌵戰搱慦〳昱㍥慣㔸ㄹ戰摢ㄴ㡢ち㍡㔵换搷㠱搵㌹㘰㍦〲捦昸捦〳㝢扤攲㡦愵昰㌶㐶㌲㠶㘹㝥ㄴ㝣ㄳ散㝤戲挰晥ㅢ㌴〸昶㘳㤰攷㠳晤戸㉢昷〹㜰㈵搸㜷挱㔸㍣攵慡昳戴攲摥㑤ㅤ㐶挰昷戳攰㑡戰㈷㌸挱收攵㥡扣㌶ㅦ攷ち昶昳㌰㤲攰摥て㍤敢戰ㅤづ㐵㈳㍥扦㘱ㄸ㌱㝦㄰㌷㕤㜱㝦㈲㠶㡢戴戰㍦㠰㡢慤㘴㍡愸㍤㘰慢攲捡㉢㥡㡡晡ㄳ挹㔸㈸ㄲ㡣㐷㤲㠹㐸㈸㠸换㜲扦慦㌲ㅣ㡤㠶㈳ㄱ敦ぢ㤶㝢晤㐱搸攸て㠱㜸晦愱㔸㤹ぢ戲ㄷㄵ换搶㉡晦㈷㔸㥤〳敥㑢昰㡣晦㍣㜰㕦㔶晣挹ㄴ㍥捥㜸㈷㘱㑢扣ち扥〹㙥㈴ぢ摣愷愰㐱㜰戹攴㈲ㅦ摣搷㕣戹㕣㌹㈱挱㝤〶挶攲摦慥㍡ㅢㄵ昷㌹敡㌰〲扥摦〲㔷㠲敢㜷〵㜷戸㉢戸敦挰㐸㠲晢㈲㕣㤹攰愶㜰愳敤㑢㐵㝤晥㔸摡〸晡㘳愹㠴㈱㝦㌳㌶ㄴ㡡㠷愳攱戰㉦慥晤搳㔶㡤㈷㜱昳ㅤぢ晡㤳㘱㕣㙤㔷㐶挳搱㘴挸㤷㑥晡㤳戸㔲㌷晣挱㘸挴晢慥攵㕥㝦〹㌶晡换㈰摥昷ㄴ㉢〳㉥㤷㑣挸晤摢搶㉡晦〰慣捥〱昷㍦昰㡣晦㍣㜰㍦㔴晣㝤㈹㝣㤳昱㑥㘷㕡㍦〶摦〴户㈲ぢ摣㜷愰㐱㜰㍦㠱㍣ㅦ摣㑦㕤戹㥦㠱㉢挱㝤て挶攲㜳㔷㥤㉦ㄴ昷〳敡㌰〲扥扦〴㔷㠲摢搷ㄵ摣㙤㕤挱晤ㅡ㐶ㄲ摣㡦攱捡〴㌷㤴㑡㈴㔲愹㐰㉣ㅣ慡㡣〶㡤㠸㍦ㅡ㡣挶㜱㤷㘴㈴㜰ㄲ㡥〴㝣㠶昶㠹慤ㅡ挰㡤ㄶ捥挱扥㔸㌲㤶ち〲攵㘸戴㌲ㄸ昳ㄹ㝥扦㤱㑡〶挲㍥㥦昷ㅢ换扤晥㈹㙣昴捦㐰扣摦㉡㔶〶摣敦ㄴ换搶㉡晦ㅥ慣捥〱㤷㙢㌲昰㥦〷敥㡦㡡㍦㤷挲㙦ㄹ敦ㅣ愶昵㘷昰㑤㜰昵㉣㜰㝦㠰〶挱晤〵昲㝣㜰㝦㜵攵㜲ㄵ㠶〴昷㈷ㄸ换敦慥换户㉣挶㔹㔳㜲㝦㤱㍡㘶㠱扦昳㙥㠲摢挵〹慥㍤㘴㈲㕣挱㉤㠵ㄱ晥㡢㜴㡥㔳攱ㅣ慣愱㈰挱ㄶ㈸㥢㘰挷㡤㔴扡㌲ㄱ㡦愶㜱愴づ㠶㝤攱㜸㈸ㄲ㐹㠴ㄲ戸㘱㡡愷㈳扥㤴愱ㄵ摢慡搱㐸㈰ㄴ㌵㔲㤵戸㝤㡡〷㝤挹㜸㈲ㅣ昵昹㠲改㘰㌲ㅣ挶㉤㜵㈴敥敤㙡戹搷扢挰㐶㉦〱昱㤶㈹㔶收ㅣ慣㉢㤶慤㔵敥〱慢㜳挰敥〶捦挸㜹ㅥ搸摤ㄵ晦㘰ち㝢㌰摥㠳〸㜶㑦昰㑤戰扦晣搱㌹㘴攲㠵〶挱㉥㠷㍣ㅦ㌲慦㉢㜷ぢ㜰㈵搸扤㘰㉣戶㜴搵搹㑡㜱户愲づ㈳攰㝢㙢㜰攵㥥晣㈹㠲㔰㐳㈶扡㝤づ晥ㄸ摣晣昱㌱慥愸㤰攰㙥ぢ㔷㈶戸挱㔸ㄲ㔰愶㡤戰摦ㄷっ攲㌰ㅣ㡤㈵攳㐶㍣ㅤ慦㡣㘱㝣っ㐳㈴㕡ㅦ㕢㌵㤹㑡㐵㜰ㄹㄶづ愵㠳㠱㘰㌲ㄲ挵慤㌱捥摡戸㝢昲㘳ㄴ㈵ㅥ㡡㜹晢㔸敥昵扥戰搱户〳昱昶㔵慣捣㥥扣㥤㘲搹㕡攵摢㠳搵㌹攰敥〰捦㙥攰昶㔳晣㈴挱ㅤ挰㜸ㄳ㑣㙢〵昸㈶戸慦㘷㠱扢ぢ㌴〸㙥㝦挸昳挱摤挹㤵扢㌳戸ㄲ摣摤㘰㉣〶扡敡っ㔲摣挱搴㘱〴㝣敦ち慥〴昷㈵㔷㜰㕦㜴〵㜷㜷ㄸ㐹㜰㠷挳㤵〹㙥〰〷攵㔴㈴ㄴ昱㠵㐳挱㘰㉡ㄵ㡥愷挳㍥㈰㤷愸㡣㐶〳㍥㕦戴㔲昳搹慡扥㔴㘵捡㥦㠸挶ㄳ挱㘰㌲ㄸ㐶㥦㠸〶ㄳ㠱㐴搴㌰㝣〱㡣㡥昹㐲摥挱㤶㝢摤てㅢ扤ㄲ挴㍢㐴戱㌲攰づ㔵㉣㕢慢㝣ㄸ㔸㥤〳敥㜰㜸㜶〳搷愷昸戵㐸愶扥㈷攳攵㡦㈸㠹㑡昰㑤㜰搷㘷㠱扢㌷㌴〸㙥〰昲㝣㜰㠳慥摣㄰戸ㄲ摣㔱㌰ㄶㄱ㔷㥤㤸攲㡥愶㡥〲㜷㑦㜰㈵戸て㍡挱戵て搳昷扢㠲扢ㄷ㡣昰㡦㐱㐴戸挲㘱㝡〴ちㄲ散昱㈸㕢㠷㘹㡣㑣㐶㈲㌸搳晡〲㐶戰ㄲ㔷搰〶昰ぢ攲愶㈹ㄹ㑣ㅢ㤵ㄸ昱㥡㘰慢㔶愶㤲ㄱ挰捦搱㤱㐸戰㌲㔵㠹昳㜱㍣ㄵ挷挳㤲㌰㡥摣改㜰挸扢户攵㕥㥦〸ㅢ㝤ㄲ㠸㜷愴㘲㘵づ搳愳ㄴ换搶㉡慦〲慢㜳挰ㅥつ捦㙥㘰㔷㉢㝥㈳搳㌳㤳昱㜲㥡扣ㄸぢ扥〹昶㑤㔹㘰捦㠱〶挱ㅥ〷㜹㍥搸攳㕤戹ㄳ挰㤵㘰敦〷㘳㌱挹㔵㘷戲攲ㅥ㐰ㅤ〵昶㔴㜰㈵搸搷㍡挱戶て搳㔷扢㠲㍤つ㐶ㄲ摣㐳攰捡〴ㄷ㘳搶㌱㥣㔸㘳晥㄰㔰㡢㠵挳㌱㝦㈴ㄲ挲㐵㔴愸㌲㠸㍢㈸㝦㕡慢戱㔵㌱搲ㄹ㑤挵㐳㍥散敥戸㔵ち挴㘳㝥㍣戹㠸㈷㌱收㔱㠹愱慦㜴挸㍢摤㜲慦ㅦちㅢ㍤づ攲摤㔷戱㌲㝢昲っ挵愲㠲㔴㉤㥦〹㔶攷㠰㍢ぢ㥥摤挰㥤慤昸慤〴昷㜰㐶搲挲搴捥〵㕦㠲㔷〷㤶㥤散晤挱㤵挹㍥搷㤱㙣慤〱㉡㠵ㅦ㈳㥣敤㡡挰〱昰㠴㝦捣㌲㠷㌱㜶户〳慤戲㜶㈴捡ㄶ㈲㤱㜰㈴ㅡ〸挵㡤㜰㄰户㉥ㄱっ㈷㐵㘲㐶㘵㈴ㄱ昳㈵㤳㠹㘴㈲愴㌵搹慡搱㠰㍦敤㡢愷晤㈹㝦ㅣ晢㘳㌸㥡昰㐷㜱换㤳㡣挵㉢〳〱っ㘰㠵戵㘶㕢㌵ㄸ㡡㠶搳㐶挰㠷㜳㙣㈸ㄸ㑡㐴愲昱ㄴ㉥戶㝣㤱愸㍦㡣㌱捥㔴㔸㙢戱㔵挳改〸㥥㕣挴晣戸搶㡡攰㕥㌸ㄶぢ㘳㌷㑥㘳散㍡ㄵ㑢攳搲㍣攲㍤㐸㌵愲ㄵ㌶晡〲㤲㠵㈴㡢㐰扣〷㉢攱㘲戲㤶㤰ㅣ㐵戲㤴挲㐳㤴㔰ㅡ㐹㜳摢戲㌴づ攱㘶㈷ㄶ㔸㑢㉢愰捡㉦㤵㐸㡡㤴㌰㑡扡㜶捤晢昲攵散㐹〶㔸㜵㈱㈷㈴㜰㍡㠲愶㤱㤶ㅥぢ㜸摡㥦㌳愰㡣搸ぢ㌲㑦愷㘹捣㕤㐸㍦㥥㡤㍡〱挴攳㑤㔸慤搲㑥㐴戱ㄷ㥥㠶攲㜷㘰搴㙦㠵昳㠹扡㜶ㄲ昸㉥て㑦㑦〶㍢晢㈹敢㜲㜰㜲ㅦ愷㈶㔵捥㕥㘰戵愷㐲㐳㕦捡慤愳㐰搰㜸㜵㌰㙡㐱㠳㌲㡦搹捥㠴ㅡて㐶㘹挸㘵㝦㙥挰㠶㝡㠹挳㕣戹昳挰㤵〷愳㤵㌰ㄶ㠷扢敡ㅣ愱戸㘷㔳㠷ㄱ昰㕤て慥摣㍦ㅡ㥣晢挷戹㔰㈹扣㝦搴戹敥ㅦ㉡㑣㙦㈳㕣捡㐳搵㉡㜸㌱㜷っ㈳㠰㕢扤㘰㉣㠱㈷㙡戸㑣㡣㘲愰㌵㙣㐴㠲㈹㍦挶㘲㜱扣㌲㈲摡昹ㄹ搵㔴㌲ㄹ挰㜱㉡㤰っ挷㠳〱㝦㌴ㅡ㑤昸晣〱づ摦㈷昱挰ㄵ㐳㜶昳㉤昷晡㙡搸攸ㄷ㠰㜸㡦㔴慣ぢ挹扡㠸慣㈶挵戲戵捡㥢挱敡㥣㐳㔵ぢ㍣昳㔰愵㕤㡡慡戳扢挵㘵攰戸昴㥦换挱捥敤㉤慤㤶ㄷ晤㜸戸搲慦㠴㠶㝥ㅣ㈱㕡〸扥㜹搶㍡㌸慢愳㕣〳つ㜶ㄴ慥㍥㤱ㅤ㐵㍤攸㠴ㄱㅥ攵戹㜲㤷㠰㉢㍢捡ㅡㄸ㡢愵慥㍡挷㈸敥昵搴愱㉦扥㤷㠱㉢㍢捡㕣㐷㐷挹㍣㤴㥢敤摡㈷㡥㠳ㄱ晥㡢昴㥢攱ち挷捣攳㔱㤰㕤㘳㉤捡㘶搷〸㐶搳愹㘰っ昷ㄷ㌸㤱〵㤳㐶ち㔷㥢〱㝦搸㥦㠸愴㡣㐴〲愳㝡摡㉤戶㉡〶晣㤲ㄱ挳挰㘰〲づ慦㌸㡤㘱戸挱㠸愵㐲ㄱ㝦ㄸ捦㙣㠲㤵ㄱ敦〹㤶㝢晤㔶搸攸户㠱㜸戹㜶㐴敥昴㤹㑢㤴㤳ㄴ㡢ち㔲戵晣㘴戰㍡愷㙢㉣㠷㘷户戳搸㈹㡡捦㥦㉣搲敦㘵㈴换㤹收搳挰㌷挱ㅥ㥢〵昶〳搰㈰搸愷㐳㥥て昶ㄹ慥摣㌳挱㤵㘰㍦〴㘳戱搲㔵攷㉣挵㙤愳づ㈳攰晢ㅣ㜰㈵搸㈳㥤㘰摢㤷㈸㈳㕣挱㍥て㐶ㄲ摣つ㜰㘵㠲㕢改ぢ愴㝤扥㜸㌲㙡挴㡤㘰㍡ㄱ㠹㔵㠶㌱ㄸㅦ㑣攲捣ㄵ㡡挷搲㘹敤㔱㕢搵ㄷ㑥攰昶㌲ㄲ挱㐴っって昹㜰捥慢っ晡晤㈹㡣搴晢㝣㜸㉡ㅦ昲慥戲摣敢㡦挱㐶㝦ㅣ挴换ㄵ㈶ㄲ摣捣㈵捡㙡挵戲戵捡戹攸愴㜳挰扤㄰㥥摤挰扤㐸昱㔷㄰摣ㄷㄸ敦㤹㑣敢㈵攰㥢攰づ换〲昷㥦搰㈰戸㤷㐲㥥て敥㘵慥㕣㉥㑥㤱攰扥っ㘳㜱愵慢捥搵㡡晢㉡㜵ㄴ戸搷㠲㉢挱摤搵〹慥㝤戳㌱挸ㄵ摣㌵㌰挲㍦㝥㌲〷慥戰㈷㕦㠷㠲〴晢摦㈸㥢㘰〷㤲㜱㝦搰㠸㐶っっㅤ攰㌱㙡㈵收㑡㠵㤳扥捡㄰㉥㡡ㄲㄸ摥昳㘹ㅢ㙤搵㌸㘶㔴〵昹愴捥ㄷつ〷㝤㍥㈳㤱㡣愶㈳挱㜰㉣ㄹ愹挴㜱㍥㘶㜸慦户摣敢㙦挲㐶㝦ぢ挴换㌵㈹㌹㝢昲㡤㡡㘵㙢㤵摦〴㔶攷㠰㝤㌳㍣扢㠱扤㔶昱捦㘳㝡㍥㘲扣攷㌲搵户㠲㙦㠲扤㜵ㄶ搸㥦㐲㠳㘰摦〶㜹㍥搸户扢㜲敦〰㔷㠲晤㕦ㄸ㡢㍢㕤㜵敥㔲摣㉦愸愳挰扥ㅢ㕣〹戶搷〹戶扤㈷昷㜴〵晢㕥ㄸ㐹㜰扦㠶㉢ㄳ摣〴ㅥ挴㈴㌹捤㈹ㄲぢ〷㡤㈴ㅥ戳攰摥㈳㤹㌶㔲㐶㌲〱戸愳摡㌷戶㙡㌰㠶㐹㜵昱戰㠱〹ㄳ㜱㍣㠴つ攲ㄲ㌸㄰㑤㐶㔳㈹㍣㠸慢挴昵戱昷㍥换扤晥㉤㙣昴敦㐰扣昷㉢㔶㘶㑦㝥㐰戱㙣慤昲〷挱敡ㅣ㜰ㅦ㠲㘷㌷㜰戹㉡㐶昲㉦㈲戸扦㌳摥ぢ㤹摡㜵攰㥢攰晥晥㠳昳攲慤ㄸㄳ㠲〹敥㈳㤰㑢㜰搵㔵ㄱ㡣㡡挴㝡㔷㉥ㄷ扤㐸㜰㑢㘰㉣ㅥ㜳搵㜹㐲㜱㌵敡搰ㄷ摦㑦㠱㉢挱晤ㄱ㐱愸〱㍦慤っ㉡㠵㉦摥扥㠷㙡晥㈸攰搳昰㠴㝦捣㝦㠶㌱㜶敦㘷㔰㤰㍤愰ㅢ捡搶敥㙤㈴愲戸㘶挳昸㝥㉡ㄸっ㈴㌰㉤ㄲ㕦愷敤て攱〱㕣摡㤷づ愶㉡戵敥戶㙡〴㐳㑡愱〸慥摣㜰ㄴ挷攸㜰㈲ㄱ㑤愶㌰㔶㡣晢搵㔴搸昰㠵㐲摥㘷㉤昷㝡て搸攸㍤㐱扣捦㈹㔶㌹㔹㕥戲㥥㔷㉣㉡㐸搵昲ㄷ挰敡㥣ㅥ昰て㜸㤶㐸昳ㅡ㑥攷㘵㥢捥㡢㌴敦㡢㡡㝦〵搳戳つ㈳戹㥣戹㝦〹㝣戳〷㝣㤸搵〳晡㐲㠳㍤攰㘵挸㘵て挸扡㉡攳㉡㥡㝣敥慢攰捡ㅥ戰㍤㡣挵㙢慥㍡㙦㈸㙥㍦敡㌰〲扥㌷㠲㉢㝢挰㍢㡥ㅥ㤰戹㉡㝢换ㄵ散㌷㘱㠴晦㈲㝤㈷戸〲搸㕣挲㈲挱摥ㄹ㘵ㄳ散㜴㌴㤲㐸㘳㑡っ挶㡣㡣㈰㐶㡥愲㠰ㅥ㐳㐹攱㐸ㅡ昳㈵㠲搱㤰㌶挰㔶昵ㅢ搱㘴㌰攰挳昳ㅣ〳愸〷ㄳ㠹㘴㌲㤵㐶て㐹㔷㔶㈶㠳挱㜰摣晢戶攵㕥ㅦ〸ㅢ㝤㄰㠸昷ㅤ挵捡㕣㤵扤慢㔸戶㔶昹㝢㘰㜵づ搸㕣㕣攳戶扢㝦愰昸㙢㤸㥥攱㡣昷㕡愶昹㐳昰㑤戰㥦捦〲扢ㄲㅡ〴晢㈳挸昳㘱攵扡㥢㝣敥㈷攰㑡戰㠳㌰ㄶ㥦戹敡晣㔷㜱挳搴㘱〴㝣㝦〱慥〴晢㐹㈷搸昶戱晣㜱㔷戰扦㠴㤱〴㜷て戸㌲挱㑤挵〲改㜰㍣㡣昹㔱ㄸ〷挴晣搶㐴㌴ㅡ昲挵㌱挱つ㡦㜰㘲㌸㥥㙢㝢摡慡㝥㍣㔰挷愵戸㉦ㄴ挶改㍡㡣㐹ㄶ愱㐰㘵㉣攰㡦㠴愰ㅣ㡥㔷〶扤㕦㔹敥昵扤㘰愳㡦〰昱㝥慤㔸㤹㘳昹㌷㡡㐵〵愹㕡晥㉤㔸㥤〳㉥㤷攰戸㠱晢扤攲昳愷搶昴㜱㡣攴㈶愶昵㐷昰㑤㜰敦挹〲㜷㈲㌴〸敥㑦㤰攷挳昸戳㉢昷ㄷ㜰㈵戸㤳㘱㉣㝥㜳搵㤱ぢ㘵ㄸ挲㔴敡㌰〲扥㡢昱搸㑥㠲㝢㠷ㄳ㕣晢慡散㌶㔷㜰戹㕣〶㜵攰㑢摢攱ち㝢㌲㤷挶㐸戰㘷愰㙣㠲ㅤ昲㔵〶㉢搳搱㐰㄰〳㔱㐱㍣挱挱ㄸ㌰愶㑡㘰散〹户㕣晥㔴㈰慤捤戴㔵昱ㅣ㈰ㄹ㐸愶㌰〷㍡㡥㘷敥挹㐰っ㔷攸戱〴㈶扥愷㐲搸昹搳㝥㙦愹攵㕥㥦〵ㅢ㝤㌶㠸㔷㔳慣捣㥥摣㔵戱愸㈰㔵换换挰敡ㅣ戰戹㘸挷つ㙣慥攳㤱晣㍢㤸㥥㐳ㄸ挹敤㑣㜳㜷昰㈵㤸㠷㠲㐵〵扥㠵㕣愷㐱挵㌸戸ちㄲ慦ㄷ扡㌲扢〹㜰㝢㜴㈹攵攲㠲㍤ぢ晦㔴㤸㘳㈲晤㘰㉣㈱挱捦㥥ㄸ㈹晣捡挰㝣晣㔸搰攲戱つ㉤㑤晣㔲㠴愲㉥昸㤵〱昳㍢㑣㑡㡡昷昸㘳扥㌸ㅥ挶㥦收攰扢昴㔲昴㡢晦ぢ㍦㙣㙢㘶㠴㡣ㅥ㜷挴㕢㑦愱挱愵㕣戶攰晡㕢㍤收㐲㠲㤹昸㜹〵㘳㔸昵攸挸戰戱㡢㤲㐶ㅤ㝦ㅤ〹换つ㜰捡㉣敡㕤㍦戱ㄹ㥢㐶㔳昳慣挶㉡昹㙢㍤ㅣ㑡摢㐲慤㐸ㄸ㕣㍦扥戵㌶㠵㍣っ捣㜰搴㑦㘳㈹戳㘹㑤戶㕤㡦㡣ㄶ㝥扢愳㜷愶攴昸づ㤸敤㌲㕣晣づㅡㄲ㙥愴㤴挷㘶㉣扡㉢㈹敥㈲㕣扦慡㘸㑣㘳㝤扣戶㘱搸戸愶愴㜲㌰戶愱戵㥥㈹搸捥攵户ㅤ㐶搷戶挸摦㐶搹ㅥ㜲愱昷㐶㝡戴㌴ㄲ搵㙢挴㠰慡搹〳晣㤱㐱㍢敤㔱戱搳愰〱㔵〳〲搱搲ぢ〱换晦㔰㘳㌶っ慣㥦㉦㡦㍥㡦摤㤱敢㑢㠸㠵搰戹㐴㐵㍢ㅣ扣慥愸㜲づ敢㔹㠵㝡㠶ㄶ敥㐶㘸㤸戵㤸㐹戵㡦摦㙣㥢㠳戸㔹㔵ㅤ慢攲㑥捣搰挹ㄲ㕣挴㐲晦戲挰戵㈰〳戰愵㍦㐷昲㍣〹〷㌵挵㔹㔰㜸〳㕦㠴昳㐸改攲慢愲㈷ㄷ㡤扡昷㠳〷㝢㜵㝤昲搹㠰㔸㘹〹ㅥ㕥㌶戰㙢敦敦挳搳㙥慦敡敢㝤慦敥扣〷〴搷㡣㌰〸扤〹㌵摡㝢攰㈰挵㙤㘶ㅣ昴㡣户㜷㔷㜰攵ㅥ挸ㅦ戱攸搱㐵っ㐱㤹㝢愱㌸ㅤ摥搹昵㤹㉡㝤〱㑤戸摥挲捣ㄲㄷ㜶㘸㡢挰戳戲ㄴㄳ换愱愹㕡攲搱㤷㔰㥤ぢ㉦㑣㜵㉥敥搰㤶㠲㤷㡦㘳㑣㥣〰㑢㤵㄰㝣ㄵ㍥㉤㘳搰㜷换挴㌱㔰㜵捤挴搱㤶攰敦㙦㡤晡敥愷晡昱搵㉢㙦㕢㜱㝡摦晤户㝣㔸㜰㐱㠵捣挴㠹昰㙢㘷㘲㙦挵㍤㠹戵愹㑣㜰㙤㠴捣挴挹攰㈲ㄳ攳㔰㌶攳攷㘲〶敤ㄴ㜰搱摣敡愹〳㐲㌱戱㌰慢戹愷搱捤㜸㕢㝤㉣搵捦〰て捤慤㥥攲散戶戰㙣捥㙡敥ち㕡昲㈴慥㌲㈰戸㠲㐱㈵㔲㜰搹㠰㕢㈲ㅡち㈵愲摥ㄲ戴㈶慦㕣㜷㠲晥昹愴晢捥昹戹㘹㤳ㅥ㌹㐱㜰㜹㠱㑣挴㜹愸搱㑥挴㙣挵㕤挵㌸㔴㈲收㠲㉢ㄳ㜱㍥戸㐸〴愷晢换㉥㔱ぢ敦㜶㤷戸㠰㈶㥣㜴㙦收㠸㙢〰戴㡢挰换挷㌸㈲㡣慣㐶㕦㐲㑢捥攷㌷㉤戹㈴㐰扢っ㍣慢㌳㐵㐴ㅣ敡㉡〷ㅥ晤ち慡捦㠳㤲㕢㈶づ戲ㅡ㥣户㜳ㅣ㘸〹㕥昱㕣晣捣㜷ㅦ㈷㈶摥晢戹㜶攱㝤㝤摢慥㄰㥣㝢㉦㌳戱〶㝥敤㑣挸㐹昵散改搷戱㌶㤵〹㑥愳㤷㤹戸ㅥ㕣㘴㠲㜳攱㘵㈶收挲扢㥤㠹ㅢ㘹挲㜹敢㘶㝢㕡戰愵摤っ㕥㝥㈶挲㘲㈶っㄵ搶ㅥ晤ㄶ㕡㉥戴㉤㕢㘹㜹ㅢ㜸㔶㈶挲㘲ㅡ搴㌳㤹戸㠳敡换愰攴㤶㠹㐹㔶㠳昳㌲㌱搱ㄲ㝣㔰㜳搷搶慦㕦扥捦挴㤳て晢敡换晡㥤㐷改㠲ㄳ搳㘵㈶敥㠱㕦㍢ㄳ㈷㈹敥扤慣㑤㘵㘲㌹戸㌲ㄳ昷㠱㡢㑣㜰愲戸捣挴㔸㜸户㌳昱〰㑤㌸愹摢捣挴ㄹ搸搲ㅥ〲捦㙣㑦㈴㈶慡戲摡搳㐶㜵捥敥㌶搵㌹㠳㕣㝢〴扣扣挴挱㜲〴㉣㌳㠹摢㐰㑢捥挶㜶换㐴搴㙡㜰㕥㈶㈲㤶㘰㡦ㄷ㥥㝡㜴晢㡢晢㑣扡㌹㜶挰愴愵挶扡㈷〵㘷㙤换㑣㍣〵扦㜶㈶攴㜴㙣昶㠹愷㔹㥢捡〴㈷㘰换㑣㍣〳㉥㌲挱㔹搴㌲ㄳ〱㜸户㌳昱ㅣ㑤㌸㡤搹㙣ㅡ愷㔶㙢㉦㠰㘷㘵挲㈷㠶㐳㍢㠳散㡢㔴扦捥㔶扦㤶敡㉦㠱㤷㥦〹㥦ㄸっ换㑣㈶㕥愱㈵愷㉡扢㘵㘲㤰搵攰扣㑣っ戴〴慢敢收㕥戵晡戲ㄷ㈶㕦扥㝦㙣㜲㘸攵㍦敢〵愷㌴换㑣晣ㅢ㝥敤㑣摣愵戸ㅢ㔹㥢捡挴摤攰捡㑣扣〹㉥㌲挱搹扤㘶㜳㌹搹㔸㝢ㅢ㕣挴㥦㜳〴っ㠸ㅤ戳攲㝦㤷ㅥ㌹㜱搸戴㝣㠰㤶敦㠳㠷㐴昱㔰ㅢ㄰摢㐱㍤㤳愸晦㔰晤㜱㈸戹㌵㜷敢㐲捤敤㙤〹㡣㙤ㄷ㥣㌷㙥㘱挹㤴㔵㤷摥搰扢㘹㠷てㅢ〵㈷昹捡收㝥〶扦㜶㜳㥦㔱摣晦戲㌶搵㕣捥搷㤵捤晤ㅣ㕣㌴昷㈵㤴捤愰㕦挴㤶戶〹摣晣收晡㐵㜹㔶㜳扦愲挷㤷㙤㑢捥挶搵扥〱捦㙡慥㕦㜴换㙡敥㜷㔴攷㜴㔶户收㙡㠵㥡㕢㙡〹挶挴㤷㑦扡晦㍦㥦㑤扢昸愳扤晡㑣敦晡㘲㔲㜰摡慢㙣敥㉦昰㙢㌷㔷捥㘷㘵㍦晦㤵戵愹收㝥〰㕤搹摣摦挰㐵㜳㌹〳搴㙣㉥㈷愴㙡㐵㘵㉥捤つ㐴挵敦摦㍢㝢㘷㌱戴挴㘷戶㈵攷愷㙡㈵攰㤹捤㠵晡捦㔰捦愰慢㔱晤㕢㈸戹㌵昷㍢愸扡㥥晤扦戵〴〷摥扤攸㡥戶㍤㤷㡣㍦攵戱搴搴㤶敤㍥㘸ㄴ㥣〸㉡㥢摢ㅤ㝥敤收㥡㌳㍣搱摣ㅥ慣㑤㌵昷ㄷ攸捡收昶〴ㄷ捤㐵ぢ捤摤晡㑢㜸户㜷㙢㉦㑤㌸㍤搲捣〴㘷㙢㙡扤挰换摢㑦愳㐱昱㕦ㄸ㘶昶搳慤㘸㔹㘲㕢㜲昲愶戶㌵㜸收〱〱敡ㅦ㐳㍤㤳㠹㙤愹捥搹㡦㙥㤹㜸摦㙡㜰摥㙥晤㥥㈵㈸晥攲摣㈷搶㠶㌷㡥戹敤搷㥥挷〶摦慦㜹㑢㜸攱㐹㘶愲ㅦ晣摡㤹㤰搳ㅦ〹晣㡥慣㑤㘵㠲ㄳㅥ㘵㈶㉡挰㐵㈶㌸㘱搰㙣㉥攷㉦㙡㍢㠱㥢搷捦挳㤵㘲㘳㔶㜳〷搰㈳攷㈲㥡㤶㥣捥愸つ〲捦〴ㅥ敡慦㘵㌵㜷㔷慡て㠰㤲㕢㜳㕦㉡搴摣㝦㕡㠲ㄱ挱搲㜹㡦ㅥ㜸搰昸攳㜶㍥敡晢ㄵ㌷㡣晤㑡㜰摥愰㙣敥㌰昸戵㥢㉢㈷〴戲戹挳㔹㥢㙡㉥愷〰捡收晡挰㐵㜳㌹㠵捥っ㥡㌳晡戴㑡㜰昳㥡ㅢっ㠸㘷戳㥡ㅢ愴㐷捥捥㌳㉤㝤戴っ㠳㘷㌶ㄷ敡㑦㘶㌵㌷㑡㜵捥㤰㜳㙢敥㠶㐲捤㕤㙦〹㈶㑤㕥戱挷㥥昷昶ㄸ㝢㝦攲慡捦㘶ㅤ戰挵っ戱㌷㍣挹收敥つ扦㜶㜳㐷㈹敥㐸搶愶㥡换㐹㜱戲戹愳挰㐵㜳挷愱㉣㑦㕦て挳扢摤捦㐷搳㠴昳换捣昶㜰扡㥢㌶〶扣扣㝥ㅥづ㠸晢㘱㤸改攷攳㘸挹愹㙢愶㈵㘷扦㘹ㄳ挰㌳晢㌹搴敦㠶㝡愶㥦㑦愲晡㑣㈸戹㘵攲づ慢挱㜹晤晣㜶㑢昰昴愶〹㐳㤷ㅣ戰㜲搲搵㈳㑢摥戸㘰㝣户晢挵ㅣ㜸㤲㤹㤸づ扦㜶㈶攴晣㌱〲扦㉦㙢㔳㤹攰㡣㌱㤹㠹ㄹ攰㈲ㄳ㠷愲㙣〶㝤〸戶戴㔹攰㥡昰㠵㠲攲愶慣愰攷搰つ㈷㘸㤹敡㌵㔴摦て扣扣㝥〲换敢㘰㤹挹捥〱戴攴㠴㉡户收㕥㔵愸戹㔷㕡㠲挷㑦㙤晤㜱昴晣㡢㈶㕥㌷晥慥ㄳ〶捥扥扡㡦㤷昳戰㘴ㄳづ㠵㕦㌴㘱㍥捡ㄲ捣换㘱㘱㠳㤹㘰愵慤㄰㤹攱㜲㌲㤵㤶〲㡦㤰㡣ㅥ攰㡦㤶㕥っ敤摣㕦㐱㤴㍦㔸㙢摤扣㜳㕡ㄱ㠷〲㥡ㅡ敢㈶愶㤸扦捣㜸〶敦づ㤹㘷㡦㥥㘶㉤㥣戹㘴搶挲㜹㔸摡㍣慢㤶㙡搴㈲㔶愳ㄶ搶挴㠰昱㜵愸㔴攷昴㈶㔳扤㤹敡㜵㤶㝡ㄵ搵捦戵搴㌹愴攳搱ㅢ愸捥㈹㔴愶㍡攷㘳㘹昳挱敢㠷㌶㡣㜱摥㘲昹愳㠳㜶慡ㄸ捡㔱〲㔶㕡扡ㄲ㕥摡ㅢ㈵挰㘴㈴㜵摦捥㜱㠹晣挶愱㜶㔴摦挴敡㌹㘷㑢㌵㐰㜰敥ㄶぢ㙣扣攰ㅣ㉥ㄶㄸ慢攰㕣㉥㔶㑢换㜲㑥㠴挲扦㝣㤳㘱扤昸㘳挱昲㌵捡晣㈸戳㍥扤愳捣㥦摢晥㜸㘴㌹㘷㑦㐹换㠳㐵晦㜳慡㑡摦㍥昶昲㉦㙦摣㜳攰愵户晥㙥㝤ㅥ㑢换㘵㈷昶㕣㘷㝡㌰改昴愱ㄳ慢〴㘷㐱㘵晡搷扥〸捡ㅣ㐸㌸つ㐱戹㥥㐰㑦戵〴て㉥㥣搷敦慡㕦敦㤸㝣㐷攳愶换㕥㜸敤愵㌹㠲ㄳ愵㤸ㄲ㝤ㄱ摡㙦敦㑥㜲〶ㄴ戹㡢㤹ㄵ㙣昰敤攵㥣㈷搹ㄷ㤷㠰㡢扥挸㔹㐱㈶㔸慢戰愵㉤〵㌷㝦晦㠸㠸ㄳ㔰㜷㘶晦㌸㠶ㅥ㌹攱挸戴攴㥣㈵㙤ㄹ㜸搶㡥ㄸㄱ挷㐲㍤㜳昴㌸㥥敡㥣㤱愴㍣〸捥㑣㔲㜲挱〹㍥㤹㐴㘴㐶㔴㤶ㄴ㑡挴㘲㑢㜰捦敡〷搶㝣摡扢㙡搲敡㘱㈷敤晥搳搵摢捦ㄴ㥣〸㈴ㄳ㜱ち㙡戴ㄳ戱㐶㜱㑦㘵ㅣ㉡ㄱ㥣搳㈳ㄳ㜱ㅡ戸㐸〴㈷收挸㥤戲ㄵ摥敤㥤昲っ㥡㜰ㄲ㡤搹㔲捥搶搱㔶㠰㘷ㅥ㈷㠳㤵攲挸慣㤶㥥㐵昵摢㙣㜵捥搸搱捥〱㉦敦㠰っ换㝡㔸慡㠴㜸昴昳㘸挹搹㉦㙥㤹㤸㘷㌵㌸敦〸㝢㤸㈵㤸晤攲搲搸㥥㍦慥㥣㜸捤攰敢㝦扦昱挷㍢㙦ㄶ㥣㈵㈳㌳㜱ㄱ晣摡㤹㜸㐸㜱㉦㘶㙤㉡ㄳ㙤攰捡㑣㕣〲㉥㌲挱〹㈳㘶㜳㌹㝦㐵扢っ摣晣㉥ㄱㄵ昱慣昸慦愰㐷捥㐵㌱㉤㌹㥤㐵扢ち㍣慢㑢㐴挵挱㔰㔷㤰攳㔷摤愸晥〲㤴摣㥡扢㕦愱收捥戵〴㍦っ㉤ㅥ㜴散昲㙦慡敥晢攱昴㝤〷扤扢㌱㉡㌸㙦㐴㌶昷㐶昸戵㥢晢戲攲摥挴摡㔴㜳㌹〵㐴㌶昷㘶㜰搱㕣捥攳㤰挰捦㠴㜷ㅢ昸㕢㘸昲㈶㐴㘶㝢㌸戹㐳扢つ扣㍣㈴愳㍥㌱つ㠶ㄹ㈴敦愰㈵㈷㙡㤸㤶㥣敢愱摤〹㥥搹㘵愰㍥ㄹ敡㤹㑣晣㥤敡㥣㉣攱㤶㠹㜱㔶㠳昳㠰ㅦ㙢〹㝥㘹慣昵摤㝤㕢挵搴扢捦㕣昱㑢晤㙦挶㝡挱㐹ㄵ㌲ㄳて挰慦㥤〹㌹㕢〲〹搰ㅦ㘴㙤㉡ㄳ㥣ㅦ㈱㌳昱㄰戸挸〴攷ㄷ㤸㐱㜳扡㠳搶〶㙥ㅥ昰挱㠸ㄸ㤹搵摣㐷攸㤱㔳ㄷ㑣㑢捥㝥搰㌶㠰㘷〲て昵㍤戳㥡晢ㄸ搵㌹㝤挰慤戹攱㐲捤つ㔹㠲㍥扦㡥㍡㝣挵㈷㌵攳搶扥㝥㐲摦ㄷ㍦㕡敢ㄷ挵搶扤㤰晥っ晣摡捤㉤㔱摣㘷㔹㥢㙡慥〶慥㙣敥㜳攰愲戹ㅥ㤴㈵昰㝥㜸户㠱㝦㠱㈶㝣ㅡ㙦戶㠷㡦晤戵ㄷ挱戳昶昸愸ㄸ㥡搵㥥㤷愸摥搳㔶敦㑥昵㔷挰换敢㈷挱愸搸つ㤶㤹㝥昲㉦㕡昲ㄹ扦㘲〹㍥敢㔷ㅤ㐳昰〱扢㕢㡥〶㔸愹挸敢ㄲ㍢㕢㠲㐱戱〳摥晥昴㑡摦㠴晢戶戹敦改㈵㑦㜵敢㈶晡挲㤳散ㄲ㙦愲㐶㍢㐷摢㉢敥㕢㡣㐳攵愸ㅦ戸㌲㐷㙦㠳㡢ㅣ敤㠴戲捣搱㡥昰㙥攷攸㕤㥡昰昱戴㤹㈳㍥㉤搷摥〷㉦慦搱㔱扦搸㉥慢搱晦愱攵㈰摢㜲〰㉤㍦〲捦摡㌹晣㘲ㅢ愸慢ㅣ㜸昴㑦愸捥愷捦㙥㤹攸㘵㌵㌸㉦ㄳ㕢㔸㠲㉢㐳昷㉣摦敥昳㠵愳㡥晦昸挲㡡挸昱㜷㑥ㄱ㤵昰㈴㌳戱〹㝥敤㑣〴ㄵ昷㑢搶愶㌲ㄱ〶㔷㘶攲㉢㜰㤱㠹扤㔰㌶㥢扢〷戶戴㙦挰㌵扢㜸㈸㉣扡㘵〵晤ㅤ摤昰昹慥愹捥㘷挸摡て攰攵敤㑢戰散ち㑢㠵扦㐷晦㠹㤶攳愰敦搶摣攲㐲捤ㄵ㤶㘰攴㥣搲ㅤ昶㠹㍥㍦昹摥扤㍥㈸摢攵攵㤱晢ぢ㍥户㤵捤挵〲挶㑣㜳攵〳㔹戴㔲ㄷ攰摡捤攵㈳㔸搹摣㘲㜰搱㕣㍥㐷㤵挰晦晡㥤〳昸ㄲ㥡捣㠲挸㙣摡っ㙣㘹ㅡ㜸搶捥攱ㄳ㍦㐲㍢〳㕦ㄹ搵昹昰搳㔴攷〳㔶つ㍦㥢㤵摦㑦㠲㍥昱㉤㉣㌳㤹攸㑥换㐳愰敦㤶㠹㑤㔰㜵扤㐲晡挲ㄲ㉣㕦昰攴㘳㕦摤㜸敥昸㡢㍦摣昴摢慥挶搲㌳扤㝣挶㈹㕢搷ぢ㝥昵㉤㐹戶〲昱㜸昹㤸㔳ち㝡愳㠸㈷㥢〹㤴㕤㉦㐴昹㑣戳㜹㔸㌵㝥㔱愱㠵摦摦㘶㌴㑢㐶㌹昲㔸㥡收㐳扤㙥㘹㤳捤㘷㤲昸捥戹摡扡㍡昹㜵㙤摤搳㔳攳㑤㐷ㄸ㑤㔳㙡ㅢ㡣收敥改㤹戵昵搶㤷㡦㡤挱㉦㝤攰ㄷㄹ搴㡦慦敢戲㐴㘳㉤㍤慤〹扦挶摥㌵㍤戱㜹㜶戳㤱㉡慢㥦ㅥ㙦㘹㌱㥡ㅡ晥ち摦㥣㠸ㄵ户㈵扣㜸㐶㙦敡㠲摦㤲㈸㜶晤敥㍡㝥㈹㥤敢㙤㡡㤹挲㑣㍥愶攰慢〳昹愰戵戸戸㑣ㄴ晦戱敦㑤搴戶〶㙣攵㜸ㅡ㙡㈴攳捤㉤ㄵぢ昸㘵㜹捤挵攲㘳昴〳㌹戵敢搳捡㍥昲〲㥦㤳〱昴㙤愱慢昵〱改㠲愷㠱㐲戶㐳攰愶愱㉦㌸收慦㌱慣㘳换㑡㔳攸〲戹つ攳㌷〹昲攷㍥㡡㑡ㄷ搶愶㕡收㘹昳㡣摡挳收㘱戱㑤户㙥敡㥢晥㘸㕡挲愷㤴敤㍤㉦攵㈱愷㙢㝤㑤扣愹㈹扥戸慣扥愶捥㘸㌸慣㘵㕥㔹捤〲㍣㈰挶敦㤷挰戸慣慣㑣摦ㅥ昱戰㑢戲㍡㔱〷㈶扤敡㍢㠰㑢づ摦摥㈶㜰㘴慦敤挷搸㜷㈴愹〰昱㜸昹捣㔰ち晡愳㠸扤戸〵㘵㜶㘹㥤㜹㉡ㄶㅢ㕤昳㌲㠰昶捣㑢㈶㈷㠳挸㘲㍡㈴挱つ㈳㝣㌰㉦敡㈵㤶愰㈰攳摡㤵㡥挱㤶搱ㅥ愳戸扢㠱慢摡攰㍤ㄱ㕣ㄹ搴敥昴㍡㤸㘴〸㠸挷换攷㝡㔲㌰ㄴ㐵㐴㝢㌲捡㡥㘸晦攱ㅡ慤㡦昶搹搱㔶㤲攵㠸㤶て晡㘴㜰㐱〸散攰㔶㈸㙥〸㕣㍢戸昳㔴っ㘱㍡㠹㤰㐴㐱㍣㕥㍥㙢㤳挱挵㔰㐴㜰攷愳散〸敥㔱搷攰昶愲㝤㜶㜰㝢㤳攵〸㡥て攴戲㔲㜹〹ㄸ㌲摡㔱搰㔴㜱〹㍥㑥㤳摣㉡㜰㔵ㅢ扣㙢挰㤵㐱㡤愶搷㙡㤲㌱㈰ㅥ㉦㥦㠷㐹挱㔸ㄴㄱ敤昵㈸㍢愲扤搷㌵摡〹戴捦㡥㜶ㄲ㔹㡥㘸昹搰㉣㉢摡㕢挰㤰㜱㑤㠱愶ㅤ敤ㅤ㡡㍢ㄵ㕣㍢㕡㍥戰㤲㐱敤㐳慦搳㐸愶㠳㜸扣㝣㘶㈵〵晢愲㠸㘸昹戴捡ㄱ敤㕡搷㘸㘷搱㍥㍢摡㌹㘴㌹愲㝤〰㝥戲愲攵愳㉢ㄹ敤㝥搰㔴㜱㠹つ㡡扢㍦戸慡つ㕥㍥㔴㤲㐱ㅤ㐰慦〷㤲ㅣ〴攲昱昲戹㤲ㄴㅣ㡣㈲愲攵ㄳ㈵㐷戴㔷扡㐶㝢㈸敤戳愳㑤㤰攵㠸昶㌹昸挹㡡昶㐵㌰㘴戴㈹㘸摡搱扥愲戸〶戸㜶戴晦〶㔷〶㤵愶搷挳㐸收㠱㜸扣㝣昶㈳〵戵㈸㈲摡㌷㔱㜶㐴扢捡㌵摡㍡摡㘷㐷摢㐰㤶㈳摡㜷㔵ㄸ昳㈱㔰㘱㠸晦㈸敥㤱攰慡㤰扤㝣㑣㈳㘳㘸愲㤳㘶ㄲ晥㡣㤱挷换㈷㌵㔲搰㡡㈲㠲晢ㅣ㘵㐷㜰愷扡〶户㠸昶搹挱㉤㈱换ㄱ摣㔷㉡㡣愵㄰搸挱㝤愷戸㐷㠳㙢〷昷㡢㡡攱ㄸ㍡㌹㤶㘴ㄹ㠸挷换攷㉡㌲戸攳㔰㐴㜰扦愱散〸敥㘸搷攰㑥愴㝤㜶㜰㈷㤳攵〸慥ㄸ㔷㜵ㄲ搶㔳㈰戰㠳搳ㄴ昷㔴㜰敤攰扡㠳㉢㘳㌸㡤㑥㑥㈷㌹〳挴攳攵㔳㄰㈹㌸ㄳ㐵〴搷ㄳ㘵㐷㜰㐷扡〶㜷ㄶ敤戳㠳㍢㠷㉣㐷㜰㕥昸挹敡㠴㕢㠱㈱愳㍤て㥡㜶戴摢㉡敥㉡㜰敤㘸晢㠱㉢㠳㍡㥦㕥㔷㤳㕣〰攲昱昲㐹㠵ㄴ㕣㠸㈲愲慤㐰搹ㄱ慤攱ㅡ敤㈵戴捦㡥昶㌲戲ㅣ搱づ㔰㘱㕣〱㠱ㅤ摣慥㡡㝢㈵戸㜶㜰挳㔴っ㔷搱挹搵㈴搷㠰㜸扣㝣慥㈰㠳扢ㄶ㐵〴攷㐳搹ㄱ摣晥慥挱㕤㑦晢散攰㙥㈴换ㄱ㕣㔰㠵㜱㌳〴㜶㜰㔱挵㕤ぢ慥ㅤ摣摥㉡㠶㕢攸攴㔶㤲摢㐰㍣㕥㍥〵㤰挱摤㡥㈲㠲ㅢ㠵戲㈳戸愹慥挱摤㐹晢散攰晥㑥㤶㈳戸搱昰㤳㠵昳㌸㌰㈴捥昷㐰搳㡥㜶㤲攲摥ぢ慥ㅤ敤㜴㜰㘵㔰昷搱敢晤㈴て㠰㜸扣ㅣ愹㤷㠲〷㔱㐴戴㌳㔰㜶㐴㕢攵ㅡ㙤ㅢ敤戳愳㝤㠴㉣㐷戴ㅣ扡㤷挱㙤㠰㐰㠵㈱㌸㉣㉦戹㡦㠲㙢㠷㝣愸㔵愷昶ㄸ戸捥摦㠶㑢㌹㝥ㅢ慥㐴挴㔴㉣㐵换㡡㌲搷㠴㑦挰㐶㝢ㄲ愴ぢ㠶㤸攵摤㄰〸㝥晥ㅣㅣ㘷㍣〹搴㤱㤵扤戴ち攵ㄹ㘸摡〱ㅥ慥戸捦㍡戹つ㡡晢㥣㤳摢愴戸捦㠳㡢昱㄰㜹㠳收㕤〴慥㑣攸ぢ攰敡晦㈰㜹ㄱ挴攳攵㈰慥ㄴ晣ㄳ㐵㘴㥡挳户捣戴昶ㄲ捡昹㔷挰㠳㔵㙢戳慥㠰㕦㠱慥昶㉡㐸昶ㄵ昰扦挰㜱戶昶ㄸㄵ摡敢㄰搸㜹㍥㕥㜱摦〰㔷㌵搹换㤱㔶ㄹ搷扦改㘴㈳挹㥢㈰ㅥ㉦〷㕢愵攰㉤ㄴㄱ昰㘹㈸㍢扡挶㡥慥〱扥㑢晢散慥昱㍥㔹㡥慥挱ㄱ搹㉣㈸捥〲㐳昶㡡晦㐰㔳挵㈵捥㔳摣て挱㔵㙤昰㜲㌴㔴〶昵ㄱ扤㝥㑣昲〹㠸挷换〱㔱㈹昸ㄴ㐵㐴换愱㔰㐷戴㕢扡㐶晢㌹敤戳愳摤㐴㤶㈳摡㉢㔴ㄸ㕦㐱愰挲㄰ㅣ晤㤴㈱㝦つ慥ち搹㝢愳㡡攱ㅢ㍡昹㤶攴㍢㄰㡦㤷挳㤷㌲戸敦㔱㐴㜰ㅣ戸㜴〴搷搵㌵戸㥦㘸㥦ㅤ摣㉦㘴㌹㠲扢〵㝥戲㔲㜹〷ㄸ㌲慥摦愰㘹㐷换ㄱ㑡挹晤ㅤ㕣㍢㕡㡥㉦捡愰㌸㥦㔹ㄷ㈴挵㈰ㅥ㉦㠷ㄸ愵愰ぢ㡡㠸昶㈱㤴ㅤ搱晥晣慤摢扤㤹㐶晢散㘸换挸㜲㐴晢㠸ち〳㔳搱㌳挱㍤愶戸摤挰戵㠳攳㘸愰㡣愱㍢㥤昴㈰改〹攲昱㜲㐰㔰ち捡㔱㐴㜰捦愱㉣㠳攳㙥㔴㉣扥㜰つ慥ㄷ敤戹摢㘴㙥㤰戶㈲换ㄱ摣ぢ昰㤳㤵捡㤷挰㤰㐹摢ㅡ㥡㉡㉥昱㉦挵摤〶㕣挶㐱㠹昷㑤㜰㘵㔰摢搲㙢ㅦ㤲扥㈰ㅥ㉦㠷收愴㘰㍢ㄴㄱ敤摢㈸㍢㔲昹㥥㙢戴晤愴㤳慣㘸㉢挸㜲㐴晢㉥晣㘴㐵晢ㅦ㌰㘴戴㍢㐱㔳挵㈵㍥㔱摣㥤挱㔵㙤昰㙥〲㔷〶㌵㠰㕥〷㤲っ〲昱㜸㌹㝣㈶〵扢愰㠸㘸㌹㜰收㠸昶㔵搷㘸㜷愷㝤㌶昰㐳挸㜲㐴换昱㌴ㄹ摣㌰〸㔴ㄸ㠲㘳㘵㤲㍢ㅣ㕣ㄵ戲户〸敤㤶㌱昸攸挴㑦㔲〹攲昱ち㈵〸愰㠸攰㡡㔱㜶〴昷戴㙢㜰㘱摡㘷〷ㄷ㈵换ㄱ㕣〹晣㘴愵戲っっㄹ搷ㅥ搰戴愳敤慥戸㝢㠲慢愲ㄵ扤挰㤵㠳㙣ㅢ㔰㍤㐷㔷昷㐲㜷㈸㉢搶〴㐷愸愴㘰扤㈵ㄸ㈱〵㐲㙣愵〴㡦㔸〲㍥愱搴㐷挲㘹㘹㙦㠸㜲扦つ㐲㍥ㅥ㌶挷㕤ㅣ扦攵㠰捣ㄵ改昵㌳昱㐳〲ㅣ㠲昱搴昳㤱慡㝣扣慡搵捦㥣㠷ㅦㅡ搸挲搲ㅤ㙣敢昴戲㌹戶㙥㑦㥢㈵㙤晡㔴㌷搶捦㡦㌷挵ㄳ㜵〶㔵〶㘷㥣昶捥㤵㐸㝤攴㠰㘹㈸摡愹昰㥣㙤ㄵ㈰挷㠸捡㐴㠷ㄵ换〴つ昴㔱挸㐹て㙣㠸捣㤶㉣㤶㙥㡢㍣㜵㜸㝣㑡挰挳ㅦ晣挹㡢㉡〴㈰晡愲㌲晡搰㐷愳愴㝡㐳昹昶ㄶ㤷㝤愵愸㝣〷㔵攲昰㤰攸㠷㤲㠴晥挱㥣㍥挱㘱ㅥ㈹㜸㈰愷㑦㔴㈸挱晤捥㍥㌱㡥搵昷㠷㠸晤㈲㤳㠳捣㤶捣㠶ㄸ〰㈹㌳愲㑦愰晥㈰㙣挹㜰㈷㍡挳摤搵攲㤶㌱挰昲摤㔴〹㥦㐵㘲㜷㔰ㄹ搵摦㜳挲攵㌸㡦ㄴ摣㤵ㄳ敥㄰㈵戸搳ㄹ敥㔴㔶㍦ㄴ㈲ㄹ敥㍥㈸㤹攰搹㕢㘶戸㍥㘸挸㜰愷㔱扦ㄲ㈵ㄹ敥㜴㘷戸㐱㡢㙢㠶ㅢ㔲㈵㝣ㄶ㠹㌰愸㡣敡搶㥣㜰㈳㑡㜰㑢㑥戸㔱㈵㔸敢っ㜷ㄶ慢㡦㐱搴㝥㜶昷㠲㠶っ㜷づ昵昷㐶㐹㠶㍢搷ㄹ敥㈸㡢㙢㜶㠶㉡㔵㤲㥤㘱㌴㑡㌲摣敢㜳挲攵搰㡦ㄴ㕣㤷ㄳ敥ㄸ㈵㔸攳っ昷㐰㔶捦愱愱昶挳㥤〰つㄹ敥挱搴㥦㠴㤲っ昷㄰㘷戸㔳㉣慥ㄹ敥㔴㔵㤲攱敥㠳㤲㡣敡捡㥣㜰㌹昶㈳〵㔷攴㠴㍢㕤〹㉥㜷㠶㥢㘰昵ㅣㅢ㙡㍦摣㔹搰㤰攱愶愸㍦〷㈵ㄹ慥攱っ㜷㍦㡢㙢㜶㠶晤㔵〹㥦㐵攲〰㔰ㄹ搵㐵㌹攱㜲昰㐷ち㉥捣〹昷㈰㈵戸挰ㄹ㙥㉤慢㍦ㄸ愲昶挳㍤ㄴㅡ㌲摣㈳愸㥦㐰㐹㠶㕢攷っ㌷㘵㜱捤㜰㌹攲㐳ㅤ㤹㙢㤱㐶㐹㐶㜵㙥㑥戸ㅣ晤㤱㠲㜳㜲挲㥤愷〴㘷㍢挳㥤捦敡㙢㈱㤲攱摡㍢㤸㙥㙦㤹扢㕡ㅤ㌴㘴戸㑤搴㙦㐰㐹㠶摢散っ㜷扥挵㌵㍢〳挷㠰㘴戸戲㌳㌴愱㈴愳㍡㈳㈷㕣㡥〷㐹挱改㌹攱戶㈸挱㘹捥㜰ㄷ戲晡㔶㠸摡て㜷ㄱ㌴㘴戸㡢愹扦〴㈵ㄹ敥ㄲ㘷戸㑢㉤慥ㄹ敥搱慡㈴挳㍤〶㈵ㄹ搵㐹㌹攱㜲㠴㐸ち㑥捣〹㜷㤹ㄲ㥣攰っ昷ㄸ㔶㝦ㅣ㐴敤㠷㝢㈲㌴㘴戸换愸㝦㌲㑡㌲摣攳㥣攱㥥㘲㜱捤㜰㑦㔵㈵ㄹ敥㘹㈸挹愸㡥挹〹㤷㘳㐶㔲㜰㜴㑥戸㘷㈸挱㔲㘷戸㈷戱晡㌳㈱㤲攱ㄶ㍡㘹㡡戳愰㈱挳㕤㑥晤㜳㔰㤲攱㥥攲っ昷㍣㡢㙢㠶扢㑡㤵㘴戸攷愳㈴愳㕡㤸ㄳ敥㙡㈵㔸㤰ㄳ敥〵㑡搰敡っ昷っ㔶㝦㈱㐴敤㘷昷ㄲ㘸挸㜰㔷㔰晦㌲㤴㘴戸㉢㥤攱㕥㘱㜱捤㜰慦㔴㈵ㄹ敥㔵㈸挹㜰攷攷㠴换㘱㈴㈹㘸捣〹昷ㅡ㈵㘸㜰㠶㝢㉥慢攷㌰㔳晢攱㕥てつㄹ敥㉡敡摦㠸㤲っ昷㝣㘷戸㌷㕢㕣㌳摣戵慡㈴挳扤〵㈵ㄹ㔵㙤㑥戸ㅣ㔸㤲㠲㜹㌹攱摥愶〴㠷㌹挳扤㠸搵㜳攰愹晤捥㜰㈷㌴㘴戸㤷㔰晦敦㈸挹㜰㉦㜵㠶㝢㡦挵㌵挳扤㔷㤵㘴戸昷愱㈴愳㑡攴㠴换㤱㈵㈹㠸攷㠴晢㠰ㄲㅣ敡っ昷㑡㔶晦㈰㐴敤㘷户つㅡ㌲摣慢愹晦〸㑡㌲摣㙢㥣攱㙥戰戸收㜱㤷攳㑢搴㤱挱㡢㈷㤴晤戵戴㝦㑡搹慦㘱㠹愷ㄱ扣换㥦㔱ㄶ㙣㘰昹戳㔹愵攷戲㑡ㅣ敥㤱扥㜷愳敤ぢ㈸挹ㄶ敦㥦㤳ちづ晤㐸挱㝥㌹愹㜸㔱〹收㍡㔳㜱㈳㠳攱搰㤰㑣挵㑤㈸㤹㤷㑦昶㤶㜹㑣㝦〵ㅡ㌲ㄵ㌷㔳晦㕦㈸㌱ㄴ㝤㉤㑡昶挵改敢ㄶ搷㐴㡥㠳㍤㌲㕣㠹摣扦㔱㤲㔱捤挸〹㜷愳ㄲ散㥢ㄳ敥㥢㑡㌰摤ㄹ敥敤慣㥥〳㐳敤㜷戴㜷愱㈱挳晤ㅢ昵摦㐷㐹㠶㝢愷㌳㕣㡥晡搸〱㤶㜳戴㐷㤶昰㠹㘹㔵愰㌲摣挹㌹攱㜲攴㐷ち㈶攵㠴晢㠹ㄲ㑣㜴㠶㝢て慢攷挸㔰晢ㅤ敤㜳㘸挸㜰敦愳晥㈶㤴㘴戸昷㍢挳晤捡攲㥡搹攵昸㡦ㅤ扣昸〶㈵ㄹ搵㤸㥣㜰扦㔵㠲敡㥣㜰扦㔳㠲搱捥㜰ㅦ㘶昵ㅣ㉢㙡㍦扢㍦㐱㐳㠶扢㡥晡扦愰㈴挳㝤挴ㄹ敥㙦ㄶ搷っ㤷〳㐰㤹㜰㡢愰㈸挳ㅤ㤱ㄳ慥㔰㠲扤㜲挲㉤㔶㠲㍤㥤攱㍥〶慥攰㘰㔱晢搹搵愰㈱挳㝤㠲晡ㅣㅤ㤲攱㍥㠹つ扢敦㜲㘸㐸〶㠸㐰㡢捡㌹㈴㤴〹户㍢㑡㌲摣㜰㑥戸ㅣㅥ㤲㠲㔰㑥戸㍤㤵㈰攸っ昷㔹㝡攵昰㤱っ昷㌹㙣㤸扢㥡扤㘵敥㙡ㅣ㌴㤲攱㍥㑦㝤㡥ㄷ挹㜰㕦挰㠶ㅤ㉥挷㠶散〰换㌹㈶㘴〷㉦㌸ㄶ㈴愳ㅡ㥥ㄳ㉥挷㠷愴㘰㔸㑥戸㝤㤵㘰愸㌳摣㤷攸㤵攳㐷敤㜷〶㡥ㅡ挹㜰㕦愱㝥〵〹㡦っ慦㘲挳づ㜷㈷㡢㙢㜶〶づち搹挱ぢづ〶挹愸㜶捤〹㤷〳㐴㔲戰㑢㑥戸㠳㤴㘰㤰㌳摣㌷攸㤵〳㐸敤㜷〶づㅢ挹㜰㌷㔲㝦〸〹挳㝤ㄳㅢ㜶戸挳㉣慥㜹㑣ㅦ慥㑡散ㅡ㠲挳㐳㌲慡晥㌹攱㜲挸㐸ち㉡㜲挲攵㌰㤲ㄴ散攸っ昷㕤㝡攵㤰㔲晢搹つ㐳㐳㠶晢㍥昵㌹㠶㈴挳晤〰ㅢ㜶戸㝢㔸㕣㌳摣㍤㔵㐹昶㘴づ昰昰㙢昵㡢ㄷ㠹攴愱愹㐳て晤愱扣愴愲㙦挹㝥愳扡㕦昸昶㔳敦㥥昳搲㐱㈳㍥晣攵㤲㑢㕥㝡晦㥣㘷㝥㜹㈰㌱攲昱慢慥摡㌰改昲㘷摥敤㤵扥愲昸敦㍦㑣戹㘲愹晦㠸愵㐷愶㘷敦㍥㝥改晥㠷敦敢㥦扥挵攰㉥㕤扡㜶摤㘵换㈷戶摤搵扢散挸㝢挴扡搷戶㘹㈸攵㠵㕦〷㐶㔸ㄸ昵ㅦㅣづ昹てㅢ㔴㘵戵㑡㜷㝥ㄷ㤰㜷㌴戸㜲搰敥㈳㙣攸ㅦ㠳昴㈸㉥ㅦ㠷㡦捥㙣戲㤸㠰ち㈴ち㔹戱㜰攰㐳挶昲㈹㌶昴捦㐰㄰ぢ〷㈷㍡㌵㤶㝤㔰〱㈱搰晦ぢ㈲愶㤱戰㍢㘷㐵挶㌱づㄹ搹ㄷ㔴摣〴㠲挸㌸づ搱愹㤱捤㐱〵昹戱㜰〰㐳挶昲ㄵ㌶昴慦㐱㄰换㠱昸攸搴㔸攴愸㐴㕥㕥㌸㍡㈱㘳昹㤶戱㝣㘷挶㤲攸散㔸攴㤰㐳㕥㉣㠶㡡攵〷挶昲愳ㄹぢ㠷〷㍡㌵㉦㐷愰㠲㝣㡣敡挰㤵㜹昹ㄹㅢ晡㉦㈰挰㘸㍥㍥㍡㌵ㄶ㌹㔸㤰㤷㤷㘶ㄵ换㙦㡣㠵㍦㑣㡡㔸㜸㘳摦愹戱挸㤱㠰扣㔸㤶愸㔸㐴㌷挴㔲っ㠲㔸㡥改散㔸㤶愱㠲㝣㡣㡥㔳戱㤴㌰㤶㔲㌳㤶㤳㍡㍢ㄶ㜹て㥦㤷㤷㔳㔴㉣㕤ㄹ㑢㤹ㄹ换ㄹ㥤ㅤ换ち㔴㤰㥦㤷㤵㉡ㄶて㘳改㘶挶㜲㙥㘷挷㈲敦扥昳昲㜲扥㡡愵〷㘳改㘹挶㜲㔱㘷挷㈲㙦慤昳㘲攱㉤戶摣愷扤㡣㘵ぢ㌳㤶㉢㍢㍢ㄶ㜹摦㥣ㄷぢ敦㥦㘵㉣㕢㌲㤶慤㘴㉣攲㕡㌰㈵㥣扤㔱㔶㉦敦ㅡ愵扡㌵戵扡㤴昳㙥戵㔳昷㝣摥昶捡昳改㌶愸㔰摣慣㠲㜲㝥〷愵㜷慤ち慡て㜴昴扥㡣慣戸㥣㌷愶㥤ㅡ搹摦㔴㉣㔹攷㜶摥搱捡㕣㙥捦㔸㜶㌰㘳攱㕤㘷愷挶㜲㥦㙢㉣昷慢㔸㜶㘴㉣ㄵ㘶㉣扣愵散搴㔸搶戹挶昲㠸㡡㘵㈷挶戲戳ㄹ换㘳㥤ㅤ换ㄳ慥戱昰㐶㔳㘲㌴㤰戱っ㌲㘳攱捤㘰愷收㠵㜷㤵戲㈷敦㠲ち挵昳㉡戲慣㥥晣㠲㡡㙣㌷㐶戶扢ㄹㄹ敦晢㍡㌵戲㔷㔴㉣㔹㍤㤹㌷㡣㌲㑢㐳ㄸ换㔰㌳㤶㌷㍡㍢ㄶ㜹ㄷ㤸㜷㠴攲摤愰㡣㘵㌸㘳昱㤹戱昰㡥慤㔳昳㈲㙦昱昲㘲攱慤㥥㡣愵㤲戱〴㘴㉣㐲摥ㄳ㔱㌵㠸㌲て㥢昲捤扢㈰㜹愷昹昴㌷收慣㠰搱㤰㤴〹晣㑣㥥ㄲ㍣㘵〹扣戴㡤搰㤶㜷㉢搲收㠹ㅣㅢ摥挱㐸挱攳㜹㌶昲㕥㠳ㅥ昶㜰搶捥扢ぢ㘹昰㘸㡥㈷摥㜱㐸挱〶愷愷ㄱ戴攵㕤㠰ㄴ㍤㤲㘳挳㍢〳㈹㔸攷戴㤱ㄱ昳㙡㕤㡡ㅥ捥戱攱ㄵ扣ㄴ㍣㤴㘷挳慢㙡㈹㝡㌰挷㠶㔷摡㔲昰㐰㥥つ慦㝥愵攸晥ㅣㅢ㕥ㄱ㑢挱㝤㜹㌶扣㑡㤵愲㝢㜳㙣㜸攵㉡〵昷㌸㙤㘴づ㜸㌵㈹㐵㝦捦戱攱ㄵ愶ㄴ摣㤵㘷挳慢㍥㈹扡㌳挷㠶㔷㠲㔲昰户㍣ㅢ㕥㥤㐹搱ㅤ㌹㌶扣㘲㤳㠲摢㥤㌶㌲搷扣㡡㤲愲㕢㜳㙣㜸㘵㈵〵户㌸㙤㘴㝢㜸戵㈳㐵㌷攷搸昰ち㐸ち㙥捡戳攱㔵㠹ㄴ摤㤸㘳挳㉢ㄵ㈹戸挱㘹㈳㘳攳搵㠳ㄴ㕤㤷㘳挳㉢ち㈹㔸攳戴㘱㙣㕥㜵㜱㈱㜸㍤㈱㜵慥挹㌱摥〶〲㜹ㅤ㜲戰戵㈱昷㉣㥥改愵晡㔵㌹敡㍣晢㑢挱㤵捥扡づ愵㉤捦挸㔲㜴㜹㡥捤づ㑡㜰㤹搳㐶戶㠹㘷㑥㘹㜳㐹㡥つ捦愶㔲㜰戱搳㐶收㥢㘷㌸㈹扡㌰挷㠶㘷㍤㈹戸挰㘹㈳敢攱㤹㐸㡡捥捦戱攱搹㐹ち㔶㌹㙤㘴㍤昲㍣挲扤扥ㅥ㍡昶㌱㠷㘷づ㘹㜰㑥㡥㈷㥥㑤愴攰㙣愷愷昹戴攵ㄱ㕥㡡㔶收搸昰愸㉦〵㉢㥣㌶㌲㘲ㅥ㠹愵攸㡣ㅣㅢㅥ㥤愵攰㜴愷㡤㡣㤸㐷㑣㈹㍡㌵挷㠶㐷㔱㈹㌸挵㘹挳㝡扣㍣愰捡挳敤ㄲ㙣㘰扡ㄷ㤹㜲〰敥㈸㑡㜹挰㤳搲愵愶㤴搵㐸改搱㤴ㅥ慣愴挷㤸㔲㜶〳㈹㍤㤶㔲愶㑤摡㉥㌳愵㑣㠵㤴ㅥ㠷㡤㔲㔶搷捥攴愲改㐶㔳搲㘸㘸愹慤㌳㌸戹〹〷㤳愲ㅥ昵搵慤捤㉤㡤收晣慢收㔲㌹攳㉡㝦㐶㔶㉦慡て捥㔲昵㤸㉣搲㜲㜳搳㥥㥡搵捤ㄲ㜱㉥搷晦㍡㉦慢㉢摡挶㌷㈶ち昷㙢㝦㙡㤶㌹㉤慢㘳㕡搶㥣慣攳㤱ㅤ㝥ㅦ㉤㈶㘵㘵㌶㘵㔹㄰ㄷ戹挳㥥㠰つ昵ㄲ挴㠷㈹搵㑦〴戱㉣㌳㥢愶㈵㌱㤳㤶㈷㘱㐳扤〴戱㤳㤶㈷㘷㉣㌳㥢愶㈵昱㤴㤶换㥤㤶挴㔵㕡㥥㤲戱捣㙣㥡㤶挴㕡㕡㥥敡戰㉣㘷㥢昸搲扣慡ㄱ攵っ搶㘴愹攸捡ㄹ㠵挹㔲搵㤶搳扤挹㔲晥扡晤ㅦ攴㡤㑡㐳</t>
  </si>
  <si>
    <t>㜸〱捤㝤〹㜸ㄴ㔵昶㝤㕥㈰㐵慡〹愴㐵摣ㄷ㠲㈲㈲㈸昶扥愸㈸㄰㘴㔱㄰〴挴〵〵㝢㤵㘸ㄶ㑣挲慡㈲愲攳㡡戸㙦㡣㈳㡡晢慥攸㌸愲愲ㄱㄴㅤ挷㘵挶㙤㕣搱㜱ㅤ挷つ昷㕤晦攷摣慡搷愹敥慥づ昹昹㥦㝣摦㈴改㥢㝡昷㥥㝢敢扥㝢慡慡慢㕥扤敡㉥㔳㘵㘵㘵扦攱㠷晦昹搳㥤ぢ摢㑦㔹搰搲㥡㘹ㄸ㕡摢㔴㕦㥦㐹戵搶㌵㌵戶っㅤ搱摣㥣㔸㌰扥慥愵戵ㅢ〰挶捣㍡搸㕢㉡㘶戶搴㉤捣㔴捥㥣㥢㘹㙥〱愸愲慣慣戲搲㉣㠷㝤ㅢ晢攵搵つ㤳㕥㘶㜷ち愰捡㑣㠳愲〷㐵㈵㠵㐹攱愱攸㐹㔱㐵搱㡢愲㌷㐵㌵㠵㤷㘲㌳㡡㍥ㄴ㥢㔳昴愵搸㠲㘲㑢㡡慤㈸戶愶攰晡捤㙤㈹戶㠳愸摡ㅥ㘲㙡敤挸㠹挹㘳搱㥢㈹慤㑤捤㤹摤㙢愶㔹㌹て昳晢㠷晡㠷㠶挲晥挰㔰摦敥㌵戵㜳敡㕢攷㌴㘷㠶㌵㘶收戴㌶㈷敡㜷慦㤹㌴㈷㔹㕦㤷㍡㌰戳㘰㙡搳㜱㤹挶㘱㤹愴㉦㤸㑣㠴㘲晥㔰㌸㥣㡤挷㘳㔵㍢㈰昲㐱戵㈳㈷㌵㘷戲㉤晦慤㤸㍢㌲收挴摡㤱㐳て捡戴晥户㘲昶㐳㑣㠴ㅣ搵搴㤰愸㙢晣㉦〵慤㈰愷挱㔱㤹㔴ㅤ挹捦㘴㥡敢ㅡ㡦ㄹ㡡戴昳ち㡤㔶㜴攸㘸㔴㍣㤵㘸㘹慤捤搴搷㑦捥㘴挹㝢㔵〳㙢㤶㘹捥㌴愶㌲㉤扤ㅢ昶㥦㥦捡搴摢收㤶捡㠶㘹㠹收㠳ㄲつ㤹敥㕣愸㙥戰㜸ㅢ㤷捥㌴戶搶戵㉥攸搵㜰㐸㑢㘶㜲愲昱㤸っ㈱ㄵつ㘳收搴愵扢㜷㔷摤扢㤷㜵摢搵㉤ㄹ攱㘶攸攸收㔴敤慣㐴㜳慢戴挸㥡摦つ敢搸㐲㈴昱扣戴戸ㄵ搵ㄴ㜸㤱愶㈹㜵つ〷㘶㥡ㅢ㌳昵㕣〹挹ㅢ㔲〰㤲㥡㔸愵捦ㄵ㐷昷㠶挴愸㥥昶晥挶慥㜰㉤㘶つ㐵㝦〸㘳㈷〸敦戰摡昱〳晣搱㠱㍢敤㔵戳搳挰〱㈳㠲㍥㜳㘷摡〷㐰愸敥慦㘳攷㜵晡㜳〷㉡㥦㤹㈸㥦㤹㉣㥦㤹㉡㥦㤹㉥㥦㤹㈹㥦㤹㉤㥦㜹㑣昹捣㔹攵㌳敢捡㘷ㅥ㕢㍥昳㌸㘰昴㑦㘵㡦ㅥ攵昶捦㡡㝤收慤㝥晦㠷换㙡ㅦ㥥㌱㙣昵㥡つ敦㉤㔷摣㕦㘵挷ㅤ㠸〵㜳㔷〸㘳㄰㠴㜷搸㠸㐳ㅣ昹㐴愲收㙥戴て㠶㔰敡㈵攴挳㥣㝥㌹昹㠸㜴攲愹扤㠶㥦戹昵㜳㝤搷敤㌰㝤㠲攲㝥㉦挱㜶㈷㜸て〸㘳㈸㐴㐱戰㔰搰摣㤳㜶ㅦ㠴㔲捦搹挱㈲㐷捤扣昰戱㌱ぢ㐶慦昹收戳㜹慢慥㘹㕥愶㜸晣㤰㘰〱㠲㠳㄰㐶〸愲愰㔲愱㤸ㄹ愶㍤〲愱搴㕦敤㘰㤳愷㙦晥敡攳㠷戴㡤㝥㘸晢㍥㡦㝣扥戱搷㥢㡡摢愳〴㡢ㄱㅣ㠷㌰昶㠲㈸挸㉣ㅣ㌷昷愶㝤ㅦ〸愵搶搹挱搴攰晢㜷扦愶敡慢戱㡢㈳㉦散扤㙥㝡挶愷㜸㍣㤳㘰晢ㄲ扣ㅦ㠴㌱ㅣ愲㈰戳㜰搸ㅣ㐱晢㐸〸愵搶搸挱捥慢ㅤ㜴挹㡡㐹敦㡦㝦㈴㌸㈶晤晥〷㐷晣慣㜸㕣㤴㘰愳〸摥ㅦ挲ㄸつ㔱㄰㉣ㄴ㌰挷搰㍥ㄶ㐲愹扦搸挱㝥㠸㉣摦㝢搵㠴攳㈷摣㜰㙥户慡捣攷敢㤷㈸ㅥ㕦㈵搸〱〴ㅦ〸㘱㡣㠷㈸攸㘶㈸㘲㑥愰晤㈰〸愵敥戶㠳㕤戸攸戲搱㍤㠶㕣㌹㘲改㥥敦㜹昶㔸戵攷㌲挵捤㑣㠲㑤㈲昸㘰〸㘳㌲㐴㐱戰㐰挸㥣㐲晢㔴〸愵㙥戵㠳㕤昳㘶户㘱㈷㕥昲晤搸摢晢㝦ㅣ㔹搲㝤昲㠷㡡挷㝢〹㌶㡤攰㐳㈱㡣挳㈰ち扢ㄹ㌷て愷晤〸〸愵慥户㠳㉤ㅣ户晣敤㝢㡥㌲㈶㕣搶㝤晥㤵扥㈷昶扤㐰昱㝤㐳㠲ㅤ㐹昰㔱㄰挶っ㠸㠲捣㐲㜱㜳㈶敤㐷㐳㈸戵挲づ戶㘸攳慢㐳ㄶ摦戳攸挰㠷㑦ㅦ㜳昲晥昵㡢㥦㔱㝣晦㤱㘰㐹㠲㔳㄰㐶ㅡ愲㌰㔸搴捣搰㥥㠵㔰敡ち㍢搸㥥慦㜴㍦㜲挶㠰扤㐷㕦扡昴㤹ㄷㄷ㝣搸㝤扤攲晢㤸〴㥢㐵㜰ㅤ㠴㜱㉣㐴㐱㌷㠳㘱㤳晢愷㔹て愱搴㐵㜶戰㙤㈷㈵㘷搷搷ㅣ㍢㘱㜱昸扢昷㉢敦搸㌸㔸昱晤㔰㠲㌵ㄲ摣〴㘱捣㠶㈸挸㉣ㄲ㌲㡦愷扤ㄹ㐲愹㜳敤㘰㜷㥦改㕦㝦摣挴昱㈳慥㍡㜴挳敢㉦㑣ㄸ昳戱攲晢慡〴㙢㈵㜸づ㠴㌱ㄷ愲㈰㔸㌸㘸捥愳㝤㍥㠴㔲㘷搸挱㌶搴晡㙥昰㤶捦㥣戰愶㙡㐹捦㤵捦ㅦ扡㡤攲晢戳〴㕢㐸昰〹㄰挶㠹㄰㠵挱㝣收㐹戴㉦㠲㔰敡ㄴ㍢搸昶㈳㉥攸昷摤搳㡢挷㥤昲攳昴㈷晥扣敡慡晢ㄵ摦攷㈵搸㘲㠲㑦㠱㌰㤶㐰ㄴ〴ぢ㠶捣㔳㘹㍦つ㐲愹ㄳ散㘰㝢摦搳㝢㔲㝤㐵㜸摣㡡挰㤲㌱㥥㤱㙦ㅤ慦㜸扥㈰挱㑥㈷昸っ〸攳㑣㠸〲〲戰〷㥣㐵晢搹㄰㑡捤戱㠳敤㄰㥢戱挷㐷慢摥㍡攸㤲挴戵㐳㐲㘷㕣晦㡡攲㜹㠷〴㕢㑡昰戹㄰挶㌲㠸挲㘰㍥昳㍣摡捦㠷㔰慡挹づ㌶散摥摤捡㠷慦㍢㝣昸攵昱搷慡㑥扣昱㤷㉦ㄵ捦㕦㈴搸㠵〴㕦〴㘱㕣っ㔱㄰㉣散㌳㉦愱晤㔲〸愵敡散㘰㕥摦㌷㌷敦昸㔱敦攱㑢㍥ㄸ戸㍡扤挷て㌱挵昳㈰〹㜶㌹挱㔷㐰ㄸ换㈱ち㙡ㄶ㡥㤹㝦愴晤㑡〸愵㔲㜶戰攰愸㔱扢扤㝥晥搳愳㙦搸昶扡晦㍣昴晥㥡㉡戵㌵捣ㄲ散㉡㠲㔷㐰ㄸ㔷㐳ㄴ㘴ㄶち㤹搷搰扥ㄲ㐲愹愳散㘰㤳づ㍥户㙡挶㌱㉦㡦㕢㕡摦昲捥挲搳㍦㑤㈹㥥㤷㐹戰敢〸扥ㅥ挲戸〱愲㈰㌳〴扢㤱昶㥢㈰㤴㍡搴づ昶㘹摦愳㉡㉢㉦晢㜵攲㥡慤晥搵㙦挷㑦㈷扥愳戶㠵㔹㠲摤㐲昰慤㄰挶㙤㄰〵挱愲㝥昳㜶摡敦㠰㔰敡㘰㍢㔸扦扤戶扤㜸改搴㔷㈶㥥昶捥挷㔳ㄳㄳ㥦㝢㐳昱㍣㔱㠲摤㐵昰摤㄰挶㉡㠸㠲㘰攱㤰㜹て敤昷㐲㈸㜵愰ㅤ散愸收摡㤷摦晣㈱㌹昲慣扥㌳敥㙥ㅡ㌰敤摥慡晢㘰㍥搸㝥㑦ㅦ搵㥣㤸㠷ㄳ愳昶㜳㉥㥣㘸昲㜷搳㈷㥢㌸搷捣㠶戳搱慣摦㥦づ晢ㄲ挱㐴㐵つ挲㜶昶ㄴ㠷㥢㝡㔵昶搰扡挶㜴搳㍣㌹攷愹捡㡥慥慢㙦捤㌴㑢愳㍡㡢㝦搶㜹㥢戴㝢㘵昷㥦㡦ㄳ摥㤴㜵㝡搴㌷㕢㥢㘹㙥挵㠹㘲敢㠲昶㜳愶敤㐷㈶㕡㌲敤捤㈱㜶散㤱㑤㜳ㅡ搳㉤摢戹ㅢ愷戴㈶㕡㌳摢ㄶ摡摡㠳ㄴ戹㑤挱㐹㘴愶㐵㔲摡戱搰㙤㕡愲㝥㑥㘶挴晣㍡换扣㐳㠱ㄹ愷㤳㑤挹搲搶搱捤㤹攳㜳搶愲㡣㐶攰ㅡ㘷慥挴㉥敡愵㘵戲昲慡愹㥤搵搴㤲㘹㤴昴㠶㌴㑣慡㑢ㅤ㤷㘹㥥㤲攱ㄵ㔲㈶㉤㕤摤㠲㈶晢㥣㜶挸挴㐶㜴ㄴ㘷愹改㥤㥣㕡ㄶ㍡搳㤸捥愴㤱敦㙣㔴㜹挱搴㐴戲㍥戳㘵ㅥ挴㕡㈷っ摢攴愹㐷㌷愵收戴搴㌶㌵戶㌶㌷搵攷㕢㐶愴攷㈶㜰ㅥ㥤㥥搰㤴捥㜴㤷㥦㌲㑢慡戲㙥摤㤴㉡ㅢ攴㜶㐲捡搸㉤㍣㘵㜵㙣㈴㍣㌱敥ㄸ散搸㠸〸㜶㍤搵捤㐵挶㠲㘳㈳㈳㝥户づ㌳㜱㙥㠴㐴晢㍡㐴扢㙣愴㜴摡㍡㝦挷ㅢ㍡ㄹ晣㠰㠷晡っ昷捡昲〱愵㐳戶㙦㤷㥢挸搴挱ち㉦㠸㠹敥愰㘸ㄲ㌶户敤㜵㉤戸扣㝣㜳扢昷晢捦挵搵搲搸㐴㘳扡㍥搳摣攱攵扣㘲㐶收㕦㈸敥愷㔸㑤昱〰挵㠳㄰ㄵ愳㜰㡣㉢㔹搱敥㐰愸昹㙡㐱挵扣扡㜴敢㉣㘳㔶愶敥㤸㔹慤搰㘱ㄸ愰戲㤲攵㉥晡㌱搷㐰㘵㍥㑣昱〸㠴挷㔳㘶戴攱㝦㤹攱㌱ㅦ攵扦戵㄰㔵㈳收戴㌶搵搸摢㠲㐷㔵昴㠷敥晦㝥戵㔶づ㉦㔳㉥づ㜱昵摥㔲搱㠰㙢搰㤶㙥摤摣㑡㌱㌶搱㌲慢㤵㝢㘱挷㐶挶㕢㐷昱ㄸ㐴搵攳㄰〷㡤捤搴㘳ㅦ晥㙦㕤昸㔷散㡣㤸㥢扣挰攴搹搵㤶つ㔳ㄶ㌴愶㘶㌵㌷㌵㘲昸㘵㔴愲㌵㌱㈲㠵慢攸ㄶ㤵㌰ㅡ挶㌷搵捥㘹㌵ㅡ挶搶攱㕦㔵挳攴捣散㑣愲戵ㄶ挷攸搶㕥つ攳㜱〵㉥〷搱㜱改昹ㄵつ搶挵昳愸㑣㑢捡攴㔵昶㌸ㅣ㤳收ㅢ㔸挲㐱戶慡㠱㐷㤹捣晣㔶㠶敥搱㌰㈹㠱慢昴㔶ㄳ愰㈱攲㘵㉤搱戳㤷攸戴户挷㙥㈱㠲㔷ㄶㅤ㔱㝡㡡挲㡡㔴挶捤〶㙦㥦㜸挳敤㙥换挲摤攷㤰搶扡晡㤶愱㜶㜹㠷㡥㙡挲㈸㑣㐶〶愰㔸㜶挳挰搶㘵㜴㐸㔶攱㕥捥换昴㠹愹愴ㄵㄶ愹㡣㘹㙥㥡㌳㝢㐷挴晡㙦挵㘱慣㌲㜳㍤挴㡡㉦㙥搹㝢㤷㍦摤昹㥢晤晦㘴散㍦昲㘳敥㐴㐴ㅢ〴㥢昸㈷㍦收㕦昱捦搳㤱慤㘲〰㄰慥㠷搹ㄲ㈳ちㄵ挰㔷㌵愰户㔳㥢㌳㌲㐴㔲㈹㡤〵戳㌳扤ㅡづ㙤㙡㍥㉥搹搴㜴ㅣ挹敦㉤慤㤶㔹㤹㑣㉢挷ㅤ㝡摡挳㉣㕣㔶㑡㜵敢㤶㌷愸攰ㄸ愰攸㠷昸挶㌳㄰扤㐶搴搷搷攸㠸㉤挶戳㔰㜵挳摢㠹昱ㅣㄶ㘲〱㕦㈰㔴㔳㍢㘵昲㠸㥡愹㤹㠶搹昵㌸て愸〹敦㔲搳搰㤴慥〹㉤㍡㘸挴戴搱㈳㙡㙢㌲改扡搶㍤昶搸挳ㅦㅣ㜱挸ㄸ挲㠷捥慦㙦㤹慦㝣愸づ挷て搶㔶㉣㔸ㄹ㍢扤㙣昸敡昷搷昴改昱搷㘷㠲㙡㑦摢㔰㌴㑡㌱㄰敢慢挱换㝣㥥攲〵㡡ㄷ㈹㕥愲㜸ㄹ㐲敤〶㔷ㅥ挸戰㥣晦㘳扥㠲戶昹㉡挵㙢㄰㌸ㅣ〹㐳㌸ㅡ扤㠱愶昱㈶㐴挱搱㐸敤ちㅤ㡦㐸收〶㡡户㈰搴㙥㄰摣㜷换捣户㈱㑡㙥〰㠳㠸㘸㠳㐰㈶戹㔴捣㜷愱昰㤸ㅤ搸搴㘰㈰戸ㄱ㤸㉣扡挹㌲㥢㉣戱摡ㄲ㘱㕣㉢戵㠵㙤㈸ㅡ㠲搹ㅤ㙥㌵昴晦㠴攲㔳㡡捦㈸㍥愷搸〸愱慡攱敡㕥愹㉦㠹昹㡡攲㙢〸㐷愵扥愵㡥㤵昲㈸戵〷晥㐹㜱扥愷昲〷〸戵㈷㠴㔵㥣ㅦ戱㔴戲㌸㐳改搰〶㠱〴摡㡢昳ぢㄴㅥ戳〳㥢昲〱攱㔶㥣㥦㝦㉤㔱㥣㥦㙣㐳搱㤰㔲〰㤱㙡昰㌲つ〵搱㠳愲㤲挲愴昰㐰愸㙦攰敡㕥㥣㉡㘲㝡㔱昴㠶㜰ㄴ挷㑢ㅤ摦搴㔰㥣㈰晥昵攷ち晡㔰戹㌹㠴ち愳㘹ㄵ愷㉦㥡㈵㡢ㄳ愲㔷ㅢ㐴㕥㜱戶㠲㡢挷散挰愶㈲㜰㜱㉢捥㍢愵㡡昳㉦摢㔰㌴㐴ㄶ㐳愴ㅡ扣捣ㅡ慣搴散㑦戱ㄳ挵捥ㄴ〳㈰搴敢㈵㡢㌳㤰㤸㕤㈹〶㐱㌸㡡㌳㤸㍡㝢换㠹㈳㜸㝦慥㘰㜷㉡昷㠰㔰㝢愳㘹ㄵ㘷㈸㥡㈵㡢戳ㄷ扤摡㈰昲㡡攳㠷㡢挷散挰愶昶㠱㡢㕢㜱㥥㉣㔵㥣㈷㙣㐳搱㤰摦扥㠸㔴㠳㤷戹ㄷ㔶㙡敥㑤戱て挵㌰㡡㝤㈱搴愳㈵㡢㌳㥣㤸ㄱㄴ㈳㈱ㅣ挵ㄹ㐵㥤扤攵散㠷攰晤戹㠲搱㔴㡥㠱㔰㈳搰戴㡡㌳ㄶ捤㤲挵ㄹ㑥慦㌶㠸扣攲ㅣ〸ㄷ㡦搹㠱㑤㡤㠴㡢㕢㜱敥㈸㔵㥣摢㙤㐳搱㄰收㈸㐴慡挱换㥣㡡㤵㥡㠷㔰㑣愳㌸㤴攲㌰〸㜵㘳挹攲ㅣ㐱捣㜴㡡㈳㈱ㅣ挵㤹㐱㥤㕤㥣晤ㄱ扣㍦㔷㜰㌴㤵〹〸挵搱㔰慢㌸㐹㌴㑢ㄶ㘷㌴扤摡㈰昲㡡㤳㠱㡢挷散挰愶挶挲挵慤㌸ㄷ㤷㉡捥㐵戶愱㘸㐸昶〰㐴慡挱换㙣挴㑡捤㈶㡡搹ㄴ挷㔳㌴㐳愸㜳㑢ㄶ愷㤵㤸㌹ㄴ㜳㈱ㅣ挵㤹㑦㥤扤㕢ㅤ㠸攰晤戹㠲㠵㔴㥥〰愱㈶愰㘹ㄵ攷㐴㌴㑢ㄶ㘷㍣扤摡㈰昲㡡㜳㌲㕣㍣㘶〷㌶㜵㄰㕣摣㡡戳戰㔴㜱ㄶ搸㠶愲㈱收㐹㠸㔴㠳㤷㜹㈶㔶㙡㥥㐵㜱㌶挵㌹ㄴ㑢㈱㔴㑢挹攲㉣㈳收㍣㡡昳㈱ㅣ挵戹㄰㑤攳㈲㠸挲昷㜵づ㘱昷攷摡㉥㠶搱扣〴㐲㑤㐱搳慡搴愵㘸㤶慣搴㘴㝡戵㐱攴㔵敡ち戸㜸捣づ㙣㙡㉡㕣摣㉡㜵㜴愹㑡捤戴つ㐵攳攷搳㄰愹〶㉦㜳㈵㔶㙡㕥㑢㜱ㅤ挵昵ㄴ㌷㐰愸挳㑢㔶敡㈶㘲㙥愶戸〵挲㔱愹摢愸戳昷㌱づ挹昷攷ち敥愰昲㑥〸㜵㌸㥡㔶㜱敥㐲戳㘴㜱づ愳㔷ㅢ㐴㕥㜱敥㠱㡢挷散挰愶㡥㠰㡢㕢㜱㐶㤷㉡捥晥戶愱攸㝥挰㤱㠸㔴㠳㤷昹㄰㔶㙡慥愱㜸㤸攲ㄱ㡡㌶〸戵㕦挹攲慣㈵㘶ㅤ挵㘳㄰㡥攲慣愷㡥㥢ㄱ摥搷㡦㐲昰晥㕣挱㤳㔴晥ㄵ㐲捤㐴搳㉡捥㔳㘸㤶㉣捥っ㝡戵㐱攴ㄵ攷ㄹ戸㜸捣づ㙣敡㘸戸戸ㄵ㘷昷㔲挵ㄹ㘲ㅢ㡡敥㙦㈴ㄱ愹〶㉦昳㘵慣搴晣㈷挵㉢ㄴ慦㔲扣〶愱㜶㈹㔹㥣㌷㠸㜹㤳㘲〳㠴愳㌸㙦㡢〱㔱㔱㥣ㄴ晥昵攷ち摥愱昲㕤〸㤵㐱搳㉡捥㝢㘸㤶㉣㑥㥡㕥㙤㄰㜹挵昹㄰㉥ㅥ戳〳㥢捡挲挵慤㌸㝤㑡ㄵ㘷㌳摢㔰㜴扦㘶ㄶ㈲搵攰㘵㙥挴㑡捤㉦㈸扥愴昸㡡攲㙢〸搵戳㘴㜱扥㈵收㍢㡡敦㈱ㅣ挵昹㤱㍡㝢户慡㐳昰晥㕣挱捦㔴晥〲愱㜸敢挷㉡捥慦㘸㤶㉣捥戱昴㙡㠳挸㉢㡥㉡㘷㜱㍡戰愹㝡戸戸ㄵ攷晢㕦㑡㥣㉥㝦㘷ㅢ㡡敥㍦㌵㈲㔲つ㕥愶〷㉢㌵㝢㔲㔴㔱昴愲攸つ愱扥㠰慢晢改㌲愷㠵㤸㥢㔱昴㠱㜰ㄴ愷㉦㜵昶㕢㔷ㄳ㠲昷攷ち戶愴㜲㉢〸挵㕢㔹㔶㜱戶㐶戳㘴㜱㘶搳慢つ㈲慦㌸摢挱挵㘳㜶㘰㔳捤㜰㜱㉢捥㠶㔲挵㜹搳㌶ㄴ摤㑦㙢㐵愴ㅡ扣捣〱捣㝤ㄷ㡡㠱ㄴ扢㔲っ㠲㔰晦㉣㔹㥣挱挴っ愱搸ㅤ挲㔱㥣愱搴搹挵㤹㠳攰㔲ㅣㅦ㤵㝥〸挵㕢㜳㔶㜱〲㘸㤶㉣捥㕣愶搵〶㤱㔷㥣㌰㕣㍣㘶〷㌶㌵ㅦ㉥㙥挵㜹慣㔴㜱搶搹㠶愲晢㠳ぢㄱ愹〶㉦㜳㕦收扥ㅦ挵㜰㡡ㄱㄴ㈳㈱搴㥡㤲挵ㄹ㐵捣晥ㄴ愳㈱ㅣ挵ㄹ㑢㥤㕤㥣ㄳ㄰㕣㡡㜳〰㤵〷㐲愸㤳愰戲㡡㌳ㅥ捤㤲挵㌹㤱㘹戵㐱攴ㄵ㘷㈲㕣㍣㘶〷㌶戵〸㉥㙥挵戹愵㔴㜱㙥戶つ㐵昷㍢ㄷ㈳㔲つ㕥收㘱捣晤㜰㡡㈳㈸愶㔳ㅣ〹愱慥㉤㔹㥣ㄹ挴捣愴㌸ㅡ挲㔱㥣㈴㜵㜶㜱㑥㐱㜰㈹㑥㥡捡っ㠴㍡ㄵ㉡慢㌸㔹㌴㑢ㄶ㘷〹搳㙡㠳挸㉢㑥ㅤ㕣㍣㘶〷㌶㜵ㅡ㕣摣㡡㜳㝥愹攲㥣㘷ㅢ㡡敥摦㥥㡥㐸㌵㜸㤹捤㔸愹搹㐲搱㑡㌱㠷㘲㉥㠴㍡慢㘴㜱收ㄳ戳㠰㘲㈱㠴愳㌸㈷㔲户ㄶ㔱昱㙥挵㕢挲㔲㥣㐵㔴㥥っ愱捥㠲捡㉡捥㘲㌴㑢ㄶ攷㑣愶搵〶㤱㔷㥣㔳攱攲㌱㍢戰愹戳攱攲㔶㥣戹愵㡡㌳挷㌶ㄴ摤㡦㕥㡡㐸㌵㜸㤹㑢㤹晢戹ㄴ换㈸捥愳㌸ㅦ㐲㌵㤵㉣捥㠵挴㕣㐴㜱㌱㠴愳㌸㤷㔲户ㄶ㔱㔱㥣㜳昱㑦㡡㜳㌹㤵㔷㐰愸昳愰戲㡡戳ㅣ捤㤲挵㔹挶戴摡㈰昲㡡昳㈷戸㜸捣づ㙣敡㝣戸戸ㄵ攷挸㔲挵㤹㙥ㅢ㡡敥慦㕦㠸㐸㌵㜸㤹㌷㌰昷ㅢ㈹㙥愲戸㤹攲ㄶ〸㜵㐸挹攲摣㐶捣敤ㄴ㜷㐰㌸㡡㜳ㄷ㜵㙢ㄱㄵ挵戹〸晦愴㌸慢愸扣〷㐲昱㔶扤㔵㥣㝢搱㉣㔹㥣㡢㤹㔶ㅢ㐴㕥㜱晥〲ㄷ㡦搹㠱㑤㕤ちㄷ户攲㡣㉣㔵㥣ㄱ戶愱㘸扥挰攵㠸㔴㠳㤷搹挶摣ㅦ愵㔸㑢戱㡥攲㌱〸戵㜷挹攲慣㈷收〹㡡㈷㈱ㅣ挵㜹㡡㍡晢㤸㜳〵㠲㑢㜱㥥愶昲ㄹ〸昵㐷愸慣攲㍣㡢㘶挹攲㉣㤷戴㈰昲㡡昳て戸㜸捣づ㙣敡㑡戸戸ㄵ㘷㔰愹攲散㙡ㅢ㡡收㍦㕣㠵㐸㌵㜸㤹慦㌱昷搷㈹摥愰㜸㤳㘲〳㠴敡㕦戲㌸㙦ㄳ昳㉦㡡㜷㈰ㅣ挵㜹㡦扡戵㠸㡡㉤㘷〵晥㐹㜱㍥愰昲㐳〸㜵つ㔴㔶㜱晥㡤㘶挹攲㕣つ㔸昱㤶昳㌱㕣㍣㘶〷㌶戵ㄲ㝥㙥挵改㕤慡㌸扤㙣㐳搱㝣㡥敢㄰愹〶㉦昳㙢慣搴晣㠶攲㕢㡡敦㈸扥㠷㔰㍤㑡ㄶ攷㐷㘲㝥愲昸ㄹ挲㔱㥣㕦愹戳户㥣敢ㄱ㕣㡡挳挹ㄹ愶㠲㔰㥣ㅡ㘲ㄵ愷ㅣ捤㤲挵戹㠱㘹戵㐱攴㙤㌹㥣戳敡㌱㍢戰愹㥢攰攲㔶㥣慦㝦㉥㜱㠶晣㤵㙤㈸㥡㥦㜲ぢ㈲搵攰㘵昶挶㑡捤㙡ち㉦挵㘶ㄴ㝤㈰搴愷㜰㜵㍦㐳敥㑢捣ㄶㄴ㕢㐲㌸㡡戳㌵㜵㜶㜱㌸攵㐵㡡戳㉤㤵摢㐱愸摢愱摡ㄹ慦㌲㜳㝢㌴㑢ㄶ攷㌶㈲摡㈰昲㡡搳て㉥ㅥ戳〳㥢扡〳㉥㙥挵㜹慤㔴㜱㕥戵つ㐵昳㙤敥㐲愴ㅡ扣捣㐱㔸愹戹ㅢ挵㘰㡡㈱ㄴ扢㐳愸ㄷ㑡ㄶ㘷㈸㌱㝢㔲昸㈰ㅣ挵〹㔰㘷ㄷ㠷㔳㜸愴㌸㈱㉡挳㄰敡ㅥ愸㜶挶ぢㄳ㐲搱㉣㔹㥣㔵㐴戴㐱攴ㄵ㈷づㄷ㡦搹㠱㑤摤ぢㄷ户攲戴㤵㉡捥㈳戶愱㜰晥㔰〵敦挶ㄷ摥ㄲ㤵㐹挴戹㤹ㄵ㡥㌹ㅢ扤〱㌶戲㠷㌴搶戵戶昴捣昲搶昹攸扡搶㔱㉤慤㔵㔹〸㉣㡡换戶㌲〹挱攱㌴㈴㍢慤㉥㌳㙦㉡㙥ち昶㉢㌶㘱㝥㜵敤㥣㤶搶㈶戹摢扢㘳戱㝤㔴搳㐱㑤慤愳敡㕡㜰㕢㙦挱〰ㄷ戳㘵㌹㜴㔶愶ㄱ戳㘲㥡㌱㌹㘶㔳愰愶搹戳㌳㘹㤷ㅣ愷㌴捤㘹㑥㘵挶㡤晡㕦㤸㔷愳慣摢搶㘵戸㌳慡ㄴ㠶㐵㑡捦㈳㜱搴㝤〷㜰㔳㡥扢愹敡㜷㑥换㘸㠳㝦㤹㔹㡢㑤慦っ㐱戰愹㥢愳戸ㄹ㝡捡㉡敥㠷慡攳㑤挴㌱㔳愷㈷挰㥥㉣㘸戵㜴扤散愹㘰攳ㅡ㕢敡搲ㄹ㡦摤㥡㔰搷搸摢㕥㥣㌸愷㌵捦㤲㤸扦戹㙤挱㉤摦㠹㡤愰㍥㤵㘸㑥晦㉦戰㠲㡥攱挷愲㐴ㄹ昸晤㝤㠵戶挲㤴㤵㙤搴捦挱㙣㍣ㄹ㍢晢晥㜶慤㔷挳散㝡〷㍥户㍢㘲挱㌱搱愹ㅡ昸㕥㉣㜷㑥㕤挹搶㠴㑣愲㔱㔸㤸搲㥡ㅥ㤵㤹摢㕢㄰ㄹ㙣攰㜸慣愱㍥戳㜹㝥㔳㈶㘲㤸搹ㄱ挹㤶愶晡㌹慤㤹摥戹㈵搹搱捤散攴っ敥愹㘳搲㕡㔵㙥㘹㔲慡ㄵ搳晡㜲昱㌸㈱敤㝦㠷㈱㔴愴扢捤㤲ㄲ㥥㡣づ㌶摥晣㑥㜰ㅦ晡㥤慣慡戲戲慣晣㝣戶㥦㕡㝥〵㝦㙥摥慦㑣㉦㜸昸㔳㔶昱〰挲㜷㝥㔶ㅡ昷愴捤昵㘴㐹敢〸㈷〷慦㉡慤攳㠴戰㕥㔹㌹敥㘱搶㈷㥦㘸愹收慥㔳㡦挷㡤㕡敢㔲㠹晡晡〵扤戳攳ㅡ㔳昵㜳搲㤹昱㠹㘴愶㕥ㅦ戳㥢㥡ㅢ晥㐷昸敡㡥慡搹㝢㔴〷㜵戱愷㘷㡤挳㘳㘰㝡づ摣敦㍥捣㈹㜳㌴昶㌴㘳っ㐴挵戰摡〹㐱ㅦㄲ昰㤸㘳敤扤㡦搳搰晥捦ㄳ〱㍤㜰敡搳㍥㡤㔵ㅥㄷ挲〱慥㐸挵㈳ㅢ攷㐵攵收ㄲ捡㝥攷㠰㡤㙦ㅡ摦㠴㜹㥥㘹㠷㙡㙣㥤愵晡㥦搹扢㘴挷㌲っ攳昷扥捤愰㔶昸搹㘸㑦扢挰愱捦㙡敦挷㜷ㅡ敥㈲㙢搰㉥㥣㔱攵㌸ㅤ㤱㌳〰㌹ㄴ㝡〱慣收㜱捣㍡㝤㤸㕡搷㕡㥦改㤹ㄵ扢㉣㔷㜲挷㘰㌵㝢㘴愷捥挲散愴㔱扤戲㘳㥡敢搲昵㜵㡤ㄹ㥥㡡㘰摥㌱ㅦ搱ㅡ㥦㌹〶㌳㘴㈷㌵戵搴昱挹挳㕥搹愹捤㠹挶㤶搹㥣㠴㤶㕡搰㈷慦㈵㘴㔵㘴㐷搶㌵㘲㌷戲搶挹攵敡散㤴㔹㑤昳昰昰攲㥣㠶挶㌱㠹搹㉤晦ㄳ㐴㜱慦戲㝥慣攳㘰戹㉡㉦㔷㤵攵㤵扦昷ㅤぢ㕢㌸㐲〶㄰戲㥣挲愶敡㘱㉣㜵戰搷㤲㈵㝢㝥㌲昷㕡收㤴昷㈰㥥敢晣挸摣㤳㥦㍣ㄲ㥢攳戰㕢㔶ㅤ〰㜱挰㤸㐳挶戵捦㙡晦晦㝡㡣戲攲ㄱ㐴敥攰つ㐱㌶㡢摣ㄴ摡㉤〰敥㙤㙤㉡搴㜱换㌱㠵㜱戶ち㌷㍦㑦㔶㌰摣ㄲ昱ㅥ㑡㌸ㄷ㐷㘳㝥㘳ㄵ㜶㝣ㅣ㠰㌱㉦ㄴ㐷摥摥㔶㠳㈷㜵つ㠹晡ㄶ摢㔶摢搴搰㤰攰愶挵捤㜲ち㡥摥㤹㑡㌹挳挶㤱挴捣㐲挸昶㘷慢ㄲ昳愱㑡捣ㄷㄵ摥㤴㌹㉤㕥㤶ㄹ慢改㤸㐴㜳㕤敢慣㠶扡㔴㈵ㅢ㥣扡晥㍦戱㑤㘲ㄳ敡㡥㘲敡ㅦ搹㌰㜱扡㕡㌸〷搵㥡㌶〹扡㠷攲ち㠲愵㈳晤搸㜲换攵㥤㕣晤捥㌹挷搸㝣攵㉡换ㅣ㡦㘸ㄵ戸收㤷㔳㕣挹挵㜱ㅡ㠶㑤㔴づ㐲敡㔱〲昰㌲㈷〰慥㝦扡慦挳㔲㠷㌳㐱㝢〰攰ㄹ摦㤴㐸㡦挶搳つ㑤捤㍤散挷㝥㉢㐱㉤て㈹捤㕥捥晥慤挵扣㜹捣挷㥦㡢戳攱收㑡㉡愶㘰㕥㙤㜷捥ㅢ㌶㉣づ昹㠶㔸㔶㔱搱戳搲㙤㕤攳㜴慣〱昶㉣㐹攷㘳搳攳㡡攲㝦㜲㜰㡣昷㍣搰㉤㜶挴㍣〸搲㥣〸愱ㅥ㐳㤳晤㈹〰㑣㈲攰㘰㠸㡡昵㌰ㄶ敥㈵㈵㘷捡挲愱慣愲㠱㌳㜸㉢ㅢ搸ㅤ㥣㜴ㄸ㤸搷㡢㤹挰㈸㠹搱戳昲㜱搸捤挹㐰㍤昳昴搳挳戰㕣愶㌸ㄵ㜵ㅤ㕥㕣晦㔶昸敦昱戰㜸收ㄴ㘰捣愹㄰敡㜹㌴㜹㘹㉡戴㘱ㅡて㜴晡戲攴㔰㉣攳慤㐲扤〰ㄵ㉦㑤昴㡦㠳㐹扣愵ㅦ㘶愳㕥㠴㤹㈷搵㈴㜴㔳㈷㘸敡㈵攰㜸㤲愶捣挳攱㙥ㅣ〱㔱㌱㙣挴戴㐸ㄴ㍡㡦㌹摤づ昹㌲㕡㍣㔳戰㝥㑡扥㤷愹㔷〰攰晢㔹㤹㜱㈴㍣㜷慣㙤㙡㘹慤搱㡦㈷搷捣摢戳愹㘶㜲㕤换㜱㌵㍣慤搹慢挶㉦〹ㄶㅣ㘲搵慢㜰收㘱搶㍣ち〱搴㙢㔸攲搱㉢户㌵捦㘴㝥㥢摣㥡摦㄰て〴㌹㥡㐱散㠶摡㠰㠵㜵㜸ㄵ㙣〱〹㘰捣㈴㠱㙦戹〳㔲〴愴〹㜸ㅢ〰㙥㈶㘶〶慤ㅣ戳敦㍡摣ㅣ捣㘶改㜶っ摤㍥〱挰挱㙣ㅤ㜴㥡搹㘳戱㑣㘶㍦㠵慡㌴戳挷搹愸捦㠰敡㌴戳㥦〳㙣㌱㕢て㜷愳〱㠲捣㠶㠲搰㝢捣㐶㍢攴㐶戴㍡挳散㤷挰〹戳㈶㤹㐵晥㐵敦㡥敡㉢愸㠵扡搹㐰愸慦搱捡愳慥㤹〹㙣㤲扡㙦慤搸戸晦挴㈰㜶㐳㝤㡦㠵㜵㜸ㄵ㔰挷㑦㑢㌰攷㄰昸㠳㍢㘰㉥〱昳〸昸ㄱ〰愱㙥㍥㕡㌹敡㝥㜱戸㌹愸㕢㐰户㠵㜴㌳㤰㠲㠳扡ㄳ愱搳搴㥤㠴㘵㔲搷〳㤰搲搴㉤戲㔱㤵㐰㜵㥡㍡㑥㡡戵愸㍢ㄹ敥挶㘲〸㥥扡㠷㘲㔸扢挷㍣挵づ改〱慡㌳搴㜱晡慣㔰攷㝡㔲愳㌸戱㔶㘸㕢㠲戸慡㌷㕡㜹戴㥤挶㤵㙦㤲㌶㉦摣昰㤷晦晥愱㌸ㄵ㜷ㅤ戴〵戴㥤㡥㤰收ㄹ㕣摢收敥㠰㌳〹㌸㡢㠰扥〰〸㙤㘷愳㤵愳㡤㜳㜳搷搹㜱ㅤ戴㥤㐳户愵㜴慢〱挰㐱摢㌲攸㌴㙤攷㘱㤹戴昵〷愴㌴㙤攷摢愸㥤㠰敡㌴㙤㍢〳㙣搱㜶〱摣㡤ぢ㈱戸挷㠵攳㔸扢挷扣挸づ㌹〰愸捥搰㌶㄰戸㑤散㜱扢〲㈲搴㕤㠲搸㙡㄰㕡㜹搴㕤挶〴㌶㐹摤㘰戸攱慦捣扣㥣㐱㔸㈸扥㌸㔱㜸ㅤㄶち愸扢〲ㄸ㜳㌹㠱㥣㐴散〲昸㈳〱㔷ㄲ㌰ㄴ〰愱敥㑦㘸攵愸攳捣㘱敤收愰敥㉡扡慤愰摢㕥〰㌸愸扢〶㍡㑤摤㑡㉣㤳㍡捥〱㉥㑤摤戵㌶㙡ㅦ愰㍡㑤ㅤ㈷ㄳ㕢搴㕤〷㜷攳㝡〸敥㜱攱㌰搶㡥㍢ㅡ㜶挸㝤㠱敡っ㜵挳㠱敢㘰㡦ㅢ〱戳搰㜶㈳攲慡㤱㘸攵搱㜶㌳㔷扥㐹摡㐶挱つ㝦〵㝢摣㘸愸搶ㄵ搳㜶㉢㐲㥡户㜱㙤㘳摣〱户ㄳ㜰〷〱㘳〱㄰摡敥㐴㉢㐷ㅢ攷㌴慦戳攳㍡㘸扢㡢㙥㜷搳㙤㉡〰づ摡敥㠱㑥搳㜶㉦㤶㐹ㅢ㘷㈷㤷愶敤捦㌶㙡ㅡ㔰㥤愶㡤搳㥣㉤摡敥㠳扢昱ㄷ〸㌹㔰昲慣挲㘳摥㙦㠷攴㍣攸捥搰㜶〴㜰ㅤ搰挶愹搲㐲摢㙡挴㔵㐷愲㤵㐷摢㠳㕣昹㈶㘹㥢〱㌷晣ㄵ搰㜶㌴㔴敢散昲㌲㠴㝤昶扡〶㈱捤㠷戹戶㠴㍢攰ㄱ〲摡〸㐸〲㈰戴㍤㡡㔶㡥㌶捥戶㕥㘷挷㜵搰戶㤶㙥敢攸搶〸㠰㠳戶挷愱搳戴慤挷㌲㘹攳扣改搲戴㍤㘱愳㘶〳搵㘹摡㌸〱摢愲敤㐹戸ㅢ㝦㠵㤰㔳㤳〸扢㙥㍥㘵㠷攴っ敤捥搰挶ぢ敤㑤ㅣ㈸㌹㤱㕢愸㝢ㅡ戱搵㕣戴昲愸㝢㤶〹㙣㤲㍡捥晣挶ㅦ㥥て㘲㄰ㄶ㡡慦㠵㤰敢戰㔰㜰愰晣㍢㌰收㍦〸攴戴㜰ㄷ挰昳〴扣㐰挰㠹〰〸㜵㉦愲㤵愳㡥㜳挱戵㥢㠳扡㤷攸昶㌲摤捥〴挰㐱摤㉢搰㘹敡㕥挵㌲愹攳慣敥搲搴扤㘶愳捥〶慡搳搴㜱㝡戸㐵摤敢㜰㌷摥㠰㈰㜵㠱㄰搶敥㌱摦戴㐳㜲晥㜸㘷愸㕢〶㥣㔰㘷㙣㠰攷敦戹㕥攰㉣㜴㘱昶㉤〴㔰攷愳㤵挷散扦㤸摦㈶㤹攵戴㜵晣㘱㈲〱㠳戰㡥㝣㕤っ戹づぢ〵捣扥ぢ㡣昹ㅥ㠱㥣挶敥〲㜸㥦㠰て〸戸ㄴ〰㘱昶㐳戴㜲捣㜲敥扡㜶㜳㌰晢㙦扡㝤㐴户㤵〰㌸㤸晤ㄸ㍡捤散㈷㔸㈶戳㥣㠵㕥㥡搹㑦㙤搴㜵㐰㜵㥡㔹㑥㘷户㤸晤っ敥挶攷㄰㜲㉣㡤㘳敤ㅥ㜳愳ㅤ昲〶愰㍡挳散㑤挰㜵㜰㉣攵㤴㜸愱敤ぢ挴㔵户愰㤵㐷摢㔷㕣昹㈶㘹攳ㅣ㝡晣ㄵㅣ㑢敦㠰㙡㕤㌱㙤摦㈰愴昹㉤搷挶〹昶㉥㠰敦〸昸㥥㠰扢〰㄰摡㝥㐰㉢㐷ㅢ㘷搵㙢㌷〷㙤㍦搲敤㈷扡㍤〴㠰㠳戶㕦愰搳戴晤㡡㘵搲挶昹昱愵㘹晢捤㐶㍤っ㔴愷㘹攳㐴㝢㡢㌶摥㐲㌵㌸攴㈴挷㔲㡢戶㜲㌴戹攲㌶愰㍡㐳摢㕡攰慣㘳㈹㜷㐸攴㕦㝣㤹挷〹晢㐲ㅤ㍥ㄳっ挳㉡㘸攵㔱㘷㌰㠱㑤㔲户ㅥ㙥昸挳㤳㠰っ㘲慤愸㑣㍤㠹愵㜵㘸ㄴ散㜱㤵挰㤸晣㜸㍢挵改晦㉥〰て〱㍤〹㜸ち〰愱慥ち慤ㅣ㜵㥣昳慦摤ㅣ搴昵愲㕢㙦扡扤っ㠰㠳㍡㉦㜴㥡扡捤戰捣ち㜲昶㝥㘹敡晡搸㈸㑥敦敦㌴㜵㝣っ挰愲㙥㜳戸ㅢ㝤㈱㠴扡㈸搶敥㌱户戰㐳扥〶㔴㘷愸㝢〳戸㑤扣つ昲㜱〲愱㙥㉢挴㔶ㅢ搰捡愳㙥ㅢ㈶戰㐹敡摥㠶ㅢ晥昰〹㠰っ挲㐲昱昵づ愴㉥㌱㐳搸㘷㌰摢〱㘳㙥㑦㈰ㅦ㑥㜰〱散㐰挰㡥〴扣〷㠰㔰搷て慤ㅣ㜵ㅦ㍡摣ㅣ搴搵搰慤㍦摤㌶〲攰愰㙥㘷攸㌴㜵〳戰㑣敡昸㙣㐱㘹敡㜶戱㔱㝣昸愰搳搴昱㈱〵㡢扡㠱㜰㌷㜶㠵攰挱㌲㘸㕤㉦っ戲㐳㝥つ㔴㘷愸晢ㄶ戸づづ㤶㝣搰㐱㘸摢つ㜱ㄵ㥦㜸挸愳㙤〸㔷扥㐹摡㝥㠴ㅢ晥ちづ㤶㍦㐳攵挲捡ㅥ〸㘹づ攵摡昸搸㠴ぢ㘰㑦〲㝣〴晣ち㠰搰收㐷㉢㐷ㅢ㥦㤵搰㙥づ摡〲㜴ぢ搲捤〳㠰㠳戶㌰㜴㥡戶〸㤶㐹ㅢ㥦㝡㈸㑤㕢搴㐶㔵〱搵㘹摡㝡〱㙣搱ㄶ㠳扢ㄱ㠷攰ㅥㄷ戱捥㕥昶戲㐳昶〶慡㌳戴昱㐱㡢㑤散㜱㝣っ㐳愸摢〷戱㔵ㅦ戴昲愸摢㤷〹㐰㈹㕤挷扦扣㌹ㄲ㈸慣㌵㌸摦ㄷ〸㌴㌰㥢㥦㐱戰㈰㉦㍥戸愱㑢捣㄰昶ㅥ㌷ㅣㄸ㜳〴㠱㝣愸挳〵㌰㤲㠰㕡〲戶〶㐰愸ㅢ㠵㔶㡥㍡㍥挹愱摤ㅣ搴敤㑦户搱㜴ㅢ〰㠰㠳扡戱搰㘹敡挶㘱㤹搴敤〲㐸㘹敡づ戰㔱〳㠱敡㌴㜵㝣戸挳愲敥㐰戸ㅢ攳㈱㐸㕤搸ㅡ捥㥣㘰㠷ㅣ〴㔴㘷愸ㅢっ摣㈶愸攳㐳㈲㐲摤㐴挴㔶扢愳㤵㐷摤挱㑣〰捡㡥愹ㅢち㠴㔰㌷㤹㐱㌴㜵㝣慣㐴㤷㤸㈱㙣敡愶〰㘳㑥㈵㤰㡦㥣戸〰づ㈱㘰ㅡ〱〱〰㠴扡㐳搱捡㔱挷攷㑣戴㥢㠳扡挳攸㜶㌸摤昶〵挰㐱摤㜴攸㌴㜵㐷㘲㤹搴昱敥㐹㘹敡㡥戲㔱挳㠱敡㌴㜵㝣昴挴愲㙥〶摣㡤㤹㄰㐲㥤㌵ㄳ攱㘸㍢㈴㥦㑤改っ㜵愳㠰摢〴㜵晢〳㈲搴㈵ㄱ㕢㡤㐶㉢㡦扡㌴ㄳ㠰戲㘳敡挶〲㈱搴㘵ㄸ㐴㔳㜷〰戴扡挴っ㘱㔳㤷〵挶㍣㠶㐰㍥㄰攳〲㤸㐵㐰ㅤ〱攳〱㄰敡㡥㐵㉢㐷摤㐴㠷㥢㠳扡攳攸㔶㑦户挳〰㜰㔰搷〸㥤愶慥〹换愴㡥捦戳㤴愶㙥戶㡤㍡〲愸㑥㔳挷〷㘳㉣敡㡥㠷扢搱っ㐱敡㠲搶〱戳挵づ挹㈷㘷㍡㐳摤っ攰㌶㐱ㅤㅦ戰ㄱ敡收㈰戶㍡ㅡ慤㍣敡收㌱〱㈸㍢愶㡥㑦攴〸㜵昳ㄹ㐴㔳㤷㠶搶㠵㤹〵挰㤸ぢ〹捣戸〳㑥㈰攰㐴〲戲〰〸㜵㈷愱㤵愳㡥捦攸攸戸づ敡ㄶ搱敤㘴扡㌵〳攰愰敥ㄴ攸㌴㜵㑢戰㑣敡昸戴㑤㘹敡㑥戵㔱慤㐰㜵㥡㍡㍥戶㘳㔱㜷ㅡ摣㡤㍦㐰挸昵㥣㌵挸㜲扡ㅤ㤲捦昵㜴㠶扡昹挰〹㜵敥㌷ㄱ昸攸㡦搰㜶〶攲慡㠵㘸攵搱㜶ㄶ㔷づ㘵挷戴昱㔹㈱愱捤㜹ㄳ㕡㉤㠲㔶㤷㤷㈱散㍤敥ㅣ㠴㌴㤷㜲㙤㝣㤰挸〵㜰㉥〱换〸㔸っ㠰搰㜶ㅥ㕡㌹摡昸昴㤰㜶㜳搰㜶㍥摤㉥愰摢㔲〰ㅣ戴㕤〴㥤愶敤㘲㉣㤳㌶㍥〷㔴㥡戶㑢㙣搴㌲愰㍡㑤摢㜹〰㕢戴㕤ち㜷攳㌲〸愱捤㍡㔸㕥㙥㠷攴ㄳ㐷㥤愱敤㐲攰㍡愰㡤て㈵〹㙤㔷㈰慥扡ㄸ慤㍣摡晥挸㤵㐳搹㌱㙤㝣㡡愹㤸戶换愱搵攵㘵〸㥢戶㍦㈱愴㜹ㄵ搷挶㐷㥣㕣〰㉢〸戸㥡㠰攵〰〸㙤搷愰㤵愳㡤捦㌵㘹㌷〷㙤㉢改㜶㉤摤㙥〰挰㐱摢昵搰㘹摡㙥挰㌲㘹攳ㄳ㑡愵㘹扢搱㐶摤〴㔴愷㘹攳愳㑥ㄶ㙤㌷挱摤戸ㄹ㠲戴㠵㉤摡㙥戱㐳摥〲㔴㘷㘸扢つ戸づ㘸攳攳㔲㐲摢慤㠸慢敥㐰㉢㡦戶摢戹㜲㈸㍢愶㡤捦㔷ㄵ搳戶ち㕡㕤㕥㠶戰㘹扢ㄳ㈱捤扢戸㌶㍥㝣攵〲戸㥢㠰㔵〴摣ぢ㠰搰㜶て㕡㌹摡昸挴㤵㜶㜳搰㜶㉦摤晥㑣户㌶〰ㅣ戴晤〵㍡㑤摢晤㔸㈶㙤㝣㜶慡㌴㙤慢㙤ㄴㅦ慥敡㌴㙤㝣〸换愲敤〱戸ㅢて㐲挸愹㐹㡣㕤㌷ㅦ戲㐳㍥〶㔴㘷㘸㕢て摣㈶摥摦昸㌰㤷㔰昷㌰㘲慢㈷搱捡愳慥㡤〹㐰搹㌱㜵㑦〱㈱搴㍤捡㈰㐴昳昵㌴戴扡挴っ㘱㔳户ㄶㄸ㜳ㅤ㠱㝣㌴捣〵昰ㄸ〱㡦ㄳ昰㉣〰㐲摤㝡戴㜲搴昱㜹㌰敤收愰敥〹扡㍤㐹户搷〰㜰㔰昷ㄴ㜴㥡扡扦㘱㤹搴昱挹慥搲搴㍤㙤愳昸攸㔷愷愹攳㈳㘲ㄶ㜵捦挰摤㜸ㄶ㐲づ㤴搶愹挹㜳㜶挸つ㐰㜵㠶扡户㠱敢㘰㡦攳㘳㘶㐲摢摦ㄱ㔷昱㜹戳㍣摡㥥攷捡愱散㤸戶昷㠰㈸摥攳㍥㠰㔶㤷㤷㈱㙣摡㕥㐴㐸昳㈵慥㡤て慤戹〰㕥㈶攰㥦〴晣ㅢ〰愱敤ㄵ戴㜲戴昱㐹㌵敤收愰敤㔵扡扤㐶户慦〱㜰搰昶〶㜴㥡戶㌷戱㑣摡昸捣㔹㘹摡㌶搸㈸㍥㤴搶㘹摡昸昰㥡㐵摢㕢㜰㌷摥㠶攰ㅥㄷ戲㘸晢㤷ㅤ昲㝢愰㍡㐳摢㡦挰㙤㘲㡦攳㐳㜰㐲摤扢㠸慤昸㌴㕣ㅥ㜵敦㌳〱㈸㍢愶敥㔷㈰㠴扡てㄸ㠴㘸㜹㜵㙢㉦㌱㐳搸搴㝤〸㡣昹㙦〲㤵㍢攰㈳〲晥㐳㐰㌹〰㐲摤挷㘸攵愸慢㜰戸㌹愸晢㠴㙥㥦搲慤㌷〰づ敡㍥㠷㑥㔳户ㄱ换愴慥ㅡ㤰搲搴㝤㘱愳扣㐰㜵㥡扡捤〰戶愸晢ㄲ敥挶㔷㄰愴㉥㡡㤹㕣㌸㔸㝥㙤㠷散〳㔴㘷愸敢ぢ摣㈶愸摢〲㄰愱敥㕢挴㔶㕢愲㤵㐷摤昷㑣㘰㤳搴㙤つ㌷愱敥〷〶ㄱ摡昰㝦㕢㘸搷愱㔱㌰搴晣㈳㌰收㑦〴㙥攷づ昸㤹㠰㕦〸搸ㅥ〰愱敥㔷戴㜲搴昵㜳戸㌹愸晢㡤㙥㘵ㄵ㜰ㅢ〴㠰㠳扡㜲攸㌴㜵摤戰㑣敡㜶〳愴㌴㜵摤㙤搴㘰愰㍡㑤摤㄰㠰㉤敡㉡攰㙥ㄸ㄰昲㍥㘷敤㜵㍤散㤰扢〳搵ㄹ敡㠶〲户〹敡昶〴㐴愸攳㌷搲㈸ㅦ㕡㜹搴昵㘴〲㥢愴㉥〰㌷愱慥㡡㐱㌴㜵㈱㘸搷ㄵ㔳搷ぢㄸ戳㌷㠱㘱㜷㐰㌵〱㕥〲㈲〰〸㜵㥢愱㤵愳㉥敥㜰㜳㔰搷㠷㙥㥢㐳㔴搴〲搰戹㈷搳㌸戵搳敢㜸㕣㤰戳愸㕢㌶换ㅥ㍣㈷㔱㡦敦㔸㤹㠸㘷㔶㕡愹晡㕦㤸愶摣摤㝡㜲愸昰㤳捦昳扦㝡〵て摤㐹ㄷ愶ㅦ戵㈳㝡㔶㔸㠳㝣慣摤户ㄶ㈲㝦摦㤳㐵㥥㡡㑦㝥晣敤户捥慤㠵㕢㐵㡦戹晣㕣摤㤹㌳换㉡戹㑥㤰挴扢㈷㈰㡣晢搲㈸㌴㘵ㄳ捡扢愶摣摦㑤㕢㌱ㅡ摡づ愶昷ㄷ㍣㤴挳愸㥢户㑦㐶收戴昳㈱昵晣〶㈷户㔹捣昹戳晣户㐲㜲㙡慣㕢づ㙡㥣搶㙥㐳っ㔶挱㔷挵㜸㘸㌷㌹㙦ㅣ㠷ㄸ㍣㠷挸ㄹ攴㔳㕡ㄷ搴㘳搶㍥ㄷ昹㔹戴搶ㄲ愷㈹㕢㘶㈴摤搴摣ㅤ㡦㕣ㄶ㝥昴㜴捥昷㍥㠴敡搹户攰愳扥挵㡤㤶〳㤰㑤挵〷愰愸愴㍦㤳㙥㘷㠵㍥晣㌱戶㐳㥦晡㑥愸㑢㌵㌷戵㌴㘵㕢㙢愶攰挹㤳ㅡ㝥昸㝢ㄶ捦㈰㡤愸㜸てㄱ㕤搷挹㡥㜵㙦攴搷ㄱ〹搱㥥攳ㅡ㥢收㌵㑡㌶ㄵ㉤晣っ㝣慥捤散搱㠳慢攱㤳㐹昲戳㌳ち攷搵㥣㝢て㐲挶㍣摡ㄸ㍢㈰㠳㕤㙡㐷搶㑥㥥ㄹっ愴㌳挹㘸㈰㤶㑥〷㘳愱㘰搰ㄷ㡢挴ㄳ晥㜸㍡收㑢晡搳搹㜸㈲㘹散㤸㠳㠶昰㕤㔴挱㔸㉣㤰挸㐶㌳愱㜰㍡㥥㑣㠶㤳㠱㜸㈸敢ぢ愵㝣㠱戸㍦敤㥤㘸㠷㌷晢挱挷慣㠱昰㑥搲慡晥㔴敤㐴搵挱㕡㐵㠰㐰慢㈷㐳挵㤴つ㉢改晦㥥昴㑥㐱㘴晣㤵ㄹ扢㘰㘵㔵戵㈳㘷捡㔴晢挹昸㔰㝡㘳㈰㌴㥢㐱㤳晦挵㑦挶慥㔰昷㠶摡昱ㄴ㡢㜷慡ㅤ挵散㡦㔰收㙥捣扢〶㑢㙡ㅡ昴㍣ㅡ㝡搴㑢㈰㡤㝢㉢搷攵㌱㜷〷㠲㝢摤愱㘸ち㉢㥡〱㔸㌱㠴改慡㍤ㅣ㕡敥㜹收㔰㌸慢改慥㤸愳戴搶㐷っ㘳昱㌵ㄳ㕡敥ㄹ敡㌹㈴挰敤㤱㙢㌱〲㠰㤴摣挸搴㌳㠰㜱㐳换摦㔰㡥㐶ㄴ㙥㘵㘶〸捥扤扡㜹ㄳ㘸换昶ㄲ㐶摢摡㕥ㄲ扥㜰㌴㤶〹㈴㤳搹㘰㌰㤴㡥挶ㄲ㈹㕦㌸㥥昵晢㔲ㄱ㕦㉡ㄳ㑢㠷㡤㐸づ敡て〵㌲昱愰て㥦扡㡣慦㌲㑢㐶搲挹㔸㌶ㄶ㑦㘰㝢㠹㈶攳挹㙣㌴攸㑤摡攱捤㈸㝣捣ㄸ㠴㌷愵㔵㜱慡昶愲㉡慤㔵㌹㔴㜵〶慡慥搹㕥戲㠸㡣㍦㝣㥣ㄶ搷捦㑤挴攴〶攱㍤㐶敢㜷愵㜱㠴ㄸ戱愴敡愰户戶㠰㌵愸㘶晢ㄶ㌰ち〸㙥〱挷挲㕥扣〵ㅣ攷慡慤㠷㔶戶㠰搱㜰㔶㡤慥㤸搹㕡㍢㤶ㄸ㘶挰㔷㌳戴戲〵晣〵㐹攸㉤挰攴ㄶ挰㈳㡡晡戳㉢搹㉤㜰ㄲ戲挷〳〷戲㕢搱ㄶ戲㈷愰㙤㤱ㅤ㐹愷晣攱㜸捡ㄷ昱挷㝣愱㠴㍦㤸昰㐵㔲搱㤴㍦ㄴ㡤〷㌳愱㔴㌸㙤ㅣ㤴㠳㈶㈲挱㔴㌲ㅥ㡣挴㔲〱㕦㈸ㅡ㡥㈵㌳扥戸㍦㤹㠹昸攲㤱㙣㈰㤳㡣㜸攷搸攱捤㠹昰㌱㈷㐱㜸攷㙡㔵㍢搹昳戴㉡㠷慡㥥て㔵搷㤰扤〰㤱昱㔷㐴昶㐲慤摦㠳挶挳㤹敦敥㔸㔲㥣昶㙥㤱㝤㝤ㅥ搹㐷〲㐱戲㑦㠲扤㤸散㐵慥摡㤳愱ㄵ戲㘷挰㔹㥤攲㡡㔹愲戵㐷ㄳ挳っ昸㍡つ㕡㈱㝢㠵㤳㙣扥愷〸搹㝦㜲㈵晢㜴㌸〹戹㘹攰㉣㜲㔳挹愴摦ㅦ㡣㈶愳改㘰㈰ㄴ昲㘱捦㑣挷〳攱㐰㉣㤴捥㐶挲搱㑣挶挸攴愰改㐰㈲ㄵ㡤昸㔳搱㑣㌲ㄵち㐵㈳挹〸搸づ昹〳晥㘸㈶㥢捡㈴㔲摥㌳散昰㘶ㄶ㍥收㌱㄰摥㌳戵慡晤挸㝦㤶㔶ㄱ㈰搰敡戳愱敡ㅡ㜲捦㐱㘴晣ㄵ㤱扢㔴敢㜹挷搴㥣捤㑣㌸㑤㔶㉤㠳摥㈲㜷㔹ㅥ戹㉤㐰㤰摣昳㘰㉦㈶昷㝣㔷敤〵搰ち戹㜳攰慣㉥㜲挵㕣愲戵昳㠸㘱〶㝣㕤〶慤㤰㝢愶㤳摣摣㥥㝣扡㉢戹㤷挳㐹昶攴ㄳ㄰ち㝢昲ㄵ㘸ぢ搹㈷愲㙤㤱ㅤ㡤挶〲ㄹ㕦㌰ㄶ昴昹挳愱㜰㉣㥤捣昸㐳扥㘸㈶㥡捤㠶㔲㐹㕦㍣㘳㥣㤴㠳愶戲㠹㘰㌶㤸㑡㘴攲愱㐸㈸㤲捣㈶戳㌸㔶愷㌲㤱㐰㈴ㄳ昳〷㈳㐱敦㜲㍢扣戹〸㍥收挹㄰摥㍦㙡㔵晢㥥捣挹敦㑣愲ㅤ㔵晤㈷愸扡㠶散慢㄰ㄹ㝦㐵㘴慦搰晡㌸㡤㘷㌲摦ㄸ换㝣つ昴ㄶ搹㜳昳挸㍥〷〸㤲扤ㄲ昶㘲戲慦㜵搵㕥〷慤㤰㝤㉥㥣搵つ慥㤸ㅢ戵昶㍣㘲㤸〱㕦㌷㐳㉢㘴捦㜶㤲㥤摢㤳ㅢ㕤挹扥ㄵ㑥㐲敥㐵〸㘵㤱ㅢづ㐶〲㌸〱㑢攱ㄸㅣづ〵㐲㤹㌸㐸挵晢㜱㈲ㅣ㑡〶㘳搸㐱㡤㡢㜳搰㡣㍦㤸㡤〰㡢ㄳ㌶㤰ㅢ㡣㈴搳攱㜴㌲捡㔳㌹㥣摡愵㤳㜱敦㙤㜶㜸昳ㄲ昸㤸㤷㐲㜸㙦搷慡昶㍤昹づ慤㈲㐰愰搵㜷㐲搵㌵攴摥㠵挸昸㉢㈲昷㙥慤摦㡦挶ㄵ捣㘴㕦㤶昵ㅥ攸㉤㜲㘷收㤱扢ㄲ〸㤲㝢㉦散挵攴晥搹㔵㝢ㅦ戴㐲敥㜵㜰㔶昷扢㘲㔶㙢敤つ挴㌰〳扥ㅥ㠴㔶挸㍤摣㤵摣㐳㕤挹㕤〳㈷㈱昷ㄶ㠴戲挸つ挴㝤㤱㔰㌰ㄵ昳昹㐰㙢㌸㄰㡡〵ㄳ晥㜰㈴ㄲづ㈵㘲昱㠰㉦㥤㌶㙥捤㐱㈳㠹㐸㈲敢捦㐶搳搹㘸㈸攴て㠷昱㜶㥣〹愶㜰㠸昷㐷戳愹㐴㌶攴㝤搸づ㙦摥〶ㅦ昳㜶〸敦㈳㕡搵㑥㙥㥢㔶ㄱ㈰搰敡㐷愱敡ㅡ㜲搷㈲㌲晥㡡挸㕤愷昵晢搳㜸ㅦ㌳ㄹ挵戲㍥づ扤㐵敥搸㍣㜲㔷〳㐱㜲搷挳㕥㑣敥ㄳ慥摡㈷愱ㄵ㜲ㅦ㠴戳㝡捡ㄵ昳戴搶慥㈱㠶ㄹ昰昵㉣戴㐲敥㐸㈷戹戹挳昴㜰㔷㜲㥦㠳㤳ㅣ愶ㅦ㐵㈸ㅣ愶晦㡥戶㤰扤ㄶ㙤㡢散㐴〶戴攱摤搶敦㡦㐷㐳㤱㑣㌸㥥㡥愴搲㤱㙣捡㤷㑡㠳挸㔸挴㔸㤷㠳〶㌳〹㥥㘶〵攲㐱㝦㌰ㄴ挱㤹㜶㌲㥡〹㘴愲搱㐰搲ㅦ昰㘵㔳㌱敦㍦散昰收㘳昰㌱ㅦ㠷昰㍥慦㔵敤㠷改ㄷ戴㉡㠷慡㝥ㄱ慡慥㈱晢㈵㐴挶㕦ㄱ搹㉦㙢晤㠱㌴㍥换㝣て㘰㤹㕦㠱摥㈲摢㤷㐷昶㍦㠰㈰搹慦挲㉥㘴㍦て㠵晥㔱慦戹㙡㕦㠷㔶挸㝥〱㔸昵愶㉢收㉤慤㝤㠹ㄸ㘶挰搷扦愰ㄵ戲〷㍢挸㌶晥〹㐸改敢慢㐱慥㕢挰㍢㠸㈴㕢挰慢㜰挶ㄶ昰㉥摡戲〵扣㠶戶戵〵愴㈲愱㌰㉥挰㔳愹㘸㍡ㄳち愴愲挹㌰㑥挱昱昵㝣愰㌶㠹㍤㍦㘹扣㥥㠳攲㙡㍣ㄵぢ晡㌳搱㔴㍡ㄹ㡡㠷昱㤵搱㍥㝦㌰ㄵ㠹晢戲〱㕦捡㤷っ㜹摦戳挳㥢㙦挰挷㝣ㄳ挲晢扥㔶㙤愰敡㉤慡㍥搰㉡〲〴㕡晤㈱㔴㕤戳〵晣ㅢ㤱昱㔷㘶扣㠳㤵攵㕦㡦扦ぢ㡤换昵昸㝢㔰ㄷ㕥㡦㝦㘴㐷㤱慦㠴㌵㍦㘰摥㤳挸搴挷搰㕢摢换搶㜹摢换㐷㐰㜰㝢昹〴㜶搹㕥昲慥挷㍦㜵搵㝥〶慤㙣㉦ㅦ挳㔹㙤㜴挵㝣愱戵㥦ㄲ愳户㤷慦愰㤵敤愵㡦㘳㝢㌱㜳㙦敢㕥搷㑤攳ㅢ㌸挹愶昰〵㐲㔹㥢㠲㍦ㅤ〹㐵㐳㐱㥦㉦㤶挴㈵㔵㉣ㅣ昷㐵㝤扥㜰㈴敢ぢ㈷攳㤹㐴㈸㘰㝣㤹㠳㈶搳戱㐴ㄶ㙦攴攱㘸㍡㠴愱ㄹ㕣㝡㘵晣㠹㠸摦㥦㑡㠵ㄳ戸㔲㑦㝡扦戵挳㥢㕦挱挷晣ㅡ挲换㠹晥㕣愳搹㝥攴晦㕥慢〸㄰㘸昵て㔰㜵捤愶昰㈳㈲攳慦攸㘰昰㤳搶ㅦ㑡攳㉦捣㘴ㅡ㑢晢ぢ昴ㄶ戹㉡㡦㕣㡥ㅡ㤱摣㕦㘱ㄷ㜲昳づ〶扦戹㙡戹ㄷち戹攵㜰㔶攵㘸ㄵ㝢㜶搷摡敥挴㌰〳扥っ㘸㠵摣㥦㝥㜰㕣㙡昳㘰㈰㔷㕦㍦㐰㕢㍣慥搲〳㑥昸挳㜷晤㈰ㄴ昶晢㑡㌴㠴㙣㝥㐵扤㐵㜶㈴ㄸち㐶㌳㤱㜸㉡㤱攵戸㑡㈸ㄶ㡥㠵㈲㠹㜴㈰㤵昱㈵㜱㐹㥤㌵㍣㌹愸㉦挸つ㈰㠰慤㈳ㄱて㠵搲〹㡣慥〴挰㜲㍣㥡〸愷㈳ㅣ㠷㌳敤昰㘶㑦昸㤸㔵㄰㕥㡦㔶戵敦昷㍤戵㡡〰㠱㔶㔷㐱搵㌵㘴昷㐲㘴㌰㠱㐷㡢挸㈷㜷㜵㤳㍢戶户户搶ㅦ㐵攳ㄶ捣攴㐸㉣㈹㉦昴ㄶ搹ㅦ愱愲敤攳㉡㕢〳㐱戲㌷㠳㕤㈸换摢㤳晢戸㙡㌷㠷㔶挸摥ㄶ捥㙡ぢ㔷捣㔶㕡扢㍤㌱捣㠰慦㙤愰ㄵ戲摦㜵㤲㥤㝢㥢晦㤷㉢搹摢挲〹㝦ㄸ㈲㐴㈸㤰扤ㅤㅡ㐲㜶㝦戴㉤戲昱挶ㅥ㑥㐶戰户〶攳扥㔰㈶㤳挴扥ㅤ㡡愷〲戱㘸㉣ㄵ㡤攳㐲摢搸㈹〷つ愷㤲ㄹ㥣慦㈷昱㥥㄰〸㈵㝣挹㜸㌸㡡㙢昱㜴㌶㡤㉤㈴㤵〹昸扤摢摢攱捤㥤攱㘳づ㠰昰敥愰㔵敤㙦昳㍢㙡㔵づ㔵摤て慡慥㈱扢〶㤱㠵散㠲㐱戴晥㕡㥦㘲㜹昶㘰扥㐹㤶㜹㘷攸㉤戲晦㤱㐷戶て〸㤲㍤〰昶㘲戲㜷㜱搵づ㠴㔶挸づ挰㔹つ㜲挵散愶戵㈱㘲㤸〱㕦㐳愰ㄵ戲晦收㈴㍢㜷搸晥慢㉢搹㝢挰㐹挸㡤㈱㤴㐵㙥㈰ㅣ换㐶㔳㌱㕣㐲㘳㤸㍣㥤㠹㈵愲㠹㈰昶㑡㝦〰搷㘲㠱㔰㍣㘹挴㜳㔰㥣攱愵搳愹愴㍦ㄶ㑢挷㐲挹㄰〶㔳㠳扥㘰㈲㤸㑥昹㜰㘵㥥㐹㈶扣㐳敤昰收㕥昰㌱昷㠶昰敥愹㔵敤㠷㙤㥦㔶攵㔰搵㝥愸扡㠶摣〰㈲扢㤱ㅢ搴㝡㝥摦㠴㌹㡡昹捥㘲㔹挳搰㕢攴㍥㤰㐷敥ㄸ㈰㐸㙥〴昶㘲㜲愳慥摡ㄸ戴㐲敥㌸㌸慢扤㕣㌱晢㘸敤㠱挴㘸㜲昷㠵㔶挸扤搷㐹㙥㙥㑦㕥攵㑡敥㝥㜰挲ㅦ㍥㌹〷愱戰㈷て㐷㐳挸㥥㠴戶㐵㜶㈸㥥㑥〶〳挹戰㉦㡡㠱戱㔸㌴ㄱ㑢〷攲㤹㔰㌰㥤㡥㘷㝣㌸㜷てㄸ〷攷愰㌸㘱て愷㐳改㘴㈰ㄳ㠸㠶㤲㔹ㅣ〲㌲戱㜸〶㕣〷攳〱㥣收〵扣㈳散昰收㘴昸㤸㔳㈰扣㈳戵慡㝤㑦慥搵㉡〲〴㕡㍤ち慡慥㈱㝢㝦㐴㜶㈳㝢戴搶㌷戱㍣㐷㌲㤳㐶㤶㝡㉣昴ㄶ搹㉢昳挸㥥〹〴挹ㅥ〷㝢㌱搹〷戸㙡て㠴㔶挸㑥挰㔹㑤㜰挵㑣搴摡ㄴ㌱㥡散㠳愱ㄵ戲慦㜴㈵㝢戹㉢搹㤳攱㠴㍦㡣㕥㈲ㄴ挸㥥㠲㠶㤰㍤ぢ㙤㡢㙣㝣㍦㜶㉡㥢っ㘵挲㠱㑣㉣ㄴ㑡㈶攲挹㜸㌴㤵つ㐷㤳㐹扣㈳㈷ㄲ㈱愳㉥〷挵㤹㝢っ户㍦㜰㈱挶搳昸㐸㉡ㄹ㑥㘰㝣㈵㤰挵㜲ㄲ㝢㝣挴㍢搵づ㙦ㅥぢㅦ昳㌸〸敦㈱㕡搵㑥昶㌴慤捡愱慡て㠵慡㙢挸㍥っ㤱摤挸㍥㕣敢攷戰㍣慤捣户㤵愵㥥づ扤㐵昶搹㜹㘴捦〳㠲㘴ㅦ〹㝢㌱搹㐷戹㙡㘷㐰㉢㘴㉦㠰戳㍡摡ㄵ㤳搴摡ㄳ㠸搱㘴愷愱ㄵ戲㑦㜳㈵㝢㠹㉢搹ㄹ㌸攱て愳㤷〸〵戲戳㘸〸搹㡢搱戶挸㡥㘳挸㌳ㄶ挴㕢㙦ㅣ㐳愵㌱㥣㔲㘳慣㍢ㅣ昲㘳扣ㅣ㕦㤷㥥捡㘶㡣㔳㜲搰㄰敥㤱挴㠳㐹散捥㌸㜱ぢ攰㘶㐹㈸㡤㑢昲っ摥愵㜱敦ぢ敦搸摥㘳散昰收ㄲ昸㤸愷㐲㜸㘷㘹㔵㍢搹㜵㕡㐵㠰㐰慢㡦㠵慡㙢挸㍥づ㤱摤挸慥搷晡ㄳ㔸㥥愵捣㘴㈱㑢摤〸扤㐵㜶㜳ㅥ搹攷〱㐱戲㥢㘰㉦㈶㝢戶慢昶㜸㘸㠵散ぢ攰慣㕡㕣㌱㜳戴昶㈲㘲㌴搹昳愰ㄵ戲敢㕤挹㍥搶㤵散昹㜰挲㕦㤹㜹ㄹ㐲㠱散〵㘸〸搹㤷愳㙤㤱㥤㡣㘷㈳㜱㥣㡤㐵搲戸㤴挶㥢㜴㉣㤱昶昹㝣愹〰㙥㡥愷ㄳ㘹㝦摡戸㈲〷つ挵㤲挹㔸㈴㤲捣㈴戲㠹㔰㌴㤰㡥晢㘳愹㑣㉡ㄲ㡣攳收愷㍦攵㡦㜸ㄷ摡攱捤攵昰㌱晦〸攱㍤㐱慢摡挹㍥㔱慢㜲愸敡㤳愰敡ㅡ戲ㄷ㈱戲ㅢ搹㈷㙢晤㈹㉣捦㜵捣㜷㌱㑢㝤ち昴ㄶ搹㐷攴㤱㝤㈳㄰㈴㝢〹散挵㘴㥦敡慡㍤つ㕡㈱晢㘶㌸慢搳㕤㌱㘷㘸敤慤挴㌰〳扥捥㠲㔶挸㥥敡㈴㍢㜷㐲㌶搹㤵散㜳攰㈴攴摥㠹㔰ㄶ戹㠹㘴㉣ㄶ㡦〵戲㌱㕥㐷攳晥㜳㍣㡢换愴㐸㈰㤸㡣㈴㌰㠶收昷ㄹ㜷攵愰晥㐸ㅡ㤷摣晥㈰㡥攸㤹㔰㌲㠹扢ㅦ㠹〴㑥戸搳戸慦㠹扦㜸挲扢搴づ㙦摥つㅦ㜳ㄵ㠴昷㕣慤㙡㍦㈱㕢愶㔵〴〸戴晡㍣愸扡㠶摣昳ㄱ搹㡤摣ぢ戴晥っㄴ搳㝣㤰㤹㥣捥戲㕥〴扤㐵㙥㙤ㅥ戹て〳㐱㜲㉦㠶扤㤸摣㑢㕣戵㤷㐲㉢攴戶挱㔹㕤敥㡡戹㐲㙢搷ㄲ愳挹晤㈳戴㐲敥㌰㔷㜲昷㜶㈵昷㑦㜰ㄲ㜲搷㈳㤴㐵㙥㌴㤵昲㘵攳愹㐸㉡散㡦㠷㠲ㄸ昳㡥〷㜰戵ㅣっ昹㘲晥㙣㌲㤹㡥ㄸ㑦攴愰挹〸〶搷㘲挹㜰㈶ㄲ㡤㠴戰㈹㘰扥㑢㈲ㄶ昶〷愲㘹ㅣ愵㜱㤳摢㝢㤵ㅤ摥㝣ㄲ㍥收㕦㈱扣㉢戴慡㥤摣慢戵㉡㠷慡扥〶慡慥㈱㜷㈵㈲扢㤱㝢慤搶㥦㑢㜲㥦㘷扥㑢㔹摡敢愱户挸摤㍤㡦摣㤷㠰㈰戹㌷挰㕥㑣敥㡤慥摡㥢愰ㄵ㜲晦〹㘷㜵㡢㉢收㔶慤㝤㤵ㄸ㑤敥敤搰ち戹〳㕤挹ㅤ攰㑡敥㥤㜰ㄲ㜲摦㐴㈸㡢㕣ㅥ㙢㔳搹㘸搸ㅦ㠹㈷㜹㑢ぢ㤷挰㠱㘴〰昷慢挲扣㜷攵㡢ㅡㅢ㜲搰〸慥㡦㜱㉢㍢㤵づ㈵㌰㌵挱ㄷ挵㈸㘸ㄶ〴攳づ㐹㈴ㅣ捦㘴㈳摥扢散昰收㕢昰㌱摦㠶昰摥慤㔵敤攴慥搲㉡〲〴㕡㝤て㔴㕤㐳敥扤㠸散㐶敥㥦戵晥㈲㤲晢ㄱ㌳戹㤰愵晤ぢ昴ㄶ戹㕢攴㤱晢〹㄰㈴昷㝥搸㡢挹㕤敤慡㝤〰㕡㈱昷㌳㌸慢㠷㕣㌱て㙢敤㐶㘲㌴戹㙤搰ち戹搵㑥㜲㜳㤷㔲扤㕣挹㝤ㄴ㑥昸挳搰㈳㐲攱㍤㜸㉤ㅡ㐲昶㌷㘸㕢㘴攳㠰㥢㡤㘱戶㔰㡣㐳㕦㜱摣戹㡣昹㔳挱㐰㌶ㄸ挶㡥㡣㌷攱愰昱㙤づ㥡㡥㐷晣扥㔸ㅣ㤷㔳晥ㄴ慥㥡㐳戱㑣㍡㥣㠸㐶戲戸㔱攲捦攲㥤摣扢捥づ㙦㝥〷ㅦ昳㝢〸敦㘳㕡搵晥ㅥ晣戸㔶攵㔰搵敢愱敡ㅡ戲㥦㐰㘴㌷戲㥦搴晡㉢㔸ㅥ㠵㈹戳收攵㉣昵㔳搰㕢㘴晦昲扤㜳〴慣㍢㄰㈴晢㙦戰ㄷ㤳晤戴慢昶ㄹ㘸㠵㙣〳捥敡㌹㔷捣摦戵戶㤲ㄸ㑤昶昳搰ち搹摦㈱㠹摣捣愲摣㝢昰㌷搰ㄶて㜷扥〸㈷㈱户ち愱㉣㜲㠳戸摢㥣ち晢搲晥㔴㍡㡥〳㙦㈲ㄹ㑤〶㝣晥㈴挶戶㜰㤴㑥挵㐳㐶慦ㅣ㌴ㅥ挰つ敡㘴〸㈶㕦ㅣ㤳㡥搲戱㘸ㄶㄷ挹㔱愰㝤㐱㝦ㅣ攴扥㘴㠷㌷㝢挳挷慣㠶昰扥慣㔵敤㝢昲㍦戵㡡〰㠱㔶扦〲㔵搷㤰晢㉡㈲扢㤱晢㥡搶慦㈰戹㕢㌳㤳慢㔸摡㌷愰户挸晤㈰㡦摣敤㠰㈰戹㙦挲㕥㑣敥〶㔷敤㕢搰ち戹㍢挰㔹晤换ㄵ昳慥搶昶㈳㐶㤳晢㍥戴㐲敥摢㑥㜲㜳㝢昲〶㔷㜲㍦㠰ㄳ晥昰慤散〸㠵㍤昹㐳㌴㠴散〱㘸㕢㘴挷㘲㤸㝡㠰㌷搷㈴摥㠰㐳扥㜰ㄶ户㈸㤳㌸搵挲㐵㔲㈲ㅢ挰晤㉤㘳㤷ㅣㄴ㤷搳晥㐴㍣捥㥢搴㌸戶挷攳㠹㔸㈸㥢つ攰〲㉢敡㑢㠷㝤㤹㤴昷摦㜶㜸㜳㈰㝣捣㕤㈱扣ㅦ㘹㔵晢㥥晣ㅦ慤㈲㐰愰搵ㅦ㐳搵㌵㘴㝦㠲挸㙥㘴㝦慡昵搷戳㍣㍥㘶㜲ㅤ㑢晤㌹昴ㄶ搹捦收㤱ㅤ〴㠲㘴㙦㠴扤㤸散㉦㕣戵㕦㐲㉢㘴㠷攱慣扥㜶挵㝣慢戵㔱㘲㌴搹摦㐳㉢㘴㍦改㑡昶㝡㔷戲㝦㠰ㄳ晥㌰昴㠸㔰㈰晢㐷㌴㠴散㝤搰戶挹挶愴捥㔸〲㘷挷昸ㅦち攱慣ㅡ㜳㍤㜱捦ㄲ挳㕡搱㠴㍦㤰捣ㅡ挳㜲㔰㌴㔳ㄹ捣㌳㑥㈶戲昱㔰ち搳㤰戲㠹㙣捣㥦㐹挷戲㤱㐸㌶㡡㍤晢㈷㍢扣戹㉦㝣捣晤㈰扣㍦㙢㔵㍢搹扦㘸㔵づ㔵晤㉢㔴㕤㐳昶㙦㠸散㐶㌶ㅦ㘲ㄱ㍤扦ㅦ换ㅣ换㝣㙦㘱愹换愱户挸扥㉦㡦散〳㠱㈰搹㝣戸愵㤸散敥慥摡ち㘸㠵散〹㜰㔶㍤㕣㌱昲㕣〹㔳㤸㐸っ㌳攰㡢捦㤵〸搹㜷戹㤲㝤㠷㉢搹㝣扡〴扤挵搰㈳㐲㠱散㕥㘸ぢ搹㔳搱戶挹づ㐴㌳㈹㥣㘸〷㌰戳㈴ㄴ昴㘷ㄳ㠱㌴收ㄸ㈵㌱㤳㉣ㄴ昰昹㈲〱攳㤰ㅣ㌴㥣㐹㠱㘵㐰㘲㤸㌰㥡挶㍤捣㐰㈲つ㈷㝦ㄴ㜳づ㔳昱㜴搸换㘷㔴ㄸ摥㥣〶ㅦ昳㔰〸㉦ㅦ㑤ㄱ㔵㍢搹㝣㔰㐵㔴〴〸戴㥡㑦慢㜴つ搹㝤㄰搹㡤散捤戵㥥摦昷㘵ㅥ捤㑣敥㘲㤹户㠰㕥挸㑣㐲㐵㐷扥搴㔶㕡㥢㠲㔶㔳攲摤〶㕡愹㙥ㅡ摡㕥摤㉡㌸㐷摥昵ㅢ㐷慣昹攸㔳昰㌹昲㤹愱戵㈳愳㐳昷㥦㥦捡搴昳㍢㕥㌰㙢ㅤ㈷㌲㘵㕢㌴㡣㙢挱㘲愶戹㘵㙡搳〸昹捥ㄱ㍥摣戰㤹㥥搸㍥愴㘱捣㥣扡㌴㍥㔶㝥㤷㜶㡤晥㠲ㅦ敤㌶戱㌹攷搷慢ㅤ㠵㑦㈸摦愲扤㔵㡢愷㈶㌲昳㕢昹搹敥摢戵㙢昱㙤㑥昸㡥㤹㑣㕡㐷㙣挱㐳㕢摤换扢愹㍤㑡㝦㔳搵攸收㤴晤挸㠸づ搳戲〳扡戱㥤换攷搸㡦慣㙢㤵㈷㐴戶㘷ㄹ捤ㅤ㔰㈱㈳㡢㙡昵ㄸ㌶愰㜶挲㠰愰慦攲ち㙣户晦户㌵戱晣敤㑦㘰㜰扤晣昱㤸戳㐸つㅦ㐰㈰つ捡摣㤱慢㍡ㄶ扡㍥㔸搵昸〱晥攸挰㥤昶慡搹㘹攰㠰ㄱ㕣敢㈵㔸敢㘰户晥㡤㙡㙡㐸搴㌵づ㐵〷㜵捦昶㙦㥣搳㤰扦捡㝥戲㐲慥戲㥥慢攴昹〹攳㔱慢㜶㐲㠳㕤㤲〶㥦㉡ㄸ㠰㈵昳ㄹ㡡㘷㈹㥥㠳㔰攷〳昰㍡扥㈴㙥㙤挵㠲㤵戱搳换㠶慦㝥㝦㑤㥦ㅥ㝦㝤㈶愸捥戳つ㉢昶㤹户晡晤ㅦ㉥慢㝤㜸挶戰搵㙢㌶扣户㕣昱改〳搹㉡㥢戱挶摣㔶㈹㡦ㄵ㌰㙡ぢ昳㘰㘴扣扣㝣㤰㐰戶㑡㝥㘰㍦戶㑡㑥晣摦摢慤慦昲搵㉢㐳ㅤて㐵っ〱愹昸〶㤵㑣ㅡ摦㘹㌰ㅢ摢挴㠲晤ㅢ㕢㥢昹昹ㄷ㘵摤戰昱㔵㐸㐵扡㤷敦昵晢㘲昱㈹㉢㤲挵㔷挵㌹攸攸晦㐷㥣㝣㍥ㄸ㤱㥣㤸㜳㔹㠶㈸扡㙢㙤〱㘱㉣ㄹ昳愱挳ㄶ㌰攲㄰攷ㄶ㄰㠹慡㌳㤰㠱㘶捤㘳㉥愴㈷㥦㔶戰㍣昹挰㠳㜱㈲㜴搸㑣㐷㑣ㅢ〰昸愹㠰㙢㕥㍤收㈲挲㜹㐰搳ㄱㄴㅦ㙢搰㜶㌵〲つ㌷摥ㄷ搹昴ㄶ昱㝥㤲㙤昸攵攴㈳搲㠹愷昶ㅡ㝥收搶捦昵㕤户挳昴〹㙡ㄴ㈲〹敦愷㘱㡤㌹摥攵㘱〲㜶昸て捣〳ぢ挲㍢ㅦㅦ㄰摥㑦㠷戶㔷㌷挵㘷〰挸扤㕡㠰攸㉣戸搴攸㑣扡㜰㈶扥搵搳〹㔸㌲捥㠶慥愸㐶愱愰㥡〳㈷摤㐳㡦戹㤴㥥㥣攴㙦㜹昲㌹〱㘳ㄹ㜴㔶㡤〰㍦ㅥ㜰㕤〳㡦㜹㍥攱㠷〳攴㔶㠹㝡㐰㕤昷㠰攳㙣㐳攴愸㤹ㄷ㍥㌶㘶挱攸㌵摦㝣㌶㙦搵㌵捤换ㄴ㈷攴㑢㈵㉥㐵摣㕣㈵㘶㘸敤㘵㕣㥢慥〴攷搶㑢㈵㉥㠷ㄶ㤵攰っ㜶㉢改㌴㤶㡣攵搰㕡挷㥦㔰㑣㘵昲㤲扥㤲㘱㌸㤵摤㠲㜳扡扣㜱ㄵ㜴㐵挷㄰㜸㈶攰搹㕥㥤慢改挹愹攷㙥摤㍤戲㔴㜷愷摢㠶挹搳㌷㝦昵昱㐳摡㐶㍦戴㝤㥦㐷㍥摦搸敢㑤搵㠲㐸搲摤ㅢ㄰㌷搷摤㌹㕡㝢㈳搷愶扢㍢て㕡改敥㑤搰愲扢㈷愰㉤挴ㅦ㡡攸㌹攲㙦愱换㈲㤸慣慥㜱ㅥ戹㜱ㅢ㜴㐵挴㠷攳㙡㑡㕥搷敥愰攷挹㌹捦㤳攸㜹ㄷ㜴ㄶ昱㠰㑦〴扣㥤昸㔵㠴㜳㕥戶㕢㈵づ戰㍢㕣戴ぢ㡣戳つ㙡昰晤扢㕦㔳昵搵搸挵㤱ㄷ昶㕥㌷㍤攳㔳㥣扦㉤㤵戸ㅦ㜱㜳㤵㌸㔷㙢㔷㜳㙤扡ㄲ㥣㡡㉤㤵㜸〰㕡㔴攲ㄲ戴慤敥㕥㠴㈵攳㈱㘸㉤攲挳㘱㔵㥢㤷昴挳っ挳㤹捦ㄶ晣㘲挲摢愰㉢㈲ㅥ㥥晢挱戳㥤昸戵昴㕣〱扣㕢㜷昷㉡搵摤戸㙤㌸慦㜶搰㈵㉢㈶扤㍦晥㤱攰㤸昴晢ㅦㅣ昱戳㕡㠹㐸搲摤㈷ㄱ㌷搷摤敢戴昶慦㕣㥢敥㉥㈷㈷㑢㜷㥦㠲ㄶ摤攵ㄴ㘰㉢㝦捥㌵㌶㥥㠶搶摥捥〳㉡㤸搷摤㘷ㄹ收昶ㅣ㥣昳㡤㡤扦㐳㔷搴摤㔰㐰敤㤹搷摤攷改挹戹扢㙥摤ㅤ㕣慡扢扢搹㠶ㅦ㈲换昷㕥㌵攱昸〹㌷㥣摢慤㉡昳昹晡㈵㙡㌵㈲㐹㜷㕦㐱摣㕣㜷ㅦ搴摡㔷戹㌶摤摤㌵搰㑡㜷㕦㠳ㄶ摤㝤ㄴ㙤搹捥㜷㐱昴摣㜶晥〶㕤ㅥ㠳挹慡挴㕡㉣ㄹㅢ愰㉢摡捥㐳ㄱ搵㍦慦㙢㙦搳㤳㤳㙡㉤㑦捥换㌵摥㠱捥摡捥〱摦〱昰昶敤晣㍤挲㌹戱搵慤ㄲ㕢摢ㅤ㉥摡捥户戲つㄷ㉥扡㙣㜴㡦㈱㔷㡥㔸扡攷㝢㥥㍤㔶敤戹㑣㜱〲慣㔴攲㍦㠸慢㉢攱㝤ㅥ㕡晥愸ㄷ戴昹㘳慥㤶ㅡ扣扣㉦㐱㉢㈵昹〴㕡㤴攴㔵戴愵㈴㥢㘳㌵戹㤲㝣㐶ㄷ㑥ㄸ戵㍡挶㤹愹挶㐶攸慣㡥〵㐲慡㍡慦㘳㕦ㄲ晥㘶づ晥㍡攱㕦㐳㔷㔴㐱㜸昶㠴㘷晢扥昰㉤㍤㌹ㅤ㑤慢搴㕢㘸攸㤲㈹捥敡㜴㉢㤶㘱搷愴愸㔸ㄵ戶攱㥡㌷扢つ㍢昱㤲敦挷摥摥晦攳挸㤲敥㤳㍦㔴㥣晤㈹挵晡ㄹ㙢搴挵㔲㌲慤ㄳ㘵㌱㝦㘱ㅥ扡㐶㥦〲㉢㌵晡ㄵ㕡搴攸㉢戴慤㐲㜰㕥愶㔱㔶㤹摢㑢攲敡户敦㥣っ㤷挳愴扥捥挱扦㈴扣㍢㜴挵㝢㐹㕣晤〴㑦摤㙢㡦㘹搰昳ㄷ攰摤扡晢㉤愰慥㙦㝥摦搸㠶㠵攳㤶扦㝤捦㔱挶㠴换扡捦扦搲昷挴扥ㄷ㈸㘴㘹㜵户ち㜱㜳摤㤵㠹㡥散㙥㉦慥㑤㜷㤷㔳ㅢ愵扢扤愱㐵㜷㌹㍦㔱㌶㠹㉦㄰㍤户㐹㜸改挲戹㠴㔶㈵㑣㉣ㄹ㝤愰戳户昵戸晡ㄴ㘸㑤㥣挷散㑢㌸㈷ㄵ㕡㜰㑥㕣㌴戶㠴慥㘸㤳〸挵搵㐷昰㙣慦挴搶昴攴㈴㐰户㑡扣㘷㜷戸㠸昸㜷㙤挳愲㡤慦づ㔹㝣捦愲〳ㅦ㍥㝤捣挹晢搷㉦㝥㐶㜱戲愰㄰扦㈳攲收㉡戱慤搶昶攳摡㜴㈵㌸敦㑦㉡㔱〳㉤㉡㔱㠳戶㔴攲㉤㐴捦㔵㘲㈷扡㜰ち㥤搵㌵捥攸㌳〶㐰㔷摣戵愸㝡㍤慦㙢〳改挹搹㜹㤶㈷㈷昸ㄹ㠳愰戳㙢ㄸ㔵晦〴扣扤㠶㠳〹攷っ㌹户㑡㍣㙦㜷戸愸ㄲ晦戰つ㝢扥搲晤挸ㄹ〳昶ㅥ㝤改搲㘷㕥㕣昰㘱昷昵㡡㌳改愴ㄲ㍥挴捤㔵㈲愰戵㝥慥㑤㔷㠲㤳攲愴ㄲ〱㘸㔱〹㑥㉡戳㤲收ㅣ㌷㈳〴㙤搱㌶ㅤっ慢扦攵㜵㌷挲㠸㥣慦㘶㜹㜲捡㥢ㄱ㠳づ摤攵愵㕣㔸㍤㤱搷摤扤〸攷㥣㌱户敥慥㉤搵摤㐷㙤挳戶㤳㤲戳敢㙢㡥㥤戰㌸晣摤晢㤵㜷㙣ㅣ慣㌸户㑣扡㍢ㅣ㜱㜳摤ㅤ愷戵㈳戸㌶摤㕤㑥ㄳ㤳敥㡥㠴ㄶ摤攵㕣㉦㈱㝥つ愲攷㠸ㅦ㐵㤷挹㌰㔹晤攱〴㌰㘳㌴㜴ㄶ㝤㤱㤰㕡㥤搷㥦戱㠴㜳㠲㤶〵攷㈴㌰攳〰攸㡡戶ㄳ㜸晥ㄹ㥥敤扢挰㜸㝡㜲㐲㤵㕢㈵敥戲㍢㕣㐴晣㥤戶攱敥㌳晤敢㡦㥢㌸㝥挴㔵㠷㙥㜸晤㠵〹㘳㍥㔶㥣㜸㈵㤵㤸㡣戸戹㑡挸㡣㉡ㄴ挰㥣挲戵改㑡㜰づ㤵㔴㘲㉡戴愸〴㈷㐲㐹㈵㙥㐵昴㕣㈵愶搱㠵搳㤱慣慥㜱㜶㤴㜱ㄸ㜴㐵㕤ぢ〷搵㡤㜹㕤㍢㠲㥥㥣改㘴㜹搶搱昳㐸攸慣ㅡ〲㝥㉤攰敤扢挰っ挲㌹摢挸慤ㄲ㔷搹ㅤ㉥慡挴㥦㙣挳㠶㕡摦つ摥昲㤹ㄳ搶㔴㉤改戹昲昹㐳户㔱昳㄰㐹㉡㤱㐶摣㕣㈵㘴扡ㄱ㉢㤱攱摡㜴㈵㌸挱㐸㉡㤱㠵ㄶ㤵攰㉣㈱愹挴ㄵ㠸㥥慢挴㉣扡㜰㐶㡦搵㥦挵㔸㌲㡥㠵捥敥㡦㑦㕤㤲搷㥦㝡挲㌹戵挷㠲㜳晡㤰搱〸㕤㜱攱㝣敡〲㜸戶㙦ㄳ戳改挹愹㌸㙥㤵㔸㙡㜷戸愸ㄲ攷搸㠶敤㐷㕣搰敦扢愷ㄷ㡦㍢攵挷改㑦晣㜹搵㔵昷㉢㑥搹㤱㑡捣㐵摣㕣㈵㘴㉥づ㉢㌱㡦㙢搳㤵攰散ㅢ愹挴㝣㘸㔱㠹换搰㤶㑡㥣㠱攸戹㑡㉣愴ぢ㈷戲㔸㕤攳扣ㅡ攳㐴攸㡡扡ㄶっ愹㔳昳扡戶㠸㥥㥣㈳㘳㜹㜲㥡㡤戱ㄸ㍡慢㠶㠰㥦っ㜸晢㌶戱㠴㜰捥㔳㜱慢挴㐲扢挳㐵㤵㔸㘰ㅢ昶扥愷昷愴晡㡡昰戸ㄵ㠱㈵㘳㍣㈳摦㍡㕥㜱㍥㡢㔴攲㑣挴捤㔵攲㘶慤㍤㡢㙢搳㤵攰搴ㄴ愹挴搹搰愲ㄲ㥣〰㘲㈵捤㤹㈶挶㔲㘸㤱㌴づ㙥㌸昷㙢挹㑢㝡ㄹ挳㜰㈶㠸〵攷㙣ㄳ攳㝣攸㔰㥤晣戱㈶㜸㌶挱戳㥤昸ぢ改挹㤹ㅢ㙥摤㍤戶㔴㜷敢㙣挳づ戱ㄹ㝢㝣戴敡慤㠳㉥㐹㕣㍢㈴㜴挶昵慦㈸捥昰㤰敥㕥㡥戸戹敥戶㘹敤ㄵ㕣㥢敥㉥㈷㙢㐸㜷㤷㐳㡢敥㜲戲㠳㤵㍦攷㕥ㄸ㔷㐲㕢㥣扦㑦愵昲昲扦㡡ㄱ晦㥡昳攴㔴っ攳㙡攸散㐲昹搴㑣挰摢搹㕤㐹㌸攷㌲戸㜵昷㠸㔲摤㍤摣㌶っ扢㜷户昲攱敢づㅦ㝥㜹晣戵慡ㄳ㙦晣攵㑢挵㌹て搲摤㥢㄰㌷搷摤㝦㙡敤捤㕣㥢敥㉥愷㉦㐸㜷㙦㠱ㄶ摤攵㈴〱慢扢㥣㡤㘰摣〶慤㤵㜴搸愷愶攴㈵㝤〷挳扣㥤㠳㜳㐶㠲㜱ㄷ㜴㐵搵㠱攷㐴㜸戶戳扢㡡㥥ㅦ〱敦搶摤〳㑡㜵㜷㥣㙤昰晡扥戹㜹挷㡦㝡て㕦昲挱挰搵改㍤㝥㠸㈹捥〲㤰敥摥㡦戸戹敥捡敤㝤昴搲㕣捤戵改敥昲㠶扥㜴昷〱㘸搱㕤摥㤵㤷摤㝡㝦㐴捦敤搶て搱㠵昷挶慤㑡昰㔶扤昱㌰㜴㐵扢㜵㌸愶㐶攴㜵慤㡤㥥扣敤㙥㜹昲捥扤戱ㄶ㍡㙢户〶㝣ㄸ攰敤挴㍦㐶㌸㙦㝤扢㔵㈲㘶㜷戸㘸户㡥摡㠶攰愸㔱扢扤㝥晥搳愳㙦搸昶扡晦㍣昴晥㥡㉡搵摤㍥愳㌷㥦㐲摣㕣㈵っ慤晤ㅢ搷愶㉢㔱〹慤㔴攲㘹㘸㔱㠹摥㘸㕢㐹㔷㘱挹㜸ㄶ㕡㝢㙢つ㈹㝦㕥搲㝦㘷ㄸ摥㕣戶攰扣㠱㙤㍣て㕤ㄱ昱愱㤰摡〳㥥敤挴扦㐸捦慤㠱㜷敢敥愰㔲摤摤搵㌶㑣㍡昸摣慡ㄹ挷扣㍣㙥㘹㝤换㍢ぢ㑦晦㌴愵㜸搳㔸㠸㝦つ㜱㜳摤㤵扢挱㈴晥㜵慥㑤㜷㤷昷㝦愵扢㙦㐰㡢敥昲㈶慥㄰扦㌳愲攷㠸摦㐰㤷㠱㌰㔹㕤ㅢ㠰㈵攳㙤攸㉣晡搰㥦㝥㐰户搳昷づ攱扣昳㙡挱㜹㜷搷㜸て扡愲敤〴㥥摢挱戳扤ㄲㅦ搰搳〷扣㕢㈵戶戴㍢㕣㐴晣ㄶ戶攱搳扥㐷㔵㔶㕥昶敢挴㌵㕢晤慢摦㡥㥦㑥㝣㐷昱㡥慡㔴攲ㄳ挴捤㔵㐲㙥㤵戲ㄲ㥦㜲㙤扡ㄲ扣㌹㉡㤵昸っ㕡㔴㠲㜷㌸愵ㄲ㥢㈱㝡慥ㄲㅢ改戲㉦㑣㔶搷昶挱㤲昱㈵㜴㐵㕤㡢晡㔵慦扣慥㝤㑤㑦摥挲戴㍣㜹ㄷ搴昸ㄶ㍡慢㠶㠰㥢㠰户搷昰㝢挲挷〲攴㔶㠹敥㜶㠷㡢㉡搱捤㌶昴摢㙢摢㡢㤷㑥㝤㘵攲㘹敦㝣㍣㌵㌱昱戹㌷ㄴ㙦㌷㑡㈵㝥㐵摣㕣㈵攴㍥㈲㉢昱ㅢ搷愶㉢挱㍢㠷㔲〹㝣㌴ㅦ㉢挱摢㝦㔲㠹摦扥㜵㔴愲ㅣ㐶挵㕢㜵㔶㝦㜸㑦搰攸づ㥤扤㑢㠷搴㑦㐰户昷挷㈰㥣昷散㉣㌸敦ぢㅡ㤵搰ㄵㄵ㉥ㅣ㔲摦挱戳㝤㥢昰搰㤳昷搸摣㉡昱㈵愰慥㤷挳㕦搸㠶愳㥡㙢㕦㝥昳㠷攴挸戳晡捥戸扢㘹挰戴㝢扤扣㌵㈷扤昳㈲慥戹ㄹ㐵ㅦ〸㡦㤷㜷攷挴戰㌹㥡戸昵㤱㐶摢昵㌶㡦㜵敢挳晡㝡㙥㝣㑡㔷愶㐵ㄴ搵㈸㕦㐵㤶户摥㝡㘶昹攱㕤ㄹ昹㡥㜰㝣戲㔸㕤㝤扤㝣㈸㔷ㄵ扥愹扢昹戸㑣昳㜸㝣昱㍣扥㥦㝢㑡㕤㠳晤㐹㔳昸㐲㝡摥㔵搳摦〵㙤㑡㡢㜷㍣㡣散挴㘶㝣㌹㜴㡦散戸ㄶ㝣扤㝤扡戲㘱㔲愲戵㌵搳摣昸扦昰昹㜸昸㤸戴敥扣戹㠳慤愹㥢㔲㘵攵慥㥦㔰挶㡦ㅥ㉢晣敥攸摡㤱戸㡢㘹㤵戰扤ㅥ晣㕥㜸摥㠹㈹攷ㄷ㝣晦扥㑦挷㌳晡㠲戶敡摣户㉡捦攵㘷摦戵㤴慢㡦戱ㅤ挸㡣愴㡦〳摢挸㡤㌵摥㍥㌶户〴搶搸ち愲ㅢ㙥搶昱㑢㔹戸昹㝢捣慤愱㌱摢搰㄰㔱搶㝤ㄶ㌶㠱㡥敥㑢㜲㐷敡搱㌰㌳搱摣㥣㔸㔰搹㌰戳㍥搳㜸㑣敢慣捡㤹㜳㜱㉦戶慥愹ㄱ捥㤵㤵㤵收戶〸捡㌵昰愵敡愱㘴㔴㜳㍢㘸戹戵㔱敢攵㡤㌹搹昴戶㘷〲㍢㔰散〸攱昱昲摥㥣ㄸ晡愱㠹㕤㤱㜷攵戸㕤㥡散㙣戹㝡换戵㜳㍢搱㥦㥤㙢敦搸〰慡摡戰㉡慢㘳ㄵ扣搹㔵挸ㄸ㍦〸㙦㌴搳愹㤸㔷㤷㙥㥤㘵捣捡搴ㅤ㌳ぢて㜶昴散愹㍦愸づ㌶㝣㠸㍤㕣愵〷〳ㄱ㔳昷㐰㉤搲摡㕤愱搵扤昵㥥〶慤愴㍦㠸敢摦㡤㘲㌰㠴挷换㝢㑦㘲ㄸ㠲㈶晡挵扢㑥㡥㝥扤攰摡慦愱昴捦敦㤷㡦慡㌶愴㘵昵㑢㥤㠹㌸散㥢晥㔱㑢搱㤰㙣〳㐰收戲㍤㕦㙢㠳搰收戲扤ㄴ㕡㐹㉡挴愸㘱㡡〸㠴挷换晢㐳㘲㠸愲㠹㙣㜹㘷挸㤱敤ㄳ慥搹敥㐵晦晣㙣昷愱慡つ戹搹搹㕥愹搳搸ㄷ〶㥤㠶攲捤㈰㐹㜹㍦㘸㜵捡㕥摥捡㤱ㅣ㠶㌳挸〸㡡㤱㄰ㅥ㉦敦收㠸愱ㄶ㑤㈴㜷ㄳ摡㡥攴ㅥ㜴㑤㙥㌴晤昳㤳ㅢ㑢㤵㈳㌹摥昲挹㉢攵ㅤ㔰㐸㕥〷〰愹昳㔲扣㘱㈳摡〳愱搵㝤昰昲㜶㡢㈴㌵㥥㔱㈷㔰ㅣ〴攱昱昲㡥㡢ㄸ㈶愲㠹㙣㜹慦挵㤱敤㥤慥搹㑥愶㝦㝥戶㔳愹㜲㘴晢戰㑥㘳ㅡっ㍡つ挵摢㉢㤲摣愱搰敡㤴扤㑦敡ㅣづ㘳㤰挳㈹㡥㠰昰㜸㜹㝦㐴㤲㥢㡥㈶㤲攳㥤ㄱ㐷㜲搷扡㈶㌷㠳晥昹挹ㅤ㑤㤵㈳戹㘷㜵ㅡ㐹ㄸ㜲挹昱㘶㠸㈴㤷㠲㌶㤷ㅣ㙦㘵㐸づ㘹〶挹㔰㘴㈱㍣㕥摥捤㄰挳㌱㘸㈲㌹摥挷㜰㈴㜷㤹㙢㜲挷搲㍦㍦戹㝡慡ㅣ挹昱㤶㐷ㅥ捦扣㤳㈱㜹㌵〲愹昳㔲敦㘹㙤ㄳ戴扡て㕥摥㙥㤰愴㘶㌳敡昱ㄴ捤㄰ㅥ㉦㙦㌴㠸愱〵㑤㘴换㕢っ捣搶㘸㐵扢昸㈸㝤㡥㙢昶㜳㠱㌵收㐱攴ㅦ愵攷㐳攳散挱㘷㠸㥢搷〳摥㠳㤰ㅥ㉣〴㔲攷慡扥搵摡ㄳ愰搵晤昲昲ㅥ㠰㈴㝡㈲愳㥥㐴戱〸挲攳攵㙤〰㌱㥣㡣㈶㝡挰ㅢ〰㡥㝡㥦散㥡昱ㄲ晡攷搷晢㌴慡ㅣ昵㉥挷愹㤶㈴㜷㍡っ戹攴っ慤㍤〳摡㕣㜲㔵搰㑡づ㘷㌲挸㔹ㄴ㘷㐳㜸扣ㅣ戴ㄷ挳㌹㘸㈲戹摥㘸㑢㜲㉣㙦戹㙡㜱㑤㙥ㄹ晤㔹捥昶昷㠵昳愹㜲㈴攷㐵㥣扣㔲昶㠵㐲戲扤㤰㠱换慣㤷摡㕡㙢㉦㠲㌶㤷敤㡥搰㑡㔲ㄷ㌳敡㈵ㄴ㤷㐲㜸扣ㅣ㔸ㄷ挳㘵㘸㈲摢ㅡ戴ㅤ愵㍣挶㌵摢攵昴捦㉦攵㤵㔴㌹戲摤〹㜱昲戲ㅤ〸㠵㘴㝢ㄵ㤰㍡㉦㌵㔸㙢㔷㐰慢晢攰昵㐱㉢㐹㕤捤愸搷㔰慣㠴昰㜸㌹昸㉤㠶㙢搱㐴戶〱戴ㅤ搹㑥㜷捤昶〶晡攷㘷㝢ㄳ㔵㡥㙣㌹〴㉥挹摤〲㐳㉥戹扤戴昶㔶㘸㜳挹つ搷㌹摣挶㈰户㔳摣〱攱昱㜲愸㕡㤲扢ㄳ㑤㈴㌷ㄲ㙤㐷㜲ㄳ㕤㤳㕢㐵晦晣攴敥愵捡㤱ㅣ挷戳昳㑡挹ㄱ㙢挹昶㍥㈰㜵㕥㙡扣搶晥〵㕡摤〷敦㘴㘸㈵愹晢ㄹ㜵㌵挵〳㄰ㅥ㉦㠷㤳挵昰㈰㥡挸㤶〳挹㡥㙣㙢㕤戳㝤㤸晥昹搹戶㔱攵挸㤶㘳捥㜹搹ㅥ〱㠵㘴扢ㄶ㐸㥤㤷㥡愱戵敢愰搵㝤昰㜲扣㔷㤲㝡㡣㔱ㅦ愷㔸て攱昱㜲挸㔷っ㑦愰㠹㙣㌹搸敢挸㌶敡㥡敤㔳昴捦捦昶㘹慡ㅣ搹㜲㕣㌸㉦摢㝡㈸㈴摢㘷㠱搴㜹愹搹㕡晢ㅣ戴扡て㕥㡥挹㑡㔲㝦㘷搴㝦㔰㍣て攱昱㜲㔸㔶っ㉦愰㠹㙣攷愳敤挸㜶㠸㙢戶㉦搳㍦㍦摢㔷愸㜲㘴扢㄰㜱昲戲㕤〴㠵㘴晢ㅡ㤰㍡㉦戵㐴㙢㕦㠷㔶昷挱换㜱㔳㐹敡つ㐶㝤㤳㘲〳㠴挷换愱㔳㌱扣㠵㈶戲攵愰愹㈳摢㝥慥搹扥㐳晦晣㙣摦愳捡㤱敤㌲㥤挶〷㌰攸㌴搴㠵㕡晢㈱戴㍡㘵敦攵㍡㠷㝦㌳挸㐷ㄴ晦㠱昰㜸㌹搰㈹挹㝤㡣㈶㤲㕢㡥戶㈳戹捤㕤㤳晢㡣晥昹挹㙤愴捡㤱摣㔵㍡㡤㉦㘱搰㘹愸㤵㕡晢ㄵ戴㍡㘵㉦挷㈴㈵㠷慦ㄹ攴ㅢ㡡㙦㈱㍣㕥づ㑢㡡攱㍢㌴㤱ㅣ〷㈴ㅤ挹昵㜰㑤敥㐷晡攷㈷昷㌳㔵㡥攴敥搰㘹晣ち㠳㑥㐳慤搲摡摦愰搵㈹㝢敦搷㌹㜰㥥慤愹㈸捡㈱㜰㍡愷つ摤搰㐴㜲て愰敤㐸敥愷㙦摣㉥扥っ晡攷㈷㔷㐹㤵㈳㌹㡥㌴收㙤㠴ㅣ㐰㤴㡤㄰㜳愶㜳㜹㈹㡥ㄳ㡡戶㈷戴扡て㕥㡥昲㐹挵慡ㄸ戵ㄷ㐵㙦〸㡦㤷〳㝤㘲愸㐶ㄳ搹㍥㡤戶㈳摢捦㕤戳敤㐳晦晣㙣晢㔲攵挸昶敦㍡㡤㉤㘱搰㘹㈸㡥敡㐹㜲㕢㐱㥢㉢攵㙢㍡㠷慤ㄹ㘴ㅢ㡡㙤㈱㍣㕥づ换㐹㜲摢愱㠹攴㌸㈰攷㐸敥㕤搷攴㜶愴㝦㝥㜲㌵㔴㌹㤲摢㠰㌸㜹愵㝣〷ち挹㙢㈷㈰㜳搹㜲攴㑤戴㍢㐳㥢换昶ㄳ㘸㈵愹〱㡣扡ぢ挵㐰〸㡦㤷㐳㘷㘲搸ㄵ㑤㘴换㐱㌳㐷戶晦㜴捤㜶㌰晤昳戳摤㥤㉡㐷戶ㅢㄱ㈷㉦㕢づ㥢㐹㕥㐳㠱搴㜹愹敦戵㜶㑦㘸㜵ㅦ扣扦㐲㉢㐹昹ㄸ搵㑦ㄱ㠰昰㜸㌹扣㈵㠶㈰㥡挸戶っㅢ户㈳摢扦戹㘶ㅢ愱㝦㝥戶㌱慡ㅣ搹㤶㈳㑥㕥戶〶ㄴ㤲敤㕥㐰敡扣㤴㐷㙢昷㠶㌶搷〷㉦戴㌲慣昶ㄸ㔶捦〱挶㝤捡㌰㘰㔰㙥㈸㡥㐹㠹㘱㥤㙤ㄸ㈶〶愵晡㘸挳㕡摢戰ㅦっ收㝥〸㕡戱㌹㑣㠵摦っ攰ㄸ㘹㜱㝣㐶㍦㑡㔱㘶㌶㑣挱〷挴㜳搰挵搳挰㈹捡㌲㌹搷㘸㤸㌲ぢㅦ㈰扦㤹㡤ㅤ㤲挳昴挹㘹㜲搸摥㌹㤵昸㙣㔳摢搴㌰㍢搱㥣㐸搶㘷〸ㄹ搲ㅥ㜴㡢㐲㡢攰㔱〳㤶愱㙣愷搲戳㠱㜵㠲ㅣㄵ慡㔴㥤〶㔶㉡㍡㤸挳㔱㤳㕥㔸㔰敤㑢搲慣搸ㄲ㜵敡昴㠸ㄴ㐷㐴㝦攷㔷ㄹ㡣㐰〲㙡㙢慣㑣〶㕤㐷愲愵户㠶敡㙤㙤㙤㈵㐷㡦慡户搳㉤晣挷㤷愷㐰ち昵㙢ち戶〹㡥〹㠹攱愱㠲㙤㘲㐷㙤㜸搰戹㑤㡣收敡晢挱挴敤挲ㅣ㤳慢㐶㙥㐹慡愱㜶㠲㤵ㄵ㌱挷ㄲ㍦〰㑢㤲敥㌸㘷扡〳㙤㙤㈵晥㤷㔵敦慡㕢㑣㕥つ㐲㑢戲扡慦㈰㕤づ昵㠸攱捦〵改づ搶㠶㝢㥤改㑥攰敡㠷挰搴㜱扡㐳㠱㤰㜴㈷ㄲ敦㐳㑢搲㥤攴㑣㌷㘰㙢慤㜴㠳扡㈵改㠶搰㤲慣敥㉣㐸㤷㘳㍤㘲戸愳㈰摤㠸㌶摣敥㑣㜷㉡㔷ㅦ㠵㐹搲㉤戵慤愹扤㠰㤰㜴愷ㄱ扦て㕡㤲敥愱捥㜴昷戵戵搶挶戰㥦㙥攱㝦㤹ㅡづ㈹㔹摤㔴㤰㉥㐷㝦挴㜰㘳㐱扡㈳戵攱〶㘷扡搳戹㝡㡥づ㜵㕣摤搱㐰㐸扡㐷ㄱ㍦ㄶ㉤㐹㜷㠶㌳摤〳㙣慤㔵摤〳㜵㑢慡换愱ㅥ挹敡㥡㠲㜴㌹晣㈳㠶慢ぢ搲㍤㐸ㅢ㔶㌸搳㑤㜲昵ㅣㅥ敡戸扡㤳㠱㤰㜴搳挴㑦㐵㑢搲捤㌸搳㥤㘶㙢慤敡ㅥ慡㕢昸㡦㙦㕤㠰㤴慣㤶ㄷ愴换〱㈱㌱㕣㔱㤰敥ㄱ摡㜰戹㌳摤㍡慥㝥㍡㑣ㅤ愷㍢〳〸㐹昷㌸攲㡦㐶㑢搲慤㜷愶㥢戴戵㔶扡ㅣㄶ㈲㐶㙡慤搲㘸㐹㔶ㄷㄵ愴换㈱㈲㌱㕣㔸㤰㙥㔶ㅢ㉥㜰愶㍢㥢慢㍦〶愶㡥㌷㠶㘳㠱㤰㜴㥢㠹攷㤸㤱愴摢攲㑣户搱搶㕡ㅢ〳挷㠵㈴㕤搹ㄸ㘶愳㈵㔹㉤㉤㐸㤷㘳㐴㘲㌸愷㈰摤㘶㙤㌸摢㤹敥㍣慥扥〵㈶㐹㜷㍥㕡搶㘱㍤户㘴ㅤ挸收〲㈱改㉥㈰㝥㍥㕡㤲敥㐲㘷扡ぢ㙤慤㔵摤ㄳ㜴ぢ晦昱㐹晥㤰㤲搵ㅦち搲攵㠰㤰ㄸ㑥㉢㐸㜷㤱㌶㥣敡㑣㜷ㄱ㔷㝦㌲㑣ㅤ㙦っ㑢㠰㤰㜴ㄷㄳ㝦ㅡ㕡㤲敥㈹捥㜴㑦户戵㔶扡㘷攸ㄶ晥㘳㠲㍣愴㘴戵愸㈰㕤づㄱ㠹攱愴㠲㜴捦搶㠶ㄳ㥤改晥㠱慢㍦〷愶㡥慢扢っ〸㐹昷っ攲捦㐷㑢搲㍤搳㤹敥㠵戶搶㑡昷㈲摤挲㝦㝣㠲〸愴㘴㌵慦㈰㕤㡥ㄱ㠹㘱㙥㐱扡㤷㙡挳ㅣ㘷扡㑢戹晡换㘰㤲㜴㜳敦㘵敤敦㙦搶挶戰ㅣ〸㐹㜷ㄹ昱㔷愲㈵改㥥攷㑣昷㉡㕢㙢㙤扢㉢㜴㑢戶摤慢搱㤲慣㘶ㄷ愴换㐱㈲㌱㌴ㄵ愴扢㔲ㅢㅡ㥤改㕥挴搵㜳㄰愹攳㡤攱〶㈰㈴摤㑢㠸扦〹㉤㐹昷㔲㘷扡户搸㕡㉢摤㕢㜵㑢搲攵㄰㤱㘴㔵㔷㤰㉥㠷㡤挴㌰慢㈰摤㍢戴攱ㄸ㘷扡换戹㝡づ㉢㜵㕣摤㔵㐰㐸扡㔷ㄲ㝦㉦㕡㤲敥㥦㥣改摥㘷㙢慤㡤攱㉦扡㠵晦昸㔰ち㐸挹㉡㔹㤰㉥挷㡤挴㤰㈸㐸昷〱㙤㌸摡㤹敥㌵㕣晤㠳㌰㜵㥣敥挳㐰㐸扡搷ㄲ摦㠶㤶愴㝢㥤㌳摤戵戶搶慡㉥〷㡢㠸㤱攴搵㘳㘸㐹㔶搳ぢ搲攵挰㤱ㄸ㡥㈸㐸㜷扤㌶ㅣ敥㑣昷㈶慥晥〹㤸㍡㑥昷㈹㈰㈴摤㕢㠸攷㐸㤲愴㝢慢㌳摤㘷㙤慤㔵㕤㡥ㄶ㐹扡昸㕦愶晥づ㈹㔹㑤㉤㐸㤷㈳㐷㘲㤸㔲㤰敥昳摡㌰搹㤹敥㥤㕣晤ぢ㌰㜵㥣敥换㐰㐸扡㜷ㄳ晦ち㕡㤲敥㉡㘷扡慦搹㕡慢扡慦敢㤶㙣扢㙦愰㈵㔹㑤㈸㐸㤷㐳㐷㘲ㄸ㕦㤰敥〶㙤㌸搰㤹敥㝤㕣晤㕢㌰㐹扡㈵捦挸摥〱㐲搲扤㥦昸昷搰㤲㜴㔷㍢搳晤挰搶㕡搵晤㔰户昰ㅦ摦㈸ち㈹㔹㡤㉥㐸㤷㠳㐹㘲搸扦㈰摤晦㘸挳㈸㘷扡㙢戸晡㡦㘱敡㌸摤捦㠰㤰㜴ㅦ㈱㝥㈳㕡㤲㙥㥢㌳摤㉦㙤慤㔵摤慦㜴㑢慡晢㌵㕡㤲搵㝥〵改㜲㜸㐹っ晢ㄶ愴晢慤㌶っ㜳愶晢ㄸ㔷晦ㅤ㑣ㅤ愷晢㈳㄰㤲敥㝡攲㝦㐶㑢搲㝤挲㤹敥慦戶搶慡敥㙦扡㠵晦〰〳㈸㔹挵ち搲攵㠰㤳ㄸ愲〵改㜲㄰㑡っㄱ㘷扡㝦㠳㔶㜱㐰㑡搲㉤昹㌶挱㘱㈸㐹昷ㄹ攲㌹〲㈵改㍥㡢㠵摣戵ㅡ㐷㥢愸戵慡换㔱㈶㘹㐹㜵㌹扡㈴㉢昷ㄷ愴换ㄱ㈷㌱昸ち搲攵㈸㤴ㄸ昶㜴愶晢㍣愳㔶㐳㜴㕣摤㍥㐰㐸扡㉦ㄲ捦㈱㈸㐹昷㈵㉣攴搲摤搲搶㕡搵攵戸㔳㉥㜹戵㌵㕡戲昲挱〵改㜲っ㑡っ扢ㄵ愴换㜱㈹㌱っ㜲愶晢㉡愳㜲㡣慡攳敡㜲㘴㑡搲㝤㥤昸ㅡち搴搱㝣〳ぢ戹㜴㌹〰㤵慢㘷㌵〷㥥摡搳攵㠰㤳慣㝣攷㠲㜴㌹〸㈵㠶㥤ち搲攵挰㤴ㄸ晡㍢搳㝤㥢㔱㜷㠵攸㌸㕤づ㑤㐹扡敦㄰捦㔱㈹㐹昷㕤㉣攴搲攵〸㔴㉥挱敡㍤㜵㑢㌶〶㡥㌸挹捡户㉦㐸㤷愳㔰㘲搸慥㈰摤㠰㌶㙣敢㑣昷㐳㐶攵㈸㔵挷改㐶㠰㤰㜴㍦㈲㍥㐶挱敡晥〷ぢ戹㜴㌹〴㈵改㌲挱㙡づ㍤戵㈷捦㌱㈳㝥㥣㝡昹㝣㤵㍡㍡㝤昴搱摦㔷㜷慦搹戶晢㘱挳慢慥㜸晢愹㜷㉥㝣昱挸㘱ㅦ晥㝣攵㤵㉦扥㜷攱搳㍦㍦㤴ㅣ昶挴捡㤵㡦ㅤ戰攲改㜷晡㘴慦㉥扦敦晢昱㔷㥦攸㍦敥挴攳戳㠷っㅥ㜳攲攱挷ㅥ散㥦戴搹㤰㙥摤㝡昴搸㜵昳㈷户ㅥ攴㕤㝣晣晤敡搱㔷户㙡慣ㄸ㡥ㄵ㜴㘲搰㠶ㄹ晤捥ㄱ㤶㡦搹㈱ㄹ㘶㘱捦㥤ㅦ晢敤ㅤ〹㤳っ昷㝤㡡〵昳㌳㠸㕥攵搵ㅣㄲ改捡㉥㉢ㅥ㘸搸㙤昳㜳〸㈵㈳㉡㐵㤹㜱㘴㐵㌲晢㠲挰㉦㈱㤰ㄹ㐷㍦扡㌴戳㠹㔸㠱㙣ㅦ㜹㔵攲戰㠹攴昲㌵ㄶ捣㙦㈰㤰ぢ㠷㌶扡㌴㤷㘹㔸㐱㜱㉥ㅣㄳ㤱㕣扥挳㠲昹㍤〴㜲攱戸㐵㤷收㈲〳ㅤ㐵ㅣ㜱挰㐳㜲昹㤱戹晣㘴攵㤲散敡㕣㘴ㄴ愳㈸ㄷ㡥㘶㐸㉥扦㌰㤷㕦慤㕣㌸攲搰愵㜵㌹づ㉢㈸收㠸㐳ㄵ㤲㑢㔹㑦攴愲㈰挰ㄱ㠷ㄳ扡㌴㤷㘶搷㕣㌸づ㈱戹㜴㘳㉥摤慤㕣㌸㔶搰愵戹捣挷ち㘴て慦挰ち㤵っ㌵㤰㌱晤㤸㉤㤶换扣ぢ㜵㘶㍤㤸㔹愵㤵ㄹ㠷〵扡㌴戳挵㔸㐱㌱㘳ㅣ㑦㤰㉡㜹㤸㑢㑦㉢ㄷ㕥昳㜷㘹㉥㘷攸㕣昲敡挲挱〲挹愵ㄷ㜳改㙤攵挲ぢ晡㉥捤㘵㤹捥㈵敦挸㜷㥥捥挵换㕣㌶戳㜲攱搵㝡㤷收㈲㤷昷㐵㝢昸愵㍡㤷捤㤹㑢㕦㉢㤷攵㕤㥤㡢㕣扢ㄷ攵挲㙢㜸攱㘸㑢收戲㤵㤵ぢ慦戳扢戴㉥㜲㘱㕥㤴ぢ㉦搰㈵㤷㙤㤸换戶㔶㉥扣㠸敥搲㕣攴慡扢㈸㤷㕢㜵㉥摢㌳㤷ㅤ慣㕣敥散敡㕣攴㤲扡㈸㤷㔵㍡㤷㝥捣愵挶捡攵扥慥捥攵㝥慣愰昸昸挲敢㘶攱㘸㈷收戲戳㤵ぢ慦㙤扢㤴㈳戹ㄸ㉥慡㑢㥢捥㘵ㄷ收㌲搰捡㠵ㄷ慥㕤㥡㡢㕣改ㄶ攵昲㠴捥㘵㄰㜳搹捤捡攵㙦㕤㥤㡢㕣挶ㄶ攵昲慣捥㘵〸㜳搹摤捡攵昹慥捥㐵慥㔱㡢㜲攱戵慡㙣㉦㐳㤹换㥥㔶㉥扣㥥散㔲㡥攴〲戴㈸ㄷ㕥㠸㑡㉥㝥收ㄲ戰㜲㜹扢慢㜳㤱慢换愲㕣㜸㤵㈹戹㠴㤸㑢搸捡㠵㔷㠲㕤㕡ㄷ戹㜴㉣捡㠵㤷㤰㤲㑢㤴戹挴㈴ㄷ㈵搷㕡㠴挶搱收㜱㐰㕥扣扡㤲㑢摢昵㕦㕢ㄳㄸ㐶挲㔲愹捡ㄴ慦戸挴昰戸㙤昰搲㜷ㅦ晡捡戵ㄱ㕢挳㥣㤱㜸㌵㈴づ㙢ぢ㈲昱ち㐹っ㡦㍡㈳つ愷㉦慦㕡挴昴㐸㠱て慦㘴挴昰㜰㤱て慦㉥挴戴愶挰㠷㔷ㅣ㘲㜸挸改㈳ㄹ昳㉡㐰㑣てㄴ昸昰捡㐰っ慢㥤㍥㤲ㅢ捦搶挵昴㤷〲ㅦ㥥挱㡢攱㍥愷㡦慣㠷㘷搵㘲扡户挰㠷㘷摡㘲戸愷挸㠷㘷扦㘲㕡㔵攰挳㌳㘲㌱摣敤昴㤱摣攴摣㤵っㅣっ㑣㡥㑢㥥慤㡡挳ㅤ〵㤱㜸〶㉢㠶摢㥤㤱愶搲㤷㘷㤵㘲扡戵挰㠷㘷㥡㘲戸挵改㈳扤攴搹㥦㤸㙥㉡昰攱ㄹ愱ㄸ㙥㜴晡挸㝡㜸㤶㈶愶敢ぢ㝣㜸收㈶㠶敢㥣㍥搲㑢㥥㑤㠹㘹㘵㠱て捦戰挴㜰㡤搳㐷㜲攳㔹㡦㤸㔶ㄴ昸昰㑣㐸っ㔷㌹㝤㘴㍤㍣㍢ㄱ搳㤵〵㍥㍣㘳ㄱ挳ㅦ㡢㝣戶搷愶攵〵㍥㍣戳㄰㥦㉢㡡㝣昸㙥㉦愶换ぢ㝣㙡戴攱戲㈲ㅦ扥㉢㡢捦愵〵㍥㝣愷ㄶ挳㈵㑥ㅦ愹〱摦㍤挵㜴㔱㠱て摦㔱挵㜰㘱㤱て摦攵挴㜴㐱㠱て摦昹挴㜰㝥㤱て摦㡤挴㜴㕥㠱て摦愱挴戰捣改㈳戵收扢㠶㤸㤶ㄶ昸昰㥤㐴っ攷㌸㝤愴㍦㍣扡㡢改慣〲ㅦㅥ昱挵㜰愶搳㐷搶挳愳戰㤸㑥㉦昰攱㤱㔹っ㝦㈸昲攱搱㔲㑣愷ㄵ昸昰〸㉡㠶㔳ぢ㝤扣㍣㤸捡愱㜶ㄱㄶ㌰㉢㡤〹换愰摥挹㔸昰昲〰㈹搶挵㤶㤵愹㠹昵ㄴ㕡戹昳㡡㜵㠹㘵攵㡥㈲搶㔳戱㔰挱㠰ㅤ捣㜲㥡㤴㘹㑥㘵ㅡ㕢敢敡㌳㥣㘵㠵㐳㔲㔹慦㠶摡㌹㉤慤㑤搶㐴戰㤶ち㤹晡㔵㍣㌵慣て攱㐳昲愰ㅥ㑢㐵㔹㙤㉤收收㠸昵戴㑤㥣㔴昶㝦㥤㈰搶〳㝤攳ぢ捦㝦散搸昱ㅣ㌱㙢㝥㔸攷㔰昶攴戰搳㔰ㅤて㍥㕥〹戳挳摡ㄷ愵慤㔸㜹㌹捦晤〳ㄶ昴㡦㈲〳㉣愹㜹㍡㠴敤搹扥㘸㜹㤲ㄵ昱㍣〳ぢ晡㐷㤱ㅤ昱㍣戳摤戳㝤搱昲㈴㘳攲㜹㤶挳戳㥡㤹昱挷昰敡㔴慡戹㑡㑢愵搷㔱捤㔸㤶㑡㍢昷晣㝦㠲㌱扥ㅤ</t>
  </si>
  <si>
    <t>㜸〱捤㝤〷㜸ㄴ搵晡㝥㑥㈰㐳㘶㈹㔹挰〲搸〲愲㈲㈸㙥摦㡤㔷㤴㄰㝡ㄱ〴〴㐴〴戶捣㑡㌰〵㤳㔰攵㘲扤㜶搱慢搸戰㘰㐱㐴㐰慣ㄷ㔱ㄱ㈳㈰㤶ぢ昶㡡㡤㙢扦敡戵㘲挳昶㝦摦㌳㜳㌶戳扢戳㑢㝥晥㙦㥥攷㉥散㤷㌹㕦㥢昷㝣敦捣散捣㤹㌳扢〵愲愰愰攰て扣昸㤷慦搶㕣搸㝦摣晣晡〶愳扡㙦㐵㙤㔵㤵ㄱ㙦愸慣慤愹敦㕢㕥㔷ㄷ㥤㍦戲戲扥愱ㄵㅣ戴㘹㤵戰搷ㄷ㑤慢慦㕣㘰ㄴ㑦㥢㘳搴搵挳愹愸愰愰戸㔸㉦㠴扤慢昵㜶慢㠶捥㈸扤㌵〵扣ち㜴㡤愲つ㐵㌱㠵㑥攱愲㘸㑢搱㡥愲㍤㐵〷㡡ㄲち㌷㐵㐷㡡㑥ㄴ㥤㈹昶愲搸㥢㘲ㅦ㡡㝤㈹扡㔰㜰晤㝡㌷㡡晤㈰摡敤て㌱扥㘲挰攸搸㑣昴㘶㕣㐳㙤㥤㜱㐴改〴ㄳ㜳㍦慦户慦户㙦㈰攸昵昵昵ㅣ㔱㕡㌱扢慡㘱㜶㥤搱慦挶㤸摤㔰ㄷ慤㍡愲㜴捣散㔸㔵㘵㝣㠴㌱㝦㝣敤㘹㐶㑤㍦㈳收昱挷愲㠱㠸㌷㄰っ㈶换捡㈲敤づ㐰收攳㉢〶㡣愹㌳㤲昵晦慤㥣〷㌲攷攸㡡〱㝤㡦㌷ㅡ晥㕢㌹て㐲㑥愴ㅣ㔸㕢ㅤ慤慣昹㉦㈵㉤㈲愷晥㠱㐶扣㤲攴ㅢ㐶㕤㘵捤愹㝤〱㍢慤搰㘸㠵晢づ㐶挵攳搱晡㠶ち愳慡㙡慣㤱㈴敦敤慡㔹㌳愳捥愸㠹ㅢ昵ㅤ慡〷捤㡢ㅢ㔵㤶戹扥戸㝡㐲戴敥昸㘸戵搱㥡ぢ㈵搵㈶㙦挳ㄲ㐶㑤㐳㘵挳晣昶搵㈷搶ㅢ㘳愳㌵愷ㅡ㜴㈹慡ㅥ㌲扢㌲搱扡戵㘸摤扡愰搵㘱㑥㘰㈴㌷㝤〷搷挵㉢㘶㐴敢ㅡ㘴㡢慣㜹㥤㝣㙤㕢㠸〴㥥〶㡢㕢㔱㘹㐶ㄴ㘹ㅡ㔷㔹㍤挲愸慢㌱慡戸ㄲ㤲搷㈷挳㐹搶挴㉣㝤慡㌸慡㌷㈴㐶戴戵昶㌷㜶㠵㙢搱㑢㈹扡㐳㘸㍤㈰摣晤捡㑦散改つㅦ摡攳攸搲ㅥ㠷昶㉣昷㐵昴㠳㘹敦〹㈱㕡扦㠵㥤搷ㅥ捦ㅤ愸㜰㕡戴㜰㕡慣㜰㕡扣㜰㕡愲㜰㥡㔱㌸㉤㔹㌸敤搴挲㘹㌳ち愷㔵ㄶ㑥㥢㔹㌸敤㌴昸愸㔷㜱㥢㌶㠵搶㙢挹㤱㐳㍥㍡戹㠳㜷挰㔵㤷㝦ㅢ㝢㌵ㄶ㙥㈵戸扦捡ㅤ昷㔰㉣攸㠷㐱㘸扤㈰㌲昰昸㍤晡攱戴昷㠶㄰攲㔵攰㈱愶㜰攵戰㜹敢㜶㉥ㄹ㜴换㠱㙢捦摦戹晡搶敦〴昷㝢㤹散〸㍡ㅦ〹愱昵㠵㜰昷慢ㄸ㘹敦㥣㐷㍦㡡㜶て㠴㄰捦㕢挹敥㡢晢扡㕦戳昷昴晥㔷扡㘶㝤扡晦改晥㤳〵㡦ㅦ㌲㤹㡦捥㝥〸㉤〰㤱㤱捣㕢愶〷㘹て㐱〸昱㡣㤵散㙦敤慦扤攲挵㔱晦ㄸ㜶晦昶㜹慥昶㍦敡ㅦ〸㙥㡦㌲㔹㠴捥㘵㄰摡搱㄰ㄹ挹㝣㝥晤㉦戴ㅦ〳㈱挴㘶㉢搹㈵扤㕦慦扤敢摡㡡挱㡦㠸㠹户㉤ち㑥㥥㉡㜸㍣㤳挹㡥愵昳㜱㄰㕡㝦㠸㡣㘴㝥㥦㕥㑥晢〰〸㈱ㅥ戳㤲戵扥㜳攳戹㈷昷摢㌴昴㡥慦摤㠹㙤扢㡢摦ㄱ㍣㉥捡㘴〳改㍣〸㐲ㅢっ㤱㤱㉣攴搵㠷搰㍥ㄴ㐲㠸㠷慣㘴昷㜶ㅥ昱收愲搵㥦㤴㉦晢挴扤昵慢晤捦扢㔱昰昸㉡㤳つ愷昳〸〸㙤㈴㐴㐶㌲㙦㐴ㅦ㐵晢昱㄰㐲摣㘷㈵敢戶㝤㔳攴摦㘷㡥ㅤ㜹㔷晤㤹ㅢ㑢ㅥ改昱愸攰㘶㈶㤳㡤愱昳〹㄰摡㔸㠸㡣㘴晥㤰㍥㡥昶昱㄰㐲慣戶㤲㥤㌶㘳攵昲㥥㘷晢〷㕥㌶㝡昶㉤㤱ㅥ㐳昷ㄵ㍣摥换㘴ㄳ攸㍣ㄱ㐲㥢〴㤱㤱㉣攸搳㑦愲㝤㌲㠴㄰㜷㔸挹㙡ㅥ敤昲㐲攱戰㍢㐷慣㍣愷昸摥㥥晦扡敦㜶挱捦つ㤹㙣ち㥤㑦㠱搰愶㐲㘴㙥戴㍥㝤ㅡ敤搳㈱㠴㔸㘶㈵㜳昷ㅣ昲敡挳攱戶挳㉥昰㑦㍣攴㥤㥥挵㍥挱捦ㅦ㤹㉣㐶攷㌸㠴㤶㠰挸㐰ㄶ〸敡〶敤㐹〸㈱慥户㤲㠵㕦摦戰昹愴㙦㉦ㅡ㜹挹搵慢捦㍣㌷㜲㕥ㅦ挱捦㌱㤹㙣〶㥤㉢㈱戴㤹㄰ㄹ挹晣㘱㥤晢愷㕥〵㈱挴㔵㔶戲㈱昳㜷㍥㝣攲攳昷昷扦攸愳〷ㄶ㝥晦㐵㤷㐵㠲㥦㠷㌲㔹つ㥤㙢㈱戴㔹㄰㤹摤昴敢愷搳㕥〷㈱挴㘵㔶戲攱㙢㍤㑢㥥㜹攸慤〱㝦摢㍡敦愹㍦ち㙦摦㉣昸戹㉡㤳㌵搰㜹㌶㠴㌶〷㈲㈳㤹捦愷捦愵㝤ㅥ㠴㄰ㄷ㔸挹昴捦〷戸ち㔶挶㐷㙤摣摣㜹昶敥㙦收㉥ㄵ晣㝣㤶挹ㄶ搰昹っ〸㙤㈱㐴㐶㌲㙣戴㝦愵㝤ㄱ㠴㄰㘷㕢挹㝥㤸摡昵㡤㈷㝦㝥㜱昰搹户ㅦ㝥搳慥ㄳ㕥㥤㈶昸㌹㉦㤳㥤㐵攷戳㈱戴㜳㈰㌲㤲〵挳晡戹戴㥦〷㈱挴ㄹ㔶戲戹摦捤晦㌹昰搵㡦攵敢㠷㉦㕣戱㝡㘱户ㄹ㠲攷ぢ㌲搹昹㜴扥〰㐲扢㄰㈲㠳〰㕦㐸扦㠸昶㡢㈱㠴㤸㙤㈵慢㕢㜳挲㌱摦慣㥢㌴㜲改搹㡢慥㝦㘵㔷昹㘲挱昳づ㤹散㔲㍡㕦〶愱㉤㠶挸㐸ㄶ昲敢㤷搳㝥〵㠴㄰戵㔶戲㙦扡敦㜵搱㔱愷㑥ㅣ扡攱攰㡦㔶㉤摦㜷收㑢㘲ㅦ㤸㘵戲㉢改㝣ㄵ㠴戶〴㈲㈳㤹㍦愰㕦㑤晢㌵㄰㐲㔴㕡挹搶昶敤戵摤昵攲愲㡡㔵㍢㥥㠹㤴㝦㝣捥㈷㠲攷㐱㌲搹㜵㜴扥ㅥ㐲㕢ち㤱㤱捣ㄷ搰㙦愰晤㐶〸㈱攲㔶戲㠷搷㍦㔵㍢昸愲㘹㐳慥晢愶昲愴㔷㈷ㄴ㥦㉦扡挰㉣㤳摤㑣攷㘵㄰摡㉤㄰㤹〴昸昴㕢㘹扦つ㐲㠸㔳慣㘴ㄷㅥ摢敦捡戳戶ㅣ㌹㜰搹愴晥摡㈵㔳慡摡ぢ㥥㤷挹㘴换改㝣〷㠴戶〲㈲ㄳ㤹㑦扦㤳昶㤵㄰㐲㑣戴㤲戵㌹㜹昴愰㔱晦慡㍥晥搱戶㝢㙤扢㜰㝤改〳愲ㅢ捣㌲搹㉡㍡慦㠶搰搶㐰㘴㈰〳㥢㜷搳扥ㄶ㐲㠸ㄳ慣㘴昷慣昰捥攸晡攵㍢㈳㙥摤扤㜲㑣挷敢昴慥㠲攷㠹㌲搹扤㜴扥て㐲扢ㅦ㈲ㄳ㔹㐴㝦㠰昶〷㈱㠴ㄸ㘱㈵㡢㝣昳昷ㄷ㝦㝢敢㠶㡡戳户㝦㍦昵㤴㑢晥攸摢㙥ㅤ捣㈷㔸㥦改〳敢愲㜳㜱㘲搴㜴捥㠵ㄳ㑤晥摢昳挹㈶捥㌵㤳挱㘴㌸改昵㈶㠲㥥愸㍦㕡㔴㡡戴捤㍤挵攱愶摥㉥㌹戱戲㈶㔱㍢㔷㥥昳戴㑢づ慥慣㙡㌰敡㘴愳㈴㠹㍦收㜹㥢㙣户㑦づ㥡㠷ㄳ摥戸㜹㝡戴㔷戲挲愸㙢挰㠹㘲挳晣愶㜳愶晤〷㐴敢㡤愶㘶ㅦ㉢昷㠰摡搹㌵㠹晡晤㥣㡤攳ㅡ愲つ㐶户㑣㕢㔳㤲慣戰㜱㌸㠹㌴敡㈵愴〳㌳挳㈶㐴慢㘶ㅢ攵昳㉡㑤昳〱ㄹ㘶㥣㑥搶挶㜲㕢〷搷ㄹ愷愷慣㔹㠸捡㜱㡤㌳㐷收捥敡愵㘹㌲㜱㤵㔶捣愸慤㌷㙡㈴扣㍥搵㘳㉡攳愷ㄹ㜵攳っ㕥㈱ㄹ〹搹搵扤㘹戲捥㘹晢㡣慥㐱㐷㜱㤶㥡攸㘱搷戲搰㐶㑤挲㐸〰敦㉣㔴㜹晥昸㘸慣捡搸㈷捤挵㕣㈷っ㕤搳搴㠳㙢攳戳敢㉢㙡㙢ㅡ敡㙡慢搲㉤攵㠹㌹㔱㥣㐷㈷㐶搵㈶㡣搶昲㔵㘰㑡㔱搰慡㤵㄰〵扤㥣㑥㐸㤹扢㥥愷慣戶㡤㠴㈷挶昹㥤㙤ㅢㄱ㥤ㅤ㑦㜵㔳㤹戱㘰摢挸攸㝦㜸㕥㈴昶㡤㤰摥㥥扣摥づㅢ㈹㠳扡愴敦㜸㝤挷㠲ㅦ昰㔰㘵㜰慦㉣散㤹㍢㘵搳㜶戹〷愴㌶㔶㜸㐱㑣敦㍣㐵㤳㘹㔳摢㕥换㍡ㄷㄶ㜶戶㝡㍦㘸づ慥㤶㠶㐶㙢ㄲ㔵㐶㕤摥换㜹㐱㐴晡㐳ㄴ敢㈹ㅥ愶㜸㠴攲㔱㠸愲㠱㌸挶攵慣㘸㙢㜸㠸㜹㘲㝥搱摣捡㐴挳っ㙤㠶㔱㜹敡㡣〶攸㌰っ㔰㕣捣㜲㘷扤昴挷愰搲㌷㔲㍣づ攱㜲ㄵ㘸㡤昸㕢愰戹昴㈷昸㘷ㄳ㐴扢昲搹つ戵愵搶戶攰ㄲ㐵摤愱晢扦㕦慤ㄵ㈲㑡㤷ㄷ㠷戸㝡慦㉦慡挶㌵㘸㝤慢㔶㑥愵ㄸㅡ慤㥦搱挰扤㌰扦㤱昹㌶㔳㙣㠱㘸昷㈴挴昱㐳㡤㉡散挳晦慤ぢ晦愲㠳㤱㜳㡦ㄷ㤸㍣扢摡愷㝡摣晣㥡昸㡣扡摡ㅡっ扦っ㡣㌶㐴换攳戸㡡慥ㄷ㔱慤㝡㘴㙤挵散〶慤㝡㘸㈵晥戴慢ㅥ㙢捣㌲愲つㄵ㌸㐶㌷戴慦ㅥ㠹㉢㜰㜹㄰ㅤ㤶㤸㔷㔴㙤㕥㍣て㌴敡攳㍡慦戲㠷攱㤸㌴㑦挳ㄲづ戲敤慡㜹㤴㌱收㌵㌰㜵㥢敡㌱㔱㕣愵㌷攸㜰敡㈳愳捣㈵㐶戶㤷㍡ㄵ敤戲㕡挸攰㤶㡢戶㉣㙤愵挲捣㔴挰捤〶ㅦ㥦昸挰㙤㙤挹捣摤攷挴㠶捡慡晡扥㔶㜹晢づ慣挵㈸㡣㈱〷愰㔸㜶㑤挳搶愵攵㈵㉢㜳㉦攷㘵晡攸㜸捣㑣ぢ㈸㐳敡㙡㘷捦㍡㄰戹晥㕢㜹㤸慢㐰摦ち戱散㥢㔵㝦㌹攴愶㝢晥戰晥㥥㠹晤㐷扥昴ㅥ昴㘸㠴㘰ㄳ㝦攴㑢㝦〶㝦㕣昹㙣㐵㍤攱攱㜸㤸捤㌱愲㔰〴晦㜶搵攸敤昸㍡㐳づ㤱ㄴ换挶晣㔹㐶晢敡㠹戵㜵愷挵㙡㙢㑦㈳昹ㅤ㘴慢㝥㠶㘱㌴㜰摣愱慤㌵捣挲㘵㈱㐴慢㔶㘹㠳ち戶〱㡡㠳㤰㕦摢づ搱扥扣慡慡㔴㘵慣搷㥥㠳慡ㄵ㍥㑥戴攷戱㄰昱㜹㝣㠱搲㡡㜱㘳换㑢挷ㅢ搵戳慡㜰ㅥ㔰ㅡ㍣愴戴扡㌶㔱ㅡ㔸㜴㝣昹㠴挱攵ㄵ愵㐶愲戲攱挸㈳㡦昴晡换㑦ㅣ㐲昷扥昳慡敡攷〹て慡挳昱㠳㑤㐵昳㙦㡢㥣㕦搰晦攱㡦ㅥ敢搴收㤹敤㝥㜱㤴㘵挸ㅡ愵㌸ㄴ敢㉢挵㕢㝦㠹攲㘵㡡㔷㈸㕥愵㜸つ㐲ㅣ㡥㔰ㅥ挸戰㥣晥搲摦㐰㕢㝦㤳㘲〷〴づ㐷㤲㈱ㅣ㡤摥愶㡥㐷㈳㤷㄰㠷攱てて㐲晡扢ㄴ敦㐱㠸挳㈱戸扢ㄶ攸㍢㈱㜲㜲摥㡢ㅥ㡤㄰㔸㜹㙡敤晡〷㔰戸昴㍣㌶搱ㅢㅥ攴㕤㘷㥤㜵㔶㔶㘷㔵挵㍥㐸攳㔸㥣扤㉤㐳搶愸换ㄱ〸㉢㘵晣ㄷㄴ晦愱昸㤲攲㉢㡡慦㈱㐴〹㐲㥤㡢昳㉤㝤扥愳搸〵㘱㉢捥て㘸㙡㍦㐲㘴ㅣ慡挵㤱搰挹㑡晤㠴〵晤㘷〸㜱ㄴ㠴㔹愹摤㔸捡㔹愹扥っ㘸㠴〰㥡愶㑡晤〶㠵㑢捦㘳ㄳㅥ㜸㌸㔵敡搷摦㜳㔴敡ㄷ换㤰㌵愴攴㐳愶㔲扣㜵㑤㐰戴愱㈸愶搰㈹㕣㄰攲㝢㠴㍡㔷慡ㅤ㝤摡㔳㜴㠰戰㔵捡㑤ㅤ㉢㠵捤挸㡦㍦摤戹㠲㑥㔴㜶㠶㄰㐱㌴捤攲散㠵㘶捥攲〴ㄸ搵〸㤱㔶㥣㝤ㄱ攲搲昳搸㐴〸㈱㑥挵㜹㍦㔷㜱晥㘵ㄹ戲㠶挸㈲挸㔴㡡户㕥㡡㤵敡摤㈹㝡㔰ㅣ㑣搱ㄳ㐲扣㤵戳㌸㠷搲攷㌰㡡㕥㄰戶攲昴愶捥㉡㑥ㄹ㤲㜷攷ち㡥愰昲㐸〸昱ㄷ㌴捤攲昴㐵㌳㘷㜱㡥㘶㔴㈳㐴㕡㜱扣〸㜱改㜹㙣攲ㄸ㠴㌸ㄵ攷改㕣挵㜹捡㌲㘴つ昹ㅤ㡢㑣愵㜸敢㐷㘳愵晡㕦㈸㡥愱攸㐷㜱㉣㠴㜸㈲㘷㜱晡搳愷㥣㘲〰㠴慤㌸〳愹戳㡡㜳ㅣ㤲㜷攷ち〶㔳㌹〴㐲㤴愳㘹ㄶ㘷㈸㥡㌹㡢搳㥦㔱㡤㄰㘹挵ㄹ㠱㄰㤷㥥挷㈶〶㈰挴愹㌸㙢㜳ㄵ攷㙥换㤰㌵㠴㌹㄰㤹㑡昱搶挷㘳愵晡㠹ㄴㄳ㈸㈶㔲㑣㠲㄰㜷收㉣捥㘴晡㥣㑣㌱〵挲㔶㥣愹搴㔹挵ㄹ㠴攴摤戹㠲改㔴㐶㈱〴㐷㐳捤攲挴搰捣㔹㥣挱㡣㙡㠴㐸㉢㡥㠱㄰㤷㥥挷㈶㠶㈲挴愹㌸㑢㜲ㄵ攷㉡换㤰㌵㈴㍢ㅣ㤹㑡昱搶㙢戰㔲扤㤶㘲ㄶ挵改ㄴ㜵㄰攲戲㥣挵㘹愰捦㙣㡡㌹㄰戶攲捣愳捥㉡捥〸㈴敦捥ㄵ㉣愰昲っ〸㌱ち㑤戳㌸ぢ搱捣㔹㥣㤱㡣㙡㠴㐸㉢捥㤹〸㜱改㜹㙣攲㜸㠴㌸ㄵ㘷㐱慥攲捣户っ㔹㐳捣㘳㤰愹ㄴ㙦晤㐲慣㔴扦㠸攲㘲㡡㑢㈸㉥㠵㄰昵㌹㡢戳㤸㍥㤷㔳㕣〱㘱㉢捥㤵㘸㙡㔷㐱㘴㝥㜴㜱〸扢㍢搷戶〴㐶晤㙡〸㌱づ㑤戳㔲搷愰㤹戳㔲㘳ㄹ搵〸㤱㔶愹敢ㄱ攲搲昳搸挴㜸㠴㌸㔵㙡㝡慥㑡㑤戳っ㔹攳攷ㄳ㤰愹ㄴ㙦晤㌶慣㔴扦㥤㘲㌹挵ㅤㄴ㉢㈰挴㐹㌹㉢戵㤲㍥㜷㔱慣㠲戰㔵㙡つ㜵搶㘶㌴ㄱ挹扢㜳〵㙢愹扣〷㐲㥣㠴愶㔹㥣㝢搱捣㔹㥣㐹㡣㙡㠴㐸㉢捥〳〸㜱改㜹㙣㘲㌲㐲㥣㡡㌳㌸㔷㜱〶㔹㠶慣晢〱㔳㤰愹ㄴ㙦㝤〳㔶慡㍦㐶戱㤱攲㜱㡡㐶〸㜱㕣捥攲㙣愲捦㘶㡡㉤㄰戶攲㙣愵捥㍡㍤㍣〵挹扢㜳〵㑦㔳昹っ㠴㤸㠶愶㔹㥣㘷搱捣㔹㥣愹㡣㙡㠴㐸㉢捥㜶㠴戸昴㍣㌶㌱ㅤ㈱㑥挵㌹㈲㔷㜱晡㔸㠶慣晢ㅢ㌱㘴㉡挵㕢㝦つ㉢搵㕦愷㜸㠳攲㑤㡡ㅤ㄰攲㤰㥣挵㜹㥢㍥敦㔰扣ぢ㘱㉢捥㑥敡慣㉤㈷㡥攴摤戹㠲昷愹晣〰㐲ㄸ㘸㥡挵昹㄰捤㥣挵㐹㌰慡ㄱ㈲慤㌸㥦㈰挴愵攷戱㠹㈴㐲㥣㡡搳㈹㔷㜱㍡㕡㠶慣晢㌵㌳㤰愹ㄴ㙦晤㙢慣㔴晦㠶攲㕢㡡敦㈸㜶㐱㠸戶㌹㡢昳〳㝤㝥愴昸〹挲㔶㥣摤搲㠰慣㌸㈳攴㉤愰敥㕣挱慦㔴晥〶㈱㜸敢挷㉣捥敦㘸收㉣捥㑣㐶㌵㐲愴ㄵ㐷ㄴ戲㌸㜹㙣愲ち㈱㑥挵昹改户ㅣ愷换㍦㕡㠶慣晢㑦㌵挸㔴㡡户敥挲㑡昵戶ㄴ敤㈸摡㔳㜴㠰㄰摦㈰搴昹㜴㤹搳㐲昴㡥ㄴ㥤㈰㙣挵搹㡢扡㑤挸㡡攲搴攲㑦㜷慥㘰ㅦ㉡昷㠵㄰扣㤵㘵ㄶ愷ぢ㥡㌹㡢㌳㡢㔱㡤㄰㘹挵搹て㈱㉥㍤㡦㑤搴㈱挴愹㌸敦收㉡捥㍢㤶㈱敢㝥㕡〳㌲㤵攲慤昷㈴昶㐳㈸づ愵㌸㡣愲ㄷ㠴㜸㍤㘷㜱㝡搳愷て挵ㄱ㄰戶攲昴愵㙥ㄳ戲愲㌸戳昱㐷ㄶ挷㐳愵ㄷ㐲捣㠵捡㉣㡥て捤㥣挵㤹㐳㔸㡤㄰㘹挵〹㈲挴愵攷戱㠹㜹〸㜱㉡捥㤶㕣挵搹㙣ㄹ戲敥て㉥㐰愶㔲扣昵㘳㠹晤㌸㡡晥ㄴ攵ㄴ〳㈰挴㘳㌹㡢㌳㤰㍥㠳㈸〶㐳搸㡡㌳㤴扡㑤挸㡡攲㥣㠱㍦戲㌸挳愹ㅣ〱㈱晥ち㤵㔹㥣㤱㘸收㉣捥㐲挲㙡㠴㐸㉢捥㘸㠴戸昴㍣㌶戱〸㈱㑥挵㔹㤵慢㌸㜷㔹㠶慣晢㥤㘷㈱㔳㈹摥晡㈴㘲㍦㠹㘲㌲挵挹ㄴ㔳㈰挴敤㌹㡢㌳㤵㍥搳㈸愶㐳搸㡡ㄳ愳㙥ㄳ戲愲㌸㘷攳㡦㉣㑥㠲㑡〳㐲㥣ぢ㤵㔹㥣㈴㥡㌹㡢㜳づ㘱㌵㐲愴ㄵ愷ㄲ㈱㉥㍤㡦㑤㥣㠷㄰愷攲㕣㤱慢㌸㤷㕢㠶慣晢户攷㈳㔳㈹摥㝡ㅤ㔶慡搷㔳㌴㔰捣愶㤸〳㈱㉥捡㔹㥣㜹昴㤹㑦戱〰挲㔶㥣㠵搴㔹㥦㔶扣㈵㉣㡢戳㠸捡㌳㈱〴㙦〵㥢挵㌹ぢ捤㥣挵戹㤰戰ㅡ㈱搲㡡㜳㉥㐲㕣㝡ㅥ㥢戸ㄸ㈱㑥挵㤹㤳慢㌸戳㉤㐳搶晤攸㑢㤱愹ㄴ㙦晤㔲㘲扦㡣㘲㌱挵攵ㄴ㔷㐰㠸摡㥣挵戹㤲㍥㔷㔱㉣㠱戰ㄵ攷ㅡ㘹㄰搰㘱昶〰㤲换攲㕣㐷攵昵㄰攲㜲愸捣攲㉣㐵㌳㘷㜱ㄶㄳ㔶㈳㐴㕡㜱㙥㐲㠸㑢捦㘳ㄳ㔷㈰挴愹㌸㔳㜲ㄵ攷㘴换㤰㜵㝦晤㑡㘴㉡挵㕢㕦㐱散㜷㔲慣愴戸㡢㘲ㄵ㠴㌸㌱㘷㜱搶搰攷㙥㡡戵㄰戶攲摣㑢㥤戵攵㕣㠵攴戲㌸昷㔳昹〰㠴攰慤㝡戳㌸て愲㤹戳㌸㑢〸慢ㄱ㈲慤㌸て㈱挴愵攷戱㠹㙢㄰攲㔴㥣〱戹㡡㔳㙥ㄹ戲收ぢ㕣㠷㑣愵㜸敢㡤挴晥〴挵㈶㡡捤ㄴ㕢㈰挴㕦㜲ㄶ㘷㉢㝤㥥愲㜸ㅡ挲㔶㥣㘷愹戳㡡㜳㍤㤲换攲㙣愳㜲㍢㠴戸〱㉡戳㌸捦愱㤹戳㌸㑢㈵㉣㠸戴攲扣㠸㄰㤷㥥挷㈶㙥㐴㠸㔳㜱㝡攵㉡捥㘱㤶㈱㙢晥挳捤挸㔴㡡户扥㠳搸摦愲㜸㥢攲ㅤ㡡㜷㈱㐴昷㥣挵搹㐹㥦㝦㔱扣て㘱㉢捥㠷搴㙤㐲㔶散㔶换昰㐷ㄶ攷㘳㉡㍦㠱㄰户㐲㘵ㄶ攷㔳㌴㜳ㄶ攷ㄶ戸㘵㙦㌹㥦㈳挴愵攷戱㠹摢㄰攷㔴㥣づ戹㡡搳摥㌲㘴捤攷㔸㡥㑣愵㜸敢扢戰㔲晤㝢㡡ㅦ㈸㝥愴昸〹㐲戴挹㔹㥣摤昴昹㠵攲㔷〸㕢㜱㝥愷捥摡㜲敥㐰㜲㔹ㅣ㑥捥搰〵㠴攰搴㄰戳㌸㠵㘸收㉣捥ち挲㙡㠴㐸摢㜲㌸㘷搵愵攷戱㠹㤵〸㜱㉡捥慥㕦㜳㥣㈱㝦㘷ㄹ戲收愷慣㐲愶㔲扣昵づ㔸愹㕥㐲攱愶攸㐸搱〹㐲晣〷愱捥㘷挸㝢搱㘷㙦㡡㝤㈰㙣挵改㐲摤㈶㘴挵㤶挳㈹㉦戲㌸摤愸摣て㐲摣つ搵挱㜸ㄷ攸晢愳㤹戳㌸㙢攸搱〸㤱㔶㥣㠳㄰攲搲昳搸挴㕡㠴㌸ㄵ㘷㐷慥攲扣㘹ㄹ戲收摢摣㡢㑣愵㜸敢扤戰㔲晤㜰㡡摥ㄴ㝤㈸㡥㠰㄰㉦攷㉣㑥㕦晡ㅣ㐵攱㠱戰ㄵ挷㐷㥤戵攵㜰ち㡦㉣㑥㠰捡㈰㠴㜸〰慡㠳昱挶㠴㔰㌴㜳ㄶ攷㝥㝡㌴㐲愴ㄵ愷っ㈱㉥㍤㡦㑤㍣㠸㄰愷攲㌴收㉡捥攳㤶㈱㜳晥㔰搱㐳挸㤴㜹㑢㔴㑥㈲㑥捤慣戰捤搹攸〰㘷㉤㜹㘲㑤㘵㐳㝤摢㈴㙦㥤て慥㙣ㄸ㔸摦搰㉥〹㠱㐵ㄹ搲㑤㑥㐲戰〵昵㐹㑥愸㌴收㡥挷㑤挱㠳戲㑤㤸㕦㕤㌱扢扥愱㔶摥敤㍤㌰摢㍥戰昶昸摡㠶㠱㤵昵戸慤㌷扦愷㠳搹戴㑣㥣㘱搴㘰㔶㑣ㅤ㈶挷散挹愹㜶搶㉣㈳攱㠰㜱㕣敤散扡戸㌱㙣攰晦挲扣ㅡ㘱摥戶㉥挰㥤㔱㈱㌰㉣㤲㝢ㅥ㠹慤敥〷㠰㥢㐲摣㑤ㄵ㝦㜲㕡㐶㈳攲ぢ昴ち㙣㝡〵㐸㠲㑤㕤ㅦ挸捤搰㔵㔰戴ㅥ慡晣㥢㠸㙤愶㑥㕢㌸扢㤲愰搵搴戵户愶㠲つ慢愹慦㑣ㄸ㉥慢㌵慡戲愶㠳戵㌸㝡㜶㐳㥡㈵㍡慦戳㘵挱㉤摦搱㌵愰㍥ㅥ慤㑢晣㉦戰㠲㡥攱㘵㔲㈲㌴晣晢㜳㠵㌶搳ㄴㄴ㝣慤㥥㠳昹晡㑣散散㠳慣㕡㍦っ戳攳ㅤ昸搴敥㠸〵摢㐴愷ㄲ昸户㘷戹㔳敡㘲戶㐶ㄹ搱ㅡ挹挲戸㠶挴㐰㘳㑥〷改㘱㘰〳挷㘳つ㔵㐶攷昴愶㥣㠸愱㈷换㘳昵戵㔵戳ㅢ㡣づ愹㈵戹愳敢挹戱〶敥愹㘳搲㕡扢搴搲㤸㜸〳愶昵愵昲㜱㐲摡晦づ㐳愸㐸㙢㡢㈵㈱㜹搲昲㙣扣改㥤攰㍥昴㈷㔹ㄵ〵〵㐹昹晡昲㌸戱昴㝡扥敥㍡慥㐰㉤戸昸㉡㈸㝡〴改㥢㍦㉢㡤㝢㔲㘷㌵㔹搲㍣挲挹㠳㔷㍢愵攳㠴戰昶㐹㜹摣挳慣㑦㍥搱㔲挲㕤愷ち㡦ㅢ㌵㔴挶愳㔵㔵昳㍢㈴㠷搵挴慢㘶㈷㡣㤱搱㤸㔱愵㡥搹戵㜵搵晦㈳㝣戵㐶搵慣㍤㉡㑦㕤慣改㔹挳昰ㄸ㤸㥡〳昷愷て㜳㐲ㅦ㡣㍤㑤ㅢ〲㔱搴慦㝣㠲㉦〲〰㉥㝤愸戵昷㜱ㅡ摡晦㜹㈲愰ぢ㐱㥤㥡愶戱捡挷㠵㜰㠰换㔲昱挸挶㜹㔱愹戹㠴㜲扦戳戹㡤慣ㅤ㔹㡢㜹㥥〹㥢㙡㘸愵愹晡㥦搹扢攴㡥愵㘹摡㥦晤㤸㐱慤昰晡摡㥡㜶㠱㐳㥦搹㍥㡥㥦㌴摣㐵ㅥ㐳㍢㜳㐶㤵敤㜴㐴㥥〱挸㐳愱ㅢ㡥㈵㍣㡥㤹愷て攳㉢ㅢ慡㡣戶㐹㘹㤷换挵摣㌱㔸捤㌶挹昱㌳㌰㍢㘹㘰晢攴㤰扡捡㐴㔵㘵㡤挱㔳ㄱ捣㍢收㈳㕡㈳㡤㔳㌱㐳㜶㑣㙤㝤㈵㥦㍣㙣㥦ㅣ㕦ㄷ慤愹㥦挵㐹㘸昱昹㥤搲㕡㤲慣愲攴㠰捡ㅡ散㐶收㍡戹㕣㤲ㅣ㌷愳㜶㉥ㅥ㕥㥣㕤㕤㌳㈴㍡慢晥㝦㠲㈸敥㔵收换㍣づㄶ㡡挲㐲㔱㕣㔸晣㘷㍦戱戴㘱搸㍦づ慣愸慤㙦㈸㔵㡦搷㤵捥㍤慡戶㜴㙣㘵晤㘹愵摣㉤㡦㉥昵攲慣愱愰挰㠷戵ㄶ㔲㔸㙣㙥挴㔲㥥ㅤ㥢㐴㕡㔳㤸戹㘳ㄳ㜶摡戳㝡㡥㔳㈸㔳て㠷昲㘰慤て〷戲㜶㈳㈰㠶て㌹㜱㔸搳挴昷晦慦㈷㉤㡢ㅥ㐷收㍣㥦ㄹ㜲换㐹捤戲摤ㅢ捥ㅤ捣慤㠹㍡㙥㕣扡摣㈸搸捡摣㐲㕤㐹改挳㡤ㄵㅦ戳㜴攷攲㘰㑣㠱㙣㠷㘳〳㡥搱愸㉦づ捥ㅤ捣〶捦晢慡愳㔵昵㤶慤愲戶扡㍡捡慤㡦㕢敥㌸ㅣ攰㡤㘲㜹ㄲ㡥㠳㡤㥥㠴㤰㥢愸愵㡡捥㠳㉡㍡㑦慡昰戹捤㤹昳㜲㤹戹㙡㑦㡤搶㔵㌶捣愸慥㡣ㄷ戳挱搹敤晦ㄳ㥢㉤㌶愱搶㈸愶㝡挹㙤ㄷ㘷戴㤹搳㔴捤㤹㤵愰扢㉦㉥㌲㔸㍡搲㡦㡤扢㔰㝥搸㡢㍦㌹㉤ㄹ㥢慦扣㄰搳㐷㈱㕢ㄱ㠶〵攴㔹戰挴㘲㍢㔳挳㈶㉡㡦㔳攲〹㍡攰慤ㅦて㜷㉥昰摤㝡㌳㐴摥挹愲㙤攰攰ㅡ㔹ㅢ㑤っ挶〳㄰戵㜵㙤慣㈷㠳㡢㐱㉤㡦㍡㜵㙥㑥㄰慥挰搴㝡㑣搹㥦㠳ㄳ收扡㘲㉡挶㘱敡㙤㙢㑥㉤搶㑣づ昹㤹㔹㔰㔴搴戶搸㘹㕤挳㔴慥㥥搶㐴㑡晢㤳搵挳戲昲㝦㜱㐲㠴户㐵搰㉤㜴愴㐰ㅦつ愹㡦㘱㥦戶愰挹晥㘴㌸㥣㐰㠷戱㄰㐵㕢㘱捣摣㑢㜲㑥愶㐵㐰㐱㔱㌵㈷昹ㄶ㔷戳㍢㌸㉦搱㌰昵ㄷ㤳㠵㔱ㄲ慤㙤昱㤳戰敢攳攰戵㝤摢戶㝥㔸㉥㄰㥣慤扡ㄹ㙦慥㝦㕦晣㜵戹㔸㍣㝤㍣㝣昴ㄳ㈱挴㑢㘸昲敡㔵搲㠶㐹㍥搰愹㉢㤷㐹㔸挶愷㠹㜸ㄹ㉡㕥扤愸㤷㡤㐹㝣敡㥦㘴㜹扤〲㌳捦扢挹攱㥥捥攱挴慢昰攳㜹㥣搰㈷㈳㕣㍢ㄹ㠲㈷ㄲ㝥て㜴㉥㝤㡡㤵昲㌵戴㜸㌲㘱扥㜲㝥摣㠹㌷攰挰㡦扣〲㥤㠷㔸㠹㈰攳ㄸ㉡摥㠴㥡挷㔱㝤㉡㍣挴づ㉣昱昰〴慣收收㍡㥤〰昶戸戹扥㉤㈳㤰㈴捡㈴㔶㐳扣㡢㠵捤㜸㘷㔰ㅣ㠳㡦ㅥ愷攳㝢捥づ〹㍡ㄸ㜴搸〹〷㙥〷㝡ㄲ慤ㄴ㜵ㅦ搸挲㙣搴㥤捡戰ㄹっ晢〲づ㌶敡㘶㐲愷愸㍢つ换愴敥㍦㔰攵愶慥捡昲晡ㄲ㕥捤愶敥㉢㌸㥢搴㔵㈳㕣慢㠱㈸敡㔷㌱捡㘷㔲㔷㙢愵晣ㅡ㕥捤愱敥㕢昸㐹敡㜰晥㠷㡡㘶搲昶ㅤ捣㤲戶㔹挸㉢㜶愱㤵㐶㕢ㅤ㔷扥㐷摡㝥㐰ㄸ搹搲敢攱慥㕥攲㈷㉣㙤挶㍢㠳㌶㝥㕢㠲㍥ㅢ㐲晣散散㌰㠷づ㜳改戰ㅢづ㤲戶㜹㘸愵㘸晢捤ㄶ㘶愳㙤㍥挳ㄶ㌰㑣〳ㄶㅢ㙤ぢ愱㔳戴晤ㄵ换愴慤つ㕣㜲搳戶挸昲㉡㠶㔷戳㘹攳愴㔸㤳戶㌳ㄱ慥㥤〵㐱摡扣㘵㔸扢㑢㍦摢㑡改㠲㔷㜳㘸攳昴搹㍣戴㜱㘲慤愴敤ㅣ攴ㄵㅤ搰㑡愳敤㍣慥㝣㡦戴戹ㄱ㠶晦ㄹ戴㜱㉡敥㘶㘸㌳㘸㍢ㅦ㈹昵ぢ戸㌶㑥搳㜵㜰戸㤰づㄷ搱㘱㉦㌸㐸摡㉥㐶㉢㐵ㅢ攷收慡㌰ㅢ㙤㤷㌰散㔲㠶㤵挲挱㐶摢㘲攸ㄴ㙤㤷㘳㤹戴㜵㠷㑢㙥摡慥戰扣㝡挰慢搹戴ㅤっ㘷㤳戶扦㈳㕣扢ㄲ㐲敥㙤㝥慣摤愵㕦㘵愵散〹慦收搰㜶㈸晣昲搰㜶ㄸ捣㤲戶㈵挸㉢㝡愱㤵㐶摢㌵㕣昹ㅥ㘹敢㡤㌰晣捦愰㡤㤳㠴㌷㐳㥢㐱摢㜵㐸愹㕦捦戵㜱〲戱㠳挳㔲㍡摣㐰㠷扥㜰㤰戴摤㠸㔶㡡㌶捥ㅡ㔶㘱㌶摡㙥㘲搸捤っ㍢ㅡづ㌶摡㙥㠱㑥搱㜶㉢㤶㐹ㅢ攷晦收愶敤㌶换敢ㄸ㜸㌵㥢㌶㑥㈴㌶㘹扢ㅤ攱摡㜲〸搲收攷昱捤愵摦㘱愵㍣ㄶ㕥捤愱慤㍦晣昲搰㔶づ戳愴㙤〵昲㡡〱㘸愵搱戶㤲㉢摦㈳㙤〳ㄱ㠶晦ㄹ戴つ㠶㙡㜳㌶㙤慢㤰㔲㕦捤戵つ㜱㜶㔸㐳㠷扢改㌰ㄴづ㤲戶戵㘸愵㘸攳㝣收捤㔶㕥ㅢ㙤昷㌰散㕥㠶㡤㠷㠳㡤戶晢愱㔳戴㍤㠰㘵搲挶㤹挹戹㘹㝢搰昲㥡〰慦㘶搳挶㈹捥㈶㙤晦㐰戸戶づ㠲戴㠵㜰㕤〶摡ㅥ戲㔲㜲づ㜴㜳㘸㥢っ扦㍣戴㜱㥡戴愴㙤㍤昲㡡㈹㘸愵搱昶〸㔷扥㐷摡愶㈲っ晦㌳㘸㥢づ搵㘶慢扣㑣㘱㥤㤶㙥㐰㑡晤㌱慥㉤敡散戰㤱づ㡦搳㈱〶〷㐹㕢㈳㕡㈹摡㌸搳㝡戳㤵搷㐶摢ㄳっ摢挴戰ㅡ㌸搸㘸摢〲㥤愲敤㐹㉣㤳㌶捥㤹捥㑤摢㔶换㙢ㄶ扣㥡㑤ㅢ㈷㕦㥢戴㍤㠵㜰敤㘹〸昹搹ㄶ㘱搷昵㘷慣㤴㥣㥤摤ㅣ摡㜸〵㥤㠷㌶㑥攰㤶戴㍤㡢扣㘲づ㕡㘹戴㙤攳捡昷㐸ㅢ㘷㝣攳㍦㙥慤挳㕤扤挴〲愸㌶愳㤵㜱㤰㝣づ㍥晡昳㄰㠲搳挱ㅤㅣ㕥愰挳㡢㜴㔸〸〷㐹摢㑢㘸愵㘸攳ㅣ㜰ㄵ㌶ㅥ昹㕤慥㡥㤰晡换っ㝢㠵㘱ㄷ挲挱㐶摢㙢搰㈹摡㕥挷㌲㘹攳㙣敥摣戴扤㘱㜹㕤っ慦㘶搳挶㘹攱㈶㙤㙦㈲㕣摢〱㈱て㤲㈱㐲搴摦戲㔲㜲摥㜸㜳㘸㕢っ扦㍣戴㜱㙡戹愴敤㙤攴ㄵ㔷愰㤵㐶摢扢㕣昹ㅥ㘹攳㕣㜴晣挷㈳㘵㜰㔷㉦戱〴慡捤㘸㘵搰戶ㄳ㍥晡扦㈰〴攷愶㍢㌸扣㑦㠷て攸㜰つㅣ㈴㙤ㅦ愲㤵愲㡤ㄳ搲㔵㤸㙤㙦晢㠸㘱ㅦ㌳散㌶㌸搸㘸晢ㄴ㍡㐵摢扦戱㑣摡㌸戵㍣㌷㙤㥦㔹㕥换攱搵㙣摡㌸㐷摤愴敤㜳㠴㙢㕦㐰㤰戶愰昹搹昶ㅦ㉢攵ち㜸㌵㠷戶㤵昰换㐳ㅢ攷戹㑢摡扥㐴㕥戱ち慤㌴摡扥收捡昷㐸ㅢ㈷挶攳㝦挶㐱㜲㉤㔴㥢戳㘹晢ㄶ㈹昵敦戸㌶捥㥡㜷㜰搸㐵㠷敦改㜰㉦ㅣ㈴㙤㍦愰㤵愲㡤㔳攵㔵㤸㡤戶ㅦㄹ昶ㄳ挳㌶挰挱㐶摢㙥攸ㄴ㙤扦㘰㤹戴㜱搲㝢㙥摡㝥戵扣㌶挲慢搹戴㜱昶扣㐹摢㙦〸搷㝥㠷㤰㤷摣㈶㙤㝦㔸㈹ㅢ攱搵ㅣ摡㌶挱㑦搲㤶晢㤲㥢戳昰㈵㜵ㅣ㡦ㄲ㕢搰㑡愳慥ㄵ戴㝢愶㙥㉢挲昰ㅦ摦㐴挷㈴㉣ㄴ摦㑦㐳㙥挶㐲挶ㅥ㔷〴ㅦ㕤愳㈳攷昴㍢㌸戴愱㐳㌱ㅤ㥥㠵㠳愴㡥㕦㜱㤷愲㡥ㄳ昹㔵㤸㡤㍡ㄷ挳摡㌲散㌵㌸搸愸㙢て㥤愲慥〳㤶㐹ㅤ愷攴攷愶慥挴昲攲㥣晤㘶㔳挷戹晤㈶㜵㙥㠴㙢ㅤ㈱戸挷〵㠲㔸扢㑢敦㘴愵摣〱慦收㔰昷㌶晣昲散㜱㝣㍥㐰搲搶ㄹ㜹挵扢㘸愵搱戶㌷㔷扥挷㍤㙥㈷挲昰㍦㘳㡦㝢ㅦ㉡㔵㕥愶戰㑥㑢昶㐵㑡扤ぢ搷挶愷つㅣㅣ扡搲愱ㅢㅤ㍥㠴㠳愴㙤㍦戴㔲戴㝤㘲ぢ戳搱戶㍦挳づ㘰搸搷㜰戰搱㜶㄰㜴㡡戶㔲㉣㤳㌶㍥㉣㤰㥢戶敥㤶ㄷ㥦㈶㘸㌶㙤㝣敡挰愴慤〷挲戵㠳㈱攴攷㕢㔸搲搶搳㑡戹ぢ㕥捤愱敤〷昸攵愱㡤㑦㉥㐸摡づ㐱㕥挱㐷ㄸ搲㘸㍢㡣㉢摦㈳㙤扢ㄱ㠶晦ㄹ戴晤ち㤵〳㉢㠷㈳愵摥㥢㙢攳㜳㄰づづ㝤攸㜰〴ㅤ㝥㠷㠳愴敤㐸戴㔲戴昱攱〷ㄵ㘶愳慤㉦挳㡥㘲㤸ぢづ㌶摡扣搰㈹摡㝣㔸㈶㙤㝣㡣㈱㌷㙤㝥换慢ㅤ扣㥡㑤㕢㝢㌸㥢戴〵㄰慥〵㈱攴㠱搲扣攴づ㔹㈹㍢挰慢㌹戴昱挹㠹㍤ㅣ㈸昹㕣㠵愴㉥㠲摣愲ㄳ㕡㘹搴ㅤ㑤〰㔰捡慥攳㑦摡愴〷ㄴ搶ㅣ㑡摦ぢㅥ㘸攰㘹㔶㈶挱㠲㝣昳㐹っ㔵㘲愶戰昶戸㘳攰愳昷愳㈳㥦搲㜰㜰㌸㤶づ挷搱愱ぢㅣ㈴㜵晤搱㑡㔱挷㐷㌳㔴㤸㡤扡㜲㠶つ㘰㔸㑦㌸搸愸ㅢ〸㥤愲㙥㄰㤶㐹摤㈱㜰挹㑤摤㘰换敢㔰㜸㌵㥢㍡㍥慤㘱㔲㌷〴攱摡㔰〸㜹㝦摡晣㡣ㅢ㘶愵散〵慦收㔰搷ㅢ㝥㝢愰㡥㑦㝤㐸敡㐶㈰户㌸〲慤㌴敡㐶ㄱ〰㤴昹愹敢ぢて㐹摤昱㑣愲愸攳㜳㈲慡挴㑣愱㙥㉤挰㐷ㅦ㐳㐷㍥㐳攲攰㜰〲ㅤ挶搲挱〷〷㐹摤㌸戴㔲搴昱挱ㄱㄵ㘶愳㙥㍣挳㑥㘴搸戱㜰戰㔱㌷ㄱ㍡㐵摤㈴㉣㤳㍡摥敢挸㑤摤㐹㤶㔷㝦㜸㌵㥢㍡㍥㑢㘲㔲㌷ㄹ攱摡挹㄰愴捥扡昴㥥㘲愵攴挳㈶捤愱㙥㈰晣昶㐰摤㈰戸㐸敡愶㈲户ㄸ㡣㔶ㅡ㜵搳〹〰捡晣搴つ㠵㠷愴㉥捡㈴㡡扡攱搰慡ㄲ㌳㠵㐵㕤っ㍥㝡㥣㡥㝣挲挵挱㈱㐱〷㠳づ㈳攱㈰愹㑢愲㤵愲㙥戴㉤捣㐶摤愹っ㥢挱戰㐹㜰戰㔱㌷ㄳ㍡㐵摤㘹㔸㈶㜵㝣㐰㈵㌷㜵㔵㤶搷㘴㜸㌵㥢㍡㍥改㘲㔲㔷㡤㜰慤〶㠲搴〵挳散扡㕥㙢愵攴愳㌰捤愱㙥㉡晣昶㐰ㅤ㥦㤸㤱搴㥤㡥摣㘲㍡㕡㘹搴搵ㄳ〰㤴昹愹攳㈳㌶㤲扡〶㈶愱㌷摦〹㘸ㅤ㤸㤹つㅦ㝤づㅤつ㘷㠷戹㜴㤸㐷㠷㈴ㅣ㈴㜵昳搱㑡㔱挷㠷㙥㔴㕥ㅢ㜵ぢㄸ㜶〶挳敡攰㘰愳敥慦搰㈹敡ㄶ㘱㤹搴昱昱㤹摣搴㥤㘹㜹㌵挰慢搹搴昱㌹ㅣ㤳扡戳㄰慥㥤つ挱㔳ㄴ㥦㜹〹㝥㡥㤵㤲て敡㌴㠷扡㜹昰㤳搴㌹摦捣攱戳㍣㤲戶㜳㤱㔷㉣㐰㉢㡤戶扦㜱攵㔰收愷㡤て晦㐸摡敡㕢挱搵㝡㠹㐵搰慡昲㌲㠵戵挷㕤㠰㤴晡㠵㕣ㅢ㥦っ㜲㜰戸㠸づㄷ搳攱㉣㌸㐸摡㉥㐱㉢㐵ㅢㅦ〷㔲㘱㌶摡㉥㘵搸㘵っ扢ㄴづ㌶摡㉥㠷㑥搱㜶〵㤶㐹ㅢㅦ散挹㑤摢摦㉤慦挵昰㙡㌶㙤㝣㐲挸愴敤㑡㠴㙢㔷㐱㤰戶㤰㜹㡡戲挴㑡挹㐷㠸㥡㐳摢㤵昰换㐳ㅢ㥦㌲㤲戴㕤㡤扣㘲〹㕡㘹戴㕤换㤵㐳㤹㥦㌶㍥㤶㈴㘹㑢ㅢ㌹戹づ㕡㔵㕥愶戰㘸扢ㅥ㈹昵愵㕣ㅢ㥦㔹㜲㜰戸㠱づ㌷搲㘱㈹ㅣ㈴㙤㌷愱㤵愲㡤て㉡愹㌰ㅢ㙤㌷㌳㙣ㄹ挳㔶挰挱㐶摢慤搰㈹摡㙥挳㌲㘹攳㈳㐷戹㘹扢摤昲㕡〹慦㘶搳挶㘷㤷㑣摡㤶㈳㕣扢〳㐲㕥㄰〴搸㜵㝤㠵㤵㜲ㄵ扣㥡㐳摢ㅡ昸攵愱㡤捦㍦㐹摡敥㐴㕥戱ㄶ慤㌴摡敥攲捡愱捣㑦ㅢㅦ㤸捡摥摢敥㠷㔶㤵㤷㈹㉣摡㔶㈳愵扥㠶㙢攳搳㔴づづ㜷搳㘱㉤ㅤㅥ㠴㠳愴敤ㅥ戴㔲戴昱ㄱ㉡ㄵ㘶愳敤㕥㠶摤挷戰㐶㌸搸㘸㝢〰㍡㐵摢㠳㔸㈶㙤㝣ㄸ㉡㌷㙤晦戰扣昸戴㔴戳㘹攳㔳㔵㈶㙤敢㄰慥㍤〴㈱て㤲㈶㙤敢慤㤴㕢攰搵ㅣ摡戶挲㉦て㙤㝣㌲㑢搲昶㌰昲㡡愷搱㑡愳敤㔱慥ㅣ捡晣戴㍤ぢ㡦㙣摡戶㐱慢捡换ㄴㄶ㙤㡦㈱愵扥㤱㙢攳㜳㕥づづ㡦搳愱㤱づ捦挱㐱搲昶〴㕡㈹摡昸㜰㤷ち戳搱戶㠹㘱㥢ㄹ戶〳づ㌶摡㥥㠴㑥搱戶ㄵ换愴㡤㡦㘹攵愶敤㈹换㡢捦㜱㌵㥢㌶㍥敦㘵搲昶㌴挲戵㘷㈰攴㘹㠹㜹㌱昰慣㤵昲㕤㜸㌵㠷戶㥤昰㤳戴攵ㅥ昰攲㜳㘳㤲扡㙤挸㉤昸〰㔹ㅡ㜵捦ㄱ〰㤴昹愹晢㄰ㅥ㤲扡攷㤹㠴摥㝣㝦っ慤㉡㌱㔳㔸搴扤〰ㅦ晤㐵㍡昲㈹㌴〷㠷㤷攸昰㌲ㅤ㍥㠵㠳愴敥ㄵ戴㔲搴昱搱㌳ㄵ㘶愳敥㔵㠶扤挶戰㕤㜰戰㔱昷〶㜴㡡扡㌷戱㑣敡昸㄰㔹㙥敡㜶㔸㕥㝣捡慣搹搴昱㘹㌴㤳扡户㄰慥扤つ㈱昷㌸㤳扡㜷慣㤴㍦挱慢㌹搴敤㠶㕦㥥㍤㡥㑦戴㐹摡摥㐵㕥挱㐷摢搲㘸摢挹㤵㐳㤹㥦戶摦攱㤱扤挷ㄵ戴㙡㉡㉦㔳㔸戴扤㡦㤴晡〷㕣㥢㜰㜶昸㤰づㅦ搱愱㄰づ㤲戶㡦搱㑡搱㔶㘴ぢ戳搱昶〹挳㍥㘵㔸〷㌸搸㘸晢っ㍡㐵摢攷㔸㈶㙤㈵㜰挹㑤摢ㄷ㤶㤷ㅢ㕥捤愶㡤捦挹㤹戴晤〷攱摡㤷㄰昲昲摢㍣㥢晣捡㑡搹〹㕥捤愱㙤㉦昸敤㘱㡦摢ㅢ㉥㤲扡㙦㤰㕢散㠳㔶ㅡ㜵摦ㄱ挰ㅥ愹敢㠲㌰㐹摤㉥㈶㘱愱昸敥〶敤㘶㉣㘴っ㌱㝦てㅦ晤〷㍡敥攷散昰㈳ㅤ㝥愲挳晥㜰㤰搴晤㡣㔶㡡扡㠳㙣㘱㌶敡㜶㌳散ㄷ㠶昵㠲㠳㡤扡摦愰㔳搴晤㡥㘵㔲㜷㌸㕣㜲㔳昷㠷攵搵ㅢ㕥捤愶慥て㥣㑤敡ち㡡㐰ㅤ㝦晢㐱敥㜱ㄱ慣摤愵ㄷ愲挹ㄵㅦ〱慦收㔰搷ㄷ㝥㜹昶戸愳㘰㤶戴戵㐲㕥攱㐱㉢㡤戶㈲慥㝣㡦戴昹㄰㤶扤挷〵愰摤㥣㑤㕢ㅢ愴搴㡢戹戶愰戳〳㝦攴㐶㜷搱㈱〴〷㐹㕢㕢戴㔲戴㤵搹挲㙣戴戵㘳㔸㝢㠸愲ち㌸㌴敦ㄱ㌳㑥挰㜴摢㥥晢攳㕣攷晡㡥挹ㄳ㘶㐷慢昰㘳㈹愳昱昰㐹〳㔵晦ぢ㤳㠹㕢㥢㡦〰㘵㝥㠵㜹晡㙦愸攰改㌹搹㠵㤳㑦㌹㄰㍤换慣㐱扡慦搵户㝡㝡晥戹㐷㠴㕣㐵摦敥晥攳㡦收慤㠵㥢㐷㥢㌹晣㠲摣㘹搳ち㡡戹㑥㤰㠴捤戹〴㠴㜱㜳ㅥ㠸㘶昶㈶㌴挸㐹㕢㌴ㄸ摡㍣㤳昰㌳㥥慥㘱搶捥㑤㔳㠶㌹㌹扣㑦ㄵ㝦㡡挹㘹慥㜱晡㕣晣㡥〰㈷㠶㍡㘱㄰挳㤵戶㌳㝤戰ち扥㡢㐶㐱扢挷搹摤㍣㡡攰戹㐱捣昳ㅥ搷㌰扦ち㜳敢戹挸㉦㤵㌵㤷㌸㤹搸㌴〳㜴㙤㕤㙢㍣㍢㤹昹ㅤ搲愹搸㜵㐸搵㜶慦㡣敦散㤶㘱戴㡣〰㥡愲㉦㐰㔱捥㜸㠲㙥㘲㠵㌱㝣㘹㝢愳㑦㝢㡤慡㡣搷搵搶搷㈶ㅢ㑡挷攱ㄱ㤲㔲㝥㡢㝢ㄲてㄳ㤵ㄷ㝤㠶㡣㡥敢㘴挷㕡搷昰㜷㠵㈴搱慥搳㙡㙡攷搶㐸㌴㐵昵晣㌲㝢慥㑤㙦搳㠶慢攱㈳㐶昲㜵㌰ち攷㍥ㅥ㐰ㄹ慣敦㡢ㄵ户㙦攵ㅥ㡤㌶て㍡㕡ㄷ戴て愹ㄸ㔰㌱㜶㥡挷敢昳〶挳挹㘴㈰㄰づ〵挲㥥㘴搴ㄳ㌴愲晥㐰摣ㄷ㐸㐴㍣ㅥ㕦㔲敢㥡㜲㑤㐶攲㐱㙦㌸ㄱぢ㐴㘲攱〰㝥〴㈰攲㡤挷挳扥愴㈷㤱っ㈴㈳攱㤰攱ㅥ㘳愵搷扢㈱㐶摦て挲捤㐹攰㕣愳扥㍦㔵〷㔰㌵㔶愹㔲㕥㈵攳愰㈲㜲つ敦晦敡换㍤ㅥ㤹昱扦㐰㉢挵慡摢㔵っ㤸㈶攷挵㡦挵㤷捣㙢摤愱改〸㑤晡て㌹㘹㍤愰敥〰戵敤㤱ㄳ昷㠹㔶ㄶ扤㍢㔲改㍤攱愱㤷㘲㐹㑣㠴㥥〷㐵㤷搸〱敥戸搳㜲㕤㉥晤㌰㜸㜰攷㥢㠴愶㈴㈷㙤㈰攷㈴㐷敤㘴㘸戹〳敡㠷㈳㔸㑣㜱昴㤹慡戴㝤攸㐳〴㝣㑦㠷㤶㍢㠸㜸〵〰戸㔹㐲㠹攷昴攱挲捤㑡扣〴つ㌷慤昴㑤㈳㡡〰戹㘹ㅣ〵㍦㙣ㅡ㌱戴攵愶攱㐱摢摣㌴㘲㐹昰㙣㠴㠲㐶挴㤳っ㜸捡㠲搱㔸挰敦㡦〷ㄳ昱㐸㌰敥つ㐷〲㥡㌷攵㥡㐸ㅡ摥戸ㄱ㡢㈷ㄳ扥㘰挰㠸昸㈲㐶㈸㔲ㄶ㡦挶愲搰挷晣攱㠰㍢㙥愵搷㝤㠸搱晤㄰敥㠴㔲㌵㙤ㅡ㠶㔲搱㐱扡㤶㈴愱㙡㤹㑤㠳㤳捣昱ㅦ㔴㜲㘵摣ㅡ㜴㜲敦㥥愱昴㠷搱㜸っ昵㠷㘲㐹捣㠴摥㈴㝢ㄳ慡搹㐴昶㜱昰㈰搹愷挱㥥㑤㜶㤵愳戶ㅡ㕡㐹㜶㌹㠲㐵慤愳捦㉣愵慤愰てㄱ昰㕤〷慤㈴㝢〳㐰㈸戲戵㐱㜰挹㜹㘰ㄱ㡦㌸㙥〱㙡㥢㜴㌷㈰愵愴㝥〸戲㔸搴挷㐲搱㐴摣ㄷ昵㈴㐲㘵〱慦搷㠸〶扣ㄱ扦户捣〸㈵つ㡦㉦攲つ㘹㐳㔳慥㘵㌸ㅡ昸㤳晥〸㡥ㅤ㐶挰ㅢて㤶ㄹ㤱〴戶㠱㘸㄰㘱昱愴愷捣㍤摢㑡慦て㐳㡣㍥ㅣ挲㍤㐷愹㐶㔰㌵㤲慡戹㑡㤵昲㉡㤹〷㔵换㔰㍦ㅦ㤹昱㍦㡢晡〵㑡㝦㈴㡤攳〸敥〸ㄶ㝤㈱昴㈶昵慢搳愸㥦〰て㔲捦㌹敤搹搴㉦㜲搴㥥〹慤愴㝥ㄲ㠲挵搹㡥㍥攷㈸敤㘴晡㄰〱摦攷㐱㉢愹扦挳㐶扤㑥敡攵㝥㝥扢㈳换攷㈳㐸㤲㍢ㄵ㝥㈶戹㐱㑦挰㥢㠸挶㍣ㄱ㑦ㅣ攴㠶愲㘵㈱慦㉦㤹㑣㤴㤵㤵㠱敥㤸攱搷愶愵㕣扤愱㜸㈸改〹㠶㝤㜱㉦づ昲摥㔸慣㉣㘲昸㐲㐶㈲㥡㌰扣㐹ㅣ晤摤㥣㡥㉥㡦敦搳ㄱ愳㐷㈱摣ㄷ㉡㔵ㄳ戹㥣㤳㥥敥㔵㜲㌱㔴㉤㐳敥㈵挸㡣晦㔹攴㕥慡昴ㅣ㐱搶㘷ㄲ㉦慦戵挵㘲攸㑤㜲㤷愴㤱㕢つて㤲㝢㌹散搹攴㕥攱愸攵〴㜶㐹㙥㉤㠲挵㔵㡥㍥㑢㤴昶㜴晡㄰〱摦搷㐰㉢挹㕤散㐸敥愵㡥攴㕥㠷㈰㐹敥㙣愴㌲挹㑤挶㤲㘵愱㘸㈸ㄱ昲挶㈳㠱㘸㔹㉣㤲㠸㐴㠲戱㤸㉦ㅡ挴㑦㐴㠶㐲㐱㙤㑥捡㌵㤲昴挴㈳㘱㝦㌸ㅥづ㈶〳㔱慦㌷ㄶち㠶㘳挱㔰㔹㌸ㄱ㉣ぢ㤶挵㤳敥敢慤昴晡㕣挴攸昳㈰摣㑢㤵慡㠹㕣捥㕣㤷攴搲㐱扡㤶摣〸㔵换㤰换㐹敦昸㥦㐵敥捤㑡㕦㐶攳搹㐴挲换㍡㜱ぢ昴㈶戹㝦㑤㈳昷㍣㜸㤰摣㕢㘱捦㈶昷㌶㐷敤敤搰㑡㜲捦㐷戰戸挳搱㘷㠵搲㕥㐸ㅦ㈲攰㝢㈵戴㤲摣戹㡥攴捥㜶㈴㜷ㄵ㠲㈴戹㤷㈲㤵㐹慥㈷ㄲ昵挷扣㔱㝦㌰ㄲ㑡〴晣戱㔸搴攳て〶换㈲〱愳慣㉣ㄴ挳攷慦㜶㔹捡㌵㘴ㄸ扥㘸㌲ㄶ昰㈴ㄲ㘵㠱㠸㍦㔲收挷㌹㕥㔹搰㥦㡣攲愳㍢ㄹ〸戹㔷㕢改昵挵㠸搱㉦㠷㜰慦㔱慡㈶㜲敦㔶㉡㍡㐸搷㤲戵㔰戵っ戹昷㈰㌳晥㘷㤱㝢慦搲ㅦ㐷攳㜵㐴㜲㉣换㝡㍦昴㈶戹挹㌴㜲㙦㠰〷挹㝤〰昶㙣㜲ㅦ㜴搴晥〳㕡㐹敥㑤〸ㄶて㌹晡慣㔷摡㘵昴㈱〲扥ㅦ㠱㔶㤲㍢摤㤱摣愹㡥攴㙥㐰㤰㈴昷㜶愴㌲挹挵〹戸ㄱ〳㑦㘱㕦㌰ㄸ昰㠱㘸㝦㍣ㄲ挱㤹㜵㌴敡て昹㤲扥㠸戶㍣攵敡㠹㝢㠲戱戸摦㠳て摤㄰㝥昷搵㡢扤㌶攰て㜸㐲㝥㥥愱㜹愳㕥㌷㈷挰换㝤昲づ挴攸㉢㈰摣ㅢ㤵慡㠹摣挷㤵㉡攵㔵搲〸㔵换㤰晢〴㌲攳㝦ㄶ戹㥢㤴㝥㄰㡤昷㄰敦㐰㤶㜵ぢ昴㈶戹愳搳挸扤ㅦㅥ㈴昷㐹搸㈵戹摢㤹搵㝡㠹慤㡥㕡㑥㤹㤷攴㍥㠸㘰挱挹昲搹㤱捦㉡敤㍡晡㈰㥦㝣㙦㠳㔶㤲㍢捣㤱摣㈱㡥攴㉡㐴敥攷㄰㉤㔹㝥〴㌹㑤㤶扤㐱㕦摣昰〵㜱捤ㄴ昵〶㍣攱㔸㉣ㄹ昶攲昸ㅢっ㐶㐳㥥㘰ㅣ搷㕢㡦愶㕣挳挹㘸㉣ㅥ㑡挴㠲㤱愸㈷㔰ㄶ㐹㐶㝤挹㜸㈰改〹挴攲〱㕦㉣ㅥ昳戹㥦户搲敢ㅢ㄰愳㍦〶攱㝥㐱愹㌶㔲昵㌸㔵㥣㌴㉦户〵㍡㐸搷㤲㤷愰㙡ㄹ㤶㕦㐶㘶晣㉦搰㌶㘱㘵づ㔷㔷㥢愱㑥扦っ摢〲㑤收昵搶㉢㔶ㄶ晤㐹㐲ㅥ㠱㝣晡㜰㌲昲ㅡ昴收㌶ㄱ㐹摢㈶㥥㠱ㅢ户㠹搷㘱㤷捣扥㐷っ搶㑢扣攱愸㝤ㄳ㕡戹㑤晣ㄳ挱㠲㌳昱戳㈳摦㔶摡敤昴㐱㍥昹㝥ㄷ㕡戹㑤昸㙣摢㠴昶㍣㕣㜲㥦㠲㝢ㅣ㌷ㄴ〵搳扤ㄳ㈹攵㠶昲㈲戲㔸ㅢ㑡㈰ㅣ㉢ぢ挴㈲挹愴㉦ㄹ㠸〵愳㔱㥣㝥㜹㐲挱㐰㈴ㄹ㌱ㄲ戸戶搲㕥㑡戹㈶ㄳ㔱慦㍦㠶㜳㌸㝦戲㉣㄰㌰㡣㠸㍦㙥㜸扣㥥㠰挷昰昸愳㌸㠹㜷晦换㑡慦扦㡣ㄸ晤ㄵ〸昷晢㑡昵㉡㔵慦㔱昵㠱㔲愵扣㑡㍥㠴慡㘵㌶㤴㡦㤰ㄹ晦ぢ戴㌷戱敡昴㉤㘲〷㌴づ㥢捥㕢㔰㘷㙥㈸ㅦ㕢㔹攴㙦扤敡敦挰㐳ㅦ㐳㥡㍥㠵摥摣㔰扡愷㙤㈸㍢攱挱つ㠵㡦づ㐸扡搵㐵㄰户ㄵ昱㤹愳昶㜳㘸攵㠶昲㍥㠲挵㝦ㅣ㝤扥㔴摡て改挳㕣㝣㝦つ慤摣㔰昶戳㙤㈸㑤㈷散㕤ㅤ户㠹㙦ㄱ㈴㌷㠵㑦㤱捡摣ㄴㄲ㐹㥣捣挵ㄲ攱㘸㌴㤴っ挴晤扥㠸摦ㅦ㡡㐵㍣戸挲㌶㤲ㅥ㈳㤶搴晥㥤㜲昵晡挲愱㠸搷㕦ㄶ㑢攲㈳㈱ㄹ㡥㐵㠳晥戸搷㐸晡晤搱愸捦㡢㡦ち昷㜷㔶㝡晤㌳挴攸㥦㐳戸㜷㈹㔵搳㈷挳昷㑡㐵〷改㕡昲〳㔴㉤戳㈹晣㠸捣昸㥦昵挹昰㤳搲㑦愴㜱ㄷ㤱㑣㘰㔹㜷㐳㙦㤲敢㑡㈳昷㐷㜸㤰㕣㍥㘰㤰㑤敥慦㡥㕡㍥㈷㈰挹晤ㄹ挱攲て㐷ㅦ㠱㜱ㄲ㤹敦ㄷ晡㄰〱摦慤愰㤵攴戶戶㤳㥢ㅡ㜵㈹㜴㈴户㌵㠲昰扦㐰晦〳愹㌰敡㔲㠴㠶㈴㥢㐳㕦㈶搹昸〱昷㐴戴㉣ㅥっ攲㌳ㅦ扦〰㡦㕤摦㐸挶愳㘰㌱攱昵㐷㈲㥥㈸扥㑦㑣戹晡攲㘱㈳㔶收㠹昹㠲㈱㙦挰敢昷㐴㠳㈱㥣てㄸ㍥㝦ㄸ㘷㝢戸㑡㜷㙢㔶㝡扤㄰㌱㝡㉢〸㜷ㅢ愵㙡ㅡ㜵㈹㔶慡㤴㔷㠹づ㔵换㤰敤㐲㘶㔴㌹㡢散戶㑡㝦ち㡤敤㠸㜷ち换摣ㅥ㝡㤳散㙦㝦戶㡦扡㤴挰㠳㘴㜷㠰㍤㥢散ㄲ㐷慤ㅢ㕡㐹㜶㐷〴㡢㑥㡥㍥㥤㤵戶㌳㝤㠸㠰敦扤愱㤵㘴㝦〱㄰㙡搴愵㘹㑦晥っ摡散㈱戶㝤ㄱ㈴挹摤ㄷ愹㑣㜲㤳㘱㕦㔹㈸㡣㝤㌸ㄹ㡢〴㐲扥戲㘸搲ㅦづ㐷扤ㄱ㕣㝢昹㤳㐶㍣愶㜵㐹戹ㅡ㠹㈴慥戶ㄳ摥㐸愲㉣ㄸ昰㜸㤲㘵晥㐰ㄹ㑥〷㡣㄰捥昹㌰ち攷㜷㜷戱搲敢㕤ㄱ愳㜷㠳㜰㜷㔵慡愶㍤戹㥢㔲愵扣㑡昶㠳慡㘵挸摤ㅦ㤹㥤挸㍤㐰改攳㈴昷㘰攲㡤戱慣〷㐱㙦㤲晢㔶ㅡ戹㠷挲㠳攴㤶挲㥥㑤㙥㜷㐷㙤て㘸㈵戹扤㄰㉣㝡㍡晡ㅣ愲戴扤改㐳〴㝣ㅦ〶慤㈴昷㔵㐷㜲㕦㜶㈴昷㜰〴㐹㜲晢㈲㤵㐹慥ㅦ㐳改㐹っ㤵〵㡤㈰慥捥挲㤱㠸慦㉣ㄶ㡡挷捡㘲㘵㘵㌸づ挷㝣摡㔱㑤慥㜱〳挳㘶ㄸ㘷㌷〲ㄸ㠲〹挷㈲戱㈰晥挶㍤挹㔸搰攷昱㤷㤵戹㝢㕢改㜵て㘲㜴㉦㠴扢㡦㔲㌵㤱㝢㠴㔲愵扣㑡㡥㠴慡㘵挸敤㡢捣㑥攴ㅥ愵昴晣攱〸晤㘸攲㥤挱戲㝡愱㌷挹摤㤲㐶㙥㍦㜸㤰㕣ㅦ散搹攴晡ㅤ戵〱㘸㈵戹挷㈱㔸㠴ㅣ㝤㈲㑡㕢㑥ㅦ㐵敥搱搰㑡㜲㌷摡挹㑤ㅤ愶㌷㌸㤲晢ㄷ〴攱㍦扥搴ㅦ愹㜰㤸㍥〶つ㐹昶㘰戴㑤戲㝤㐶ㄲ愷㔹㌱㥥捥昳攴摣ㄳ挱㜲挴㥦〸挴换ㄲㄸㄱ昵㠶戵㈱㈹搷㤸㘱㤴攱昴㉣㠴搱搰㐰㈰㠱扤ㄸ㘷晡晥㘰㌴㥣㠸〷㈲搱㄰昶攴㝥㔶㝡㝤㈸㘲昴㘱㄰敥㘳㤵慡改㌰㝤㥣㔲愵扣㑡晡㐳搵㌲㘴㤷㈳戳ㄳ搹〳㤴扥㤶攵ㄹ㑢扣㌵㉣昵㐰攸㑤戲搷愴㤱㝤㈲㍣㐸昶㈰搸戳挹ㅥ散愸ㅤ〲慤㈴㝢㈲㠲挵㌰㐷㥦ㄱ㑡㝢ㄲ㝤ㄴ搹愳愰㤵㘴慦㜰㈴㝢戹㈳搹挷㈳〸晦ぢ昴㔳㤰㡡㌷挹搰㤰㘴㑦㐵摢摡戳〳昸㑣づ㠴晣㘱㡦捦ㄳ挰摤戲愸挷㡢扢㈱〹㈳ㄶ㡤㤱昵戰㌶㉤攵㕡ㄶ收愶㄰昳〶㝣〹㝦㈰㥡っ㤷㘱㤴㈶ㅡ昷昸昱㡢搹㌸㤳て㐴摤㘳慣昴晡㜴挴攸㔱〸昷〹㑡搵㐴昶㔸愵愲㠳㜴㉤ㄹ〷㔵换㤰㍤ㅥ㤹㥤挸㍥㔱改㘷戳㍣㌳㠹愴㠱愵㥥〸扤㐹昶㤲㌴戲慢攱㐱戲㈷挱㥥㑤昶㐹㡥摡挹搰㑡戲㙢ㄱ㉣愶㌸晡㑣㔵摡搳改愳挸㥥づ慤㈴㝢戱㈳搹㤷㍡㤲ㅤ㐵㄰晥攳敢㙦㤰㡡户扤搰㤰㘴捦㐱摢㈲㍢㠶扢㕤㐶挲㔳ㄶ㌳㈲㠱戰㌷ㄴ挱〰㡢㠱〳戳攱昵昹ㄲ㘵㈱㥦㌶㌷攵敡㠹攲扥㔸㈲㤱挴㐱挰㡦ぢ戳㜸㔹㌴㔰㠶㠱搳㈴㜶㙦摣〷㡢㜸摣㜱㉢扤㍥て㌱晡㝣〸㜷㐲愹㥡挸㌶㤴㉡攵㔵㤲㠴慡㘵挸㍥ㄵ㤹㥤挸㥥愱昴㘷戰㍣攷㄰敦〲㤶㝡㈶昴㈶搹ぢ搳挸晥ㅢ㍣㐸昶㘹戰㘷㤳㕤攵愸慤㠶㔶㤲㝤〱㠲㐵慤愳捦改㑡㝢ㄱ㝤ㄴ搹昵搰㑡戲攷㌸㤲摤攰㐸㜶〳㠲昰ㅦ搳搸㤱ち㘴捦㐶㐳㤲扤ㄸ㙤㤳㙣㑦㤹ㄱ挴㙤㉢㕦㈸攴㌱〲㥥愸ㄱ攵㈷戱㌷ㅡ㡣挶㜱㈳㈴㙥〴戵换㔳慥晥㈸㐶挶愳㘵摥㌲㑦ㅣ㠳㙥ㄸ㔷㌷攲㥥㤸挷㠸ㄸ挸ㄱ昵㈴ㄳ敥㌹㔶㝡晤ち挴攸㝦㠷㜰捦㔵慡㈶戲攷㈹ㄵㅤ愴㙢挹㝣愸㕡㠶散〵挸散㐴昶ㄹ㑡㝦㌶换戳㤴㐸捥㘲愹晦ち扤㐹㜶㈲㡤散㥢攰㐱戲ㄷ挱㥥㑤昶㤹㡥摡戳愰㤵㘴㉦㐳戰㌸挷搱攷㕣愵扤㤵㍥㐴挰昷摦愰㤵㘴㑦戵㤳㥤扡搱㌵挵㤱散ぢ㄰㈴挹扤〳愹㑣㜲つ㡣戴ㄹ挱㜸㌸㕡ㄶ〹〷㌰㐰ㅥ㑢挶㘳㜱㥣㥡昹㐳ㄸㅢ〹挵扣摡㡡㤴慢㉦收〹㠴㜰㝥㥤㑣攲㔲㉡ㅡ挱㉤散㤸㉦ㅣ挵ㄹㅡ㔸㑦愰敤扥搰㑡慦摦㠹ㄸ㝤㈵㠴晢㈲愵㙡㍡㈱扢㔸愹㔲㕥㈵㤷㐰搵㌲攴㕥㡡捣㑥攴㕥愶昴ㄷ愰㤸晡㝤挴㝢㍥换㝡㌹昴㈶戹愳搲挸㝤㄰ㅥ㈴昷ち搸㈵戹㙡㔸ち㐱〵攲敦㡥摡㉢愱㤵攴慥㐳戰㔸攲攸㜳戵搲慥愷て㜳昱㝤㉤戴㤲摣㈱㜶㜲㌹㝡㈶敦㘲づ㜲㈴昷㝡〴㐹㜲㌷㈰㤵㐹㙥ㄸ㈳ㅢ晥戲㐸㔹㌸〹敡戰㙢㤶㈵换㤲ㄱっ㡥晡㘲摥㐴挰ㄷ㌶戴挷㔲慥㌱㥦搷ㄷっ㘳㄰搵㤷㡣㘲昴㌴ㄸ昱〷攳昸㐸㌶㜰て㌴攸昳㐶㝤敥愵㔶㝡㝤㈳㘲昴挷㈱摣㌷㈸㔵搳昸搸㡤㑡㐵〷改㕡㜲ㄳ㔴㉤㐳敥捤挸㉣挹攵昸㤸捥㈱㌱㥤〳㘰敥㘵㑡㝦ㄹ敡愵㍦㑤㈴㤷戲慣户㐲㙦㤲ㅢ㑡㈳昷㥦昰㈰戹户挱㉥挹㑤ㅢ昱扡摤㔱扢ㅣ㕡㐹敥㜶〴㡢ㄵ㡥㍥㜷㉡敤昳昴㈱〲扥敦㠲㔶㤲敢戱㤳㥢摡㜳晢㍡㤲扢ㅡ㐱㤲摣㤷㤱捡㈴搷㠷昳愶㐸㌰㤸挰㔰ㄶ愶ㅥ㠴㜰㠱ㅣ㡥晡㝣摥㜸㈸ㄴ昱㐷㜱〷㑣㝢㈵攵敡挷㈰愹㌷㠲㈳㌶〶搵〳㜱摣〴挳㤸㘹㈰㤹挰㍤㤱㔸㍣ㅥ㡦昹摤㙢慣昴晡慢㠸搱㕦㠳㜰摦慤㔴㑤㝢敥㕡愵愲㠳㜴㉤戹〷慡㤶㈱昷㕥㘴㜶摡㜳敦㔳晡慢㐸敥㝢㐴㜲㈵换晡〰昴㈶戹〷愵㤱晢㍥㍣㐸敥㠳戰㘷㤳晢て㐷敤㍡㘸㈵戹ㅦ㈲㔸慣㜷昴㜹㔸㘹㍦愶㡦㈲昷㔱㘸㈵戹㕤ㅤ挹摤搷㤱摣挷㄰㈴挹晤っ愹慣挳㜲挴敦〹昸挹㘹㌸ㅡ〸㈴㐳㘵戸〸づ〷昱㕢敢㌱㝦㌴ㄲ〵戹㥦愷㕣㐳挱㜸挲㡦㤱慣㘴ㄲ〳㕢㌱摣て挱昸〷㤸つ㘲㘰摢㘳㘰㙦㜶㙦戴搲敢㕦㈰㐶晦て㠴晢㜱愵㙡㈲户㔱愹攸㈰㕤㑢㥥㠰慡㘵挸摤㠴捣㑥攴㙥㔶晡敢㐹敥て㐴㜲ㅤ㑢晢㈴昴㈶戹挵㘹攴晥って㤲扢ㄵ昶㙣㜲㥦㜲搴㍥つ慤㈴昷ㄷ〴㡢㘷ㅤ㝤戶㈹敤㙦昴㔱攴㍥〷慤㈴户搰㑥㙥敡㍡戹挰㤱摣攷ㄱ㠴晦昸つㅣ㑣昸挵〹搶ぢ㘸㐸戲ぢ搱㌶挹昶挴㜱㉡㥤㈸㑢昸㐳ㅣㄴ〹㐵㜰㕡㤵㐸㝡挰扤㔱ㄶ昳㠴㝤㈱慤㔵㤳㙢挲〸昱㠶㌶挶扤㘲㠱愴て㕦㜲㥣昴〷ㄲ㤸捥㔰㤶㌰晣ㄸ搱㜴扦㘸愵搷㕢㈳㐶㉦㠲㜰扦愴㔴㑤㈷㔸㉦㉢㔵捡慢攴ㄵ愸㕡㠶散㔷㤱搹㠹散搷㤴㝥ㄹ换搳㠱㜸㙦㘶愹摦㠰摥㈴晢敢㥦散挳㤹ㅤ攱㐱戲摦㠴㍤㥢散ㅤ㡥摡户愰㤵㘴㜷㐶戰㜸挷搱攷㕤愵摤㥢㍥㡡散㥤搰㑡戲㍦〳㠸散攱捣㑦愱捤ㅥ捥㝣ㅦ㐱㤲摣慥㐸㘵㤲㕢㠶㕢ㄲ摥㘸〸㌷㈴挲㤸㈹㠸㥢ㄲ㤸㑢〴㔶攳㕥ㅣ扣㜱㡡ㄵ搴扡愵㕣㍤ㅥ㡥㘹㠷〲㕥摣戰挰攴搱ㄸ㈶㥢㜸晤㐹㙦〸㕢㐳〴㜷慢っ昷〷㔶㝡㝤㍦挴攸晢㐳戸㍦㔴慡愶㍤昹㈳愵愲㠳㜴㉤昹ㄸ慡㤶㈱昷ㄳ㘴㜶㈲昷㔳愵扦㠳攴ㅥ㐲㈴换㔹摡捦愰㌷挹㝤㌳㡤摣㕥昰㈰戹㥦挳㥥㑤敥ㄷ㡥摡晦㐰㉢挹敤㡤㘰昱㤵愳捦㌷㑡㝢〴㝤ㄴ戹摦㐱㉢挹㝤搹㑥㙥㙡㑦㝥搱㤱摣㕤〸挲㝦晣㜸ㄱ㔲㘱㑦晥ㅥつ㐹戶ㄷ㙤㡢㙣㉦㙥㉢攰晥㌳敥㈷㘱ち㜰挲㕦ㄶ㑡㘲敥㤸㈷ㅥぢ挶㜱挳㈱ㄴ搶㝣㈹㔷㈳㠶搹愰㔰㈷㘲〹㕦㈰㘹㘰扡㡡ㄱ㠸攲戳摢㙢㜸愳㥥㜸㈲散晥挱㑡慦晢ㄱ愳〷㈰摣㍦㉡㔵搳㥥晣㤳㔲搱㐱扡㤶晣っ㔵换㤰扤ㅢ㤹㥤挸晥㐵改昹挳㔶㝡㍦㈲㔹挵㔲晦〶扤㐹昶ㄳ㘹㘴昷㠷〷挹晥ㅤ昶㙣戲晦㜰搴ㄶ攰捣㑥㤲㍤〰挱愲㄰慤散㐸昹ㅣ〹㈱っ愴てㄱ昰㕤〴㕦㐹昶愳㜶戲㔳㈷㕣て㍢㤲捤㈷㐵㈴戹㐳㤱捡㈴㌷改昵攰散ち㈷㔱ㅥ㑦㌸㄰つ攳㍥㜲戴っ㔳扣㠳戸㐳㠱昹㥣ㅥ㥦㌶㉣攵敡㑤㘰攲㐹挲挰㙥㥦っ攳㠳㍢ㅡ挵戴㠵㜰㌰㘱㤴㈵〲挱愰㈷攱㜳昳ㄹㄴ愶搷㠷㈳㐶ㅦ〱攱搶㤵慡㘹㑦收㠳㈸搲㡢づ搲戵愴㉤㔴㉤㐳㉥㥦㘱㜱㈲㤷㡦戵㐸㍤㝦㤸㑢ㅦ㑦㈴昷戲慣㈵搰㑢ち㈶㐰㐵〷扥㠵㝣㙣㠱㡥ㄳ愱㔵ㄴ戸㍢挳ㄷ慣攲挷㔱愱㙤摦慡㠸㜳敤晦㤲晢㠷㤸㙣昳捡晢攰㠹ち晣愸㠴㤱挰㜷戸捦挲㑦戱捣ㅦ㔴搳㔰挷㙦㄰㈸㘸㠵敦㜰㉦㤲㔳搵㕢ㄷㅥ晤攷㜲昱㜹㤵〳㤰㡡敦愲㍢戱ㅤ晣㝦攴㘱㕦㥢ㅥ㘷㘰挶㠳昰搶㈷愳挳㐵摤搰㕤挷㕦㐲㌱攷搵㡦挳㤷搷ㅢ㝤㉢〶㠴晢づ㥡ㄷ㌷慡昸摢㌳㤸㝤㡦㌳㡦㠲扤慢㠷搵㘳搱愸慢ㅦ㕦㕢㉥㝦ぢ㠵捦㙡㜴㔴ㄳ昴晢㔴て㤹㕤㤹㐰ㅤづ㘹搲愸ㅦㅥ㔲㘱愳敢㔲㜱敤㥢扣昰换〸㝢㌷戵㉡昰㄰㠸㌱慦㠱㕦㈸扦㕦㤳ㄶ扦㌲㠵㠲ㅢ〹㤵戱ㅥ捦㥦戵㉥㙣㈵㝡㍢ㄵ㝢㘰㙤㜵戴戲愶敦攰扡戸㑡㌰愸㘶㜶㌵㑢戰㥦挳㌷攷て愸㙣㤰㑦扢散て扢搰扢愰㍣摡ㄴㄴ慡㔳扦㥥攵㈷昶昴㠶て敤㜱㜴㘹㡦㐳㝢㤶昷昴㐵㡡㙥〷㉤晦㠷㌵愶搳挰昵昳㠵㕦㘵攷收戸ㅦ㔶㐴㉥㠴捥㈷㌶戴改搰戵挱㉡㈷㜰㍤换戰㥥㈳㥤㝡㈶㝦㈰㠵ㅤ戳㥥敤㔱晤慢㑦㕦ㄵㄹ攷换愵挷戸㉡ㅥ愱〹㥤㉡㜱〰ㅡ捣㉦ㅢ㍤搱攸㠹㈵㝤㍢挵㜳ㄴ捦㐳㠸愵㜰㜸ぢ扦㕣户愹㘸晥㙤㤱昳ぢ晡㍦晣搱㘳㥤摡㍣戳摤㉦慥户っ㑢㡥ㅣ昲搱挹ㅤ扣〳慥扡晣摢搸慢戱㜰㉢挱㐷㈸〸㐲㥦㠱㌵愶昶挰挳㤵戶㤲㌸㤸ㄹ㙦㜷ㅦ㘸攵ㅥ㌸ㄳ摡昶慤挴㔱㘸㜳㉦ㄴ㔷㈳㍢㌷㝤㤶㑡慦㘲〸ㅦ㍦㌰慢挴攷ㅣ戴ㅡ攸捣㉡昹㍤攲敦昰㔴㍤挱㙦㜲搳摤㥦㜲攷戳づ㕡ㅤ㜴㔹㍣㈲昲㌲㐴慡㠲戸㜴晥㔰㠱㌸〶晥㑥㤵戸㄰慥㡥㤵戸挰㌲㠴㉢㠷捤㕢户㜳挹愰㕢づ㕣㝢晥捥搵户㝥㈷㡥㐳㈶㔹㠹〵挸㥢慡㠴㝣㜰㠰摤㍡㠳㙢㔳㤵攰愳〲戲ㄲぢ愱㐵㈵㠶愱㙤㜶㤷㜳晢戵㐵搰〲㝦挵挸戴敤搰㈳捥㑥挳㝦ㄶ㌳㜲㥥扥ㄹ挹愹晥摡㌹搰愱㔰ㄵ愳㝡晡㍣攲慦㜰㙦㉡搴㜹㜴攷㜱㕤㔵㐰㜰㐲扦戲㡢㜱㘸㌸ㄵ㘲㕥慥㐲捣戵っ昷挵㝤摤慦搹㝢㝡晦㉢㕤戳㍥摤晦㜴晦挹㠲戳敤㘵㈱㉥挶ㅡ㔳㠵㤸愴戴㤷㄰㠷㉡挴㘴㘸㘵㈱㉥㠵ㄶ㠵攰昴㜴戳㍢㥣〷慦㉤㠶㌶慢㄰摥㌲㜱㝡㕡㈱慥㘰㐶捥㘹㌷㈳愷㌱昲㑡攸捣㐲挰扤㍡慤㄰㑢攸捥㜹攵㑥摤㥤㤱慢扢愷㕡㠶扦戵扦昶㡡ㄷ㐷晤㘳搸晤摢攷戹摡晦愸㝦㈰㌸晦㕣㜶㜷㈹昲愶扡㕢慢戴㌷㜰㙤慡扢㥣㑡㉥扢㝢㈳戴攸㉥㈷㙣㥢愰㘷㘳㐹扢ㄹ㕡㡢㍤扦㠸愶㠱扥㠵㘹㌸㜳摢㜴攷散㜰敤㌶攸戲慡攳昳㡢㔳㄰愹㐸㜶改换ㄹ挹㤹搶㑥摤㥤㤴慢扢ㄳ㉤挳㈵扤㕦慦扤敢摡㡡挱㡦㠸㠹户㉤ち㑥㥥㉡捥㐳㈶搹摤㔵挸㥢敡慥㥣㙡捤捤㝣㌵搷愶扡换挹搵戲扢㙢愰㐵㜷㌹㠵搹挴捦戹搲摡㕡㘸捤敥晡㝤攲㠴戴敥摥换㌴㤷愷摣㌹㕦㕡扢ㅦ扡慣敥㈲㜲㔴㕡㜷ㅦ㘴㈴攷ㅥ㍢㜵㜷㘸慥敥づ戱っ慤敦摣㜸敥挹晤㌶つ扤攳㙢㜷㘲摢敥攲㜷挴つ挸㈴扢晢〸昲愶扡㝢㤳搲㍥捡戵愹敥㉥㠳㔶㜶㜷〳戴攸敥ㅤ㘸㥢摤攵散㘱㙤㈳戴㔹昸㐳㕥㔱㥥㠶扦㤱ㄹ㌹ㄳ搸㡣㕣捥挸㑤搰㤹㠵㠲㝢㍦戸慢扤搶愵㙦愱晢㍤㜰㜲敡㙥㈴㔷㜷挳㤶攱摥捥㈳摥㕣戴晡㤳昲㘵㥦戸户㝥戵晦㜹㌷ち捥摡㤵摤㝤ㄶ㜹㔳摤㤵搳㜱挹敥㍦戹㌶㉣攰㑦㠱㥢ㄳ㜰㘵㜷户愱㠹敥㙥㐰摢〴晤〸㤶戴攷愰捤敡慥㌷㈲扣㘹摤㝤㠱ㄹ㌹攳搵㡣㝣㤴㤱㉦㐱㘷敤扢ㄱ㜱㘴㕡㜷㕦愱㍢攷捣慡ち㠸挷搱㔰ㅢ扢㜸ㄲつ愷㐲昴捡㔵㠸挳㉣㐳户敤㥢㈲晦㍥㜳散挸扢敡捦摣㔸昲㐸㡦㐷挵㌳挸㈴ぢ戱〳㙢㑣ㄵ攲㥦㑡晢ㄶ㜱㈸摥㌹敢㔴ㄶ攲㙤㘸㔱〸捥换㌴扢挳㘹愲摡扢搰㘶ㄵ挲ㅦㄲ摤搳ち戱㤳ㄹ㌹攵搳㡣攴慣㔱敤㝤攸慣ㅤ㈴㈴づ㐸㉢挴㠷㜴攷㤸㜷慡敦㥣ㅢ㥡慡ち愷㔸㍡ㄵ愲㑢慥㐲散㙢ㄹ㑥㥢戱㜲㜹捦戳晤〳㉦ㅢ㍤晢㤶㐸㡦愱晢ち㑥挵㤴㠵昸っ㙢㑣ㄵ㐲捥戱攴ㄶ昱㌹㜱愸㐲㜰㔶愵㉣挴ㄷ搰愲㄰㥣扢㘸㜶㠷㤳㈴戵㉦愱㌵扢ㄳ昴㠹㡥㘹摤昹㥡㘹㍥㑦戹晦㥢敥摦㐲㤷㔵㌷㐴戶㐷愴敡戵㑢摦挵㐸㑥㍡㜴敡㙥㜱慥敥戶戱っ㌵㡦㜶㜹愱㜰搸㥤㈳㔶㥥㔳㝣㙦捦㝦摤㜷扢攰攴㐴搹摤摤挸㥢敡慥㥣㜵挸敥晥挲戵愹敥晥〲㕦搹摤㕦愱㐵㜷晦㐰㕢㥥捦戴㐲昶㍢昱㤶攷㌳扦㌳㠴㔳昶捣㑡㜰〶愱㔶㔰㉣扢㤶㝥愲㠹㐳搹ㅦ㍦摡扢㔶〸㉦挱搹㠰㘶愴㘰㘴㙢攸㔰㐳㥣㉦挲晤ㄷ戸㉢捡㕤扡㐶㜷捥挸㜳慡挴て㜰㜵㍣㥦昹摥㌲戸㝢づ㜹昵攱㜰摢㘱ㄷ昸㈷ㅥ昲㑥捦㘲㥦㈸㐱㈶㔹㠹㜶挸㥢慡㐴㐷愵㙤捦戵愹㑡㜰ㄲ㥥慣㐴〷㘸㔱〹㑥㘲㌳㐱㜳㑥㥤收㠶㌶㡢挹㐰㔰㝣㤵搶摤㑥捣挸昹㜱㘶㈴愷搸㘹㝢㐱㘷㙥㌲㜰晦㍣慤扢晢搰㥤㜳搴㥣扡晢㜱慥敥㝥㘴ㄹ挲慦㙦搸㝣搲户ㄷ㡤扣攴敡搵㘷㥥ㅢ㌹慦㡦㌸ㄴ㤹㘴㜷昷㐷摥㔴㜷㝢㈹敤〱㕣㥢敡㉥愷愵挹敥ㅥ〸㉤扡换㘹㕤㈶㘸捥㌲搳㑡愱捤敡慥㍦㉣摥㑢敢㙥て㘶昴愶㈲㡦㘲㘴㑦攸慣ㅤ㍥㉣摥㑡敢敥愱㜴攷慣㉤愷敥扥㤶慢扢慦㕡㠶㈱昳㜷㍥㝣攲攳昷昷扦攸愳〷ㄶ㝥晦㐵㤷㐵愲ㅦ㌲挹敥ㅥ㠱扣愹敥ㅥ愷戴㐷㜲㙤慡扢攵搰捡敥昶㠵ㄶ摤攵㙣㉢戹㥤扦㠸散愹敤摣挳㄰捥㜹㌲㉢㌱ㄸ㑢㥡て㍡㔴㈲㘳㍢昷㡢敤〸㙣摡㠵〳㡣攴㜴㉡㌳㤲㌳戲戴㄰㜴搶㜶敥ㄷ捦挰扤㘹㍢㡦搰㥤㔳㥡㥣㉡戱挵敡㜰搶ㄵ捣㘶换㌰㝣慤㘷挹㌳て扤㌵攰㙦㕢攷㍤昵㐷攱敤㥢〵愷㍥挹㑡ㅣ㡢扣愹㑡挸㌹㑤㈸㠰㝥ㅣ搷愶㉡挱㔹㑣戲ㄲ晤愱㐵㈵㑥㐱㕢㔶攲㜱㘴㑦㔵㘲〰㐳㌸㙤挸散て攷㈷㘹〳愱㌳晢攳昳㠹㐷搳晡㌳㤸敥㥣㍦㘴扡㑦愳晢㔰攸戲ち㠷挸㠷㄰搹㔴戸攱㡣攴㝣ㅦ愷㑡摣㙦㜵㌸慢ㄲ昷㔹〶晤昳〱慥㠲㤵昱㔱ㅢ㌷㜷㥥扤晢㥢戹㑢㐵㌵㌲挹㑡㡣㐱摥㔴㈵㙡㤵昶〴慥㑤㔵攲㜴㘸㘵㈵挶㐲㡢㑡㜰㥥㡥慣挴摤挸㥥慡挴㜸㠶㜰戶㡣搹戵㌹㔸搲㈶㐰㤷搵㌵㥣搷摣㤵搶戵㐹㡣攴㐴ㅣ㌳㤲㜳㜹戴挹搰㤹㌵㠴晢ㅤ㜰㙦摡㈶愶搰㥤㤳㘱㥣㉡㜱㡢搵攱慣㑡㉣戳っ㍦㑣敤晡挶㤳㍦扦㌸昸散摢て扦㘹搷〹慦㑥ㄳ㥣㌴㈳㉢ㄱ㐳摥㔴㈵攴㙣ㄸ㙥ㄳ㜱慥㑤㔵㠲昳㕦㘴㈵ㄲ搰愲ㄲ㤷愱㉤㉢㜱〳戲愷㉡㤱㘴〸㈷㥣㤸晤攱捣ㄶ㙤〶㜴㘶㝦㠲㘱㜱㙤㕡㝦㘶搲晤敦㈹昷换改㕥〵㕤㔶攱㄰㜹ㄵ㈲㥢戶㠹ㅡ㐶㜲愶㠸㔳㈵ㄶ㕢ㅤ捥慡挴㘵㤶㘱敥㜷昳㝦づ㝣昵㘳昹晡攱ぢ㔷慣㕥搸㙤㠶戸〹㤹㘴㈵ㅡ㤰㌷㔵㠹㘵㑡㍢㥢㙢㔳㤵攰攴㄰㔹㠹㌹搰愲ㄲ㥣㕣㘱㜶㤷㜳㍤戴㜹搰〲㝦挶㔵㙤㐸㕣㤰㠶㝦〱㌳㜲摥㠶ㄹ戹㠲㤱ぢ愱㐳愱㜸㔵ㅢㄲ攷挲扤㠹昸㐵㜴扦て㑥㑥摤㕤㤴慢扢㝦戵っ㜵㙢㑥㌸收㥢㜵㤳㐶㉥㍤㝢搱昵慦散㉡㕦㉣㌸挷㐲㜶昷㍣攴㑤㜵㜷㥤搲晥㡤㙢㔳摤攵㜴〹搹摤昳愱㐵㜷㌹㈹挱〴捤搹て摡㠵搰㥡愰㐳㝥㌱㌷つ昴挵㑣昳㜸捡晤㌱扡㕦ち㕤㔶㜵㄰㔹㡦挸㈶㜶ㄷ㌳㤲戳〹㥣扡㕢㤳慢扢搵㤶攱㥢敥㝢㕤㜴搴愹ㄳ㠷㙥㌸昸愳㔵换昷㥤昹㤲攰慣〳搹摤㈵挸㥢敡敥㜶愵扤㥡㙢㔳摤㝤ㅥ㕡搹摤㙢愰㐵㜷㜹㥢摥散㉥攷〳㘸搷㐱㙢㜶搷ㅦ㄰愷愶㜵㜷㈹搳昰㝥扤改捥㌹〱摡㡤搰㘵㜵ㄷ㤱昱戴敥摥捣挸昷攰敦搴摤愹戹扡㝢㡡㘵㔸摢户搷㜶搷㡢㡢㉡㔶敤㜸㈶㔲晥昱㌹㥦〸摥㠷㤷摤㕤㡥扣愹敥捡ㅢ散攸愵㝥〷搷愶扡晢㌱㝣㘵㜷㔷㐰㡢敥昲挶戵㠹㥦㜷挸戵㤵搰㕡㥢㘴㐰㑣㑣敢敥㉡愶攱ㅤ㙣搳㥤㜷挹戵㌵搰㘵㜵搷ㄷ㄰攳搲扡扢㤶㤱扣攳散搴摤攳㜳㜵㜷㤴㘵㜸㜸晤㔳戵㠳㉦㥡㌶攴扡㙦㉡㑦㝡㜵㐲昱昹㠲㜷愶㘵㜷ㅦ㐴摥㔴㜷攵㉤㘷㜶昷ㅦ㕣㥢敡敥㙦昰㤵摤㕤〷㉤扡换㍢挵昲㈸㌶っ搹㔳㐷戱昵っ㘹つ㤳搹戵㐲㉣㘹㡦㐰㠷慥愵㝦挶攳㌴㝤㔰㕡搷㌶㌰㤲户㠲捤㐸摥㑤搶㌶㐲㠷ㅡ攲㕣ㄶ敥攵㜰㙦摡慤ㅢ改摥〱㑥㑥㤵㌸挶敡㜰搶㔱散㉦㤶攱挲㘳晢㕤㜹搶㤶㈳〷㉥㥢搴㕦扢㘴㑡㔵㝢挱摢戶戲ㄲ㕢㤱㌷㔵〹㜹㍦㤶㤵㜸㡡㙢㔳㤵攰ㅤ㔸㔹㠹愷愱㐵㈵昶㐳摢〴捤ㅢ慡摡戳搰㕡挴晢㐴㌰つ昴㌶愶搹㍦攵摥㡤敥捦㐱㤷㑤扣㑦㜸ㄱ搹戴㕢扦挰㐸摥愰㜴敡敥ㄱ戹扡摢挷㌲戴㌹㜹昴愰㔱晦慡㍥晥搱戶㝢㙤扢㜰㝤改〳㠲㌷㌲㘵㜷㕦㐳摥㔴㜷㝢㉢敤敢㕣㥢敡敥ㄱ搰捡敥扥〱㉤扡敢㐱㕢ㄲ㝦ㄸ戲愷㠸摦挱㄰摥〴㌴㉢挱扢㡤摡摢搰㤹昴攱愸㝣㌰扣㥢攸㝢㤷敥㠱㤴扢㡦敥㍢愱换摡㑥㄰㜹㄰㈲㥢㉡昱㍥㈳㜹昷捥愹ㄲ摤慣づ㘷ㄱ摦搵㌲摣戳挲㍢愳敢㤷敦㡣戸㜵昷捡㌱ㅤ慦搳扢㡡晥挸㈴㉢昱㈹昲愶㉡㌱㐰㘹晦捤戵愹㑡っ㠴㔶㔶攲㌳㘸㔱㠹攱㘸㥢摤攵晤㌷敤ぢ㘸㉤攲㈳愲㜳㕡㜷扦㘴㥡ㄱ㈹㜷摥㠳搳扥㠶㉥㥢昸㠸㈸㐹敢敥户㡣ㅣて㝦愷敥扡㜲㜵㔷户っ㤱㙦晥晥攲㙦㙦摤㔰㜱昶昶敦愷㥥㜲挹ㅦ㝤摤扣つ㈶扢昰ㄳ昲敡㍦㔳散㠶㜰戹㜹㈷㑣ㅡ㝥㐱ㄳ㌷扦㜸て捣昱㡥㠶㜹愷挱晣㐱㙡㝣攳㤵㔱㉦ㄵ㈵愸㔱㔱㤲昷㝤摡㈶昹㐵㔸㠶晣㔵㙣㝣㑢㔷㘵㔵㤵晣㠲慢㜶昸㙤敡扡搳㡣扡㤱昸㌵㜶晣㈲昵戸捡㙡敢敢㥡昰㉢敤扣愵愳㝥晤㔸㤷㉤摥昳搲㤲愳敢昰㜳挸㙤㤲挳敡昱㥢敦㠹攲敡㌱搱㠶〶愳慥收㝦攱扢收昰㤵㘳慤㜹㝢て㥢っ㡥㠴〵㠵㡥摦昶挵慦昱捡晣戵㘴摢て摢㌷搵㠳扦㠴捥㍢㌳㠵晣㐹敢㍦昷㑤㜳摡慦愰慤㈴昵㔳敤㜳昸㍤㜲昵㠵愲ㄵ戶〳㌹〱攴㜳㕦㔷㜹㘳㠷户㙡昵摦攱慢晤〱搱ち㌷㡣昸挳㈶摣挶㕤㝡㠱㡥慤愱ㄱつ㈹ち㡡㈶㘳ㄳ挸散ㄸ扦㝢㙤㌰㈳㡡收㔶㈶ㅡ㘶㘸㌳㡣捡㔳㘷攰㔹㠲戶㙤搹㕢昵㙡㍤ㄵ愱昹㙥愹㜱㐷㙢㔳㍤㉤㕡㔷ㄷ㥤㕦㕣㍤慤捡愸㌹戵㘱㐶昱戴㌹戸㠷㔸㔹㕢㠳攰攲攲㘲扤㄰㜸戸㐹㜲㜵㈲〶㈵戳敡慤愰愵㠶㙦㌷敦㈹挹慤戶㌵戱ㄷ㔱㘸㄰㉥㌷㙦㉢㐹㐳ㅢ㌴戱慢捥㐴㥢㥢戴捥㍡ㄵ㡡ㅦ㝦㜰慡ぢ㑡㠰〷㍡攱搰㔴㤳㜶㔴㌵㘲㔵㘶㑤㐴ㄵ㜲戰㉥敡㈵㘶愱㈱㜱㜵㠰愷挲㈵ㅡ㤴戶〴㕡搵〷昷〲㘸㈵㈸㌷戳㜶愴攸〴攱㜲㥦愱っ㥤搱〴摡㠵㘸摢搰㝥敥㠸㜶ㅦ挶愷愳敤㐲㔵㈳戰㔹㘸捦㔲㌰扡挱愰㘰㠸昳㤴㜶㍦㘸ㄵ㘴昷挵ち挳晥㑣㜲〰挵㠱㄰㉥昷㈵捡㜰㄰㥡〰㜷㈹摡㌶㜰敦㌹㠲敢挱昸㜴㜰㍤愹戲㠱扢㐲挱㌸ㄴ㠶ㄴ戸㈵㑡㝢ㄸ戴㈹㜰㑢ㄵ㠶㕥㑣㜲㌸㐵㙦〸㤷晢〶㘵攸㠳㈶挰摤㠸戶つ摣换㡥攰晡㌲㍥ㅤ㥣㠷㉡ㅢ戸㕢ㄴっㅦっち㠶㔸慥戴㝥㘸ㄵ㘴昷㉡㠵㈱挰㈴㐱㡡㄰㠴换扤㕡ㄹ挲㘸〲摣ㅡ戴㙤攰㥥㜲〴㜷㌴攳搳挱ㅤ㐳㤵つ摣扤ち挶戱㌰愴挰㍤愸戴挷㐱㥢〲昷㠸挲搰㥦㐹捡㈹〶㐰戸摣㡦㉡㐳〵㥡〰户〱㙤ㅢ戸㐷ㅤ挱つ㘶㝣㍡戸愱㔴搹挰㌵㉡ㄸ挳㘱㔰㌰挴ㄶ愵ㅤ〱慤㠲散㝥㔶㘱ㄸ挹㈴愳㈸㡥㠷㜰戹晦愹っ愳搱〴戸㙤㘸摢挰摤攳〸㙥㉣攳搳挱㡤愷捡〶敥〵〵㘳〲っ㈹㜰慦㈸敤㐴㘸㔳攰㜶㈸っ㤳㤸攴㈴㡡挹㄰㉥昷㕢捡㜰㌲㥡〰昷㌶摡〴愷㑤㐱㍢晢ㄸ㝣扢㈳搸愹昰搵愶㐱愴ㅦ㠳愷㐳㘳〷扣ㄳ㜹攵攱㈵〶㐳ち昰㠷㑡ㅢ㠷㌶〵昸㌳㘸改愲㈷㤸挴愰㐸㐲戸摣㥦㉢挳愹㘸〲昰ㄷ㘸摢慡㜹慤㈳挰㤹㡣㑦慦㘶ㄵ㔵戶㙡㝥慤㘰搴挰愰㘰㠸㕤㑡㕢ぢ慤㠲散摥慤㌰捣㘲㤲搳㈹敡㈰㕣敥㕦㤴愱ㅥ㑤㠰晢ㄵ㙤ㅢ戸㑢ㅣ挱捤㘱㝣㍡戸㜹㔴搹挰晤㡥㍣㤳昱㔶㉦㔱㠸〳扢㉣攵〲㜸㉡㕣㐲㔳摡㌳愰㔵㝤㜰户㠳㔶㤶㜲㈱戳晥㤵㘲ㄱ㠴换捤㐱㙤㘹㌸ㄳ㑤愰敤㠰戶つ敤㤹㡥㘸捦㘱㝣㍡摡昳愸戲愱攵搰戶〴㜷㍥っ㈹㜰晢㈸敤〵搰愶挰敤慦㌰㕣挸㈴ㄷ㔱㕣っ攱㜲㜳〸㕡㠲扢〴㑤㠰㍢㄰㙤ㅢ戸㝡㐷㜰㡢ㄹ㥦づ敥ち慡㙣攰㝡㈸ㄸ㔷挲㤰〲㜷愸搲㕥〵㙤ち摣ㄱち挳ㄲ㈶戹㥡攲ㅡ〸㤷㥢〳挶ㄲ摣戵㘸〲㕣㕦戴㙤攰㑥㜵〴户㤴昱改攰㙥愴捡〶㡥愳捡㘹㍣〷愰㤰愵扣ㄹ㥥㈹戴ㄱ愵㕤〶㙤ち敤戱搰㑡㔰户㌰敢慤ㄴ户㐱戸摣挷㈹挳敤㘸〲㉤㠷㜳㙤㘸㑦㜶㐴扢㠲昱改㘸㔷㔲㘵㐳㍢〰㜹搲搰づ㠶㐲愲㕤〵㑦㠵㑢っ㔷摡搵搰慡㍥戸㌹敡㉡搱慥㘱搶扢㈹搶㐲戸摣ㅣ㜸㤵㠶㝢搰〴㕡づ戹摡搰㡥㜶㐴㝢㍦攳搳搱㍥㐸㤵つ敤㜸攴㐹㐳㍢〹ち㠹㜶ㅤ㍣ㄵ㉥㌱㐵㘹ㅦ㠲㔶昵挱ㅤ㠳㔶㠲㕡捦慣て㔳㍣〲攱㜲㜳㜰㔴ㅡㅥ㐵ㄳ㘸㌹㉣㙡㐳㕢攱㠸㜶㈳攳搳搱㌶㔲㘵㐳㥢㐴㥥㌴戴㌳愱㤰㘸㌷挱㔳攱ㄲ㌵㑡扢ㄹ㕡搵〷㜷〳戴ㄲ搴ㄶ㘶㝤㤲㘲㉢㠴换捤〱㑣㘹㜸ち㑤愰㥤㠳戶つ㙤搸ㄱ敤戳㡣㑦㐷扢㡤㉡ㅢ摡〵ち挶㜳㌰㈸ㄸ㘲㤱搲㍥て慤㠲散收㔸愳挴昰〲㤳扣㐸昱ㄲ㠴换捤攱㐶㘹㜸ㄹ㑤㠰㍢ㅦ㙤〹㡥ㅦ㐵㠵愲㡦㈳戸搷ㄸ捦㡦㥥愶搳摣㌷愸戲㠱扢㔸挱搸挱㍣〵收㕢㉣㔶摡户愰㔵㤰摤㑢ㄴ㠶户㤹攴ㅤ㡡㜷㈱㕣㙥づづ㑡㜰敦愱〹㜰搷愰㙤慢摣㐱㡥攰摥㘷㝣㝡攵㍥愴捡〶㙥愹㠲昱㌱っ㈹㜰㌷㉢敤㈷搰愶挰㜱ㅣ㑦㘲昸㤴㐹晥㑤昱ㄹ㠴换捤愱㍣㘹昸ㅣ㑤㠰㕢㠱戶つ㕣㘷㐷㜰㕦㌲㍥ㅤ摣搷㔴搹挰慤㔲㌰扥㠵㈱〵㙥慤搲㝥〷㙤ち摣㠳ち挳㉥㈶昹㥥攲〷〸㤷㥢〳㙦ㄲ摣㡦㘸〲摣㍡戴㙤攰摡㌸㠲摢捤昸㜴㜰扦㔲㘵〳户ㅥ㜹搲昶㤰つ㔰挸㍤攴㜷㜸㉡㕣㠲㘳㙢㔲晢〷戴慡て敥慤搰㑡㔰㥣摡慢ぢ㡡㐲〸㤷㥢㠳㘳搲搰ち㑤愰攵戰㤸つ敤㉦摦㍢㕤㙢㘹㡣㑦㐷㕢㑣㤵つ㉤㐷换㈴っ捣挲㑥挱㄰ㅣ〹㤳摡戶搰㉡挸敥搷ㄴ㠶㜶㑣搲㥥愲〳㠴换捤愱㉣〹慥〴㑤㠰㝢〳㙤ㅢ戸慦ㅣ挱㜵㘲㝣㍡戸扤愸戲㠱攳㜸㔷㕡㈹摦㠵㐲攲摡〷㥥慡㘸攲㝤愵摤ㄷ摡ㄴ㕡㡥㌵㐹㔰㕤㤸戵㉢㐵㌷〸㤷㥢挳㑤搲戰ㅦ㥡㐰晢ㄹ摡㌶戴ㅦ㌸愲㍤㤰昱改㘸㑢愹戲愱晤㔲挱攸〱㐳ちㅣ挷㤶㈴攴㠳愱㔵攰挴㑦搰捡昱扤户戱㌶㡥敦ㅤ㔳㠰敢昱㐲㑤㜰戴㐸ㅡ摥戲っ晤愴㐱〸㡥㈰㐹挳づ换㜰ㅣっ晡㘱㐸㕡挴搱愴捣敦扦户㡤㠱搸扥㠹ㅥ㡥〵㝡昵㌸㝣つ㍡㠷㐳㕣搵㥣㤹㉢㘷戱㙡搵攳㘶攰㙢搲㍢㕡扥㝤㔲㍥㥤㔲㥡㤴㙦㠷㤴㑡挶㜴慤愸慤㥥ㄵ慤㡢挶慡っ扡昴㘹㑡扡㜷愶㐵晡愳〶㉣㐳㐱㡦摣㔳㙣ㄵ㐰㡥搷ㄴ㡢㘶㍢ㄶぢ〶攸扤㔰㤳昶㔸㄰㑤㑢戲㔹昴㍢扡摦散戱㈲づ㐸晥挹㉦散㍦ㅣ〰㐴〱㜶㙢㌹收搹ㅢ㉤戵㌵㤴ㄴ㕡摡㘲晣㉤㈸㘹愵㕡ㅣ慡ㄱ慤搱㤲っ扦㥡戱㑤㜰挸㐵ㅡ㕥挹搸㈶㌴㘵㜸搹扥㑤昴攵敡摢挰挴敤愲愹〶㑤㑢戲ㅡ挲〵て㔶㐴昷搰扦ㅤ㕡ㄲ慥搷づ户㠳愵㉤㈶挰㤲ㄲ搵挲摦〲攱㠶㤴愸㥥换㠰换㌱ㄷ㘹搸㥥〱户㤳㌲㙣戳挳つ㜲昵㥤㘱㤲㜰㐳㘸㤹攴愵㤶㑣戸晢挰㐳挲つ搳扦ぢ㕡ㄲ㙥挴づ户㥢愵㌵慢扢㥦㙡挹敡敥㡦㤶㐴昵㔴〶㕣㡥挲㐸挳搶っ戸〷㉡挳㤳㜶戸挷㜰昵〷挱㤴ㅦ㙥て㜸㐸戸挷搲扦㈷㕡ㄲ敥㜱㜶戸㠷㕡㕡ㄳ敥㘱慡㈵攱昶㐲㑢愲㙡捣㠰换㜱ㄹ㘹㜸㍣〳㙥㙦㘵搸㘸㠷㕢挱搵昷㠱㈹㍦摣扥昰㤰㜰〷搱摦㠳㤶㠴㍢搸づ搷㘷㘹捤㡤挱慦㕡昸㡢扢っ㤰ㄲ搵挳ㄹ㜰㌹㔲㈳つ敢㌳攰㠶㤴攱㈱㍢摣攱㕣㝤ㄸ愶晣㜰㡦㠶㠷㠴㍢㤲晥挷愰㈵攱㡥戲挳㍤搶搲㥡㜰㡦㔳㉤晣㉤㄰晤㈱㈵慡晢㌳攰㜲散㐶ㅡ敥换㠰㍢㐰ㄹ敥戵挳㍤㠱慢慦㠰㈹㍦摣挱昰㤰㜰挷搱㝦㈸㕡ㄲ敥㜸㍢摣攱㤶搶摣ㄸ㐶愸㤶摣ㄸ㐶愲㈵㔱慤捥㠰换搱ㅣ㘹㔸㤵〱昷㜸㘵戸换づ㜷ㄲ㔷㍦ㅡ愶晣㜰挷挲㐳挲㥤㑣晦昱㘸㐹戸㈷摢攱㑥戰戴㈶摣㠹慡㈵攱㑥㐲㑢愲㕡㥥〱㤷攳㍢搲㜰㝢〶摣挹捡㜰㥢ㅤ敥㌴慥晥㘴㤸㈴摣改㘸㤹㐷㠶搴㤲㜹㘴㤸ちて〹㌷㑡晦改㘸㐹戸㌱㍢摣㤸愵㌵攱挶㔵㑢挲㑤愰㈵㔱摤㤴〱㤷愳㍢搲㜰㘳〶摣愴㌲摣㘰㠷㥢攴敡㑦㠵㈹㝦㜵㘷挲㐳挲㥤㐱晦㉡戴㈴摣㑡㍢摣ㅡ㑢㙢㙥扢戵慡㠵扦〵㘲ㄶ愴㐴㜵㑤〶㕣㡥昷㐸挳搵ㄹ㜰敢㤴㘱㠹ㅤ㙥㌵㔷㕦て㤳㠴㥢敢㐳㔳捣㠱㠷㠴㕢㑢晦㜹㘸㐹戸戳散㜰ㄷ㔸㕡戳扡㘷愸㤶慣敥㐲戴㈴慡换㌳攰㜲挰㐷ㅡㄶ㘷挰㕤愴っ㤷搹攱㌶㜰昵㘷挲㤴扦扡攷挰㐳挲㥤㐳晦昳搰㤲㜰攷摡攱㥥㙦㘹㑤戸ㄷ愸㤶㠴㝢㈱㕡ㄲ搵㠵ㄹ㜰㌹〴㈴つㄷ㘴挰扤㔸ㄹ捥户挳㍤㠳慢扦〴愶晣㜰ㄷ挳㐳挲晤㉢晤慦㐰㑢挲㕤㘴㠷㝢愵愵㌵攱㕥愵㕡ㄲ敥ㄲ戴㈴慡戳㌳攰㜲㔰㐸ㅡ捥捡㠰㝢㡤㌲㥣㘹㠷㝢づ㔷㝦㉤㑣昹㌷㠶愵昰㤰㜰捦愳晦㡤㘸㐹戸㝦戳挳扤搹搲㥡㜰㤷愹㤶㠴㝢ぢ㕡ㄲ搵㠲っ戸ㅣㄵ㤲㠶昹ㄹ㜰㙦㔳㠶㜹㜶戸ㄷ㜱昵户挳㤴ㅦ敥ち㜸㐸戸㤷搰㝦㈵㕡ㄲ敥愵㜶戸慢㉣慤戹慢慤㔶㉤晣㉤㄰㙢㈰㈵慡晡っ戸ㅣㄶ㤲㠶扡っ戸㙢㤵攱㜴㍢摣㉢戸晡㝢㘰捡て昷㝥㜸㐸戸㔷搲晦㐱戴㈴摣慢散㜰搷㔹㕡戳扡て愹㤶慣敥㝡戴㈴慡慡っ戸ㅣㄷ㤲㠶搳㌲攰㍥愲っ㌳敤㜰慦攵敡ㅦ㠵㈹㍦摣㡤昰㤰㜰慦愷㝦㈳㕡ㄲ敥㔲㍢摣㑤㤶搶慣敥㘶搵挲㕦㝣㘷㌹愴㐴㘵㘴挰攵挰㤰㌴㈴㌲攰㙥㔵㠶戸ㅤ敥捤㕣晤㔳㌰㐹戸愹搳㐶㍤戵㘴㝥㑣㍣ぢて〹昷ㄶ晡㙦㐳㑢挲扤搵づ昷㌹㑢㙢㔶昷㜹搵㤲搵㝤〱㉤㠹㙡㙡〶㕣づㄵ㐹挳㈹ㄹ㜰㕦㔲㠶㈹㜶戸㜷㜰昵㉦挳㈴攱愶㍥换昴搴㤲〹昷㌵㜸㐸戸㜷搲晦つ戴㈴摣㤵㜶戸㍢㉣慤㔹摤户㔴ぢ㝦ぢ挴摢㤰ㄲ搵挴っ戸ㅣ㍣㤲㠶〹ㄹ㜰摦㔵㠶ㄳ敤㜰搷㜰昵敦挱㤴扦扡敦挳㐳挲㕤㑢晦て搱㤲㜰敦戱挳晤搸搲㥡㜰㍦㔱㉤晣挵㜷㔰㐳㑡㔴㘳㌲攰㜲㌸㐹ㅡ㐶㘷挰晤㑣ㄹ㡥户挳㝤㠰慢晦ㅣ愶晣㜰扦㠴㠷㠴晢て晡㝦㡤㤶㠴扢捥づ昷㕢㑢㙢挲晤㑥戵昰ㄷ㡦㍡㐰㑡㔴挳㌲攰㜲㠰㐹ㅡ㠶㘶挰晤㐱ㄹ㠶搸攱㍥挲搵晦〸㤳㠴㥢昳㐳㜸㌷㍣㈴摣つ昴晦ㄵ㉤〹昷㌱㍢摣摦㉤慤戹敤晥愱㕡㜲摢㉤㠰愳㐴㌵㈰〳㉥㐷㤸愴愱㍣〳㉥㐷㥤愴愱扦ㅤ敥ㄳ搰ち㡥㐰攵慦㉥挷㥤㈴摣捤昴㉦愶㐰搱昴㉤㔸㐸㕤〹㜳扣㠹㕡戳扡ㅣ㘷㤲㉤挰挶挵㈸㕡㜲攵㝦挹㠰换㌱㈷㘹㌸㍡〳㉥挷愱愴愱捣づ昷㘹㘶攵㤸㔴晥敡㜲㈴㑡挲㝤㤶晥ㅣ㠴㤲㜰晦㠹㠵ㄴ摣㝤㉣慤〹㤷〳㑤㑤㜰㌹挰㈴㔷ㅥ挸㠰换㐱㈷㘹昰㘷挰攵㐰㤴㌴昸散㜰㥦㘷㔶づ㑡攵慦㉥㠷愲㈴摣ㄷ改㕦㑡挱敡扥㠴㠵ㄴ㕣づ㐱㐹㠰愴扦㠴㐳㑦㈹戸㈵ㅣ㌳攲㤷㠴ㄷ捥ㄳ昱改㠹改搳㝦㉡㘹㕤摡慤昵愴晥敤慥摦昹散晢㔷扥㌲愵摦㈷扦摥㜸攳㉢ㅦ㕥戹敤搷つ戱㝥㑦摤㜶摢㤶攱换戶扤摦㈹㜹㑢攱扡㥦㐶摥戲搰㝢摡挲搳㤳㈷昶ㅥ戲昰愴㤹㈷㜸挷㜴散搳慡㔵㥢㌶㠷㜵㝥扡㑢㉦昷㔹愷慦ㄷ㑦扣戹㙦㑤ㄱ㌷攳㘶っ摡㄰搱㥦ㅣ㘱㜹㤹ㅤ㌲㠷㔹搰㜳晢㤷㜴戹㌹摣㈲㐷昷㕥挵㠲晥ㅡ㐴晢挲ㄲづ㠹戴㘴㤷㠵ㅣ㐳㈱ぢ㘹㔸㌸㤶㈲戱扣㐱㉣㙦㥡㔸㌸摥搱愲㔸昸戹㐷ち昴ㅤ㄰㐲づ㤷㘴㈱攳戰㠹㐴昶㌶ㅤ摦㠱㐰㤵㌸戴搱愲挸攴㔸㐸ㄶㄶ㡥㠹㐸㉣敦ㄱ换㑥ㄳぢ挷㉤㕡ㄴ㡢ㅣ攸挸挲挲〱て㠹攵㝤㘲昹挰挴挲㐱㠹ㄶ挵㈲㐷㌱戲戰㜰㌴㐳㘲昹㠸㔸㍥㌶戱㜰挴愱㐵戱挸㈱㡡㉣㉣ㅣ慡㤰㔸㍥㈵㤶㝦㥢㔸㌸㥣搰愲㔸㈶㘳〵昲搸昶ㄹㄶ昸攲昸戵㥢攳㄰ㄲ换攷㔸搰扦㠰挰戶换戱㠲ㄶ挵挲搳㌳戹㔷晤〷ぢ㐲づ㌵〰㡣㙥晦昶㐷㜷っ㈶㠹散㉢㉣攸㕦㐳〰ㄹ㠷〵㕡ㄴ搹っ慣㐰㔶㈹敤搸挳昱〴㠹攵㕢㉣攸摦㐱〰ぢ慦昹㕢ㄴ㑢㉤㔶㤰㡤㠵㠳〵ㄲ换昷㔸搰㝦㠰〰ㄶ㕥搰户㈸㤶㌹㔸㐱㌶ㄶ㡥〴㐸㉣㍦㘱㐱晦ㄹ〲㔸㜸戵摥愲㔸攴攵㍤户㤷㌴㡥㜸㤹㉦戱晣㐲㉣扦㥡㔸捥㘹㘹㉣昲摡㍤ぢぢ慦攱㈵㤶摦㠹攵てㄳぢ慦戳㕢戴㉥昲挲㍣ぢ换愵ち㡢㘸ぢ㉣㠵㄰攰㠸ㄷ搱㉤㡡㐵㕥㜵㘷㘱戹㑡㘱㘹㑤㉣㐵㈶ㄶ㕥㈱户㈸ㄶ㜹㐹㥤㠵㘵愹挲搲㠶㔸㡡㑤㉣㌷户㌴㤶㕢戰㠲散晤㠸搷捤㜲㝢㜱ㄱ㑢㕢ㄳぢ慦㙤㕢戴㉥昲㘲㤸㜵㐹㍢敥慥㔴㔸摡ㄳ㑢〷ㄳ换㥡㤶挶㈲慦㜴戳㌸扡㐷㘱㜱ㄳ㑢㐷ㄳ换〳㉤㡤㐵㕥挶㘶㘱㔹愷戰㜴㈶㤶扤㑣㉣㡦戴㌴ㄶ㜹㡤㥡㠵㠵搷慡㜲㝢搹㠷㔸昶㌵戱昰㝡戲㐵户ㄷ㜹〱㥡㠵㠵ㄷ愲ㄲ㑢㔷㘲改㘶㘲㜹扡愵戱挸慢换㉣㉣扣捡㤴㔸昶㈷㤶〳㑣㉣扣ㄲ㙣搱扡挸㑢挷㉣㉣扣㠴㤴㔸づ㈲㤶㔲㠹㐵扣っ愵摣晤扢愳捤〵昹收搵㤵扣㠲㝤㜷㤷㌹㠱㘱〰㉣挵〲㑦ㄸ㉡挳㍢㤶挱捤搵昴㘴㉣慦㠲㘴捣㕢ㄹ㌱扣㌲㤲㠶ㅤ㔹㌱昲ㅡ㠶ㄹづ戳慦㥤㔷㉤㌲攰㡤㡣㑣扣㤲㤱㠶搷敤㤹㝡㌳㤶㔷ㄷ搲昴㙡㐶っ慦㌸愴攱㤵慣ㄸ㕥〵㐸搳换ㄹ㌱扣㌲㤰㠶㤷戲㘲㜸戶㉥㑤㉦㘶挴昰っ㕥ㅡ㕥挸㡡昹㔴㤹㥥捦㠸攱㤹戶㡣㜹㉥㌳挶捤㜳㘲㤲搵扥戵攰㠹戰昴摡㥥ㄱ捥㤳㘳㘹搸㤶ㄹ㉥攴㘹㉣ぢㅢ戴ㄷ㤶㈷慥㌲攰搹㡣㑣㍣㤹㤵㠶㘷散㤹㈲㡣攵〹愶㌴㍤㤵ㄱ挳㤳㑥㘹搸㙡㡦㤱㘴昰㐴㔰㥡戶㘴挴昰攴㔰ㅡ㌶摢㘳攴收挳ㄳ㌶㘹㝡㈲㈳㠶㈷㜱搲搰㘸㡦㤱敢攱㠹㤵㌴㙤捣㠸攱挹㤶㌴㍣㤶ㄵ挳ㄳ㈰㘹摡㤰ㄱ挳㤳㈲㘹㜸搴ㅥ㈳戱昱㐴㐵㥡ㅥ捥㠸攱挹㡢㌴慣捦㡡攱〹㠵㌴㍤㤴ㄱ挳㤳っ㘹㔸㤷ㄵ挳て㝥㘹晡㐷㐶っ㑦〶愴攱挱慣ㄸ㝥㐰㑢搳〳ㄹ㌱晣搰㤶㠶晢敤㌱戲㙥晣㈰㤵愶㝢㌳㘲昸攱㉡つ昷搸㘳攴㜶挰て㍣㘹扡㍢㈳㠶ㅦ㠲搲戰挶ㅥ㈳搷挳て㈶㘹㕡㤵ㄱ挳て㉢㘹戸㉢㉢㠶ㅦ㈰搲戴㌲㈳㠶ㅦ㉡搲㜰愷㍤㐶昲挳〳扤㌴摤㤱ㄱ挳㠳扦㌴㉣户挷㐸㙣㍣㈰㑢搳㙤ㄹ㌱㍣㐸㑢挳慤昶ㄸ戹ㅥㅥ㌸愵㘹㔹㐶って愶搲㜰戳㍤㠶敢㜱昳戸㉡㡦扡〹㉣㘰㍥ㅡㄳ挹昱㍤㠳㔶ㅥ昷愴㌵㘹㕡ㄹ㈲慤愷搲捡㥤㔷㕡㘷㤸㔶ㄲ㈱慤㤵㔸㈸㘲挲㍣ㄳ㥥挶ㄸ㜵㜱愳愶愱戲捡攰㠴㉢㙣摣〵敤慢㉢㘶搷㌷搴㥡㜳挲敡㡢攴㉣戰散㔹㘲㥤攸摥㈷捤搵㘵慡㈸㑢捣挵搴㜴戱戶㤶㠹昳换晥慦㜳挵摡愰㙦㝣攳㌱㡥〳昳㑦ㄷ㌳愷㡡㌵捦换㥡㈷㌶ㄳ搵攱昷慡㘲愲㔸搳愲㙣ぢ㔶㕥㝥收㥤㠶〵昵ㄲ㘴㠰㈵搵慢㈰慣挸愶㐵㌳㤲慣挸挸㙡㉣愸㤷㈰㍢㌲戲愶㈹戲㘹搱㡣㈴㘳㌲戲搶ㄶ㔹㐲㘴㝣㘹㙥〵愵㠴慢㌴㔵㙡ㅤ㈵捣㘵慡㔴㜰摢晦〷㈷摢ㄶ挸</t>
  </si>
  <si>
    <t>㜸〱捤㝤〹㤸ㄴ搵搹昵摣㠱㈹愶㥡㘵㕡㕣愳愸㠳㈲㈲㈰昶扥愸㈸㌰散扢㠰戸㈱搰㑢戵っ捣㐲㘶㠶㑤㠹㙢㠲㑢〴㡤ㄲㄵㄵ㌴㈸㘸㄰㤷㠸㜱〵ㄹ㠱愸ㄸ户㠸㑢ㄴ㐵㐴愳㐶㐴㡤㐱㈴㡡晡㥦㜳慢㙥㑤㜵㜷昵㌰㥦㝦收㜹搲搰敦搴㝤户㍡昷㍤㔵搵㔵户㙥㜵ㄷ㠹愲愲愲㥦昰攲㕦扥摡㜲愱换昸㜹昵つ㐶㜵㥦㡡摡慡㉡㈳搵㔰㔹㕢㔳摦愷㝦㕤㕤㘲摥挸捡晡㠶㌶㜰搰愶㔴挲㕥㕦㌲愵扥昲㐲愳㜴捡㙣愳慥ㅥ㑥㈵㐵㐵愵愵㝡㌱散扦戰摥㕥搵搰ㄹ愵户愵㠰㔷㤱慥㔱戴愳㈸愵搰㈹㍣ㄴ敤㈹㍡㔰㜴愴攸㐴㔱㐶攱愵㌸㠰愲㌳挵㠱ㄴ〷㔱ㅣ㑣㜱〸挵愱ㄴ㠷㔱㜰晤晡攱ㄴ㐷㐰㜴攸〲㌱愱㘲挰㤸攴㜴昴㘶㝣㐳㙤㥤搱扢㝣愲㠹戹慦摦摦挷摦㈷ㄴ昶〷晡昸㝡㤷㔷捣慡㙡㤸㔵㘷昴慤㌱㘶㌵搴㈵慡㝡㤷㡦㥤㤵慣慡㑣㡤㌰收㑤愸㥤㘱搴昴㌵㤲扥㘰㌲ㄱ㡡昹㐳攱㜰㈶ㅥ㡦㜵㌸ㄲ㤹㐷㔷っㄸ㕢㘷㘴敡晦㕢㌹㡦㘲捥㌱ㄵ〳晡㡣㌶ㅡ晥㕢㌹㡦㐶㑥愴ㅣ㔸㕢㥤愸慣昹㉦㈵㉤㈱愷挱㠱㐶慡㤲攴ㅢ㐶㕤㘵捤〵㝤〰㍢慢搰㘸㐵晢っ㐶挵㔳㠹晡㠶ち愳慡㙡㥣㤱㈱敦ㅤ慡㔹㌳愳捥愸㐹ㄹ昵㥤慡〷捤㑤ㄹ㔵㤶戹扥戴㝡㘲愲㙥㜴愲摡㘸换㠵戲㙡㤳户㘱㘹愳愶愱戲㘱㕥挷敡㌳敢㡤㜱㠹㥡ぢっ扡㤴㔴て㤹㔵㤹㙥摢㔶戴㙤㕢搴收㜸㌷㌰㤲㥢㍥㠳敢㔲ㄵ搳ㄲ㜵つ戲㐵搶晣㙥扥㡥㉤㐴〲捦㠲挵慤愸㍣㈷㡡㌴㡤慦慣ㅥ㘱搴搵ㄸ㔵㕣〹挹敢㤵攳㈴㙢㘲㤶摥㉥㡥敡つ㠹ㄱ敤慤晤㡤㕤攱㕡昴㜲㡡慥㄰摡㌱㄰摥扥晤捦散收㡦㜶㍦收攴昲㘳扡㜷敢ㅦ〸敡挷搲摥つ㐲戴摤㡡㥤搷ㄹ捦ㅤ愸㜸㑡愲㜸㑡戲㜸㑡慡㜸㑡扡㜸㡡㔱㍣㈵㔳㍣攵㠲攲㈹搳㡡愷㔴ㄶ㑦㤹㕥㍣㘵〶㝣搴慢戴㕤扢㘲敢戵㝢搴扡挱㥦捥摦㍡㘶捤㥥㐷㈷㔴㜵扤昷っ挱晤㔵敥戸摤戱愰ㅦて愱昵㠰昰昶慤ㄸ改挰ㄳ㡤攸㈷搰摥ㄳ㐲㠸㌷㠰㠷㤸㕥摥戶敡㠹㜳㙥㍡㘴攴㔳㍢㜷㥦扦攴昴ㄵ㍢〴昷㝢㤹慣㌷㥤㑦㠴搰晡㐰攴㜶㉥慣㥦㐴扢て㐲㠸㔷慣㘴㡦㑥晥㝥挵㐵㥦昴ㄸ㜱晦晡慦扡㠴户昵㝢㔲昰昸㈱㤳〵攸ㅣ㠴搰㐲㄰㌹挸〲㘱㍤㑣㝢〴㐲㠸捤㔶戲慡挹ぢ搶慣晡㜰㙢挵㤳㉢挴㡣挵㌷㥥㤷ㄲ摣ㅥ㘵戲ㄸ㥤攳㄰摡挹㄰㌹挹愲㔱晤ㄴ摡㑦㠵㄰㘲愳㤵慣㝤昵愶摤攷㤵㙣ㅡ扥㝡晡㘳敦摣搲㜷搴ㄷ㠲挷㌳㤹散㌴㍡㥦づ愱昵㠳挸㑤收搳晢搳㍥〰㐲㠸㜵㔶戲摥戵㘳㘳扦㌹㙤㙥扦戵ㄳ换戶ㅣ扤慥昳ぢ㠲挷㐵㤹㙣㈰㥤〷㐱㘸㠳㈱㜲㤳挵昵㈱戴て㠵㄰攲㌱㉢搹愶ㄷ敦敡昹挷㈷戶㔶㕣扤攵慤㜷㌷扦㜲㘷㑡昰昸㉡㤳つ愷昳〸〸㙤㈴㐴㑥戲㐸㔴ㅦ㐵晢㘸〸㈱晥㘴㈵㝢慡敥㥢㈵搳て扤㝡搰㥡づ㐳㝡て摥㍡㜲㤵攰㘶㈶㤳㡤愵昳ㄹ㄰摡㌸㠸摣㘴㈱㝤㍣敤ㄳ㈰㠴戸捦㑡昶敥昳敦㜷ㄹ㌲㜴摦昰ㅢ挷㙤㝥㝣㑣摦㘵攳〵㡦昷㌲搹㐴㍡㥦〵愱㥤つ㤱㤳㉣攴搷捦愱晤㕣〸㈱㔶㔸挹慥摣晣扢㤹㑦摤㝦昷挰㈵㥥昳㑦㉢㝡晣㡡改㠲㥦ㅢ㌲搹㈴㍡㥦て愱㑤㠶挸㐹ㄶ㠸敡㔳㘸㥦ち㈱挴ㅤ㔶戲敤换昴㙦㙥搸搷㌰昴㤱㌹㝤㈷ㅣ晢挴搶昷〴㍦㝦㘴戲㈴㥤㔳㄰㕡ㅡ㈲㌷㤹㕦㌷㘸捦㐰〸戱挴㑡㜶晥挳摤ㄳ慦晤㈵㕡㜱摦愸㠳ㄳ㝦摥㜳搲㈲挱捦㌱㤹㙣ㅡ㥤㉢㈱戴改㄰㌹挹㠲㐱㥤晢愷㕥〵㈱挴㡤㔶戲㔵㈷ㅣ扥昸摢㜳换㠶慦つ捣㝥昶换挷㉦㤹㈳昸㜹㈸㤳搵搰戹ㄶ㐲㥢〹㤱扢㍢挵昵㕦搲㕥〷㈱挴㐲㉢搹挲㈷㜷慥晦改㉣㙤搰昵㉢㥦㔹扦昴摦挳捥ㄶ晣㕣㤵挹ㅡ攸㍣ぢ㐲㥢つ㜱㐰昶㠱挷敦㡢敡㜳攸㌰ㄷ㐲㠸㉢慤㙣㑦ㅣ㜸敡㥣挵㠳ㄲ㠳ㄶ㙣晤㜶昵愴㌳㉦㌸㐲昰〳㕡㘶扢㤰捥ㄷ㐱㘸昳㈱㜲晡ㄹつ攸扦愲晤㘲〸㈱㉥戳㤲㜵㥣㝤挱ㄹㅦ㝦摢愵㘲搵㡥戶晤戶て㍦㜹愷攰〷扤㑣㜶㈹㥤㉦㠳搰㉥㠷挸㐹ㄶ昴敢㔷搰晥㙢〸㈱㉥戲㤲㍤摥㜷㕥昷㌵㈷搴㡦㝣㜰昹㈵戳敥昹㘰愹㔷昰㠴㐱㈶㕢㐰攷㉢㈱戴慢㈰㜲㡢ㄶ搵慦愶晤ㅡ〸㈱㘶㔹挹慥㌲㍥ㅡ㔳㌱散㡢㠱敢㕥扣昹敡扤㥥㜷㤶〸㥥㜸挸㘴搷搲㜹㈱㠴戶〸㈲㌷㤹㕦扦㡥昶敢㈱㠴愸戵㤲慤散㔹昱晣㥡挹户つ㕢晡搸戳愳㉦ㅡㄲ摡㉡㜸〲㈳㤳摤㐰攷ㅢ㈱戴挵㄰㌹挹搰捤摦搳㝥ㄳ㠴㄰㤵㔶戲愵摦㕥昸摡㈷挵㝤㉡ㄶ晣戸散㝤㑦搷㔱㍢〴㑦㠴㘴戲㕢攸扣〴㐲扢ㄵ㈲㈷㔹㍣慥摦㐶晢敤㄰㐲愴慣㘴㍦戴戹㘶㕢户ㄵ扢㐶摣㝡敦㤱摤㝡㙣〸てㄵ㠷挱㉣㤳㉤愳昳ㅤ㄰摡㥤㄰㌹挹〲㍥晤て戴㉦㠷㄰攲㝣㉢搹㘵㍢㥥㈸㥤㌷晣晤㐱ぢㄷ㡦扥㜹挲攲㘱㝢〵㑦捣㘴戲扢改扣〲㐲㕢〹㤱扢愱昹〳晡㍤㜴戸ㄷ㐲㠸戳慣㙣晤〳㝦ㄵ㍢㌷ㅦ摡晦㑡捦㈷愷㙥昹㙥挰〷攲㜰㤸㘵戶㔵㜴扥て㐲㕢つ㤱戳㙤㐴㝣晡晤戴㍦〰㈱挴ㄹ㔶戲昲攳晦昲搹挷ぢ㐷㡣㕣扦㙥昵捥改扢捡㜶〹㥥㈹捡㘴て搱昹㑦㄰摡挳㄰㌹挹〲㜱㝤つ敤㡦㐰〸㌱挲㑡㜶挲㠰ㅥ攳㡥㐸愷㐷㕦摤搱㌷㘲搴挵扢慥敢昰㈸捣㘷㔸㥦敡〳敢ㄲ㜳㜰㙡搴㜴搶㠵㔳㑤晥摢晦改㈶捥㌶㌳攱㑣㌴攳昷愷挳扥㐴㌰㔱㔲㡥戴㉤㍤挹攱戶摥㈱㜳㔶㘵㑤扡㜶㡥㍣敢改㤰ㄹ㕣㔹搵㘰搴挹㐶㔹〶㝦捣㌳㌷搹敥㤸ㄹ㌴ㄷ愷扣㈹昳〴改愰㑣㠵㔱搷㠰㔳挵㠶㜹㑤㘷㑤㕤〶㈴敡㡤愶㘶㉦㉢昷㠰摡㔹㌵改晡㈳摣㡤攳ㅢㄲつ挶攱戹戶愶㈴㜹㘱攳㜱ㅡ㘹搴㑢㐸㐷攵㠶㑤㑣㔴捤㌲晡捦慤㌴捤㐷收㤸㜱㐲㔹㥢㉣㙣ㅤ㕣㘷晣搲戶收㈱敡㡦慢㥣搹㌲㜷㕥㉦㑤㤳㠹慢扣㘲㕡㙤扤㔱㈳攱昵慡ㅥ㕢㤹㥡㘱搴㡤㌷㜸㡤㘴愴㘵㔷て愶挹㍡慢敤㌵愶〶ㅤ挵㜹㙡晡ㄸ愷㤶㠵㌶㙡搲㐶ㅡ㜸㘷愲捡昳㈶㈴㤲㔵挶㈱㔹㉥收㍡㘱昸㐵㤶㝡㜰㙤㙡㔶㝤㐵㙤㑤㐳㕤㙤㔵戶愵㝦㝡㜶〲㘷搲改㔱戵㘹愳慤㝣ㄵ㤹㔲ㄴ戵㘹㈳㐴㔱て户㔳㔲收慥攷㐹慢㘳㈳攱愹㜱昳捥㡥㡤㠸捥慥㈷扢㜶㘶㉣㌸㌶㌲晡㥦搰㉣ㄲ攷㐶㐸㙦㕦戳摥㉥ㅢ㈹㠳づ换摥昱晡㡣〳㍦攰愱捡攰㕥㔹摣慤㜰捡愶敤㜲㍦㐸ㅤ慣昰㤲㤸摥捤ㄴ㑤愶戵户扤搶㜵㉥㉥㍥搰敡晤愰搹戸㕥ㅡ㥡愸㐹㔷ㄹ㜵捤㕥搰ぢ㈲搲ㅦ愳㜸㥣攲〹㡡㈷㈹㥥㠲㈸ㄹ㠸㘳㕣挱㡡戶㠵㠷㤸㉢收㤵捣愹㑣㌷㑣搳愶ㄹ㤵ㄷ㑣㙢㠰づ〳〱愵愵㉣㜷摥㑢㕦〷㤵晥㌴挵㝡〸㡦愷㐸㙢挴摦㈲捤愳㍦挳㍦ㅢ㈰㍡昴㥦搵㔰㕢㙥㙤ぢㅥ㔱搲ㄵ扡晦晢昵㕡㌱愲㜴㜹㜹㠸敢昷晡㤲㙡㕣㠵搶户㘹攳㔶㡡愱㠹晡㘹つ摣ぢ㥢㌷㌲摦㐶㡡㑤㄰ㅤ晥〲㌱㝡愸㔱㠵㝤昸扦㜵改㕦㜲㉣㜲敥昷ㄲ㤳愷㔷㠷㔴㡦㥦㔷㤳㥡㔶㔷㕢㠳〱㤸㠱㠹㠶㐴晦ㄴ慥愳敢㐵㐲慢ㅥ㔹㕢㌱慢㐱慢ㅥ㕡㠹㍦ㅤ慡挷ㄹ㌳㡤㐴㐳〵㡥搱つㅤ慢㐷攲ㅡ㕣ㅥ㐴㠷愵攷㤶㔴㥢㤷捦〳㡤晡㤴捥敢散㘱㌸㈶捤搵戰㠴㠳㙣㠷㙡ㅥ㘵㡣戹つ㑣摤慥㝡㙣〲搷改つ㍡㥣㝡挹㈸㜳㠹㤱ㅤ愵㑥㐵㝢慣ㄶ㌲㜸攵愲㈳㑢㝢愹㌰㌳ㄵ㜱戳挱挷㈷㍥㜰摢㕡㌲㜷昷㌹戳愱戲慡扥㡦㔵摥㍥〳㙢㌱づ㘳挸㈱㈸㤶㕤搳戰㜵㘹捤㤲㤵扢㤷昳㐲㝤㑣㉡㘹愶〵㤴㈱㜵戵戳㘶ㅥ㠵㕣晦慤㍣捣㔵愴㍦ぢ㜱挷扦㔶㥤㜲摣搲〷㝦戲晥㕥㠲晤㐷扥昴㘳攸搱〸挱㈶晥挸㤷扥ㄹ㝦㍣捤搹㑡扡挱挳昵㌰㕢㘰㑣愱〴晥ㅤ慡搱摢〹㜵㠶ㅣ㈴㈹㤵㡤㜹㌳㡤㡥搵㘷搵搶捤㐸搶搶捥㈰昹㥤㘴慢㝥㥡㘱㌴㜰攴愱扤㌵搰挲㘵㈱㐴㥢㌶㔹挳ち㡥㈱㡡愳㤱㕦㝢〹愲㘳晦慡慡㜲㤵戱㕥㝢ㄹ慡㌶昸㌸搱㕥挱㐲㉣攰ぢ㠴捡㉢挶㡦敢㕦㍥挱愸㥥㔹㠵昳㠰昲昰㜱攵搵戵改昲搰挵愳晢㑦ㅣ摣扦愲摣㐸㔷㌶㥣㜸攲㠹晥㘰晦㌳㠷搰扤捦摣慡晡戹挲㠷敡㜰〴㘱㐳挹扣攵戱〵㐵晤㥥昸挷扡捥敤㌶扦ㄴㄴ㈷㔹㠶扣㜱㡡敥㔸㕦㌹摥晡㙢ㄴ㕢㈸㕥愷㜸㠳攲㑤〸㜱〲㐲㜹㈰挳㜲昶㑢晦㍢摡晡摢ㄴ敦㐰攰㜰㈴ㄹ挲搱攸㕤㌴戵昷㈰㜲㡥㐶攲㜸攸㜸㐴搲户㔱扣て㈱㑥㠰攰扥㕢愴㙦㠷㈸戸〱昴愰㐷㈳〴㤰搸㔰昴て愱昰攸捤搸㐴㑦㜸㜰㈳搰㔹㜴㥤㘵搶㔹㘲㜱〸搲戸㔶敡㘰换㤰㌷〸搳ㅢ㘱攵㡣晦㥣㘲ㄷ挵ㄷㄴ㕦㔲㝣〵㈱捡㄰敡㕥愹慦改昳㙦㡡摤㄰㡥㑡敤愱㡥挷㙤㡦㄰㈷攲㡦㉣捥㕥㉡晦〳㈱㑥㠲㌰㡢昳ㅤ㤶ちㄶ愷て〳ㅡ㈱〰愰愹㌸㍦㐰攱搱㥢戱〹ㅦ㍣摣㡡戳敦挷〲挵昹摥㌲攴つ㉡〵㤰愹ㅣ㙦㕤ㄳ㄰敤㈸㑡㈹㜴ちて㠴昸〶愱敥挵改㐰㥦㡥ㄴ㥤㈰ㅣ挵昱㔲挷捤〸挵〹攲㑦㔷慥愰㌳㤵〷㐲㠸㌰㥡㘶㜱づ㐲戳㘰㜱㐲㡣㙡㠴挸㉡捥愱〸昱攸捤搸㐴〴㈱㙥挵搹㔱愸㌸ㅦ㔸㠶扣㐱戲ㄸ㌲㤵攳慤㤷㘳愵㝡㔷㡡㘳㈸㡥愵攸〶㈱戶ㄶ㉣㑥㜷晡ㅣ㑦搱〳挲㔱㥣㥥搴㔹挵㠹㈳㜹㔷慥愰㌷㤵㈷㐲㠸㔳搰㌴㡢搳〷捤㠲挵㌹㤹㔱㡤㄰㔹挵昱㈳挴愳㌷㘳ㄳ愷㈲挴慤㌸捦ㄷ㉡捥㜳㤶㈱㙦搰敦㌴㘴㉡挷㕢㍦ㄹ㉢搵㑦愱㌸㤵愲㉦挵㘹㄰攲㤹㠲挵改㐷㥦晥ㄴ〳㈰ㅣ挵ㄹ㠸愶㌶〸㈲昷〰㜴㍡搶搴㤵㙢ㅢっ愳㍥〴㐲昴㐷搳慣搴㔰㌴ぢ㔶慡ㅦ愳ㅡ㈱戲㉡㌵〲㈱ㅥ扤ㄹ㥢ㄸ㠰㄰户㑡㍤㔰愸㔲昷㕢㠶扣ㄱ捤㠱挸㔴㡥户㍥〱㉢搵捦愴㤸㐸㜱ㄶ挵搹㄰攲㥥㠲㤵㍡㤷㍥攷㔱㑣㠲㜰㔴㙡㌲㜵搶㘶㌴〸挹扢㜲〵㔳愹㑣㐰〸づ㡥㥡挵㐹愲㔹戰㌸㠳ㄹ搵〸㤱㔵ㅣ〳㈱ㅥ扤ㄹ㥢ㄸ㡡㄰户攲㉣㉥㔴㥣ㅢ㉤㐳摥〸敤㜰㘴㉡挷㕢慦挱㑡昵㕡㡡㤹ㄴ扦愴愸㠳㄰ぢぢㄶ愷㠱㍥戳㈸㘶㐳㌸㡡㌳㤷㍡慢㌸㈳㤰扣㉢㔷㜰㈱㤵ㄷ㐱㠸㔱㘸㥡挵㤹㡦㘶挱攲㡣㘴㔴㈳㐴㔶㜱㉥㐱㠸㐷㙦挶㈶㐶㈳挴慤㌸ㄷㄶ㉡捥㍣换㤰㌷攲㍣ㄶ㤹捡昱搶慦挲㑡昵慢㈹慥愱昸㉤挵戵㄰愲扥㘰㜱ㄶ搱攷㍡㡡敢㈱ㅣ挵戹㠱㍡慢㌸ㅣ挴敥捡ㄵ㉣愶昲昷㄰㘲㍣㥡㘶㜱㙥㐲戳㘰㜱挶㌱慡ㄱ㈲慢㌸㑢㄰攲搱㥢戱㠹〹〸㜱㉢捥搴㐲挵㤹㘲ㄹ昲㐶搰㈷㈲㔳㌹摥晡㜲慣㔴扦㡢攲㙥㡡ㄵㄴ㉢㈱挴㌹〵㡢㜳㉦㝤晥㐸戱ち挲㔱㥣搵搴㔹挵攱愰㝣㔷慥攰〱㉡ㅦ㠴㄰攷愰㘹ㄶ攷㈱㌴ぢㄶ攷㙣㐶㌵㐲㘴ㄵ㘷つ㐲㍣㝡㌳㌶㜱㉥㐲摣㡡㌳戸㔰㜱〶㔹㠶扣㍢〲㤳㤰愹ㅣ㙦㝤㉤㔶慡慦愳㜸㥡㘲㍤㐵㈳㠴㌸扤㘰㜱㌶搰㘷㈳挵㈶〸㐷㜱㥥愵捥㉡捥昹㐸摥㤵㉢㜸㥥捡捤㄰㘲ち㥡㘶㜱㕥㐰戳㘰㜱㈶㌳慡ㄱ㈲慢㌸㉦㈱挴愳㌷㘳ㄳ㔳ㄱ攲㔶㥣摥㠵㡡搳换㌲攴摤攱㐸㈲㔳㌹摥晡㥢㔸愹晥ㄶ挵摦㈹摥愶㜸〷㐲ㅣ㔷戰㌸敦搲攷㍤㡡㙤㄰㡥攲㙣㤷〶㘴挵㐹㑦ち㝦扡㜲〵㍢愸晣㄰㐲ㄸ㘸㥡挵昹〸捤㠲挵㐹㌳慡ㄱ㈲慢㌸㥦㈰挴愳㌷㘳ㄳㄹ㠴戸ㄵ愷㜳愱攲ㅣ㘰ㄹ昲敥搸㑣㐳愶㜲扣昵慦戰㔲晤㕦ㄴ㕦㔳晣㥢㘲㌷㠴㘸㕦戰㌸㝢攸昳㉤挵㕥〸㐷㜱扥愳捥摡㜲㜸ㄳ愸㉢㔷戰㡦捡ㅦ㈰〴㙦晥㤸挵昹ㄱ捤㠲挵㤹捥愸㐶㠸慣攲㠸㘲ㄶ愷ㄹ㥢愸㐲㠸㕢㜱昶晥㔰攰㜴昹㕢换㤰㜷〷慡〶㤹捡昱搶㍤㔸愹摥㥥愲〳㐵㐷㡡㑥㄰攲㕦〸㜵㍦㕤收挴㄰晤〰㡡捥㄰㡥攲ㅣ㐴摤〶㘴挵㤶㔳㡢㍦㕤戹㠲㐳愸㍣ㄴ㐲昰㘶㤶㔹㥣挳搰㉣㔸㥣㤹㡣㙡㠴挸㉡捥ㄱ〸昱攸捤搸㐴ㅤ㐲摣㡡戳慤㔰㜱摥戳っ㜹㜷搴ㅡ㤰愹ㅣ㙦扤ㅢ戱ㅦ㐷搱㥤攲㜸㡡ㅥ㄰攲慤㠲挵改㐹㥦㕥ㄴ扤㈱ㅣ挵改㐳摤〶㘴㐵㜱㘶攱㡦㉣㡥㡦㑡㍦㠴攰扤㌹戳㌸〱㌴ぢㄶ㘷㌶㘱㌵㐲㘴ㄵ㈷㡣㄰㡦摥㡣㑤捣㐵㠸㕢㜱㌶ㄵ㉡捥㐶换㤰㜷㠳昰㐲㘴㉡挷㕢㍦㡤搸㑦愷攸㐷搱㥦㘲〰㠴㔸㔷戰㌸〳改㌳㠸㘲㌰㠴愳㌸㐳愵㐱挸攲㕣㠴攴戲㌸挳愹ㅣ〱㈱㝥〵㤵㔹㥣㤱㘸ㄶ㉣捥㝣挲㙡㠴挸㉡捥ㄸ㠴㜸昴㘶㙣攲㘲㠴戸ㄵ㘷㔵愱攲晣搱㌲攴摤昰扣ㄴ㤹捡昱搶捦㈶昶㜳㈸捥愵㌸㡦㘲ㄲ㠴戸慢㘰㜱㈶搳㘷ち挵㔴〸㐷㜱㤲搴㔹挷㥣换㤰㕣ㄶ㈷㑤愵〱㈱慥㠰捡㉣㑥〶捤㠲挵戹㥣戰ㅡ㈱戲㡡㔳㠹㄰㡦摥㡣㑤晣ㅡ㈱㙥挵戹扥㔰㜱慥戳っ㜹㌷㜰ㄷ㈰㔳㌹摥㝡ㅤ㔶慡搷㔳㌴㔰捣愲㤸つ㈱慥㉥㔸㥣戹昴㤹㐷㜱㈱㠴愳㌸昳愹摢㠰慣搸慤㜸㑦㔸ㄶ攷㘲㉡㉦㠱㄰扣ㄷ㙣ㄶ攷㔲㌴ぢㄶ攷㉡挲㙡㠴挸㉡捥ㄵ〸昱攸捤搸挴㌵〸㜱㉢捥散㐲挵㤹㘵ㄹ昲㙥㐸㕦㡢㑣攵㜸敢搷ㄲ晢㐲㡡㐵ㄴ搷㔱㕣て㈱㙡ぢㄶ攷〶晡摣㐸戱ㄸ挲㔱㥣㥢愸摢㠰慣㈸捥㐲晣㤱挵戹㠵捡㈵㄰攲㍡愸捣攲摣㡡㘶挱攲㉣㈲慣㐶㠸慣攲㉣㐵㠸㐷㙦挶㈶慥㐷㠸㕢㜱㈶ㄵ㉡捥㜹㤶㈱敦〶晢つ挸㔴㡥户扥㤲搸敦愱戸㤷攲㡦ㄴ慢㈰挴㤹〵㡢戳㥡㍥昷㔳㍣〰攱㈸捥㐳搴㙤㐰㔶ㄴ攷㐶晣㤱挵㜹㤸捡㌵㄰㠲昷敡捤攲㍣㠲㘶挱攲㉣㈶慣㐶㠸慣攲㍣㠶㄰㡦摥㡣㑤摣㠴㄰户攲っ㈸㔴㥣晥㤶㈱㙦挲挰㉤挸㔴㡥户摥㐸散捦㔰㙣愰搸㐸戱〹㐲㥣㔲戰㌸捦搲攷㌹㡡攷㈱ㅣ挵㜹㠱扡つ挸㡡攲㉣挱ㅦ㔹㥣ㄷ愹㝣〹㐲摣〶㤵㔹㥣㤷搱㉣㔸㥣㕢㈵㉣㠸慣攲晣つ㈱ㅥ扤ㄹ㥢戸ㅤ㈱㙥挵改㔱愸㌸挷㕢㠶扣〹㄰换㤰愹ㅣ㙦晤ㅤ㘲摦㑡昱㉥挵㝢ㄴ摢㈰㐴搷㠲挵搹㑥㥦て㈸㜶㐰㌸㡡昳ㄱ㜵ㅢ㤰ㄵ挵戹〳㝦㘴㜱㍥愶昲ㄳ〸昱〷愸捣攲㝣㡡㘶挱攲摣〹户晣㉤㘷㈷㐲㍣㝡㌳㌶戱ㅣ㜱㙥挵改㔴愸㌸ㅤ㉤㐳摥㠴㡥扢㤱愹ㅣ㙦㝤㌷㔶慡㝦㐳戱㠷攲㕢㡡扤㄰愲㕤挱攲㝣㐷㥦敦㈹昶㐱㌸㡡昳㈳㜵ㅢ㤰ㄵ挵㔹㠱㍦戲㌸㥣㥣愱ぢ〸挱愹㈱㘶㜱㡡搱㉣㔸㥣㤵㠴搵〸㤱戵攵㜰搶慡㐷㙦挶㈶敥㐵㠸㕢㜱㜶敦㉢㜰㠶晣㙦换㤰㌷㍦㘵ㄵ㌲㤵攳慤㜷挲㑡昵㌲ち㉦挵〱ㄴ㥤㈱挴㉥㠴扡㥦㈱ㅦ㐴㥦㠳㈹づ㠱㜰ㄴ攷㌰敡慣㡦㜲㑥㜹㤱挵㌹㥣捡㈳㈰挴晤㔰ㅤ㡢㜷㤱摥〵捤㠲挵㔹㑤㡦㐶㠸慣攲ㅣ㡤㄰㡦摥㡣㑤㍣㠰㄰户攲扣㔳愸㌸㙦㕢㠶扣昹㌶て㈱㔳㌹摥㝡て慣㔴㍦㠱愲㈷㐵㉦㡡摥㄰㘲㑢挱攲昴愱捦㐹ㄴ㍥〸㐷㜱〲搴㔹挵攱ㄴㅥ㔹㥣㄰㤵㘱〸戱〶慡㘳昱挶㤴㔰㌴ぢㄶ攷㘱㝡㌴㐲㘴ㄵ㈷㡥㄰㡦摥㡣㑤㍣㠲㄰户攲㌴ㄶ㉡捥㝡换㤰㍢㝦愸㠴㜷攳㜳㙦㠹捡㘹挴昶捣ち挷㥣㡤㑥㜰搶㌲㘷搶㔴㌶搴户捦昰搶昹攰捡㠶㠱昵つㅤ㌲㄰㔸㤴㈱㠷换㐹〸㡥愰㕥㤹㠹㤵挶㥣〹戸㈹㜸㜴扥〹㌳慣㉢㘶搵㌷搴捡扢扤㐷攵摢〷搶㡥慥㙤ㄸ㔸㔹㡦摢㝡昳扡戹㤸㑤换㔹搳㡣ㅡ捣㡡愹挳攴㤸晤㌹搵捥㥣㘹愴㕤㌰㡥慦㥤㔵㤷㌲㠶つ晣㕦㤸㔷㈳捣摢搶㐵戸㌳㉡〴㠶㐵ち捦㈳㜱搴晤㐸㜰㔳㡣扢愹攲㘷㑥换㘸㐴㝣㤱㕥㠱㑤慦〸㐹戰愹敢〳戹ㄹ㝡㡡㑡ㅥ㠷慡昹㑤挴㌱㔳愷㍤㥣㍤ㄹ搰㙡敡㍡㕡㔳挱㠶搵搴㔷愶つ㡦搵ㅡ㔵㔹搳挹㕡ㅣ㌳慢㈱换㤲㤸㝢愰㘵挱㉤摦㌱㌵愰㍥㤵愸㑢晦㉦戰㠲㡥攱㘵㔲㈲㌴晣晢㜹㠵㌶搳ㄴㄵ㝤愵㥥㠴昹敡ㄲ散散㠳慣㕡㍦〱戳敢ㅤ㜸㝢㜷挴㠲㘳愲㔳ㄹ晣㍢戲摣戶扡㤴慤㔱㐶愲㐶戲㌰扥㈱㍤搰㤸摤㐹㝡ㄸ搸挰昱㘰㐳㤵㜱㘰㜶㔳㑥挴搰㌳晤㤳昵戵㔵戳ㅡ㡣㑥昶㤲摣搱昵捣㌸〳昷搴㌱㘹慤㠳扤㌴㌶搵㠰㘹㝤㜶㍥㑥㐸晢摦㘱〸ㄵ㘹㙢戱㈴㈴㑦㕡㌳ㅢ㙦㜶㈷戸て晤㑣㔶㐵㔱㔱㐶扥扥㌸㕤摣扡㠴慦㍦㥥㕥愴ㄶ㍣㝣ㄵ㤵㍣㠹昴㉤㥦㤵挶㍤改㐰㌵㔹搲㍣挲挹㠳㔷〷愵攳㠴戰㡥ㄹ㜹摣挳慣㑦㍥搳㔲挶㕤愷ちてㅣ㌵㔴愶ㄲ㔵㔵昳㍡㘵㠶搵愴慡㘶愵㡤㤱㠹愴㔱愵㡥搹戵㜵搵晦㈳㝣戵㐵搵慣㍤慡㤹扡㔸搳戳㠶攱㐱㌰㌵〷敥㘷ㅦ收㠴㍥ㄸ㝢㥡㌶〴愲愴㙦晦㠹〱摥㈸昷攸㐳慤扤㡦搳搰晥捦ㄳ〱㍤〸敡摣㌴㡤㔵㍥㌰㠴〳㕣㥥㡡㐷㌶捥㡢戲攷ㄲ捡晤捥攱㌶戲㜶㘴㉤收㜹愶ㅤ慡愱㤵愶敡㝦㘶敦㤲㍢㤶愶㘹㍦昷㘳〶戵挲敢㉢㙢摡〵づ㝤㘶晢㜴㝥搲㜰ㄷ㔹㠷㜶敥㡣㉡挷改㠸㍣〳㤰㠷㐲㉦ㅣ换㜸ㅣ㌳㑦ㅦ㈶㔴㌶㔴ㄹ敤㌳搲㉥㤷㑢戹㘳戰㥡敤㌲ㄳ愶㘱㜶搲挰㡥㤹㈱㜵㤵改慡捡ㅡ㠳愷㈲㤸㜷捣㠷戴㐶ㅡㄷ㘰㠶散搸摡晡㑡㍥㝢搸㌱㌳愱㉥㔱㔳㍦㤳㤳搰㔲昳㍡㘷戵㈴㔹㈵㤹〱㤵㌵搸㡤捣㜵㜲戹㉣㌳㝥㕡敤ㅣ㍣扥㌸慢扡㘶㐸㘲㘶晤晦〴㔱摣慢捣㤷㜹ㅣ㉣ㄶ挵挵愲戴戸昴攷㝥㘲㘹挳戰㝦ㅣ㔵㔱㕢摦㔰慥ㅥ戰㉢㥦㜳㔲㙤昹戸捡晡ㄹ攵摣㉤㑦㉥昷攳慣愱愸㈸㠰戵ㄶ㔳㔸㙣㍥㡤愵㘶㜶㙣ㄲ㘹㑤㘱收㡥㑤搸㔹㑦敢戹㑥愱戴ㅦて攵挱㕡ㅦづ㘴ㅤ㐶㐰っㅦ㜲收戰愶㠹敦晦㕦捦㕡㤶慣㐷收㘶㍥㌳攴㤶㘳捦戲㍤ㄸ捥㥤捣慤㠹㍡㙥㕣扡摣㈸搸捡摤㐲㍤ㄹ改挳㡤ㄵㅦ戳㜴攷攲㘰㑣㠱散㠰㘳〳㡥搱愸㉦づ捥㥤捣〶捦晢慡ㄳ㔵昵㤶慤愲戶扡㍡挱慤㡦㕢敥㜸ㅣ攰㡤㔲㜹ㄲ㡥㠳㡤㥥㠱㤰㥢愸愵㑡捣㠵㉡㌱㔷慡昰戹捤㤹昳㜲㤹戹㙡㉦㐸搴㔵㌶㑣慢慥㑣㤵戲挱搹敤晦ㄳ㥢㉤㌶愱戶㈸愶㝡挹㙤ㄷ㘷戴戹搳㔴捤㤹㤵愰扢て㉥㌲㔸㍡搲㡦㡤扢㔸㝥搸㡢㥦㌹㉤ㄹ㥢慦扣㄰搳㐷㈱㕢〹㠶〵攴㔹戰挴攲㌸㔳挳㈶㉡㡦㔳攲ㄹ㍡攰慤㡦㠶㍢ㄷ昸㙥扢ㄱ愲搹挹愲敤攰攰ㄹ㔹㥢㐸て挶〳㄰戵㜵敤慣㘷㠳㑢㐱㉤㡦㍡㜵㕥㑥㄰慥挰搴㝡㑣搹㥦㡤ㄳ收扡㔲㉡挶㘳敡㙤㕢㑥㉤搶㑣づ昹㤹㔹㔴㔲搲扥搴㙤㕤挳㔴慥㙥搶㐴㑡攷戳搵挳昲昲㝦㝥㐶㡣户㐵搰㉤㜴愴㐸ㅦ〳愹㡦㘵㥦㌶愱挹晥攴㌸㥣㐱㠷㜱㄰㈵捦挲㤸扢㤷ㄴ㥣㑣㡢㠰愲㤲㙡㑥昲㉤慤㘶㜷㜰㕥愲㘱敡㉦㈶ぢ愳㈴㕡晢搲扦挰慥㡦㠷搷㑢㉦扥搸ㄷ换㐵㠲戳㔵㌷攲捤昵ㅦ㡡扦ㅥて㡢愷㑦㠰㡦㝥㈶㠴㜸つ㑤㕥扤㑡摡㌰慦〷㍡㜵攵㜲㌶㤶昱㘹㈲戶㐰挵慢ㄷ昵㜲㌰㠹㑦晤㜳㉣慦搷㘱收㜹㌷㌹摣摦㌹㥣㜸〳㝥㍣㡦ㄳ晡戹〸搷捥㠳㈸改㕢㌱㉡ㅡ㠱捥愳㑦戲㔲扥㠹ㄶ㑦㈶捣㔷挱㡦㍢昱㜷㌸昰㈳慦〸㈷ㄱ㔸㝢捥昱㔳扣つぢ㡦愱晡昹挸㉢摥挱ㄲて㑤昰㌴㌷搵㈹㕣昹㝥㌷搵㜷㘵〴㤲㑣㠵扢㝡㠹㙤㔸摡㠸㜷づ扤〹昸攸㐹〸昱扥扢㐳㡡づ㘹㍡㙣㠷〳户〱摤㐰换愶敤㐳㐷㤸㠳戶っ挳㉥㘰搸攷㜰㜰搰㔶〹㥤愲㙤㍡㤶㐹摢㉥愸ち搳㌶挳昲晡〲㕥㉤愶敤㑢㌸㥢戴㔵㈱㕣慢㠶㤰攷㝦㘱攸㍤㝡㡤㤵昲㉢戴㕡㐲摢搷昰㤳戴改晣㘴〴晥㝣敡晥つ戵愴㙥㈶㍣挴㙥戴戲愸慢㈳㠰晤㔲户挷捣㡤晢㑦㑣㘲㌵挴㕥㉣㙣挴㍢㠷㍡㝥㕦㠲㍥㡢㡥晦㜱㜷㤸㑤㠷㌹㜴昸づづ㤲扡戹㘸搹搴晤攰〸㜳㔰㌷㡦㘱ㄷ㌲㑣〳〴〷㜵昳愱㔳搴晤ち换愴慥ㅤ㕣ち㔳㜷戱攵㔵ち慦ㄶ㔳挷㐹戱㈶㜵㤷㈰㕣扢ㄴ㠲㝢㕣挰愴敥㌲㉢愵〷㕥㉤愱㡥搳㘷㥢搹攳㌸戱㔶搲㜶㌹昲㡡㑥㘸㘵搱昶㙢慥㝣扦戴㜹ㄱ㠶晦㌹㝢ㅣ愷攲㙥㠴㌶㠷戶〵㐸愹㕦挹戵㜱㥡慥㡢挳㔵㜴戸㥡づ〷挱㐱搲㜶つ㕡㌶㙤㥣㥢慢挲ㅣ戴晤㤶㘱搷㌲慣ㅣづづ摡ㄶ㐱愷㘸扢づ换愴慤㉢㕣ち搳㜶扤攵㜵っ扣㕡㑣摢戱㜰㌶㘹晢ㅤ挲戵ㅢ㈰攴㠱㌲㡡戵㝢昴ㅢ慤㤴摤攰搵ㄲ摡扡挳慦ㄹ摡㡥㠷㔹搲戶ㄸ㜹㐵て戴戲㘸扢㠹㉢摦㉦㙤㍤ㄱ㠶晦㌹戴㜱㤲昰㐶㘸㜳㘸扢〵㈹昵㈵㕣ㅢ㈷㄰扢㌸摣㑡㠷摢攸搰〷づ㤲戶摢搱戲㘹攳慣㘱ㄵ收愰㙤㈹挳㤶㌱散㘴㌸㌸㘸扢ㄳ㍡㐵摢ㅦ戰㑣摡㌸晦户㌰㙤换㉤慦㔳攱搵㘲摡㌸㤱搸愴敤㉥㠴㙢㜷㐳㐸摡㝣㤲戶ㄵ㔶捡搳攰搵ㄲ摡晡挱慦ㄹ摡晡挳㉣㘹㕢㠹扣㘲〰㕡㔹戴摤换㤵敦㤷戶㠱〸挳㝦摣㘰㠵扢㝡㠹挱㔰㙤㐴㉢㠷戶㔵昰搱敦㠳㄰㐳摣ㅤ㔶搳攱㝥㍡っ㠵㠳愴敤〱戴㙣摡㌸㠵㜹愳㤵搷㐱摢㠳っ㝢㠸㘱ㄳ攰攰愰敤㘱攸ㄴ㙤㙢戰㑣摡㌸ㄹ戹㌰㙤㡦㔸㕥ㄳ攱搵㘲摡㌸慢搹愴敤捦〸搷ㅥ㠵㤰戴挵戱㜶㡦晥㤸㤵㤲搳㥥㕢㐲摢戹昰㙢㠶㌶捥㡣㤶戴㍤㡥扣㘲ㄲ㕡㔹戴㍤挹㤵敦㤷戶挹〸挳晦㥣扤㙤㉡㔴ㅢ慤昲㌲㠵㜵㕡扡ㄶ㈹昵㜵㕣㕢挲摤攱㘹㍡慣愷㐳ㄲづ㤲戶㐶戴㙣摡㌸戹㝡愳㤵搷㐱摢㌳っ摢挰戰ㅡ㌸㌸㘸摢〴㥤愲敤㉦㔸㈶㙤㥣㈶㕤㤸戶㘷㉤慦㤹昰㙡㌱㙤㥣㙦㙤搲昶ㅣ挲戵攷㈱㐸㕢㈴捡慥敢㥢慤㤴㥣㤰摤ㄲ摡㜸〵摤っ㙤㥣戳㉤㘹㝢〱㜹挵㙣戴戲㘸㝢㤱㉢摦㉦㙤㥣攴㡤晦㌹戴㕤〸搵㐶慢扣づ摡㕥㐶㑡晤ㄵ慥㡤㌳挰㕤ㅣ㕥愵挳摦攸㌰ㅦづ㤲戶搷搰戲㘹攳戴㙦ㄵ收愰㙤ぢ挳㕥㘷搸㔵㜰㜰搰昶㈶㜴㡡戶户戰㑣摡㌸㠱扢㌰㙤㝦户扣慥㠱㔷㡢㘹攳㑣㜰㤳戶户ㄱ慥扤〳㈱㘹ぢ㐹摡戶㕡㈹㌹㔵扣㈵戴㉤㠲㕦㌳戴㜱㌶戹愴敤㕤攴ㄵ搷愳㤵㐵摢㌶慥㝣扦戴㜱晡㌹晥攷搰戶ㄸ慡㡤昹戴㙤㐷㑡晤〳慥㡤㜳搳㕤ㅣ㜶搰攱㐳㍡摣〴〷㐹摢㐷㘸搹戴㜱㐲扡ち㜳搰昶て㠶㝤捣戰攵㜰㜰搰昶㈹㜴㡡戶㝦㘲㤹戴㜱㙡㜹㘱摡㍥戳扣敥㠶㔷㡢㘹攳ㅣ㜵㤳戶㥤〸搷㍥㠷㈰㙤㈱っ㕥㘱㙦摢㘵愵㕣〹慦㤶搰㜶㉦晣㥡愱㡤昳摣㈵㙤㕦㈰慦㔸㠵㔶ㄶ㙤㕦㜱攵晢愵㡤ㄳ攳昱㍦㠷戶〷愰摡㤸㑦摢搷㐸愹晦㥢㙢攳慣㜹ㄷ㠷摤㜴昸㠶づて挱㐱搲戶〷㉤㥢㌶㑥㤵㔷㘱づ摡扥㘵搸㕥㠶慤㠵㠳㠳戶敦愰㔳戴㝤㡦㘵搲挶㐹敦㠵㘹摢㘷㜹㍤つ慦ㄶ搳挶搹昳㈶㙤㍦㈰㕣晢ㄱ㠲戴〵愲㤲戶㥦慣㤴㡤昰㙡〹㙤ㅢ攰搷っ㙤㥣㠱㉦㘹攳㍤㔸戱〹慤㉣摡㡡愱摤㍦㙤捦㈲っ晦㜳㘸㝢ㅥ慡㡤昹戴攱晢挴昰㕤㜵㕣ㅢ攷昳扢㌸㘸㜴㘸㐷㠷ㄷ攰㈰㘹㉢㐵换愶㡤㤳昸㔵㤸㠳㌶㝥〹㥥敥㘱搸㥢㜰㜰搰搶〱㍡㐵㕢㐷㉣㤳㌶㑥挷㉦㑣㕢㈷换㡢昳昵㕢㑣ㅢ攷昵㥢戴㤵㈱㕣昳㐲㐸摡捣扤敤〰㉢攵㍢昰㙡〹㙤敦挲慦ㄹ摡昸㙣㠰愴慤㌳昲㡡㙤㘸㘵搱㜶㄰㔷扥摦扤㙤㍢挲昰㍦㠷戶ㅤ㔰愹昲㍡㍥摢づ㐱㑡晤㔰慥㡤㑦ㅡ戸㌸ㅣ㐶㠷㕦搰攱㈳㌸㐸摡づ㐷换愶敤ㄳ㐷㤸㠳戶㈳ㄸ搶㠵㘱㕦挱挱㐱摢㔱搰㈹摡㡥挶㌲㘹攳㠳〲㠵㘹㉢户扣昸㈴㐱㡢㘹攳ㄳ〷㈶㙤㕤ㄱ慥ㅤ〳㐱摡㠲收㥤戲㘳慤㤴扢攱搵ㄲ摡昶挰慦ㄹ摡昸搴㠲愴慤ㅢ昲ち㍥扥㤰㐵㕢㜷慥㝣扦戴㝤㠷㌰晣捦愱㙤ㅦ㔴㉥慣昴㐰㑡晤〴慥㡤捦㐰戸㌸昴愴㐳㉦㍡晣〸〷㐹㕢㙦戴㙣摡昸攰㠳ち㜳搰㜶㈲挳晡㌰捣〳〷〷㙤㍥攸ㄴ㙤㝥㉣㤳㌶㍥挲㔰㤸戶㠰攵搵〱㕥㉤愶慤㈳㥣㑤摡㠲〸搷㐲㄰㜲㠰㉢㡥戵㝢昴戰㤵戲ㄳ扣㕡㐲ㅢ㥦㥡㤰戴ㄵㅥ攰攲㌳ㄵ㤲扡㈸㜲㡢捥㘸㘵㔱ㄷ㈷〰㈸㘵搷昱㈷㙢挲〳ち㙢づ愳ㅦ〴て㌴昰㌸㉢㤳㘰㐱扥昹ㄴ㠶㉡㌱㔳㔸ㄷ〱愷挰㐷㍦㤵㡥㝣㐲挳挵愱㉦ㅤ㑥愳挳㘱㜰㤰搴㥤㡥㤶㑤ㅤㅦ换㔰㘱づ敡晡㌱慣㍦挳扡挱挱㐱㕤〵㜴㡡扡㠱㔸㈶㜵挷挱愵㌰㜵㠳㉣慦敥昰㙡㌱㜵㝣㔲挳愴㙥㌰挲戵㈱ㄴ戸㌷㡤㉦㐱㘳摦昵愱㔶捥ㅥ㜰㙢〹㜷㍤攱户ㅦ敥昸挸㠷攴㙥㌸㜲㡢摥㘸㘵㜱㌷ㄲ摡晤㜳搷〷㘱㤲扢㔱㑣愲戸攳㐳㈲慡挶㔸㔴摣㡤㠶㡦㍥㠶㡥㝣㠰挴挵㘱㉣ㅤ捥愰㐳〰づ㤲扢㜱㘸搹摣昱愹ㄱㄵ收攰㙥㍣挳㈶㌰散㌴㌸㌸戸㥢〸㥤攲敥㉣㉣㤳㍢摥攸㈸捣摤搹㤶㔷㍦㜸戵㤸㍢㍥㐸㘲㜲㜷づ挲戵㜳㈱㜸戴㡣㜲㈴摦愳㥦㘷愵攴㤳㈶㉤愱㙥㈰晣㥡㌹㕡づ㠲㔹搲㌶〹㜹挵㘰戴戲㘸㥢捣㤵㐳搹晣㉥㌷ㄴㅥ㤲戶慣攱㤲攱搰慡昲㌲㠵戵换㑤㐵㑡㍤挱戵昱搱ㄶㄷ㠷㈴ㅤ㔲㜴ㄸ〹〷㐹㕢ㅡ㉤㥢戶㌱㡥㌰〷㙤〶挳㌲っ㍢ㅢづづ摡愶㐱愷㘸慢挴㌲㘹攳㤳㈹㠵㘹㥢㙥㜹㥤ぢ慦ㄶ搳挶㐷㕣㑣摡㘶㈰㕣慢㠲㤰ㅦ㜲收戹㐹戵㤵㤲捦挰戴㠴戶挹昰㙢㠶㌶㍥㈶㈳㘹慢㐱㕥㌱ㄵ慤㉣摡㘶㜲攵㔰㌶㑦ㅢ㥦慢㤱戴㑤㙤〳㔷敢㈵搲搰扡戰㔲㠷㤴㝡㍤搷㘶戸㍢㌴搰㘱ㄶㅤ㌲㜰㤰戴捤㐶换愶㡤㑦摡愸扣づ摡收㌰㙣㉥挳敡攰攰愰敤㐲攸ㄴ㙤ㄷ㘱㤹戴昱㤹㤹挲戴捤户扣ㅡ攰搵㘲摡昸昰㡤㐹摢慦㄰慥㕤っ㈱㍦攴愲㔸扢㐷扦挴㑡挹愷㜳㕡㐲摢㕣昸敤攷㐰挹㠷㜸㈴㜵㤷㈱户戸㄰慤㉣敡慥㈰〰㈸㥢愷㡥㑦晤㐸敡㝥捤㈴昴收晢㘲㘸㔵㠹㤹挲摡攳㝥〳ㅦ㝤〱ㅤ昹㐸㤰㡢挳㤵㜴戸㡡づ㤷挲㐱㔲㜷㌵㕡㌶㜵㝣づ㐸㠵㌹愸扢㠶㘱扦㘵搸戵㜰㜰㔰户㄰㍡㐵摤㈲㉣㤳㍡㍥搱㔳㤸扡敢㉣慦㐵昰㙡㌱㜵搷挱搹愴敥㝡㠴㙢扦㠳㤰搴㤹㝢摣つ㔶㑡㍥㍢搴ㄲ敡㙥㠰摦㝥愸攳㈳㐶㤲扡挵挸㉤ㄶ愳㤵㐵摤㑤〴〰㘵昳搴昱㤹㈴㐹摤捤㑣㐲㙦扥㙦㠱㔶㤵㤸㈹㉣敡㙥㠱㡦扥㠴㡥㝣㘰挹挵攱㔶㍡摣㐶㠷㕢攱㈰愹扢ㅤ㉤㥢㍡㍥愵愴挲ㅣ搴㉤㘵搸㌲㠶慤㠴㠳㠳扡㍢愱㔳搴晤〱换愴㡥捦ㅢㄵ愶㙥戹攵㜵㉦扣㕡㑣ㅤㅦ㕣㌲愹扢ぢ攱摡摤㄰愴㉥㘸㔲户挲㑡戹ち㕥㉤愱㙥㌵晣昶㐳ㅤㅦ㠰㤲搴摤㠳摣攲〱戴戲愸晢㈳〱㐰搹㍣㜵㝣㘲㑡㔲户㡡㐹攸捤昷挳搰慡ㄲ㌳㠵㐵摤㝤昰搱㔷搳㤱㡦㔳戹㌸摣㑦㠷〷攸昰〸ㅣ㈴㜵て愲㘵㔳挷㘷愸㔴㤸㠳扡㠷ㄸ昶㈷㠶㌵挲挱㐱摤ㅡ攸ㄴ㜵㡦㘰㤹搴昱㘹愸挲搴晤搹昲攲攳㔲㉤愶㡥㡦㔵㤹搴㍤㡡㜰敤㌱〸㔲ㄷ㡦戳敢晡攳㔶捡㑤昰㙡〹㜵捦挲㙦㍦搴昱昱㉣㐹摤㤳挸㉤㥥㐷㉢㡢扡戵〴〰㘵昳搴扤〰て㐹摤㍡㈶愱㌷摦㉦㐲慢㑡捣ㄴㄶ㜵㑦挳㐷㕦㑦㐷㍥散攵攲搰㐸㠷㘷攸昰㌲ㅣ㈴㜵ㅢ搰戲愹攳ㄳ㕥㉡捣㐱摤㐶㠶㙤㘲搸㍢㜰㜰㔰昷㉣㜴㡡扡攷戰㑣敡昸慣㔶㘱敡㥥户扣昸㌰㔷㡢愹攳㐳㕦㈶㜵㥢ㄱ慥扤〰㈱て㤸收㡤戸扦㕡㈹户挱慢㈵搴㙤㠷摦㝥愸攳挳㘳㤲扡㤷㤰㕢昰㈹戲㉣敡㕥㈱〰㈸㥢愷敥㈳㜸㐸敡㕥㘵ㄲ㝡昳晤㌱戴慡挴㑣㘱㔱昷㌷昸攸慦搱㤱㡦愲戹㌸㙣愱挳敢㜴昸ㄴづ㤲扡㌷搰戲愹攳昳㘷㉡捣㐱摤㥢っ㝢㡢㘱扢攱攰愰敥㙤攸ㄴ㜵敦㘰㤹搴昱㐹戲挲搴㙤戵扣昸愸㔹㡢愹攳㈳㘹㈶㜵敦㈲㕣㝢㡦㠲ㄷ㜴㝥昳慡㘰㥢㤵㜳㉦摣㕡挲摤㜷昰摢て㜷㝣戶㑤㜲户ㅤ戹〵ㅦ㜲换攲㙥〷戴晢攷敥㐷㠴㐹敥㍥㘴ㄲ挵㕤㔱㥢愶ㅡ挳㐱㜱昷ㄱ㝣昴㝦搰㔱戸㍢㝣㑣㠷㑦攸㔰っ〷挹摤愷㘸搹摣㤵㌸挲ㅣ摣晤㤳㘱㥦㌱慣ㄳㅣㅣ摣㝤づ㥤攲㙥ㄷ㤶挹㕤ㄹ㕣ち㜳昷㠵攵攵㠵㔷㡢戹攳ㄳ㜳㈶㜷㕦㈲㕣晢ち㠲㔷〶ㄱ㜳户晢㤷㤵戲㌳扣㕡㐲摤㐱昰㤳搴戹捦敦㍡ㄸ㘶㐹摢搷挸㉢づ㐱㉢㡢戶摤㕣㌹㙢捥〷㜲攴换㌱㠱つㅡ㜳っ攵㌰㠴㐹摡戲慥っづ㠷㜶㈳㘲㜲敥㝦敦㐱㑡晤㕢慥敤〸㜷㠷扤㜴昸てㅤ扡挰㐱搲昶ㅤ㕡㌶㙤㐷㍢挲ㅣ戴㝤捦戰㝤っ敢〱〷〷㙤㍦㐲愷㘸晢〹换愴敤〴戸ㄴ愶慤愸挴昴敡〹慦ㄶ搳搶ぢ捥㈶㙤晣昹〷慤ㄸ㠲戴〵攲㔸扢㐷㙦㘳愵散つ慦㤶搰搶〷㝥捤搰㜶ㄲ捣㤲戶戶挸㉢㝣㘸㘵搱愶㜱攵晢愵㉤㠰戰㝣摡㐲搰㙥捣愷慤ㄴ㈹㜵晥愰㡤〸扢㍢㜸攸搰㥥づㄱ㌸㐸摡㍡愰㘵搳ㄶ㜷㠴㌹㘸敢挸戰㑥㄰㈵ㄵ㜰㘸搹㠳㘶㥣㠶改㜵㍣晤挷ㄹ捦昵〷㘴捥㤸㤵愸挲㡦愶㡣挱㈳㈸つ㔴晤㉦㑣㈹㙥㙢㍥〸㤴晢㐵收搹扦愵㠲㘷攸㘴ㄷ捥㍢晦㈸昴㉣户〶搹扥㔶摦敡改昹昳ㅥㄴ昲㤴晣敢扢㥦㝥㙡搹㕡戸㜹戴㥢捤慦挹㥤㌲愵愸㤴敢〴㐹搸㥣扤㈰㡣晢搱㐰㌴昳㌷愱㐱㙥摡㤲挱搰㌶㌳ㄵ㍦攷ㄹㅢ㘶㍤戰㘹攲㌰愷㠸昷慡攲㑦㌲戹捤㌸捥㥥㤱摦ㄹ攰挴㔰㌷っ㘲戸搲ㅥ㐴ㅦ慣㠲敦ㄲ㑥戸摥敦ㅣ㙦ㅥ㐵昰昴㈰㘶㝢㡦㙦㤸㔷㠵ㄹ昶㕣攴㔷换㥡㑢㥣㔲㙣㥡〱扡戶慥㉤㥥愰捣晤㈶㘹㍢昶㔱愴㙡㝦㔰捥㌷㜷换㌰㕡㐶〰㑤挹㑥㔰㔴㌰㥥愰㥢㔸㘱っ㕦摡㈱攸搳㐱愳㉡㔳㜵戵昵戵㤹㠶昲昱㜸㤰愴㥣摦攵㥥挱㈳㐵晤㑢晥㠹㡣慥敢㘴挷摡搶昰昷㠵㈴搱㥥ㄹ㌵戵㜳㙡㈴㥡㤲㝡㝥愵㍤搷愶户㙢挷搵昰㐱㈳昹㍡ㄶ㠵昳㡥〶㔰〶敢㠷㘱挵ㅤ摢㜸挷愰捤㠳㡥昶ぢ戴㡦慢ㄸ㔰㌱㙥㑡㈶㥥㠸昹挲搱戰㉦改て㠷㔲㐹㝦㉣㄰㑢㐷搲愹㜴㍣㤰昰㠷攲㠹㠰㜶戸敤ㅡ昶昹㝣㔱晣㌶㔵㌴㥡㌱昰慢㔳改㐴㍡㥥っ㐷㠲㍥㝦㌸ㅡ㠹晢ㄲ㔱敦㔸㉢扤㝥〴㘲昴㉥㄰㕥㑥〵攷ㅡ昵㈳愹㍡㡡慡㜱㑡㘵㝢㤵㡤㠷㡡挸㌵扣晦慢㉦敦〴㘴挶晦㈲慤㉢㔶摤愱㘲挰ㄴ㌹㍢㝥ㅣ扥㙡㕥㍢〶㥡〳愰挹晥㐱㈷敤㔸愸㍢㐱敤㜸昰挴㝢愶㤵㐵敦㡡㔴晡㜱昰搰换戱㈴捥㠲㥥〷㐵㡦㜸ㅢ摣㜱愷攵扡昰昵戹昰攰捥㜷㌶㥡㤲㥣慣㡦摤㜳㕣戵攷㐲换ㅤ㔰敦㠹㘰㌱挹搵攷㝣愵敤㑤ㅦ㈲攰㝢ち戴摣㐱挴ㄶ〰攰㘶〹㈵㝥捥〸㉥〵户㌵昱㌷戸㜱㝢换摥㕥ㄴ㑣㙦〲改攴㠶攲㐳ㄶ㜳㐳㐹昸㌲㘰㌹ㅡ㡡晡㠳昱㤰㤱㡥㈵㘲戱㐴㌸ㄱ〸ㄹ搸㜶ㄲ㐶㈶慡昹㙤搷㘰㈶ㄱ昳愷ㄲ㤹㜴㌰攸ぢ㠵愳挹戸㘱挴㝤戱㔸摡〸愴愳㈹㈳㄰昷㈶慤昴㝡〰㌱㝡㄰挲㥢㔲慡㄰㔵㘱慡搲㑡㘵㝢㤵ㄹ㔰戵捥㠶㤲㐱㘶晣挷㤷挹㜲晤摣㌶㜴㙥〹㕥捥㐷㤷晡攳㘹㍣㤵晡敥㔸ㄲ㤵㔰㥡搴㙦㐰ㄹ㥢愸㍦ㅤㅥ愴㝥㍡散昹搴捦㜰搵㔶㐱㉢愹敦㡦㘰㔱攳敡㌳㔳㘹㉢攸㐳〴㝣搷㐱㉢愹㕦ぢ㄰㡡㝡㥤㠷ㄹㅥ㔱挴㤳慥㉣搷㈳㐸ㅥㄵ㠶挰て㐷㠵〶戴㈵搹㐳搱㌶挹づ㠷つ㈳ㄸ㡡㘶㤲㠹戰ㄱち㘴搲戱㠸㉦ㄴ㡦晢㤲戱㔰㉣ㅥ㑦㈶㤳摡㌰摢搵ㄷ捥愴㔲搱㔴㉣㤱〸㐵㐲㜱挳ㅦ昷㐷愲攱㐸挸㤷㡡挵挲昱㜸捡敦㥤㘵愵搷㠷㈳㐶ㅦ〱攱㥤慤㔴㑤㐷㠵㌹㑡㘵㝢㤵捤㠵慡㜵挸㥥㠷捣昸㥦㐷昶㠵㑡㝦㈲㡤ㄳ㠸户㌷㤶挴㝣攸㑤戲㔷㘵㤱㝤ㄶ㍣㐸昶慦㘰捦㈷晢㘲㔷敤㈵搰㑡戲捦㐱戰戸捣搵攷㜲愵㍤㡦㍥㐴挰昷慦愱㤵㘴摦敤㈴㥢晢戹㈴㝢戹㉢搹ぢ㄰㈴挹㥤〲㍦敢㤰㙦挴㝣㐹散扥㜱㝦㈰ㅤち㈵挳戱㘸㌰ㄵつ㠵㔳挹㘴㈸敥㑢〷晤摡搴㈶㔷㌰敢换ㄸ昱㔰㌸ㄳ〹㈵㔲晥㜸㍡攵て㈴愳愹㤰㍦ㅣ㠸㈵㌳㈹㉦㈷愵换攳㝢〲㌱㝡ㄲ挲㝢㤵㔲㌵敤挹㔷㉢㤵敤㔵㜶つ㔴慤㐳敥㙦㤱ㄹ晦昳挸扤㔶改㌹㑢㐱㥦㐱扣扣搶ㄶ㡢愰㌷挹扤㌱㡢摣ㅡ㜸㤰摣敢㘰捦㈷昷㝡㔷㉤愷戱㑢㜲㘷㈲㔸摣攸敡戳㔸㘹敢攸㐳〴㝣摦〴慤㈴㜷愱㉢戹扦㜵㈵昷ㄶ〴㐹㜲㘷㈳㤵㐹㙥㈰㥤㑣挶ㄳ搱㐰㉣㥡〹㠵晣改㘰㍣攱ぢ愴㝣㠹㔴㈶㄰㡥〷搳㠱戰㌶挷㜶つ㘶〲扥㜴㈴㄰〸昹㌳改㔰㌰ㄱ㡣晢㘳愱㘰㍡ㅡ㑢㈵㡤㘰㉣ㅣ㡡㜸㤷㔸改昵戹㠸搱攷㐱㜸㙦㔵慡㈶㜲㌹㝦㕤㙥〲戶㔷搹敤㔰戵づ戹㑢㤱ㄹ晦昳挸㕤愶昴扣㤸搳㉦㈷摥ㄸ换㝡㈷昴㈶戹昳戳挸晤つ㍣㐸敥ㅦ㘰㤷攴㘶摤改㕣敥慡扤ぢ㕡㐹敥㤵〸ㄶ㉢㕣㝤㔶㉡敤搵昴㈱〲扥敦㠵㔶㤲㍢摢㐱慥昶㕢戸ㄴ晥㠴㙥㜰㘵㕣挱昴慥㐲㑡㐹晤㐲㘴戱愸挷て㌳愵挳愹㡣㍦ㄱ㡢㠶㘲㌸㤵㡢㠷㔲㤱㔸摣㠸〷㠲㤱㔴㈶㥤搴ㄶ搹慥愹㜴㉣攳㌷㔲挱㐴㈸ㄴ〸愵攳㌱散昹ㄱ㕦㍡㘵昸晣㐶㈶敤て愶扣昷㔹改昵敢㄰愳㕦て攱㕤慤㔴扦愳敡〶慡敥㔷㉡㍡㐸搷戲〷愰㙡ㅤ敡ㅦ㐴㘶晣㉦搲㝥㡦㤵㘵㥦捡摤〴㡤换愹摣捤㔰攷㥥捡㍤㘴㘵㤱㍦㠶愸㉦㈱敥搳㐸搱挳搰㥢ㅢ㡡㤱戵愱摣づて㙥㈸㙢㘰㤷ㅢ捡㔴㘲戰㕥攲ㄱ㔷敤㥦愱㤵ㅢ捡㌲〴㡢挷㕣㝤ㅥ㔷摡㍢改㠳㝣昲晤㈴戴㜲㐳㤹攲搸㔰㜴晢㄰㝦扥敢㌶戱ㄶ㐱㜲㔳戸ㅢ愹捣㑤㈱㙤㠴っ㜰㥦捥㠴ㄳ㤹㤰㤱㑣挶愲愹㤴摦㐸㐴㈲挱㘰搸ㄷ㑦晡戴ㄵ戶㙢㉣㥣ち㘵㤲㠱戴㠱戳晥㔰挴昰挷㌲挱戸㤱ち㈴晤昸㉣㌰〲〱挳扢捥㑡慦慦㐴㡣㝥て㠴昷㘹愵㙡㍡ち慣㔷㉡㍡㐸搷戲㐶愸㕡㘷㔳㜸〶㤹昱㍦敦㈸戰㐱改〷搱昸㄰㤱っ㘴㘹㌷㐱㙦㤲㍢㍡㡢摣㌵昰㈰戹㝦㠱㍤㥦摣㘷㕤戵㥣㠴㉦挹晤㌳㠲挵㘶㔷㥦ㄷ㤴昶㌱晡㈸㜲㕦㠴㔶㤲㍢搴㤵摣挱慥攴扥㡣㈰㐹敥㔳㐸㘵㤲ㅢて〷㡣㜸㌰㄰て昹㤲昱㔰挰ㅦ挲攷㜱㉣㤸昶㐵㝤挱㐸捣㥦㠸愷戵戵戶慢㉦ㅥ昴晢攳戱㜸㈲㤳㐸㠷㌲㌸挸㐷挳㜱㈳㤸㠹ㅡ㐹挳㤷㠹〷搲摥㔷慣昴晡㍡挴攸㑦㐳㜸㕦㔵慡㈶㜲㌹晢㕥ㅥ攲㙤慦戲搷愰㙡ㅤ㜲户㈰㌳晥攷㤱晢扡搲㡦愰昱㌹攲ㅤ捥搲扥〹扤㐹㙥㌴㡢摣ㄷ攰㐱㜲摦㠲㍤㥦摣扦扢㙡摦㠶㔶㤲晢㈲㠲〵㈷改攷㐷扥慢戴㉦搳㐷㤱扢つ㕡㐹慥摦㤵摣㤳㕣挹摤㡥㈰㐹敥㙢㐸㘵㤱㥢㐸晡っ㈳㠲㍤㌶㤳っ㈵挹㘷㉡ㅣ㑥〷〳㌱㈳㥤っ㠶搲㌱㙤㡢敤㡡㑢㜱扦㉦ㅣぢ攰愳㍤ㄲ㡡ㄹ㌱㕣㥤㠱㕥散户晥㘸㍡ㄹ挸㐴扤ㅦ㔸改昵搷ㄱ愳扦〱攱摤愱㔴㑤攴㝥愸㔴㜴㤰慥㘵ㅦ㐱搵㍡攴晥〳㤹昱㍦㡦摣㡦㤵晥っㅡ户ㄱ挹㔸㤶昶㔳攸㑤㜲换戳挸晤〰ㅥ㈴昷㥦戰攷㔳昴㤹慢㜶㈷戴㤲摣てㄱ㉣㜶戹晡㝣愱戴晦愰㡦㈲昷㉢㘸㈵戹㠷扢㤲㝢㤸㉢戹㕦㈳㐸㤲晢㑦愴㌲挹挵戵㌰づ戰㠱㤸て晢㙥㈸㥥挹挴㈳㐶㉣㥤㡣㘴㜰㠶㥤捡攰搲㐹晢捣㜶㑤愴㜱摥ㄶ〸㠷〲㜱㡣挳㈴攱攷㡢ㅢ攱㐸㌸ㄸ㡢挷挲戸昰㡥㝡晦㙤愵搷㜷㈲㐶晦ㅣ挲扢㕢愹㥡挸晤㐶愹攸㈰㕤换昶㐰搵㍡攴㝥㡢捣昸㥦㐷敥㕥愵㍦㡢挶㙦㠸㘴㈲㑢晢ㅤ昴㈶戹㝡ㄶ戹㝢攱㐱㜲昹扣㐰㍥戹晢㕣戵㍦㐰㉢挹晤づ挱㠲攳㌰昹㤱扣敡㤵摡㝤昴㔱攴ㄶ㐳㉢挹㙤攳㑡慥㜰㈵户㉤㠲㈴戹ㅣ戳㌲挹㡤㐴搳㤱㔸㈸㘹㐴晤愱㘰㈸㤳〹㈵ㄲ㔱㡣㤴挴っ㕦ㅡ㐴〷晣㘹㝣ㅤ㤸㜲㑤攲戸ㅣっ愶攳改㔸㌰ㅡ㑡挴搲㠹㘰挰㐸㘵挲㤱㘴㌸攵昷㠷挳㐹㙦㠹㤵㕥㉦㐶㡣摥〶挲慢㈹㔵ㄳ戹敤㤴㡡づ搲戵慣ㄴ慡搶㈱㔷㐷㘶㔴㌵㡦㕣㡦搲㥦㑦㘳〷㈲㤹挴搲㜶㠰摥㈴昷敢晦㌸〷㐸捡攰㐱㜲㍢挲㥥㑦㔱㈷㔷㙤ㄹ戴㤲摣〳㄰㉣づ㜰昵改慣戴〷搲㐷㤱㝢㄰戴㤲摣捦〱挲ㅥ㈰戱㑦愸㍥㠳㌶㝦ㄸ散㄰〴㐹㜲て㐵㉡㤳摣愰㍦ㄹ挶昰㤵ㅦ愷㑦戸慥㑡㐴㘳㐹戲ㅡ㑥㐳㥢挶㠷戱愱ㅤ㘶扢愶搳㍥㕦㈴㤰〴愳挹㐴㈸㡣换㙣㕦㈰ㄶ㡣㘴㜰㠹ㅤつ㈶晣攱㤸昷㔰㉢扤晥ぢ挴攸㠷㐳㜸て㔳慡㈶㜲㝦愱㔴㜴㤰慥㘵㠷㐳搵㍡攴ㅥ㠱捣㙥攴㜶㔱晡ㄴ挹㍤㤶㐸㤲㉣敤㔱搰㥢攴㙥捤㈲户㍢㍣㐸敥搱戰攷㤳㕢敥慡敤ち慤㈴户〷㠲挵戱慥㍥摤㤴戶㈷㝤ㄴ戹摤愱㤵攴扥攱㑡敥ㄶ㔷㜲㝢㈰㐸㤲摢〷愹慣捦摣㔴摡ㄷ㌳挲㤹㠴㤱昴攳㕣㌸㠳㉦搹昱㠷㡤㘰挰㠷㐳㙤挶ㅦ㑦㙡㈷搹慥挱㜰〸㠳摥昱㘸挸〸ㄸ㈱㠸㜸㌴ㄲ挴戹㔴㉣ㄱ〸〷㈳攱㠰摦㝢㠲㤵㕥昷㈱㐶昷㐳㜸㝢㉡㔵ㄳ戹扤㤴㡡づ搲戵慣㌷㔴慤㐳敥㠹挸散㐶㙥ㅦ愵攷敦㍥攸㈷ㄳ挹㌴㤶搶〷扤㐹敥愶㉣㜲晢挲㠳攴晡㘱捦㈷㌷攰慡つ㐲㉢挹㍤ㅤ挱㠲㡦ㄸ攴㐷㐶㤵戶㍦㝤ㄴ戹㜱㘸㈵戹㑦㍢挹戵㠷㌶搷扡㤲㝢㌲㠲昰ㅦ摦挹㡦㔴ㄸ摡㍣〵つ㐹昶㘰戴㑤戲㡤㘸㈰ㄲ〸挷㡣㠸㍦ㄸ〸挵㔳㠱㔸㈴㥣㡣㘶㘲㍥晣㐴愰ㄱぢ㠴㘲摡㤰㈶搷愰㉦㄰〸挶㌳愱㠸ㅦ攳㘳㠹〸挶扤㈳愱㐸㉣㘹愴㜹㍡ㄶ㡦㝡㑦戵搲敢㐳ㄱ愳て㠳昰昶㔵慡愶愱捤搳㤴㡡づ搲戵散㜴愸㕡㠷散㝥挸散㐶㜶㝦愵慦㘵㜹挶ㄱ㐹つ㑢㕤〱扤㐹昶敡㉣戲捦㠴〷挹ㅥ〸㝢㍥㘵㠳㕣戵㠳愱㤵㘴㥦㠵㘰㌱搴搵㘷戸搲㥥㐳ㅦ㐵昶㐸㘸㈵搹㉢㕤挹扥摢㤵散㔱〸挲㝦㝣昳つ㔲㠱散搱㘸㐸戲㈷愳㙤㤲ㅤぢ㐵㤲㝥扦て㈳搹㤹㐴㈸ㄶち㈴㡣㜸㍣㤰挲扥㡥㑢攱㜴㈴ㄸ搶愶搸慥搸㝦ㄳ㈱㡣㜶晡搲〱㡣㡡㐴㜰㍦っ〳㥣ㄸ㈰昵〵昱愱㥣挸昸扤㘳慣昴晡㔴挴攸〹〸敦㔸愵㙡㈲晢っ愵戲扤捡挶㐱搵㍡㘴㡦㐷㘶㌷戲㈷㈸晤㉣㤶㘷㍡昱㌶戰搴ㄳ愱㌷挹㕥㥣㐵㜶㌵㍣㐸昶㔹戰㑢戲搵㌰ㄳ㠲㜰ㄷ换㔵㝢づ戴㤲散㕡〴㡢昳㕣㝤㈶㈹敤㉦改挳㕣㝣㑦㠶㔶㤲扤挸㐹㌶㐷挳攴㌸昶戵慥㘴㑦㐵㤰㈴㜷ㄶ㔲㤹攴攲㠷挸㘳改㠰㤱捣㘰搸㉡ㄴ㡡挶㜱攰㑥㠷㡤㘴㈰㤱ち昸㔳㌸㜱搶㘶摢慥愱㘰挶㠸㈶㠳戸㌱攵㑢㠶ㄲㄱ㕦ㅣ㥢〱㘸㌶㌸晥ㅤ㡤㈷搲摥㠴㤵㕥㥦㠳ㄸ㝤㉥㠴㌷愹㔴㑤攳㕤㈹愵愲㠳㜴㉤㑢㐳搵㍡攴ㅡ挸㉣挹晤㍤㉡愳㜳㠸㑢攷㠰㤶㌷愳昴ㄷ愱㕥晡㘵㐴㜲㈱换㍡つ㝡㤳摣㕦㘵㤱晢㙢㜸㤰摣㑡搸㈵戹㔳㤹搵㝡㠹改慥摡ㄹ搰㑡㜲ㄷ㈰㔸㔴扢晡搴㈸敤㔵昴㐱㍥昹㥥〹慤㈴㜷㡥㤳㕣晢㠴㙢㤶㉢戹㜵〸㤲攴㕥㡢㔴㈶戹㐹摥㌰〴㕢㌱㕣捤㠶㌰㥡ㅤ㡢㐴攳扥㐸㈶㡤㤷ㄱ㡣㈷愳摡挲㈶搷㠴㉦攵挷昵㙦㈸㤲挶㌹㔶㌸ㅣ㑢挵晣㠱㔸㈰㠹慤㈱ㄳ㑢㐶ㄳ摥㝡㉢扤扥〸㌱晡㜵㄰摥〶愵㙡晡㑣收愳づ〴㈱ㅤ愴㙢搹㙣愸㕡㠷摣㌹挸散戶攷捥㔵晡换㠸攴ㄶ攲扤㤴愵扤㄰㝡㤳摣㑣ㄶ戹户挱㠳攴㕥〴㝢㍥戹昳㕤戵扦㠲㔶㤲扢ㄴ挱攲ㄲ㔷㥦换㤴昶づ晡㄰〱摦㔷㐰㉢挹㥤敡㈴搷晥㑣㥥散㑡敥慦ㄱ㠴晦昸㈱㌸愴挲㘱晡㌷㘸㐸戲敦㐶㕢敤挹ㄸ挳挰㠸㌵づ挹㠹㄰挶ㅦ㤳㌸㔶〷㔳昱㜰ㄴ㍦㑣敦挷㜶愰慤戰㕤攳搱㘰㈸攱昳挷ㄳ㜱㍦收㈷㠴㡤㔸挲㥦㐸愴攲愱㘴〶搷㔰晥㘰挲扢挰㑡慦慦㐴㡣㝥て㠴昷㑡愵㙡㍡㑣㕦愵㔴㜴㤰慥㘵㔷㐳搵㍡㘴㕦㠳捣㙥㘴晦㔶改慦㘴㜹ㅥ㈲㤲〵㉣昳㐲攸㑤戲㐷㘷㤱扤〶ㅥ㈴㝢ㄱ散昹㘴㕦攷慡扤ㅥ㕡㐹昶㥦ㄱ㉣㙥㜰昵㔹慣戴㡦搱㠷〸昸扥〹㕡㐹昶㔰㔷戲〷扢㤲㝤㌳㠲昰ㅦ扦搶㡥㔴㈰晢ㄶ㌴㈴搹㙢搱㌶挹㑥昹㌱昸ㄱ捡㘰ㄸㅡ挳㔶戸㡤㠸㡢㈹㕣㌳晢挰㕥㈸ㄸ〹㐶〲摡㍡摢搵ㄷ㠸㘰挲㐰㌲攰㡦攰㠰㡥攱戰㠴ㅦ攷㘰ㄹ㡣㠰攰㑡㍢㡡捦㜵敦ㄲ㉢扤晥㌴㘲昴昵㄰摥㕢㤵慡㠹散摢㤴捡昶㉡扢ㅤ慡搶㈱㝢㈹㌲扢㤱扤㑣改ㄷ戲㍣捦ㄳ敦戵㉣昳㥤搰㥢㘴㐷戲挸晥㉢㍣㐸昶ㅦ㘰捦㈷㝢戹慢昶㉥㘸㈵搹㉦㈱㔸慣㜰昵戹㐷㘹㕦愱てㄱ昰晤㐷㘸㈵搹㍥㔷戲晢戸㤲扤ち㐱昸㡦ㅦ戹㐶㉡㤰㝤ㅦㅡ㤲散搷搱㌶挹挶㐵㤴攱ぢ昹㘳㤸㍣ㄲつ昹㜱㈷〲㤷捦〹㥣㘷晢㠲㠹〸㙥㐹〴戴㌷㙣搷㔰㉡㠳㔹〶㤸㑢㤰〸㠶㐲昱㔰㌴ㄱ㡥昸㌳㐶ㅡ昳ぢㄲ挹㔴っ挳㤹慢慤昴晡㥢㠸搱摦㠲昰摥慦㔴㑤㘴㍦愰㔴㜴㤰慥㘵て㐲搵㍡㘴㍦㠴捣㙥㘴晦㐹改㙦㘴㜹戶ㄳ挹つ㉣昳ㅡ攸㑤戲㡦捡㈲晢㐳㜸㤰散㐷㘰捦㈷㥢㡦㜵攴㙢ㅦ㠵㔶㤲晤て〴㡢挷㕤㝤㥥㔴摡㑦攸㐳〴㝣慦㠵㔶㤲㝤㤸㉢搹㠷戸㤲扤づ㐱昸㡦㐱㐴愴〲搹㑦愳㈱挹晥ㅣ㙤㤳散㌴敥㈴㘲㕥㄰扥ㅦ㌳㤶挲㔴㠲㘸ㄲ〳㘱搸搵搳晥㐸ち愷攱攱㤴戶换㜶捤愴戰ㄹ愴㝤愹㠴㍦ㄶ挱愹㕢㉡㘹愴ㄲ昱㈰挶㐴㈳ㄸ㈴㌱㘲㐹敦㝡㉢扤晥〵㘲昴㉦㈱扣㡤㑡搵㐴昶㌳㑡㘵㝢㤵㙤㠰慡㜵挸摥㠸捣㙥㘴㙦㔲晡㈵㉣捦㕥攲扤㠵㘵㝥ㄶ㝡㤳㙣㉤㡢散敦攱㐱戲㥦㠳㍤㥦搶攷㕤戵㥢愱㤵㘴晦㠰㘰昱㔷㔷㥦㤷㤴昶㈷晡㄰〱摦慦㐰㉢挹㉥㜲㈵晢挷扤㙥㈳㘰慦㈲〸晦㌱昴㠸㤹扣㈰晢㙦㘸㐸戲摢愲㙤㤲㙤愴搲㌸愳㌶㌸慢挰ㅦ挲㙤㘷㥣㠶攳捥㐳㈴㡥ㅢ㠷㤱㐸㈲㘳㘸㈵戶㙢㠰昷慡昸㠹㡤敢敤㄰づ昴戱㜸挴㙦㐰㠳晤㍣㠸て㠳㠴昷㌵㉢扤慥㈱〶㌳ㄹ㐱昶ㄶ愵㙡㈲晢㜵愵戲扤捡昸愴㐷敢㤰晤㈶㌲扢㤱晤㤶搲摦挱昲㜸㠹㜷ㄹ换晣㌶昴㈶搹㕦愰愲㑤昳挱づ㠴〷挹㝥〷昶㝣戲户扡㙡摦㠵㔶㤲㝤㌰㠲挵㌶㔷㥦敤㑡㝢㈸㝤㠸㠰敦ㅤ搰㑡戲㍦〵〸㝢戸搳㍥㐱晢搸㤵散てㄱ㠴晦昸挹ㅥ愴〲搹ㅦ愱㈱挹敥㠲戶㐹㌶㙥㄰攳㡣㉣ㄸ㑢挵㘳戸㙡挲㔴㤲㘴㉡㤲昲愵搳㝥摣㘰㡥㘲ㅥ愸㜶愴敤㡡㑦收㠸㍦㠲愳㜶㈰ㄴつ愵㤳戸㥤攵挳扣挱戴ㅦㅢ㑢㌴ㄲ昲〷扣晦戰搲敢㐷㈱㐶㍦ㅡ挲晢戱㔲㌵㤱晤㠹㔲搹㕥㘵㥦㐲搵㍡㘴晦ㄳ㤹摤挸晥㑣改㔷戰㍣㍤㠸昷㙥㤶昹㜳攸㑤戲摦捣㈲扢ㄷ㍣㐸昶㉥搸昳挹晥挲㔵晢㈵戴㤲散ㄳㄱ㉣晥攵敡昳戵搲㥥㐴ㅦ㈲攰㝢㌷戴㤲散㔷㥤㘴摢㤷㕡㉦扢㤲扤〷㐱㤲摣㈰㔲㤹攴㠶昰㈱つ戶㌲搸㍤晤戸㙣㡥挵挱㘹㍣㠲㌹扤㈰㌲ㄸっ㐴戵㤰敤ㅡ攵㈷㜱㈸㠴㐱昰㜴㈶㤴挶晤攷愸㤱〸昸㌰扡㤲㐹愵㈳戸㉦攵晤搶㑡慦㠷ㄱ愳㐷㈰扣㝢㤵慡改㔲敢㍦㑡㘵㝢㤵㝤〷㔵敢㤰晢㍤㌲扢㤱扢㑦改昹扢㔵晡改挴扢㡡㘵晤ㄱ㝡㤳摣昵㔹攴づ㠰〷挹晤〹昶㝣㜲昹㐴㑡扥㔶㐰㉢挹ㅤ㠸㘰搱挶搵㐷㍥㈰㐲〸㠳改㐳〴㝣昳〱ㄱ㐹敥ㄳ慥攴㍥收㑡㉥ㅦ〱㤱攴づ㐷㉡㤳摣愸ㅦㄳ㝣㔲㌱㕣㌵挷晣愱㈸㙦晡㐷㔳攱愰ㅦ愳㈵㤸扡㙤昸愳摡〸摢ㄵ㌷慢㈲㌸㍦㡢㈴ㄲ㌸㔷ぢ〶㌰戹搷攷㌳挲ㄸ昸㡣愶㌳搱㘰搸敦攵挳㈵㑣慦㡦㐴㡣㍥ち挲敢㔱慡㈶㜲摢㉢ㄵㅤ愴㙢㔹〷愸㕡㠷㕣㍥㥣攲㐶㙥㈷愵晦ㄳ昱㑥㈴㤲㠷㔸㔶㉦昴㤲愶戳愱㘲㈰摦愲戳搲㥥〳慤愲挰㝢㄰戴攰ㅡ扦㜸ち㙤挷㌶㈵㥣㐴㝦㑡攱摦㔹㜲㑣ㄸ敦㠵㐷㈵昰㥢ㄱ㐶ㅡ㕦搱㍥ㄳ扦戴㌲㙦㔰㑤㐳ㅤ扦㈷愰愸つ扥愲扤㐴捥㐱㙦㕢㝣昲捦换挵〷㔱㡥㐴㉡扥㑢㔶㘰㍢昸晦挸挳扥㌶㍤愷挰㡣㐷攳慤㑦㐲㠷㑢㌸㍤摦昵㠷㑥捣〹昳攳昱摤昴㐶㥦㡡〱搱㍥㠳收愶㡣㉡晥戴っ愶搵攳捣愳攸攰敡㘱昵㔸㌴敡敡㈷搴昶㤷㍦㜵挲㠷㌰づ㔰㌳敦㝢㔵て㤹㔵㤹㐶ㅤ㡥㙢搲愸摦ㄵ㔲㘱㘳敡散戸㡥㑤㕥昸攱㠳㠳㥢㕡ㄵ㜸扡挳㤸摢挰敦㡢㍦愲㐹㡢ㅦ㤱㐲挱㡤戴捡㔸㡦〷换摡ㄶ户ㄱ㍤摤㡡㍤戰戶㍡㔱㔹搳㘷㜰㕤㑡㈵ㄸ㔴㌳慢㥡㈵㌸挲攵㡢昱〷㔴㌶挸挷㔸扡挰㉥㜴㍥㐲愱㑤㐶愱㍡昷敤搶晦捣㙥晥㘸昷㘳㑥㉥㍦愶㝢户晥摤〲挱㤲㍦㠰㤶晦挳ㅡ戳㘹攰晡昹昲攸㔳戹㌹㜶挱㡡挸㠵搰昹㈸㠶㤶㠴慥ㅤ㔶㌹㤱敢㔹㡡昵㥣攸搶㌳㙥㡣昵散㤸昵搰㡥敡㕦㝤昶慡挸㌸㕦昸〹㜳慥㡡ㅦ扦㠴㑥㤵攰挳ㅡ捣㉦ㅢ㝣收愱ㅢ㤶昴㤷㈸㕥愶㜸〵㐲摣〲㠷慤昸㘱扡つ㈵昳㤶挷ㄶㄴ昵㝢攲ㅦ敢㍡户摢晣㔲㔰摣㙣ㄹ㜶㡦㕡㌷昸搳昹㕢挷慣搹昳攸㠴慡慥昷㥥㈱昸㙣〴㐱攸搳戱㐶㝢て散愹戴㌳㠸㠳㤹昱昶昶㠶㔶敥㠱㔵搰㜶㙣㈳〲㘸㥢愵昰㘱㐹慢㠱ㄶ搵慦ㄸ改慣㝥㌴㈲㝥㠷㜵慢㙥攰㈷戶㤹㤱捦ㄸ㤸㤱㝣㑣㐱慢㠳づ㐵慣ㄸ搵つ敥ぢ攱慥㍡敡搱昹㘳〳㠲㐷㌳㤵㐱㠴搱㔰㜶㜱㉡ㅡ㙥㠵戸慡㔰㈱慥戴っ㉦㙦㕢昵挴㌹㌷ㅤ㌲昲愹㥤扢捦㕦㜲晡㡡ㅤ㠲㑦ち挸㐲㕣㠸㌵摡㠵攸慦戴ㄷㄱ㠷㉡〴㈷晤换㐲捣㠷ㄶ㠵ㄸ㠲㌶て㐷攲ち㘴攷㌱㠰摢㡣㝥㌱㐳㠶㐳㙤昶㤴搳昹戵㑢愱换摦㐲挳攲ㄲ〴愹ㅥ攲昷㤲ㄹ㌹挲㡥攴散㝥敤搷搰㔹ㅢ㕡㔸㕣〴㜷㔵〳㡦扥㠰敥ㄳ攰攴㔶㠹搹㜰㜵摤㈴㘶㔹㠶㐷㈷㝦扦攲愲㑦㝡㡣戸㝦晤㔷㕤挲摢晡㍤㈹捥㐲㈶㔹㠹㙢㤱搷慥㠴㥣ㅦ捦㙥㉤攴摡㔴㈵捥㠳慦慣挴㈲㘸㔱〹捥㈸㌷扢换〹敥摡昵搰收㙤ㄲ㠱戰愸捤敡敥つ捣挸挹敡㘶㈴攷扢㙢㡢愱㌳㌷〹戸捦挸敡敥㑤㜴㥦〱㈷户敥㘶ち㜵搷戰っ㔵㤳ㄷ慣㔹昵攱搶㡡㈷㔷㠸ㄹ㡢㙦㍣㉦㈵㙡㤰㐹㜶昷㜶攴戵扢㍢㔳㘹㤷㜲㙤慡扢㜵搰捡敥㉥㠳ㄶ摤攵ㅣ㙢ㄳ昴㙣㉣㘹㜷㐲㥢搷摤㘸㔴㑣挹敡敥㜲㘶攴昴㙤㌳㜲づ㈳敦㠶捥摡〳愲攲扣慣敥慥愴㍢愷㔰扢㜵㜷㘲愱敥㥥㘹ㄹ摡㔷㙦摡㝤㕥挹愶攱慢愷㍦昶捥㉤㝤㐷㝤㈱㌸搵㕡㜶㜷㌵昲摡摤扤㔲㘹敦攷摡㔴㜷㌹㙢㕡㜶昷〱㘸搱㕤捥㍥㌶㐱㜳㥡戳昶㄰戴ㄶ㘸㥦ㄸ㤳〵晡㘱愶戹摥㜶㕦㐴昷㐷愰换慦㡥㑦㡣㐰㘴搳戶晦㈸㈳㜹㡦㐷愹挴つ㘸愸㡤㕤㜰㡡戰㕢㈱〶ㄷ㉡挴㈰换搰扢㜶㙣散㌷愷捤敤户㜶㘲搹㤶愳搷㜵㝥㐱摣㡥㑣戲㄰㙢戱㐶扢㄰㜲㡥㌰㌷昳㜵挴愱ち挱㔹挱戲㄰㑦㐳㡢㐲㜰敥慤㔹〸㑥昲搵ㅡ愱戵ちㄱㄷ愷㘷ㄵ㘲〳搳㜰ㄲ慥改捥㠹扥摡㈶攸昲ぢㄱㄷ愷㘴ㄵ攲㔹㐶㍥〴㝦户敥㐶ち㜵㌷㙣ㄹ㌶扤㜸㔷捦㍦㍥戱戵攲敡㉤㙦扤扢昹㤵㍢㔳㠲㤳㙢㘵㜷㕦㐴㕥扢扢㝦㔶摡㤷戸㌶搵㕤捥㤳㤵摤㝤ㄹ㕡㜴㜷ㅤ摡㈶晥愷戰愴扤ち㙤ㅥ晥㐸㔴㥣㤴㠵晦㌵㘶攴ㄴ㔶㌳㜲㉤㈳㕦㠷捥㉣ㄴ摣㝢挱㕤昱敡搱摦愴㍢愷㤱扡㜵户㝢愱敥ㅥ㘷ㄹ㥥慡晢㘶挹昴㐳慦ㅥ戴愶挳㤰摥㠳户㡥㕣㈵㕥㐰㈶搹摤㜷㤱搷敥敥㡢㑡晢ㅥ搷愶扡晢㌲戴戲扢摢愰㐵㜷㕦㐷摢〴晤ㅡ㤶戴敤搰㕡愰㐳攲攸㉣搰㍢㤸收つ摢㥤㤳㐱戵㡦愰换慦㑥㐸ㅣ㠱㐸戵㑤㝢昴㡦ㄹ挹㠹㤵㙥摤㍤愴㔰㜷て戶っ敦㍥晦㝥㤷㈱㐳昷つ扦㜱摣收挷挷昴㕤㌶㕥㜰〲愶散敥攷挸㙢㜷㔷捥慣㐴㉦昵㕤㕣㥢敡㉥攷㔲捡敥㝥〱㉤扡扢ㄳ㙤戳扢㥣ㅡ愹㝤〵慤搹摤㤰㕦㤴㘵㜵昷㙢愶攱搴㐵搳晤㌳扡敦㠶㉥慦扢㠸㙣㥦搵摤㍤㡣晣〶晥㙥摤搵ち㜵户挴㌲㕣戹昹㜷㌳㥦扡晦敥㠱㑢㍣攷㥦㔶昴昸ㄵ搳〵愷㈴捡敥敥㐳㕥扢扢㜲慥㈱扢晢〳搷愶扡扢て扥戲扢㍦㐲㡢敥㜲づ㥦㠹㥦㤳〵戵愲㔲搵摤㐰㔴晣昴慤㜳㤳㉣㠶㐹㜰㌲㥦改捥〹㠳㕡㕢攸昲扡㡢挸敦ㄱ搹挴慥挶㐸㑥扥㜳敢敥ㅥ戸扡㝥㈲㝦㘳ㄹ戶㉦搳扦戹㘱㕦挳搰㐷收昴㥤㜰散ㄳ㕢摦ㄳ㘵挸㈴扢摢〱㜹敤敥捡搹㜷散㙥㐷慥㑤㜵㤷昳敤㘴㜷㍢㐱㡢敥㜲㔶㥢㠹晦㔰㉣㘹㕥㘸㑤㜶〳㝥昱㘵㔶㜷㍢㌳つ愷户㤹敥㠷搱晤㈰攸昲扢敢ㄷ㍢戳扡㝢〸㈳㌹ㅤ捤慤扢ㅦㄷ敡敥㍦㉣挳昹て㜷㑦扣昶㤷㘸挵㝤愳づ㑥晣㜹捦㐹㡢㐴㜷㘴㤲摤敤㠲扣㜶㜷攵㝣㌴㜶昷㐸慥㑤㜵㤷㌳搰㘴㜷㡦㠲ㄶ摤攵㍣㉦ㄳ㍦㈷㤴㘹攵搰㥡摤つ〶挵晢㔹摤㍤㠶㘹㌸攱换㜴㍦㠹敥摤愰换敢㉥㈲户㘶㜵户㍢㈳㌹㐱换慤扢㙦ㄶ敡敥ㅢ㤶㘱搵〹㠷㉦晥昶摣戲攱㙢〳戳㥦晤昲昱㑢收㠸扥挸㈴扢摢ㅢ㜹敤敥㥥慥戴㈷㜲㙤慡扢㥣㤳㈵扢摢〷㕡㜴㤷ㄳ慢攴㤹攷摦㤰㝤〵㜶ㄷ㜹收改㘳〸㈷㐱㤹㕤ㅢ㡣㈵㉤〰ㅤ㉡挱ぢ㤵戸㜸〹摥㑤㠷摥㄰摤㌹ㅢ捡㜴攷㡣㉢㉤〲ㅤ㉡㤱㜳㈹ㄵㄷ㥢ㄱ搹戴㥤挷ㄸ挹搹㑢㙥㤵搸㘴㜵㌸敦㘲㘴愳㘵㔸昸攴捥昵㍦㥤愵つ扡㝥攵㌳敢㤷晥㝢搸搹㠲戳㥣㘴㈵㑥㐳㕥扢ㄲ㘷㈹敤改㕣㥢慡〴㈷㉣挹㑡昴㠳ㄶ㤵㌸ㅦ㙤㔹㠹昵挸㙥㔷㘲〰㐳㌸昷挷散ㅡ愷㈲㘹〳愱㍢㌰户㙢昸敡㔶昱㔴㔶摦〶㌳㤴昳㡡捣搰㈹っㅤち㕤愹㉣㈲晤ㅦ㠳㝦㔳ㄵ㠷搳㥦㤳㝢摣㙡昱戰搵攵扣㕡晣挹㌲㍣㜱攰愹㜳ㄶて㑡っ㕡戰昵摢搵㤳捥扣攰〸㔱㡤㑣戲ㄶ㘳㤱搷慥㐵慤搲㥥挱戵愹㕡㜰㍥㡦慣挵㌸㘸㔱㡢㌹㘸㥢愸㌹㍤㐷㥢〰慤戹ㄳ㐴〳攲扥㉣搰ㄳ㤹㠶搳㘷㑣㜷㑥搱搱捥㠶㉥㙦㈷㐰攴㍤㠸㙣愲晥㕣㐶㜲扡㡢㕢㜷㤷ㄷ敡敥ㅦ㉣㐳挷搹ㄷ㥣昱昱户㕤㉡㔶敤㘸摢㙦晢昰㤳㜷ち㑥㡢㤱摤㥤㡡扣㜶㜷ㄷ㈸㙤㠲㙢㔳摤攵っㄷ搹摤㈴戴攸㉥攷㤱㤸昸㌹㘱㐵㑢㐳㙢敤昳㝥㜱㕢㔶㜷㌳㑣㜳㥤敤扥㤰敥搳愰换敢㙥搰㉦㙥捥敡敥㜴㐶㜲〲㠸㕢㜷㙦㈸搴摤摦㔹㠶挷晢捥敢扥收㠴晡㤱て㉥扦㘴搶㍤ㅦ㉣昵ち㑥ㄴ㤱摤㥤㠹扣㜶㜷㤷㉡敤㉦戹㌶搵摤㍢愰㤵摤慤㠳ㄶ摤攵挴つ戹愵㉦㐴㜶㝢㑢㙦㘰挸㑡㤸捣㑡㜰㌶㠷㌶ㅢ㍡㙢㥦㡦㡡慢攱摤戴戵捥愵㍢㘷㕢㤸敥㥣搱愱㕤〸㕤晥㍥ㅦㄵ扦㐱㘴ㄳ昱昳ㄹ挹搹ㄱ㙥㤵戸搴敡㜰摥㜶㝥㠹㘵戸捡昸㘸㑣挵戰㉦〶慥㝢昱收慢昷㝡摥㔹㈲㌸㡢㐲㔶攲㜲攴戵㉢㈱愷㐷愰〰晡ㄵ㕣㥢慡挴㘳昰㤵㤵昸㌵戴愸〴㘷㌵挸㑡㕣㠴散㜶㈵ㄶ㌰㠴㜳ぢ捣慥㜱慡㠳㜶ㄵ㜴昹㕤昳㡢㌹㔹㕤扢㠶㤱敢敤挸㜵㡣扣ㄶ㍡慢㠶㝥㔱て昷愶ㅡ㉥愲㍢愷づ戸㔵愲挶敡㜰㕥㈵慡㉤挳捡㥥ㄵ捦慦㤹㝣摢戰愵㡦㍤㍢晡愲㈱愱慤㠲㔳っ㘴㈵ㄶ㈳慦㕤〹㌹㜷㠰㤵昸㍤搷愶㉡昱ち㝣㘵㈵㙥㠲ㄶ㤵攰㉤㝦㔹㠹㑡㘴户㉢㜱ぢ㐳㜸㝢摥慣〴攷〱㘸户㐲㘷昶〷摢戸㤱搵㥦摢改晥㤶敤捥戹〰摡㌲攸昲ち㠷挸〴㈲㥢戶㠹㍢ㄹ戹ㅤ晥㙥㤵㤸㘴㜵㌸慦ㄲ攷㔹㠶愵摦㕥昸摡㈷挵㝤㉡ㄶ晣戸散㝤㑦搷㔱㍢〴敦扦换㑡慣㐴㕥扢ㄲ昲挶㍡㉢㜱て搷愶㉡挱㕢改戲ㄲ昷㐲㡢㑡昰㝥戸慣挴㔹挸㙥㔷㘲ㄵ㐳㜸㔷摡慣〴㙦㤲㙢慢愱换敢㕡㍣㉥挶㘷㜵敤〱㐶㝥㘹㐷昲㥥戹昶㄰㜴㘶つ攱㍥〶敥㑤摢挴挳㜴攷㑤㘷户㑡っ户㍡㥣㔷㠹㘱㤶攱㠷㌶搷㙣敢戶㘲搷㠸㕢敦㍤戲㕢㡦つ攱愱㠲㌷愷㘵㈵ㅥ㐷㕥扢ㄲ㍦㈸敤ㄳ㕣㥢慡挴㑦搰捡㑡㍣〹㉤㉡挱㥢挵戲ㄲ㠳㤰摤慥挴㕡㠶㘸㌰㤹㤵㘸㡢㈵敤㘹攸昲㉡ㄱ昰㠹晥〸㙣㈲戹㤱㤱扣ㅢ㙣㐶昲㠶戲戶〱㍡㙢敦昰㠹扥㜰㙦慡挴㈶扡㝢攱攴㔶㠹㤸搵攱扣㑡㐴㉤挳㘵㍢㥥㈸㥤㌷晣晤㐱ぢㄷ㡦扥㜹挲攲㘱㝢〵敦摣捡㑡扣㠰扣㜶㈵攴㉤㔹㙥ㄳ㝦攵摡㔴㈵㜸ㄳ㔶㔶攲㐵㘸㔱〹摥㐹㤵㤵〸㈲扢㕤㠹㤷ㄹ㜲ㄴ㑣㘶㝦扡㘰㐹㝢ㄵ扡晣㜳〳㝦㐰㥣㠴挸愶㔲扣挶㔰摥㉢㌵㐳㡦㘴攸敢搰㔹攷〶昰敦〵晦愶㕡扣㐹㝦摥戰㜴慢㐵㜷慢换㜹戵㌸捥㌲昴て晣㔵散摣㝣㘸晦㉢㍤㥦㥣扡攵扢〱ㅦ〸摥搸㤴戵㜸ㄷ㜹敤㕡㥣愸戴敦㜱㙤慡ㄶ扣㐷㈹㙢戱つ㕡搴㠲昷昸㑣搴扣攵愸㙤㠷ㄶ搴㘷て摡㐶㝣攲攸慣晥敥㘰挶㠸ㅤㄹ㘲攴㐷搰㠱㝡っ摡挲晤㠸慣敥㝥㑣㜷摥挲㜳敢敥㈱㠵扡㝢戰㘵㈸㍦晥㉦㥦㝤扣㜰挴挸昵敢㔶敦㥣扥慢㙣㤷ㄸ㠰㑣戲扢㥦㈳慦摤摤㠱㑡扢㡢㙢㔳摤ㅤっ慤散敥ㄷ搰愲扢㈳搱㌶扢换㥢㜰摡㔷搰㥡愰㜱ㄶ㕣㤶〵晡㙢愶ㄹ㘵扢昳㐶㥣戶ㅢ扡扣敡㈰戲㍤㈲㥢戶㠶㍤㡣㥣〸㝦户敥㙡㠵扡㕢㘲ㄹ㑥ㄸ搰㘳摣ㄱ改昴攸慢㍢晡㐶㡣扡㜸搷㜵㕥摥ぢ㤳㕤搸㠷扣晡てㄴ㍦㐲㜸扣扣ㅤ㈶つ㍦愱㠹㍢㘰扣ㄱ收㝡㕢挳扣摤㘰晥攸㌴扥捦捡愸㤷㡡㌲搴愸㈴挳㥢㍦敤㌳晣㥡㉢㐳晥昲㌵扥㠳慢戲慡㑡㝥㝤㔵〷晣晥㜴摤っ愳㙥㈴㝥㜱ㅤ扦㍡㍤扥戲摡晡㌲㈶晣ㄲ㍢敦敢愸㕦㌸搶㘵㡢㌷扥戴捣㤸㍡晣攴㜱扢捣戰㝡晣慥㝢扡戴㝡㙣愲愱挱愸慢昹㕦昸㈶㌹㝣愱㔸㕢摥攳挳㈶搳〶㕦挶㔸散晡㕤㕥晣㤲慥摣㕦㐴㜶晣㜸㝤㔳㍤昸㙢攷扣㍤㔳捣㥦慤晥㜹摦㈳愷ㄵ改㐵㐵㘵昶捦戱捦收户挴搵ㄷ㡢㥦昶㔸㔳㝥㜶〶㝥㈱敦敥昰慥慥㕥っ㕦慤つ㐴ㅢ摣㌵攲て㤸㜰ㅢ昷攸㙤愱搱ㅢ搱㤰愲愸㘴ㄲ㌶㠱摣㡥昱㥢搵〶㌳愲㘴㑥㘵扡㘱㥡㌶捤愸扣㘰ㅡㅥ㌸㘸摦㕥㝤昳ㄹ㙣㐵㙤愷㈲戴戹晢㙡摣搱摡㔵㑦㐹搴搵㈵收㤵㔶㑦愹㌲㙡㉥㘸㤸㔶㍡㘵㌶㙥㈴㔶搶搶㈰戸戴戴㔴搷㠰㠷㥢㈴㔷㈷搲㔰㌲慢摥づ㕡㙡昸昶昲挶㤲摣㙡㑢㠹㕤愷昰㐰㜸扣扣户㈴つ敤搱挴慥㕡㠵㌶㌷㘹㥤㜵㉡ㄶ晦㜶慤㑢㈷挶戳㉥㑤㌵昱㔲搵㠸㔵㤹㌵ㄱ㌳㤱㐳挲攸っ㠳つ慥㐱㘹て㠴搶〶挷㥢㍤ㄲ挳㐱㑣㜲㌰挵㈱㄰ㅥ㉦敦昷㐸挳愱㘸〲摣㝣戴ㅤ攰㍥㜱〵㜷㌸攳戳挱㜵愱捡〱敥㘲攴㈱㘹敡㈵㉥㐷㐳愲㍤ち㥥㌶摡〵㑡㝢㌴戴㌶摡㙢愱㤵愰捡㤹戵㉢挵㌱㄰ㅥ敦㐲㘵㌸ㄶ㑤愰㕤㠴戶〳敤㔶㔷戴摤ㄹ㥦㡤戶〷㔵づ戴扣㌳㈳挱昵㠴挱〶㜷㤳搲昶㠲搶〶㜷扢挲搰㥢㐹㑥愴攸〳攱昱㉥㔵㠶㤳搰〴戸㘵㘸㍢挰扤攲ち㉥挰昸㙣㜰㈱慡ㅣ攰㤶㉢ㄸㄱㄸ㙣㜰㉢㤵㌶ち慤つ㙥戵挲㄰㘳㤲㌸挵挹㄰ㅥ敦晤捡㜰ち㥡〰昷〰摡〴愷㥤㡡㜶晥捥扡搱ㄵ散㘹昰搵㑥㠷挸摥㔹晢㐱攳〴捣㥢㈲戲㥡〳㘰㔰搰挴愳㑡㕢〱慤敡㠶㜷㉤戴㤲敡㠱㑣㌲㠸㘲㌰㠴挷扢㑥ㄹ㠶愰〹挰㑦愳敤愸收㘳慥〰㠷㌳㍥扢㥡㈳愹㜲㔴㜳㠳㠲㌱ㅡ〶ㅢ摣戳㑡㍢〶㕡ㅢ摣㡢ち挳㔸㈶㌹㠳㘲ㅣ㠴挷晢㤲㌲㡣㐷ㄳ攰㕥㐶摢〱敥㍥㔷㜰ㄳㄹ㥦つ敥㙣慡ㅣ攰㜸㉦㐱㔶敥㕣ㄸㄴっ昱愶搲㥥〷慤㠲散㝤㔷㘱㤸挴㈴攷㔳㑣㠶昰㜸摦㔳㠶㈹㘸〲摣㌶戴ㅤ攰敥㜰〵㤷㘴㝣㌶戸㌴㔵づ㜰㍢ㄴ㡣っっち㠶昸㔸㘹㉦㠰㔶㐱昶㝥慥㌰㑣㘳㤲㑡㡡改㄰ㅥ敦㉥㘵㤸㠱㈶挰㝤㠱戶〳摣㡤慥攰㙡ㄸ㥦つ㙥㈶㔵づ㜰ㅣ戲㤷㤵慢㠳挱〶户㐷㘹敢愱戵挱敤㔳ㄸㅡ㤸㘴ㄶ挵㙣〸㡦昷〷㘵㤸㠳㈶挰晤㠸戶〳摣㤵慥攰㉥㘴㝣㌶戸昹㔴㌹挰ㄵ攳㍣㐶㠲扢ㄸ〶ㅢ㥣愶戴㤷㐰㙢㠳敢〰㉤ㅢ晡愵㑣㜲ㄹ挵攵㄰ㅥ㉦㐷扦愵攱ち㌴〱慥ㄳ摡づ㜰ㄷ戹㠲㕢挰昸㙣㜰㔷㔱攵〰搷㔹挱戸〶〶ㅢ摣㈱㑡晢㕢㘸㙤㜰㕤ㄴ㠶㙢㤹㘴㈱挵㈲〸㡦㤷㘳搵ㄲ摣㜵㘸〲摣㔱㘸㍢挰搵扡㠲扢㠱昱搹攰ㄶ㔳攵〰㜷㡣㠲㜱ㄳっ㌶戸敥㑡㝢㌳戴㌶戸摥ち挳㉤㑣戲㠴攲㔶〸㡦㤷㈳换ㄲ摣㙤㘸〲㕣ㅦ戴ㅤ攰㔲慥攰㤶㌱㍥ㅢ摣㥤㔴㌹挰昹㤰㘷ㄲ㌶ㄱ昵ㄲ㈱㈸㈴捦换攱㘹愳㡤㈹敤㕤搰摡㘸㑦㠳㔶㠲扡㥢㔹㔷㔰慣㠴昰㜸㌹晡㉢つ昷愰〹戴晤搰㜶愰㍤换ㄵ敤㉡挶㘷愳㕤㑤㤵〳敤〰攴挹㐲㍢ㄸち㠹昶〱㜸㉡㕣㘲戸搲㍥〸慤敡㠳㜷㉣戴ㄲ搴㐳捣晡㈷㡡㠷㈱㍣㕥㡥捦㑡挳ㅡ㌴㠱㜶ㅣ摡ㄲ㉤㍦㔷㡡挵〸㔷戴㡦㌲㥥㥦㈳㑤㈷㌷㡦㔳攵㐰㍢㔱挱㜸㤲㜹㔰㘱扥〵〷㘳㈵攴愷愰㔵㤰扤㔳ㄵ㠶戵㑣戲㡥攲㘹〸㡦㤷愳愹ㄲ摣㝡㌴〱㉥㠹戶愳㤴愷扢㠲摢挰昸散㔲㙥愲捡〱㉥愳㘰㍣ぢ㠳つ㙥扡搲㍥〷慤つ㙥愶挲昰㍣㤳㙣愶㜸〱挲攳攵搸愷〴昷㔷㌴〱慥づ㙤〷戸愰㉢戸㤷ㄹ㥦つ敥㔵慡ㅣ攰ㅡ㤰㈷㡢㘷づ㠱捡愲扤〶㑦ㅢ敤㝣愵摤〲慤㡤昶㜲㘸㈵愸搷㤹昵つ㡡㌷㈱㍣㕥㡥㑦㑡挳㕢㘸〲㉤㐷㈶ㅤ㘸㡦㜷㐵晢づ攳戳搱扥㑢㤵〳敤〲攴挹㐲㝢つㄴㄲ敤㌶㜸㉡㕣㘲㤱搲扥て慤敡㠳㜷㌱戴ㄲ搴㜶㘶晤㠰㘲〷㠴挷换㌱㐴㘹昸㄰㑤愰扤〹㙤〷摡㈳㕣搱㝥捣昸㙣戴㥦㔲攵㐰换㠱挶㉣戴户㐳㈱搱㝥〶㑦㠵㑢摣愹戴㍢愱㔵㝤昰慥㠴㔶㠲晡㥣㔹㜷㔱㝣〱攱昱㜲㥣㑦ㅡ扥㐴ㄳ㘸㌹挲攷㐰㕢收㡡昶㙢挶㘷愳摤㑤㤵〳敤㉡攴挹㐲晢〰ㄴㄲ敤ㅥ㜸㉡㕣攲㘱愵晤ㄶ㕡搵〷㉦〷攲㈴愸扤捣晡ㅦ㡡敦㈰㍣㕥㡥挵㐹挳昷㘸〲㉤㐷攱ㅣ㘸摢戸愲晤㤱昱搹㘸㌹㌵搷㠹㜶㉤昲㘴愱㙤㠴㐲愲㉤㠶愷㡤㤶挳㙤㔲摢〶㕡ㅢ敤ぢ搰㑡㔰㙤㤹戵㠴㐲㠳昰㜸㌹㕥㈶つ敤搰〴㕡㡥㤴㌹搰㝥晢㡤摢㐵㈹收㕢攷愲敤㐰㤵愳戶㉦㈳㑦ㄶ摡搷愰㤰戸㍡挱搳㐶晢愶搲㤶㐱㙢愳㝤ㄷ㕡〹捡换慣〷㔰㜴㠶挰愹㥢㌲ㅣ㠸㈶搰㜲㉣换㠱㜶愷㉢摡㐳ㄸ㥦㕤摢挳愸㜲愰摤愱㘰ㅣづ㠳つ敥㘳愵㍤〲㕡ㅢㅣ〷㥦㈴戸㉥㑣㜲㈴挵㔱㄰㌸㜵㔳㠶愳搱〴戸㉦搰㜶㠰㝢摦ㄵ摣㌱㡣捦〶搷㡤㉡〷戸慦ㄵ㡣敥㌰㈸ㄸ㘲㡦搲ㅥて慤つ㜹ㅦ戴㜲㠴昳敦㔸ㅢ㐷㌸㑦㉤挲〵㝡戱㈶㌸㝣㈴つ㙦㔹㠶扥搲㈰〴㠷㤴愴攱㑤换㜰㍡っ㝡㉦㈴㉤攱昰㔲敥搷摤㍢〶㐵ㅣ㕦㍣て挷㈲扤㝡㍣扥昵㥣攳㈳㥥㙡捥搷㤵㜳㕢戵敡昱搳昰慤攸〷㔸扥扤㙣㥦捥戶挶昶敤㘴慢㘴捣㉦㉡㙡慢㘷㈶敡ㄲ挹㉡㠳㉥扤㥡㤲ㅥ㥣㙢㤱晥愸〱换㔰㜴㑣攱㠹户ち㈰〷㜰㑡㐵㡢ㅤ㑢〵〳昴摥愸㐹㐷㉣㠸愶㈵搹㉣㈹挶捥摢攲挱㈳㡥㔰晥捣敦攷㍦ㄱ〰㐴㕢慣㑣づ㠲昶㐱㑢㙤つ㘵㥡愵㉤挵摦愲戲㜶慡挵戱ㅢ㐱㥤㘴昸㙦㌹摢〴挷㘰愴攱搵㥣㙤挲愳っ慦㌸户㠹〰㔷摦ㅥ㈶㙥ㄷ㝡搰慥㠶扤㈴慢㈱㍡挱㠳ㄵ搱㐳昴昷㘲㐹挲つ㍢攱㜶戶戴㈶摣〳㔵㑢挲㍤〸㉤㠹敡㠵ㅣ戸ㅣ㤵㤱㠶捤㌹㜰て㔱㠶攷㥤㜰攳㕣晤愱㌰㐹戸㠵挸ㄳ㠷挳㐳挲㍤㠵晥㕤搰㤲㜰㑦㜵挲㍤捡搲㥡㜰㡦㔶㉤〹户ㅣ㉤㠹㙡㘳づ㕣づ换㐸挳㠶ㅣ戸挷㈸挳㌳㑥戸晤戸晡㘳㘱㙡扥扡摤攱㈱攱づ愰㝦て戴㈴摣ち㈷摣㥥㤶搶㠴摢㑢戵㈴摣摥㘸㐹㔴㙢㜳攰㜲愰㐶ㅡ㥥捡㠱摢㐷ㄹ㥥㜴挲ㅤ挲搵㥦〴㔳昳㜰〳昰㤰㜰㠷搱㍦㠴㤶㠴㍢摣〹㌷㘲㘹㑤戸㔱搵㤲㜰㘳㘸㐹㔴㝦捥㠱换愱ㅢ㘹㜸㈴〷敥挹捡戰挶〹㜷㌴㔷㝦ち㑣ㄲ敥ㄸ戴捣㍤搹㕥㌲户摤搳攰㈱攱㡥愵㝦㍦戴㈴摣㌳㥣㜰〷㔸摡㔲〲㉣慢㔰㉤晣挵搷昲㐰㑡㔴て攴挰攵挰㡤㌴摣㥦〳㜷戰㌲慣㜶挲㍤㤳慢ㅦ〲㔳昳搵ㅤづて〹昷㉣晡㡦㐴㑢挲㍤摢〹㜷戴愵㌵攱㡥㔱㉤晣㉤ㄲ㘳㈱㈵慡㝢㜲攰㜲㈸㐷ㅡ㔶收挰ㅤ愷っ㉢㥣㜰㈷㜱昵攳㘱㙡ㅥ敥㐴㜸㐸戸㤳改㝦㌶㕡ㄲ敥ㄴ㈷摣㜳㉤慤戹㌱㥣愷㕡㜲㘳㤸㠴㤶㐴㜵㘷づ㕣づ敥㐸挳ㅤ㌹㜰㈷㉢挳㌲㈷摣ㄴ㔷㍦〵愶收攱㈶攱㈱攱ㅡ昴㑦愳㈵攱㘶㥣㜰㌳㤶搶慣敥〵慡㠵扦昸收ㄷ㐸㠹㙡㐹づ㕣づ昷㐸挳㉤㌹㜰愷㉢挳捤㑥戸搳戹晡ㄹ㌰㌵て户〶ㅥㄲ㙥ㄵ晤㘷愲㈵攱㔶㍢攱搶㔹㕡ㄳ㙥扤㙡攱㙦㤱㘸㠰㤴愸㙥挸㠱换〱㈰㘹昸㕤づ摣搹捡㜰扤ㄳ敥㉦戹晡㌹㌰㌵て昷㐲㜸㐸戸昵昴㥦㡦㤶㠴摢攰㠴㝢戱愵㌵攱㕥愲㕡昸㕢㈴㉥㠵㤴愸㝥㥢〳㤷㐳㐲搲㜰㑤づ摣换㤵攱㙡㈷摣戹㕣晤ㄵ㌰㌵て㜷〱㍣㈴摣ぢ改㝦ㄵ㕡ㄲ敥㐵㑥戸搷㔸㕡ㄳ敥㙦㔵ぢ㝦昱搳慤㤰ㄲ搵慦㜳攰㜲㤰㐸ㅡ慥挸㠱扢㐸ㄹ㉥㜷挲扤㠴慢扦づ愶收攱摥〰て〹昷㌲晡㉦㐶㑢挲扤摣〹昷㈶㑢㙢挲扤㔹戵昰ㄷ㌳㥣㈰㈵慡㕦攵挰攵戰㤱㌴捣捦㠱㝢慢㌲㕣攴㠴扢㠰慢扦つ㈶〹户攰㠷昰㌲㜸㐸戸㔷搱晦㑥戴㈴摣慢㥤㜰㤷㕢㕡ㄳ敥㕤慡㠵扦㐵攲㙥㐸㠹㙡㜶づ㕣㡥ㅢ㐹挳慣ㅣ戸㉢㤵愱挱〹㜷㈱㔷㝦て㑣捤挳㕤〵て〹昷㍡晡慦㐶㑢挲扤摥〹昷〱㑢㙢ㅥ挸ㅥ㔴㉤㜹㈰㝢〸㉤㠹慡㌶〷㉥〷㡥愴愱㈶〷敥挳捡㔰敤㠴扢㤸慢㕦〳㤳㠴㙢㝦㤶改昶㤲昹愹昶㈸㍣㈴摣㥢攸晦㌸㕡ㄲ敥捤㑥戸㑦㕡㕡戳扡㑦愹ㄶ晥攲㡢㈹㈰㈵慡㘹㌹㜰㌹㤴㈴つㄷ攴挰㝤㕡ㄹ㌲㑥戸户㜱昵敢㘱㙡㝥摢摤〰て〹㜷㈹晤㌷愱㈵攱㉥㜳挲㝤搶搲㥡㜰㥦㔳㉤晣挵㑣㉣㐸㠹㉡㤱〳㤷㠳㑢搲㌰㌵〷敥ぢ捡㌰挵〹㜷㌹㔷晦㔷㤸㥡摦ㄸ㕥㠶㠷㠴㝢㌷晤㕦㐵㑢挲㕤攱㠴晢㥡愵㌵攱㙥㔱㉤晣㉤ㄲ慦㐳㑡㔴攷收挰攵攸㤲㌴㥣㤳〳昷㑤㘵㌸摢〹昷㡦㕣晤㕢㌰㌵て昷ㅤ㜸㐸戸昷搱晦㕤戴㈴摣搵㑥戸摢㉣慤戹敤扥慦㕡㜲摢摤㡥㤶㐴㌵㍥〷㉥㠷㤷愴㘱㕣づ摣ㅤ捡㜰㠶ㄳ敥㐳㕣晤㠷㌰㌵て昷㘳㜸㐸戸て搳晦㔳戴㈴摣㌵㑥戸㥦㔹㕡戳扡㍢㔵ぢ㝦昱㤴〲愴㐴㌵㌲〷㉥挷㤷愴㘱㐴づ摣㉦㤴㘱戸ㄳ敥㘳㕣晤㤷㌰㌵て昷㙢㜸㐸戸㑦搰㝦㌷㕡ㄲ敥㤳㑥戸㝢㉣慤㔹摤㙦㔵㑢㔶㜷㉦㕡ㄲ搵愰ㅣ戸ㅣ㘰㤲㠶㠱㌹㜰扦㔳㠶ち㈷摣愷戹晡敦㘱㙡ㅥ敥㡦昰㤰㜰ㅢ改捦ㄱ㈷〹昷ㄹ㈷摣㘲㑢㙢挲攵愸ㄲ㝤㘴慤〵㐷㤳㈴慡搳㜲攰㜲㠴㐹ㅡ晡收挰攵愸㤳㌴㥣敡㠴晢ㄷ㘶攵〸㔴昳㜰㌹敥㈴攱㍥㐷晦づㄴ㠰愲㍦㑦㌵ㄶ昸㉥攳昰㤲〴㠸慥ㄵ㤵㤵愹㤶慣㉥㠷㤳攴捡愳㌹㜰㌹挴㈴つ㤱ㅣ戸ㅣ㜶㤲㠶戰ㄳ敥㡢捣㝡㈰㠴㠴㙢㕦晦㌶㕤ㄳ㥢挷㕤づ㍣㐹戸㉦搳㥦㘳㑥ㄲ敥㉢㔴㉢戸ㅣ㜰㙡㠲换㠱㈶搹㤲㜰㌹挰㈴㔷敥换㠱换㐱㈷㘹㌸㈹〷㉥〷愲愴愱㡦ㄳ敥ㄶ㘶攵愰㔴昳㜰㡦㠱㠷㠴晢〶晤㌹ち㈵攱扥㐹戵㠲换㈱㈸ㅢ㘰ㄹ㠷㥥㥡挰㜳捣㠸㕦㈵㕥㍣㔷愴愶愶愷㑥摤㕢搶戶晣昰戶㘷昷敢戰㘴晢ぢ㍢㙥㜸㝤㔲摦㑦昶摤㝥晢敢ㅦ摤昰攲扥戵挹扥捦㉤㕦扥㘹昸ㅤ㉦敥攸㥣戹戳昸搱扤㈳敦㥣敦㥦㌱晦㤷㤹㌳㝢づ㤹㝦捥昴㌳晣㘳て攸搵愶㑤扢㜶挷ㅦ昸晣㘱㍤扣㤷晥昲㜱昱捣摢㠷搶㤴昰昴愱〵㠳㌶㐴昴㌳㐷㔸摥㘲㠷攴㌰ぢ㜲攸㔳挹㠲昵昲㜲戸㐵づ晢扤㡤〵晤ㅤ㠸㡥挵㘵ㅣㄲ㘹捤㉥ぢ㙥㕢散戶扥ㄵ㐲挸ㄱㄵ〰捡㐶挶㤱ㄵ㠹散㍤㍡㙥㠳〰㌲㡥㝥戴㉡戲㔳戰〲戹㝤㘴㔵㠹挳㈶ㄲ换㜶㉣攸ㅦ㐰〰㑢㍦晣㘹㔵㉣〳戰㠲㝣㉣ㅣㄳ㤱㔸㍥挴㠲晥ㄱ〴戰㜰摣愲㔵戱挸㠱㡥㍣㡥㌸攰㈱戱㝣㑣㉣㥦㤸㔸㌸㈸搱慡㔸㜸ㅥ㈸户㥥㑦戱㈰攴㤸〶㤱㌹扦㐶搶换戱つ㠹散㌳㉣攸㍢㈱㔰㈵㡥㍦戴㉡㌲㌹㘰㤱㔷㈵づ㕣㐸㉣扢㠸攵ぢㄳぢ〷ㄷ㕡ㄵ换㘴慣㈰㝦敢攱愸㠴挴昲ㄵㄶ昴㝦㐱愰㉥ㅣ㌹㘸㔵㉣㜲愸㈱慦㉥ㄹ㠵攵摦挴戲摢挴挲㘱㠱㔶挵㔲㠵ㄵ攴搷㠵攳〹戲㉥㝢戰愰㝦ぢ㠱扡昰㥡扦㔵戱搴㘳〵昹㔸㌸㔸㈰戱晣〷ぢ晡㜷㄰挰挲ぢ晡㔶挵㜲㈱㔶㤰㡦攵㈲㘸㈵㤶㝤㔸搰㝦㠰〰ㄶ㕥慤户㉡ㄶ㜹㜹㥦户扤㕣慥戰晣㐴㉣㐵敤㈵㤶〵慤㡤㐵㕥扢攷㘱攱㌵扣慣㑢㌱㘰攸㙤㑣㉣扣捥㙥搵扡㕣㠷ㄵ攴㜳㜴扤挲㔲㐲㉣㥡㠹㠵ㄷ搱慤㡡㐵㕥㜵戳㉥㔹挷摤㥢ㄵ㤶㔲㘲搱㑤㉣户戵㌶ㄶ㜹㐹㥤挷搱㌲㠵愵㍤戱㜴㌰戱㉣㙦㙤㉣昲㝡㌹てぢ慦㥢攵昶搲㠹㔸捡㑣㉣扣戶㙤㔵㡥攴挵㜰ㅥ㤶搵ち换〱挴搲搹挴昲㔰㙢㘳㤱㔷扡㜹㔸搶㈸㉣〷ㄱ换挱㈶㤶挷㕡ㅢ㡢扣㡣捤挳昲愴挲㜲㈸戱ㅣ㘶㘲㜹扡戵戱㌴㘲〵昹晢㌴慦㔵攵昶㜲㌸戱ㅣ㘱㘲攱昵㘴慢㙥㉦昲〲㌴慦㉥扣㄰㤵㔸㡥㈴㤶愳㑣㉣㉦戶㌶ㄶ㜹㜵㤹㠷㠵㔷㤹ㄲ㑢㌹戱㜴㌵戱㙣㘹㙤㉣昲搲㌱てぢ㉦㈱㈵㤶㘳㠹愵㥢挴㈲摥㠲㔲搲㜹ㅣ摡㕣㤰㙦㕥㕤挹㉢搸㜷㜶㥢ㄳㄸ〶挰㔲㉡昰㑤㥤捡昰戶㘵昰㜲㌵㍤ㄸ㉢慦㡤搸㍡挱㤹㠹㔷㐳㌲搳㥢㌹㤹㜸㠵㈴つ㙦㌸㌳昵㘶㉣慦㕡愴㘹㑢㑥っ慦㘴愴攱㌵㘷㡣㕣㍢慦㉥愴改搵㥣ㄸ㕥㜱㐸挳㉢捥ㄸ戹ㅥ㕥〵㐸搳㑢㌹㌱扣㌲㤰㠶ㄷ昳㘲攴㌹㍣㝢ㄹ㜶昶㤲㘷敤㌲攰㠵㥣㑣㍣㤳㤷㠶捤捥㑣㌱挶昲散㕡㥡㥥换㠹攱ㄹ户㌴㍣敢㡣㤱㠸㜹ㄶ㉣㑤㥢㜲㘲㜸㘶㉣つㅢ昳㘲㜸戶㉡㑤ㅢ㜲㘲㜸〶㉢つ捦攴挵昰慣㔲㥡ㅡ㜳㘲㜸愶㈹つ敢昳㘲㜸昶㈷㑤㑦攷挴昰㡣㔰ㅡ搶攵挵昰㉣㑤㥡搶收挴昰捣㑤ㅡ㥥捡㡢攱搹㤴㌴㍤㤹ㄳ挳㌳㉣㘹㜸㈲㉦㠶㘷㍤搲昴㜸㑥っ捦㠴愴攱㌱㘷㡣摣愲㜸㜶㈲㑤㝦捥㠹攱ㄹ㡢㌴㍣㤲ㄷ挳戳〸㘹㕡㤳ㄳ挳㌳ぢ㘹㜸搸ㄹ㈳户〳㝥摡㑢搳㐳㌹㌱㍣〳㤰㠶〷㥤㌱㜲㍢攰愷戲㌴摤㥦ㄳ挳㑦㙡㘹㔸敤㡣㤱晤攱愷愷㌴慤捡㠹攱㈷慡㌴晣㌱㉦㠶㥦㜲搲㜴㙦㑥っ㍦昹愴攱㥥扣ㄸ㝥ㅡ㐹搳捡㥣ㄸ㝥㐲㐹挳㡡扣ㄸ㝥㙡㐸搳摤㌹㌱晣㈴㤱㠶扢昲㘲㜸㜴㤷愶攵㌹㌱㍣攲㑢挳ㅦ昲㘲㜸ㄴ㤶愶㍢㜳㘲㜸㘴㤶㠶㍢㥣㌱戲搶㍣㕡㑡搳搲㥣ㄸㅥ㐱愵攱昶摣ㄸ㉦て愶昲㔰㙢㘰〱㤳搰㐸㠰ㅣ搴换㘰挱换〳愴戴㕥㘰㕡戹ㅡ㘹㥤㐶㉢て㉣搲㕡㘹㕡戹㤱㐸敢㜴㉣㤴㌰㘱㌳戳㥣挶ㅡ㜵㈹愳愶愱戲捡攰㉣㉢散㈹㐵ㅤ慢㉢㘶搵㌷搴㥡ㄳ挱敡㑢攴搴慦晣愹㘱㥤改摥㉢换搵㘳慡㈸换捣㐵㝢㡥㔸㝢换挴㐹㘵晦搷〹㘲敤搰㌷扥昱㡣捥㔱捤捦ㄱ㌳攷㠷戵捣换㥡ㅣ㌶〳搵昱攰ㅢ㠶㌰㍢慣㘹㔱戶〵㉢㉦㍦攸慡戰愰㕥㠲っ戰愴㝡㌵㠴ㄵ搹戴㘸㐶㤲ㄵㄹ㔹㠳〵昵ㄲ㘴㐷㐶搶㌶㐵㌶㉤㥡㤱㘴㑣㐶捥㜴㐴㤶ㄱㄹ㕦㥡㔷㐱㈹攳㉡㑤㤵㕡㐷ㄹ㜳㤹㉡ㄵ摣晥晦〱㥤㠵戹扣</t>
  </si>
  <si>
    <t>㜸〱捤㝤〷㤸ㄴ㔵搶昶摣㠱㈹愶㥡㌰㉤㘲㔸〳㡥㠸愰愲搸㍤㥤㔱㈴っ㈰㈰㐹㐰㑣㈸㜴㤴搱〹㌸㌳㈰㈸收㠴〹㄰㈳敡㡡ㄱㄵㄳ㉡㥦㘲ㅥ挱㠰慥慥〹㜳㔸㍦戳慥㙢挴㠴攸晥敦㝢慡㙥㑦㜵㜷昵㌰㥦晦捥昳散㐰㥦慥㝢搲㍤昷扣户慡慢㙥㥤敡㉥㔱㈵㈵㈵晦挶ㅦ摦昹搷㤹ㅢ㍢㑤㤹摦搴㥣慥ㅢ㔸摤㔰㕢㥢㑥㌶搷㌴搴㌷つㅣ搶搸ㄸ㥦㍦慥愶愹戹ㄳㄴ㡣ㄹ㌵㤰㌷㤵捤㘸慡㌹㌱㕤㍥㘳㙥扡戱〹㑡㘵㈵㈵攵攵㘶㈹攴㝦戱㕦㕥摤㌰㘹㘵㜶㈶㠱㔶㠹㘹㤰㜴㈱㈹㈷㌱㐹㍣㈴㕤㐹扡㤱㜴㈷改㐱㔲㐱攲㈵搹㡡愴㈷挹搶㈴扤㐸戶㈱搹㤶㘴㍢㤲敤㐹搸扦戹〳挹㡥㈰摤㜶〲㤹㕡㍤㝣㘲攲㔸㡣㘶㑡㜳㐳㘳㝡敦捡㘹㔶捣㠳晤晥㠱晥㠱挱㤰扦㙡愰㙦敦捡敡㌹戵捤㜳ㅡ搳㠳敢搳㜳㥡ㅢ攳戵㝢㔷㑥㥡㤳愸慤㐹ㅥ㤴㥥㍦戵攱戸㜴晤攰㜴挲ㄷ㐸挴㠳㔱㝦㌰ㄴ捡挴㘲搱㙥㍢挳昳㠴敡攱㤳ㅡ搳㤹愶晦㤴捦摥昴㌹戱㝡昸挰〹改收晦㤴捦㕤攰ㄳ㉥㐷㌴搴挵㙢敡晦㐳㑥换㠸㘹㘰㐴㍡㔹㐳昰搳改挶㥡晡㘳〶㈲散㥣㐴愳ㄵㄹ㌸ちㄹ㑦挶㥢㥡慢搳戵戵㤳搳ㄹ攲摥慤㡥㌹㑢㌷愶敢㤳改愶ㅥ㜵㈳攷㈵搳戵戶戸愹扣㙥㕡扣㜱㐲扣㉥摤㤹ㅢㄵ㜵ㄶ㙥㘳㔲改晡收㥡收昹摤敢づ㘹㑡㑦㡥搷ㅦ㤳愶㑡㔹摤㠱㜳㙡㔲㥤㍢慢捥㥤㑢㍡昵㜷ぢ㐶戰ㄹ㌸慡㌱㔹㍤㉢摥搸㉣㉤愲收㜷搳㜵捣㄰〹㍣㈷㉣捥愲捡㍣㉢挲㌴愵愶敥愰㜴㘳㝤扡㤶㥤㄰扣〱㜹㑡㤲ㄳ㉢昵搹攴攸搱㄰ㄸ搵搵摥摦㌸ㄴ昶㘲㔶㤲散ち㘲昴〱昱づ慥ㅥ搷搷ㅦ改搷㘷㔰㘵㥦㝥㝤㠷㐵㝤收㙥㤴昷〵㔱㥤摦挱捥敢戴攷づ㔴㍡㈳㕥㍡㈳㔱㍡㈳㔹㍡㈳㔵㍡㈳㕤㍡㈳㔳㍡攳㤸搲ㄹ戳㑡㘷搴㤴捥㌸戶㜴挶㜱搰搱㝦攵㕤扡㤴摡㝦扤㔷㕤㌳收挵敡〷挷摣㍡㙤㔸摦㤶㑤㔷㉥㔱摣㕦㘵挷敤㠷つ戳㍦㠸戱〷㐸㕥㍣㤱㠰戹㈷攵㝢㠱㈸昵ㅡ攲㘱㑣㑢㍤㌳㥦㍡昰扢㝤㈶慥敡㌴晢㤶㌳扥摢攳ㅡ挵晤㕥㥣敤㑤攵㝤㐰㡣㠱㈰㕢つㅥ㜶㠸㘳㜰㝥㝦挴摣㤷ち㍥㄰愵㕥戴扤ㅤ戸㜰昹㠰昰㔷㡤ㄳ㔷ㅦ昵摥昸㔷㐷㑦昳㉡ㅥ㐰挴㕢ㄵ㤵〳㈰㐶㄰挴㥢攷㉤㘶㠶㈸て㠳㈸昵慣敤㙣昱戸㡦慥摢㌰敡戳戱て㍤㌰昱晢㔵昷捥㡦㈸㑥㐸㜱ㄶ愵㜲っ挴ㄸ〴㤲㌷捥㐰捣摣㡦昲晤㐱㤴㕡㘷㍢㝢㘴搳搵攱㤱晤㥦慣扥愸㤷昷昶ㄹ㙢㐶㙤愷㜸㐰ㄳ㘷〷㔰㜹〸㠸㌱ㄴ㈴㍦戲愸㌹㡣昲攱㈰㑡㍤㙡㍢慢昹㕥㝤扣摦㐹㉦㑤㌸晤昵㥢㝣户㙤㜸昷㈹挵〳愳㌸ㅢ㐱攵㤱㈰挶㈸㤰扣挸㈲㈱昳㐰捡㐷㠳㈸昵㠰敤㙣㔹挳挹〷㝣㙡ㅣ㔲扤晡慢㍦扥㌹昱㤸㡤㌷㉢ㅥ㘰挵搹㔸㉡ㅦ〴㘲㡣〳挹㜳ㄶ㡥㥡攳㈹㥦〰愲搴㍤戶戳㙢㈷晥戲搷收㉢㌳愳慦㝤㝢晡攷㕦つ扡㘷㥡攲㍣ㄳ㘷㤳愸㝣㌰㠸㌱ㄹ㈴ㅦ㑥㕦搸㥣㐲㠵愹㈰㑡摤㙥㝢摢搰戴㘸挸㘵愹搸昰换ㅦㄹ昴晣收敢㜶㝦㑤昱㠸㉦摥愶㔱昹㔰㄰攳㌰㤰扣愴㐵愳收攱㤴ㅦ〱愲搴捤戶戳㡤㥢摥搸搰㜵㥢慦慡慦改㍥挴戸晥捡戳㔶㉢㝥㜲㠸戳改㔴㍥ち挴㌸ㅡ愴㈰戴㤰㌹㠳ち㌳㐱㤴㕡㙥㝢晢摢㝢て㑣㥣㌴㝤捤㤸㍢户㙦㍥㙥昳㔶ㄵ㐷㈸㝥〴㠹户〴㤵㤳㈰㐶ち㈴㍦㙢㌱㌳㑤㜹〶㐴愹㘵戶戳摦㘶㡤㕡户㙤攳搳搵换㙥晢昱攲攵㑢㙥摡㔹昱愳㑣㥣捤愲㜲つ㠸㜱㉣挸㔶戹㝢戸摦㕦㘵㜲ㅦ㌵㙢㐱㤴扡挴昶㜶摥晡㕥㉦扥搱晦敡㜱㘷摥㌳攸㡢㐳㕥㙢晡㐸昱㌳㔱扣搵㔳戹〱挴㤸つ㔲㌰搰㉡昳㜸㉡㌴㠲㈸㜵㤱敤㙤昳换㘷㌷摦㜷挵挹攳㉦ㅢㄲ戸㝡搰㑤敢て㔳晣㜰ㄵ㙦捤㔴㥥〳㘲捣〵挹ㅦ㘸搸㍣㠱昲㜹㈰㑡㥤㙢㍢晢㔷晦攱㡦愷敥㝢敥挰㍢攲ㄳ挲㔳昶㝦昴㝣挵て㘹㜱㜶㈲㤵㑦〲㌱ㄶ㠰攴㠷收て㤸㈷㔳攱ㄴ㄰愵㑥户扤㜹㕦ㅥ㜵㑤㙤戴㑦昵㌹㌳㕦㌸㌶戳昴㠳戳ㄵ㍦敤挵摢㘹㔴㍥ㅤ挴㌸〳㈴㉦戴㠸摦㍣㤳昲戳㐰㤴㍡挹㜶㌶昸㤵戵㉦㥤摥扦㘲攲摤ㅦ㍦㌸㙡搲搶㜷㡥㔳㍣㙢㄰㘷攷㔰昹㕣㄰㘳㈱㐸摥㕣㡢㔵㤹攷㔱㝥㍥㠸㔲㜳㙣㘷㑦㤴㥣㜴㑢㝣昷㉦㈶㥥敥㕤戳挳㝥摢㜴㥥愱㜸昶㈱捥㉥愴昲㐵㈰挶㈲㤰扣挸愲㝥㜳㌱攵㑢㐰㤴㙡戰㥤㡤㍤㙤摦㔷㤷慤㝡㙤攲㤲搷㕥㌹晦晡㙢㤷㝤愷㜸ㄶ㈳捥㤶㔲昹ㄲ㄰攳㔲㤰晣挸㝣收㘵㤴㕦づ愲㔴㡤敤㉣搴昸摤㡤㐳昶㝢㘶摣挲搰昸㡤ぢ扡㉦摦㕦昱㙣㐸㥣㕤㐹攵㘵㈰挶㔵㈰昹捥晣收搵㤴㕦〳愲㔴搲㜶搶昵愳昷㠷扥ㅤ㍡㙡挲慡晡㡢㉥摡㜷㜲晤ㅣ戵㍤挴攲散㕡㉡㉦〷㌱慥〳挹ㅦ㘶㤵㜹㍤攵㌷㠰㈸㜵㤴敤散晤㍥ㄷ晥搶晤㡣㥢㐷摤昱搸㜷㜳敦昴摥昰慢攲搹㤹㌸扢㠹捡㌷㠳ㄸ㉢㐰昲攷㠶㉦㘰摥㐲㠵㕢㐱㤴㍡搴昶戶晡慣攷㉢㍥㤹㔵㌷昱散攴㡤扤扦㕦晦散戳㙡〷㠸挵摢㑡㉡摦づ㘲摣〱㤲ㄷ㕡㈴㙡摥㐹昹㕤㈰㑡ㅤ㙣㍢㝢㘹摦戳挲摢扥晤搸㐱㉢㠶㥥㝣晣㡥㥢㉡捦㔴㍣㕤ㄴ㘷慢愸㝣て㠸㜱㉦㐸扥戳愰㜹ㅦ攵慢㐱㤴㍡挸㜶㔶扡捤捤㥢㐶晥㝡昲愸㐵㤹挵㌵摥㝥换昷散㜶㍦挴〷摢ㅦ敤㈳ㅡ攳㈷攰晣愸昵搴ぢ攷㥢晣户攵㜳㑥㥣㜲㘶㐲㤹㐸挶敦㑦㠵㝣昱㐰扣慣ㄲ㙥摢㝢愶挳戹摥㉤㜳㘸㑤㝤慡攱〴㌹昵改㤶ㄹ㔵㔳摢㥣㙥㤴㐶㐵〶㙦搶改㥢戴扢㘷㐶捥挳㜹㙦搲㍡㑢敡㤵愹㑥㌷㌶攳㝣戱㜹㝥敢愹搳㑥挳攳㑤改搶收〰摢昷昰㠶㌹昵愹愶ㅤ摤㠵㔳㥡攳捤改ㅤ昲㘵慤㑥ち捣愶攰㕣㌲摤㈴㈱昵捥㌷㥢ㄶ慦㥤㤳ㅥ㌶慦挶ㄲ敦㥣㈷挶㔹㘵㐳愲戸㜴㔴㘳晡昸慣戴㈰愲㘱戸搴㤹㉢扥ぢ㐶㘹㠹慣戸㉡慢㘷㌵㌴愵敢㈵扣〱㜵㤳㙡㤲挷愵ㅢ愷愴㜹愱㤴㑥挹㔰户愱挸㍥戵ㅤ㌰戱ㅥ〳挵挹㙡慡㡦㤳换㐴愷敢㔳改ㄴ攲㥤㡤㉣捦㥦ㅡ㑦搴愶户捤㔱戱晡㠴攰㉦㌹散㔱つ挹㌹㑤搵つ昵捤㡤つ戵戹㤲㘱愹戹㜱㥣㑥愷挶㌷愴搲㥤攵慦挴愲慡愴㔳㈷愵㑡昶㜰㍢㉦愵敦㈶㥥戹㍡㈶〹捦㡦摢㔶㜶㑣㈲㉡扢㥥昱㘶㍤㘳挳㌱挹愸扦㘷㥢㤱㌸㈷㈱戵㝤㙤㙡扢㑣㔲ㅡ㙤㥦扢攳つ㥣っ㝣㠰㐳㙤㥡㝢㘵㘹摦攲㉥㕢攷攵ㄶ㈲㜵愰挲敢㘲㙡户㤱㌴㜱㥢㥤㝢ㅤ慢㕣㕡扡戵㍤晡㤱㜳㜱搱㌴㍡㕥㥦慡㑤㌷戶㜹㔵慦ㄸ㤱昹〰挹ㅡ㤲〷㐹ㅥ㈲㜹ㄸ愴㙣〴㡥㜱㐵㌳摡ㄹㅡ㙡㥥㥡㕦㜶㐲㑤慡㜹㤶㌱㉢㕤㜳捣慣㘶昰戰ㅡ㔰㕥捥㜴ㄷ晣㤹㡦㠲㘵㍥㐶昲㌸㠸挷㔳㘲戴攰扤挴昰㤸㑦昰㙤㉤㐸户㘱㜳㥡ㅢ㉡敤戹攰㔱㘵扢㠲昷㝦扦㘸㉢㠵㤵㈹搷㠸戸㠸㙦㉡慢挳愵㘸㔳愷㑥㙥愹ㄸㅤ㙦㥡搵捣扤戰㙤㈱晤慤㈳㜹ㄲ愴摢㔳㈰ㄳ㐶愷㙢戱て晦愷慥晦换㜶㠳捦㉤㕥㘷昲晣㙡摢扡㈹昳敢㤳戳ㅡㅢ敡戱ち㌳㈲摥ㅣㅦ㤶挴挵㜴㤳㡡ㅢ㜵攳ㅡ慡攷㌴ㅢ㜵愳㙢昰搶慤㙥㜲㝡㜶㍡摥㕣㡤㘳㜴㜳昷扡㜱戸㄰㤷㠳攸㤸搴扣戲㍡敢ㅡ㝡㐴扡㈹㘹昲㘲㝢っ㡥㐹昳っ㙣攱㈰摢慤㡥㐷㤹昴扣㘶扡敥㔲㌷㈹㡥㡢昵㘶ㄳ㑡〳挴捡摡愲㘵㜷攱㘹㙢㡦摤㠲〷慦㙣㍡扣㜴ㄵ㠶攵愹㠴搳〶ㅦ㥦昸挰敤㙣搳晣摤攷㤰收㥡摡愶㠱㜶㝡〷㡥㘸挰㘲㑣㕡搶愱㤸㜶挳挰散㌲摡〴㉢㝦㉦攷搵晡挴㘴挲㜲㡢㔰づ㙣㙣㤸㌳扢㌷㝣晤愷晣搰㔷㠹昹㌴挸昲敦㔶敥户晢㕦敦晥户晤㝥㉡昶ㅦ昹㌳晢㔰愳〵㠴㑤扣挹㥦昹㉣摥㍣㙤挹捡晡㐲挳昵㌰㕢㘴㘱愱っ晡摤敡㌰摡愹㡤㘹㔹㈹㈹㤷挶晣搹改敥㜵㠷㌶㌴ㅥ㤷㘸㘸㌸㡥攰昷㤰㔶搳慣㜴扡㤹换て㕤敤搵ㄶ㙥㉢愵㍡㜵捡㔹㕢㜰慣㔳散〲晦挶ぢ㈰摤㠷搵搶㔶㙡㡦㑤挶摦挱敡㠴㡦ㄳ攳㐵㙣㐴慢㝣㔵挱捡敡㈹㤳㠷㔵㑥㑤搷捤慥挵㜹㐰㘵㘸昷捡扡㠶㔴㘵昰㤴〹挳愶㡤ㅡ㔶㕤㤹㑥搵㌴敦戳捦㍥晥挰戰㐳づ愴晡挰㜹戵㑤昳㤴て搹攱㌲挲摡戲昹㌷㐴捦㈹ㄹ晡攰㈷㡦昶散昲散ぢ〱戵慦㉤㈸㔸慣攸㠷晥㉡昱㌲㕦㈱㜹㤵㘴〳挹㙢㈴慦㠳愸㍤㘱捡〳ㄹ戶㜳晦捣㌷搱㌶摦㈲㜹ㅢ〴㠷㈳㐱〸㐷愳㜷挹攳搱挸愳㔴㝦扣昱㈰㘴扥㑦昲て㄰戵㈷〸㜷搷ㄲ昳〳㤰愲㤸敦㐱㡤ㄶ㄰㜴㥥敤摤晣〸っ㡦搹㠶㑣敤〵つ攲㙥㌲捦㈶㌳㙢㌲慢㙡㕢戸㜱㑤捥㌶戶愰㘰昱㘵㙦㤸㔵搲晥㉢㤲㝦㤱㝣㑤昲つ挹户㈰慡〲愶敥挹昹㥥㍡㍦㤰㙣〴㜱㈴攷㈷㌴㡤㥦㐱昲づ搵㙡ㅦ昰㈴㔳扦㘰挳晣ㄵ㐴敤ぢ㘲㘵㙡ㄳ戶㡡㘶㙡㈰つ㕡㐰㄰㑤㙢愶㝥〷挳㘳戶㈱㔳㍥㘸戸㘵㙡昳ㅦ㐵㌲昵㥢㉤㈸㔸㔸慡㠲愷㑡扣㑣㐳㠱㜴㈱㈹㈷㌱㐹㍣㈰敡㐷㤸扡㘷慡ㅢ㜵扡㤳昴〰㜱㘴捡㑢ㅥ㌳㠵㘹ㄴ挰摢慥散愰㈷㤹㕢㠳愸㄰㥡㔶㜲㝡愱㔹㌴㌹㐱㕡戵㠰攴㈴㘷㍢㤸㜸捣㌶㘴㉡っㄳ户攴㝣㔸㉣㌹晦㙢ぢちㄶ捡愲昰㔴㠹㤷㔹㠹㑥捤㕤㐹晡㤰散㐶搲ㄷ㐴扤㔳㌴㌹晤愸搳㥦㘴て㄰㐷㜲昶㈲捦摥挷㘲㜰扥㉢㍢搸㥢捣㝤㐰搴㝥㘸㕡挹ㄹ㠸㘶搱攴っ愲㔵ぢ㐸㑥㜲晣㌰昱㤸㙤挸搴晥㌰㜱㑢捥晡㘲挹㜹挶ㄶㄴ㉣晣ㅤ〰㑦㤵㜸㤹㠳搰愹戹ㅦ挹晥㈴㠳㐹づ〰㔱㑦搸挹攱挵㌶㕦㑦攲散攴㘳〸㑡捣愱搴ㄹ㐶㌲ㅣ挴㤱㥣ㄱ攴搹㌳㘷〸㌴㜷愵昶㈸㌲て〴㔱挳搰戴㤲㌳ㅡ捤愲挹ㄹ㑡慢ㄶ㤰㥣攴ㅣ〴ㄳ㡦搹㠶㑣つ㠷㠹㕢㜲敥㉡㤶㥣㍢㙤㐱挱㐲收〸㜸慡挴换㥣㡡㑥捤㐳㐸愶㤱ㅣ㑡㜲ㄸ㠸扡挵㑥づ㤴㜲晦捣㈳愸㜳㈴挹㜴㄰㐷㜲㡥㈶捦㥥㌹㈳㘱戴㉢㕥收㑣㌲攳㈰㡡㙢愲㔶㜲ㄲ㘸ㄶ㑤捥㈸㕡戵㠰攴㈴㈷つㄳ㡦搹㠶㑣㡤㠶㠹㕢㜲㉥㉤㤶㥣㑢㙣㐱挱挲散㔸㜸慡挴换慣㐷愷㘶〳挹㙣㤲攳㐹ㅡ㐱搴㐵㐵㤳搳㑣㥤㌹㈴㜳㐱ㅣ挹㤹㐷㥥㥤㥣㠳攰㝣㔷㜶㜰㈲㤹㈷㠱愸昱㘸㕡挹㔹㠰㘶搱攴㡣愳㔵ぢ㐸㑥㜲㑥㠵㠹挷㙣㐳愶㈶挰挴㉤㌹㈷ㄶ㑢捥㝣㕢㔰戰搰㍣〹㥥㉡昱㌲ㄷ愲㔳昳㍣㤲昳㐹㉥㈰戹㄰㐴㌵ㄵ㑤捥㈲敡㉣㈶㔹〲攲㐸捥㔲昲散摤㡡㙢搷扢戲㠳㑢挹扣っ㐴㑤㐱搳㑡捥攵㘸ㄶ㑤捥㘴㕡戵㠰攴㈴㘷ㄹ㑣㍣㘶ㅢ㌲㌵ㄵ㈶㙥挹㤹㔹㉣㌹㌳㙣㐱挱扡昹㌴㜸慡挴换扣〱㥤㥡㌷㤲摣㐴㜲㌳挹ち㄰㜵㜸搱攴摣㑡㥤摢㐸㔶㠲㌸㤲㜳〷㜹㜶㜲づ㠵昳㕤搹挱㕤㘴摥つ愲づ㐷搳㑡捥㉡㌴㡢㈶攷㌰㕡戵㠰攴㈴攷㍥㤸㜸捣㌶㘴敡〸㤸戸㈵㘷㔴戱攴㡣戴〵〵昷〱愶挳㔳㈵㕥收㈳攸搴㝣㤴攴㌱㤲挷㐹㕡㐰搴㤰愲挹㔹㑢㥤㜵㈴㑦㠲㌸㤲昳㌴㜹㜶㜲㡥㠲昳㕤搹挱㝡㌲㥦〵㔱㌳搰戴㤲昳ㅣ㥡㐵㤳㜳㌴慤㕡㐰㜲㤲昳〲㑣㍣㘶ㅢ㌲㌵ㄳ㈶㙥挹搹扢㔸㜲〶搸㠲㠲摢ㅡ〹㜸慡挴换㝣ㅤ㥤㥡㙦㤰扣㐹昲ㄶ挹摢㈰㙡昷愲挹㜹㤷㍡敦㤱扣て攲㐸捥〷攴搹挷㥣㈴㥣敦捡づ㍥㈴昳㈳㄰㤵㐶搳㑡づ㍦昵㡡㈶㈷㐵慢ㄶ㤰㥣攴㝣〶ㄳ㡦搹㠶㑣㘵㘰攲㤶㥣㥥挵㤲戳㤵㉤㈸戸㑤㌳ぢ㥥㉡昱㌲扦㐵愷收㜷㈴摦㤳晣㐰戲ㄱ㐴㜵㉤㥡㥣㥦愸昳㌳挹㉦㈰㡥攴㙣㐲搳昸つ㈴晦㜴㤹户㠱㜶㘵㙦㥢㈱㌴㝦〷㔱扣晢㘳㘵敡て㌴㡢㘶敡㔸㕡戵㠰攴㘴㑡㤵㌲㔳㙤挸㔴㉤㑣摣㌲昵换敦㐵㑥㤷㝦戶〵〵户愰敡攱愹ㄲ㉦搳㠳㑥捤慥㈴摤㐸扡㤳昴〰㔱摦挱搴晤㜴㤹搵㈱收㔶㈴㍤㐱ㅣ㤹敡㐵㥥扤㡦㌵挰昹慥散㘰㕢㌲户〳㔱扣㤹㘵㈵㘷㝢㌴㡢㈶㘷㌶慤㕡㐰㜲㤲戳㈳㑣㍣㘶ㅢ㌲搵〸ㄳ户攴扣㕦㉣㌹敦搹㠲㠲㍢㙡捤昰㔴㠹㤷搹㤷戱敦㑥搲㡦愴㍦挹ㅥ㈰敡㡤愲挹搹㡢㍡〳㐸昶〶㜱㈴㘷㈰㜹㙢攱ㄵ搷ㄲ㜳昰㈶挹昱㤱改〷㔱㈷㠰㘵㈵愷ち捤愲挹㤹换戰㕡㐰㜲㤲ㄳ㠲㠹挷㙣㐳愶收挱挴㉤㌹㑦ㄶ㑢捥㍡㕢㔰㜰㠷昰㐴㜸慡挴换㍣㠰戱て㈱ㄹ㑡㌲㡣㘴㌸㠸㝡戴㘸㜲㐶㔰㘷㈴挹㈸㄰㐷㜲㐶㤳㘷捦㥣㤳攰㕣㤲㌳㤶捣㠳㐰搴挹㘰㔹挹ㄹ㠷㘶搱攴㉣㘰㔸㉤㈰㌹挹㤹〸ㄳ㡦搹㠶㑣㥤〲ㄳ户攴慣㉣㤶㥣摢㙣㐱挱つ捦搳攰愹ㄲ㉦昳㌰挶㝥㌸挹ㄱ㈴㐷㤲㑣〷㔱㌷ㄶ㑤捥搱搴㤹㐱㌲ㄳ挴㤱㥣〴㜹㙢攱ㄵ㌳攷㜴扣㐹㜲㔲㘴愶㐱搴㤹㘰㔹挹挹愰㔹㌴㌹㘷㌰慣ㄶ㤰㥣攴搴挰挴㘳戶㈱㔳㘷挱挴㉤㌹㑢㡡㈵㘷戱㉤㈸戸㠱㝢づ㍣㔵攲㘵㌶愲㔳戳㠹愴㤹㘴づ挹㕣㄰㜵㕥搱攴捣愳捥㝣㤲ㄳ㐱ㅣ挹㔹㠰愶㜱㌲㐸晥搱㤹㌷㠸㈵㔳愷搰敡㔴㄰挵ㅢ挳㔶愶㑥㐳戳㘸愶ㄶ㌲挶ㄶ㤰㥣㑣㥤〹ㄳ㡦搹㠶㑣㥤てㄳ户㑣捤㉤㤶愹㌹戶愰攰敥昴㠵昰㔴㠹㤷㜹㈱㘳扦㠸㘴ㄱ挹㘲㤲㈵㈰慡愱㘸愶㤶㔲攷ㄲ㤲㑢㐱ㅣ㤹扡㥣扣戵昰㡡㘹㜴ㄱ摥㈴㌹㔷㤲戹っ㐴㉤〶换㑡捥㔵㘸ㄶ㑤捥㈲㠶搵〲㤲㤳㥣扦挲挴㘳戶㈱㔳㑢㘰攲㤶㥣改挵㤲㜳愴㉤㈸戸摢扥ㄴ㥥㉡昱㌲㔷㌰昶㕢㐸㙥㈵戹㡤㘴㈵㠸㍡愴㘸㜲敥愰捥㥤㈴㜷㠱㌸㤲戳㡡㍣晢〰㜴〹㥣㑢㜲敥㈵昳㍥㄰挵ㅢ昷㔶㜲㔶愳㔹㌴㌹㤷㌲慣ㄶ㤰㥣攴㍣〰ㄳ㡦搹㠶㑣㕤づㄳ户攴っ㉦㤶㥣㘱戶愰愰㝡攰㑡㜸慡挴换㙣㘱散㑦㤰慣㈵㔹㐷挲㜵ぢ戵㕦搱攴㍣㑤㥤㘷㐸搶㠳㌸㤲昳ㅣ㜹㜶㜲㤶挱戹㈴攷㜹㌲㕦〰㔱㔷㠳㘵㈵攷敦㘸ㄶ㑤捥㔵ㄲㄶ㐸㑥㜲㕥㠶㠹挷㙣㐳愶戸攲攲㤶㥣㍤㡡㈵愷扦㉤㈸愸㠶戸ㄶ㥥㉡昱㌲摦㘶散敦㤰扣㑢昲ㅥ挹晢㈰㙡搷愲挹昹㠰㍡晦㑢昲㈱㠸㈳㌹ㅦ㤳户ㄶ㕥戱㕢㉤挷㥢㈴攷㔳㌲㍦〳㔱搷㠳㘵㈵攷㜳㌴㡢㈶攷㍡愸ㄵ捥㥣㝦挲挴㘳戶㈱㔳㌷挰捥㉤㌹㍤㡡㈵愷扢㉤㈸愸敥戸〹㥥㉡昱㌲㌷愲㔳昳㐷㤲㥦㐸㝥㈶昹〵㐴㜵㈹㥡㥣㑤搴昹㡤㘴㌳㠸㈳㌹㝦㤰㘷捦㥣㥢攱㕣㤲挳㑡つ㔳㠱㈸搶㠹㔸挹㈹㐵戳㘸㜲㔶㌰慣ㄶ㤰㥣㤹挳㍡㔶㡦搹㠶㑣摤ちㄳ户攴㙣摣㕣攴㜴昹〷㕢㔰㔰慣戲ㄲ㥥㉡昱㌲㝢愰㔳戳㠲挴㑢戲ㄵ㐹㑦㄰昵㉦㤸扡㥦㉥昷愲捥㌶㈴摢㠲㌸㤲戳㍤㜹㙢攱ㄵ㌳㠷昵㉦㤲㥣ㅤ挸摣ㄱ㐴摤〹搶㙥㜸㤵㤸㍢愱㔹㌴㌹㜷㔰愳〵㈴㈷㌹扢挰挴㘳戶㈱㔳㜷挱挴㉤㌹㙦ㄷ㑢捥㕢戶愰愰昸㘶ㄵ㍣㔵攲㘵敥㠱㑥捤㍤㐹昶㈲ㄹ㐰戲㌷㠸㝡戵㘸㜲〶㔲㘷㕦ㄲㅦ㠸㈳㌹㔵攴搹挹㘱㍤㡦㈴㈷㐸㘶〸㐴摤〷搶㙥㜸愱㐶ㄴ捤愲挹戹㤷ㅡ㉤㈰㌹挹㠹挱挴㘳戶㈱㔳慢㘱攲㤶㥣㤶㘲挹㜹摣ㄶ攴ㄷㄳ㤵㍤〰㑦昹昷㐷愵戰㌸㕢㘶攱㈸攰攸〱㘵㈳㜳㐸㝤㑤㜳㔳搷っ敦愳㡦慡㘹ㅥ搱搴摣㉤〳㠲㑤㌱搹㐱㉡ㄲㅣ㐶〳㌲搳㙡搲㈷㑣挵ㅤ挲㕤ち㐵愸戹慥㥥搳搴摣㈰户㝥㝢ㄷ捡㐷㌴㑣㘸㘸ㅥ㔱搳㠴㝢㝣昳晢扡㠸㉤挹愱戳搲昵㈸㤱㘹㐴愵捣㤶㤴ㅡ㘶捦㑥愷㕣㘲㥣搲㌰愷㌱㤹ㅥ㌳攲扦愱挸㐶㔹昷戰㑢㜰㥢㔴㈹㉣㤸ㄴ㉦㉡㜱攴㝤㘷㘰㔳㡡㕢慢敡㑦搶㘸戴挰扥挴慣挶搴㉢㠱ㄳ㑣㜵㜳〴愷愱愷愴㙣つ㔸㙤㑦ㄱ㐷搹㑥㔷㈸㝢㌲㠰搵攲㜵户敢挲挶搴㌷搵愴搲ㅥ扢㌵扥愶扥㠷扤㌹㜱㑥㜳㡥㈴㍥㙦㙢㕢㠲晢扦ㄳ敢〱㝤㌲摥㤸晡㙦㐰〵〳挳㥦〵㠹㌲昰敦捦㈵摡㜲㔳㔲昲慤㝥㌶收摢㔳戱戳㡦戴㜳晤㈰挴慥户攳戳扢㈳㌶ㅣ㔵㑦ㄵ搰敦捥㜴㘷搹攵㙣㡤㑦挷敢〵㠵㈹捤愹ㄱ改戹㍤㐴㈳㡤〹㡥㐷ㅤ㙡搳㕢攷㌶愵㉡挳捣っ㑢㌴㌵搴捥㘹㑥昷挸㙥挹㡥㙥㘶㈶愷㜱㠳ㅤㄵ㙣摤戲㕢㤳㤲捤愸昱换晡㘳㜵摡㝦て㐲挸㐸㘷ㅢ㈵㈵㌸ㄹ㙤㑣摥摣㐱㜰ㅦ晡㤳愸慡㤲㤲㡣晣㝤㍤㐴㕤戵㡣㝦户つ㈹搱ㅢㅥ晥㤵㤴㍤〴昷敤㉦㔱攳㥥戴戵慥㥣戴㡥㜰㜲昰敡愶㜹慣づ敢㥥㤱攳ㅥ㑡㐰昹㤴㑢〵㜷㥤㕡㍣㠲搴㕣㤳㡣搷搶捥敦㤱ㄹ㔳㥦慣㥤㤳㑡㡦㡢㈷搲戵晡㤸摤搰㔸昷㕦㠲㔷㘷㘴捤摥愳摡挸㡢㕤慢㌵〶㡦㠶改㠲戸㍦㝤㤸㔳收㈸散㘹挶㠱㈰㘵㠳慢挷㐷㝤〸挰㘳㡥戶昷㍥搶愴晤㥦慢〲㍤㌰敡搹㕡搳㉡㡦㄰攱〰㔷挰攲㤱㡤㐵㔲搹挲㐲搹敦ㅣ㙡攳ㅡ挶㌵愰攸㌳攵㘰㡤慥戱㔸晦㌵㝢㤷散㔸㠶㘱晣搹㡦ㄹ攴ち㝦摦摡㌵ㄸ㌸昴㔹敤㈱晣愴攱㉥昲㈸摡昹攵㔵㡥搳ㄱ㌹〳㤰㐳愱ㄷ㡡ㄵ㍣㡥㔹愷て㔳㙢㥡㙢搳㕤㌳㈲㤷敤㜲敥ㄸ捣㘶㤷捣搴㔹㈸㔵ㅡ搱㍤㜳㘰㘳㑤慡戶愶㍥捤㔳ㄱㄴ㈱昳戱慤㜱改㘳㔰㉥㍢愹愱愹㠶㑦㈳㜶捦㑣㙤㡣搷㌷捤㘶㐵㕡㜲㝥捦㥣㤶㠰㔵㤶ㄹ㕥㔳㡦摤挸敡㤳摢ㄵ㤹㈹戳ㅡ㑥挰〳㡤㜳敡敡て㡣捦㙥晡慦〰㡡㝢㤵昵㘷ㅤ〷㑢㔵㘹愹㉡㉦㉤晦戳㥦㔸㤸攱㜰㔹〵㤷愵㈴㌶㔴㡦㘱慢㡤扤㤶㈸搹挵捡摣㙢ㄹ㔳捥挳㜹慥挵㤲搹愷㐱㜹㈴㌶挷㘰户散㌶ㄶ㘴散㠱㠷㡣㘹㉤㜱晦晦㝡戴戲散㜱㜸㙥攳〳㐱愶㐵戶㥥㜶ㅢ㈸昷戰愶ち㜹㥣㌹愶㈰捥㔶晥昴昳㘴㐴㠷㌳ㄱ㥦愱㔴攷收㈸ㄴ㍢㜶挳㡥㡦〳㌰㡡㐴㜱攴敤㘱㌵㜸㔲㔷ㄷ慦㙤戲㘵搵つ㜵㜵㜱㑥㉤㑥换㈹㌸㝡愷换攵っㅢ㐷ㄲ㌳〳㈲昳捦㘶挵攷㠱ㄵ㥦㈷㉣㝣㈸戳㐶㕥戶改慢攱㤸㜸㘳㑤昳慣扡㥡㘴㌹ㅢ慣㘳晦慦㤸㤳㤸㐲㥤㤱㑣晤㈷ㄳㄳ愷慢昹〵愹㔶つ㈵攰ㅥ㠸㉢〸愶㡥昰㘳收㤶捡㈷戹晡㤳〵挸㤸扥㜲㤵㘵㡥㠳户㌲㕣昳换㈹慥挴攲㌸つ挳ㄴ㤵㠳㤰㝡㠲ち㜸㤹攳愱慥晦㍡慦挳㔶㥢㘵愱㕤愰攰ㄹ搷㄰㑦㡤挲愳づつ㡤㕤散㐷㠱换〱㉤て㈹㡤㕥㤶〲㔷愳㠸ㅥ挵昹㜳㜱㌶摣㔸㑥挶ㄴㄴ搹㜶㘶ㄱ戱㘱㘱挸て挴㤲戲戲慥攵㙥㝤㡤搱扥晡摡㈵㤳捥㐷愹挷ㄴ昸晦敡攰㈸㙦㠰㘰㔸ㅣ㠸㌹〱搴㥣〸愲㥥㐴㤳攳挹㔳㤸㐴㠵㠳㐱捡㥥㠶㌰㝦㉦㈹㕡㌶ぢ㠳㤲戲㍡㤶昳㤶搷㜱㌸㌸改㌰㔰攴㡢戲㘰愴挴攸㕡晥ㄴ攴收㘴㘸扤昰晣昳㠳戱㕤愲㔸㤷扡づ㉦昶扦ㅤ摥㍤ㅥ㈶捦㥣〲ㅤ㜳㉡㠸㝡〵㑤㕥㥡ち㙣愸改〱㑦㕦㤶ㅣ㡡㙤㝣㔴愸㔷挱攲愵㠹晥㜳㈰㠹㡦昴挳㙣慤つ㄰昳愴㥡㠰㙥改〴㑤扤〶㍤㥥愴㈹昳㜰㤸ㅢ㐷㠰昰㉣㈱ㄲ〰捦㘳ㅥ㘹扢㝣ㅤ㉤㥥㈹㔸㝦㐵㍦换搴㥢㔰攰攷㔹㠹敢昱㔳扤〵〹㡦愱收㜴昸㔵㙦㘳㡢㠷愶散㔴㍤㥡㥤㙦㜱慡扥㉢ㄶ㜰攲㥣慡敡㝤㜰搷攱㤵〷敦㑣戸㌴攳散敤ㅦ敥ち〹㉡㈴愹昰〱ㄴ㌸〷捣ㄴ㕡㔹搸㍥㜲㤸㌹㘰㑢搳㉣㐳戳慦愰攰㠰㙤ㄶ㜸ㅡ戶ㅡ㙣ㄳ戶㝦㠱㔵ㅣ戶㘳㙤慤慦愱搵㙥搸扥㠱戲〵摢㜱㌰㌷㙡㐹〶て㥢㠶㘷㝥㈱昰㤸㜵戶捦㙦搱㙡て㙥摦㐳㑦㜰㌳敡㘱搹扢扡愱愹戹㔲㍦㙡㕥㜹挲扥つ㤵㤳㙢㥡㡥慢攴改攸愰㑡㍦挶㔷昰搱愸㝥㠰〷㠱戶〱づ搴㐶戴㜲愰㍤ㅥ摣㉤㐳晢ㄳ捣攴㈸搴㐸㈷㜶㐳晤㠲㡤㜵㜸攵㐱摢〴ㅤ㤳摦愱愰㝥㜵㔷㤸㐳㠵戹㔴搸〴〵㠱昶〴戴戲搰晥敥㌰㜳㐰㍢㡦㘶昳㘹㘶㈰〴〷戴㈷㠱愷愱㕤㠰㙤㐲摢〵㉡挵愱㍤搹搶㉡㠷㔶扢愱㘵㜹慣〵敤㈹㌰㌷㑥〵㈹㈳戴㌱昴敥㌱㑦戳㕤㝡愰搵ㅥ㘴㔹㐸㉢挸㥡㐴ㄶ昱ㄷ㐲挷㌲㕢㠱敥っ㘸愸ㅥ㘸攵㐰㜷ㄶ〳搸攲㕥改㠵ㄹ晥㤷㤸㘷搳㠹搵㔱㠹㘲㘱敥㍡㌴昲愰㍢〷㍡收戹㔴㘴搱慥㡢挲㐲㉡㥣㐷㠵㕥㔰㄰攸捥㐷㉢ぢㅤ㉢㜵戵㤹〳扡ぢ㘸㜶㈱捤㉡愱攰㠰㙥ㄱ㜸ㅡ扡挵搸㈶㜴扢㐲愵㌸㜴㑢㙣慤㍥搰㙡㌷㜴扢㐱搹㠲敥㘲㤸ㅢ㑢㐱㜸㌰つ㔸搰㕤㘲扢散ぢ慤昶㐰搷て㝡㙤ㅣ㑣晢㐳㉣戰㕤ち扦㙡て戴㜲㘰扢㥣㥤㙦ㄱ戶扤㘰㠶晦㜹〷㔳㤶っ慦㉢㠴敤㑡戸㌴㤷戱㌷㤶ㄳ扢㈸㕣㐵㠵慢愹㌰㄰ち〲摢㌵㘸㘵㘱㘳つ戱㌶㜳挰昶㔷㥡㕤㑢戳㐱㔰㜰挰㜶ㅤ㜸ㅡ戶敢戱㑤搸㔸つ㕣ㅣ戶ㅢ㙣慤晤愱搵㙥搸㔸㔶㙣挱㜶㈳捣㡤㥢㐰㘴㡦㡢愲㜷㡦㜹戳敤昲〰㘸戵〷戶愱搰摢挲ㅥ㌷っ㉡〲摤㉤昰慤㠶愳㤵〳摤㙤っ㘰㡢搰㡤㠰ㄹ晥攳〶㉢㥤㌰㔱㝣㡤〲㕤㠷㡤扣㍤敥㜶攸㤸㜷㔰昱㐰㜷㠵㍢愹㜰ㄷㄵ㐶㐳㐱愰扢ㅢ慤㉣㜴慣㜰㕥㘷晢ㅤ㠷㜷㡦㘷㉢㔰㜳ㄵ捤敥愱搹㔴㈸㌸愰扢て㍣つ摤㙡㙣ㄳ㍡搶㉡ㄷ㠷敥㝦㙣慤㘹搰㙡㌷㜴㉣㝡戶愰扢ㅦ收挶〳㈰㜲晡ㄲ㘲㠸收ㅡ摢㈵慢愲摢〳摤ㄱ搰㙢㘳㡦㘳攱戴挰昶㈰晣慡改㘸攵挰昶㌰㍢摦㈲㙣㐷挳っ晦昳昶戸㤹㘰慤〳㌷て戶㐷攱搲㝣㡣扤挵摤ㄵㅥ愷㐲ぢㄵㄲ㔰㄰搸㥥㐰㉢ぢㅢ㙢慦搷搹㝥ㅤ㝢摣㕡㥡慤愳㔹㍤ㄴㅣ戰㍤〵㥥㠶敤㘹㙣ㄳ㌶㔶㔱ㄷ㠷敤ㄹ㕢㙢㌶戴摡つㅢ换戱㉤搸搶挳摣㜸ㄶ㠴戰㠵慤㍤敥㌹摢㈵敢戵摢〳ㅢ慦戴摢㠰㡤㈵摤〲摢摦攰㔷捤㐵㉢〷戶ㄷ搸昹ㄶ㘱㘳つ㌸晥攷挱㜶㈲㔸敢ち㘱㝢ㄱ㉥捤㤷搸ㅢぢ挴㕤ㄴ㕥愶挲㉢㔴㔸〰〵㠱敤㔵戴戲戰戱㉡㕣㥢㌹㘰摢㐰戳搷㘸戶㄰ちづ搸摥〰㑦挳昶㈶戶〹ㅢ敢扢㡢挳昶㤶慤㜵㍥戴摡つㅢぢ挵㉤搸摥㠶戹昱づ〹㑦㑤㝣㘱㜴㡦㐷扣㙣㥦㉣㈵㙦て㙥㡢愰户㠵㈳㈵㉢捥〵扢昷攱㕢㉤㐱㉢〷扢て挰摤㌲㜶㉣㔱挷㝦ㄴぢ搰〹㌳挵搷愵愰敢戰㤱户换㝤〸ㅤ昳㈳㉡戲㝥摤㐵攱㘳㉡㝣㐲㠵换愱㈰搸㝤㡡㔶ㄶ㍢ㄶ慤㙢㌳〷㜶㥦搱散㜳㥡摤〰〵〷㜶㕦㠲愷戱晢㈷戶㠹ㅤ换捦㡢㘳昷㤵慤㜵ㄳ戴摡㡤ㅤ敢搸㉤散晥〵㜳攳㙢㄰㝥挸㐵慤㕤敥ㅢ摢攵ち㘸戵〷扡㕢愱户〵攸㔸て㉦搰㝤〷摦㙡㈵㕡㌹搰晤挰〰戶戸摢戱㠰ㅥ晦㔱〲㐱㈷㑣ㄴ㕦㜷㠱慥挳㐶ㅥ㜴㍦㐲挷晣㠹㡡慣慥㜷㔱昸㤹ち扦㔰㘱ㄵㄴ〴扡㕦搱捡㐲挷㤲㝡㙤收㠰㙥ㄳ捤㝥愳搹㈳㔰㜰㐰昷㍢㜸ㅡ扡㍦戰㑤攸㔸ㅣ㕦ㅣ扡㝦摢㕡㡦㐱慢摤搰戱捡摥㠲㡥㜷㐹つ慥㉡㔹扢㥤昵㈹㔷㡡㌶㝢㙥㠱㕡㝢戰㕢ぢ扤㉤㘰挷㜲㝤挱づ摦〵㠶愵ㄳ戴㜲戰㌳挰摤㌲㜶㑦挳っ晦昱攸ㅦ㥤㌰㔳㝣慤〷㕤㠷㡤㍣散捡愱㘳昲㙢敤ㄴ㡢晦㕤ㄴ㍣㔴攸㑡㠵攷愰㈰搸㜵㐳㉢㡢ㅤ㉢晥戵㤹〳扢敥㌴敢㐱戳搷愱攰挰捥ぢ㥥挶㙥㉢㙣㌳㠳慣摤㉦㡥㕤㑦㕢㡢挵晤敤挶㡥て〱㔸搸㙤つ㜳愳ㄷ㠸㝣搲挵搰扢挷摣挶㜶昹㌶戴摡〳摤扢搰㙢攳㤳㡥てㄲ〸㙣摢挲慦㝡ㅦ慤ㅣ搸戶㘷攷㕢摣攵㍥㠰ㄹ晥攷㝤搲㝤〸㤶㑥㉦㕤搸敢㙢㍢挰愵戹㈳㝢攳㘳〹㉥ち㍢㔱㘱㘷㉡㝣っ〵㠱慤㌷㕡㔹搸㍥㜳㤸㌹㘰摢㠵㘶㤵㌴晢ㄶちづ搸晡㠰愷㘱摢つ摢㠴㡤㑦ㄵㄴ㠷慤慦慤挵挷づ摡つㅢㅦ㑦戰㘰摢ㅤ收㐶㍦ㄲ㥣愰攰敢愴〴户晥戶捦㡤㔰㙢て㙥㍦㐱慦つ摣昸㡣㠳攰戶〷晣㉡㍥散㤰㠳摢㕥攰㙥ㄹ户㑤㌰挳㝦ㄴ昹㐰㕤晦愹捤㘰戹挰戲㌷㜴捣㝤搸ㅢㅦ㤲㜰㔱ㄸ㐸㠵㝤愹昰〷ㄴ〴㌷ㅦ㕡㔹摣昸㘴㠴㌶㜳攰收愷㔹ㄵ捤㍣㔰㜰攰ㄶ〴㑦攳ㄶ挲㌶㜱攳㌳づ挵㜱ぢ摢㕡摤愰搵㙥摣扡㐳搹挲㉤〲㜳㈳㑡㈲㘷㈸ㄶ㙥㌱摢㘷て愸戵〷㌷㍥㔷戱㠵㐳㈵㥦扡㄰散昶㠳㙦搵ㄳ慤ㅣ散〶㠳扢㘵散㝡挱㑣戰㍢㠰㑥㤸㈹扥昸㥣㠶捥㌱㌶昵㍥㌷〴㍡收㔰㉡昲ㄹづㄷ㠵㘱㔴ㄸ㑥㠵敤愱㈰搸㔵愳㤵挵㡥て㙥㘸㌳〷㜶㈳㘸㌶㤲㘶㝤愱攰挰敥㐰昰㌴㜶愳戱㑤散㜶㠷㑡㜱散挶搸㕡晤愰搵㙥散昸㉣㠷㠵摤㔸㤸ㅢ〷㠱挸愱搲㍡戹ㅣ㘷扢摣〳㕡敤㠱㙥㉦攸戵戱换昱㜹㄰㠱㙤㍣晣慡扤搱捡㠱㙤㈲㍢〷㔳㠶㡤户㥣攲ㄵ㠰㘳摤㌵ㄹ〸つ㠱㙤㝣㈷搱ㄱ愲昸〴㠹㑥㉦㕤搸㠷捡㠳攱搲㥣捣摥昸㜴㠹㡢挲ㄴ㉡㑣愵㐲ㄵㄴ〴戶㐳搰捡挲挶㐷㑡戴㤹〳戶㘹㌴㍢㤴㘶〷㐰挱〱摢攱攰㘹搸㡥挰㌶㘱攳扤㤱攲戰ㅤ㘹㙢つ㠵㔶扢㘱攳㔳㈶ㄶ㙣搳㘱㙥ㅣ㐵挲㕤捥㙦摤㐲㌸摡昶挹攷㔰摡㠳摢〸攸㙤㘱㤷ㅢ〹ㄵ挱㙥㈶㝣慢㔱㘸攵㘰㤷〰㜷换搸㡤㠶㤹㘰㤷愴ㄳ㘶㡡慦戱攰敡ㅣ㘳㔳㘳㤷㠲㡥㤹愶㈲ㅦ㝥㜱㔱挸㔰攱ㄸ㉡㡣㠳㠲㘰㌷ぢ慤㉣㜶ㄳㅤ㘶づ散㙡㘸㜶㉣捤づ㠳㠲〳扢㕡昰㌴㜶㜵搸㈶㜶㝣㜶愵㌸㜶昵戶搶ㄱ搰㙡㌷㜶㝣〸挶挲慥〱收挶㙣㄰㔹㍥挱ㅡ㍦捥㑥㡥户㕤昲㈹㤹昶㐰㜷㌴昴摡搸攵昸㈰㡤挰搶〸扦㙡㈶㕡㌹戰㌵戳㜳㌰摢摥攵昸攴㑤攱㉥㤷〲搷〵㤵戹㜰㘹㥥挰摥搲敥ち昳愸㌰㥦ちㄹ㈸〸㙣㈷愲㤵㠵㡤捦攲㘸扦づ搸㑥愲搹〲㥡㌵㐲挱〱摢㈹攰㘹搸㑥挵㌶㘱攳㔳㌵挵㘱㍢捤搶㙡㠶㔶扢㘱攳攳㌹ㄶ㙣愷挳摣㌸〳㠴搷㜲㌱敢㐳敥㑣摢㈵㥦摦㘹て㙣昳愰㈷戰ㄹ㘷挱昲捦摣晣攱㔳㐰㠲散搹㜰愰㑥㐴㉢〷搹㜳ㄹㅦ㤸㙤㈳换挷㠶〴搹㠵㜴㐲㙤扥㑥〱㔷㈳㐰ㄷ昶挱昴㍣攸㤸攷㔳㤱㡦ㄱ戹㈸㕣㐰㠵ぢ愹㜰ㅡㄴ〴搹㡢搰捡㈲换㘷㠷戴㤹〳搹㐵㌴㕢㑣戳ぢ愱攰㐰昶㘲昰㌴戲㑢戱㑤㘴昹ㄴ㔰㜱㘴㉦戱戵ㄶ㐱慢摤挸㉥㠶戲㠵散愵㌰㌷㉥〳攱づㄹ戵㜶挸换㙤㤷㝣摥愸㍤挸㉥㠵㕥ㅢ㍢㈴ㅦ㐹ㄲ搸慥㠰㕦㜵㈹㕡㌹戰㉤㘳攷㘰戶つㅢ㥦㘱㉡摣㈱慦〴㔷愷㤷㉥㙣搸慥㠶㑢昳ㅡ昶挶〷㥣㕣ㄴ晥㑡㠵㙢愹㜰ㄵㄴ〴戶攵㘸㘵㘱攳㔳㑤摡捣〱摢㜵㌴扢㥥㘶㉢愰攰㠰敤㐶昰㌴㙣㌷㘱㥢戰昱昹愴攲戰摤㙣㙢摤ち慤㜶挳挶〷㥤㉣搸㔶挰摣戸〵㐴㜶㐸慢搶敥㔶摢攵㑡㘸戵〷戶㍢愰户㠵㡦㐰㍥㌰㈵搰慤㠴㙦㜵ㄷ㕡㌹搰摤挱〰挰㙣ㅢ㍡㍥㘱㈵搰摤㐹㈷搴收敢㕥㜰㜵㡡改挲㠶敥㉥攸㤸㜷㔳㤱㡦㕦戹㈸慣愲挲㍤㔴㔸つ〵㠱敥㕥戴戲搰昱㤹㉢㙤收㠰敥㍥㥡慤愶㔹ぢㄴㅣ搰摤て㥥㠶敥〱㙣ㄳ㍡㍥㍤㔵ㅣ扡㌵戶ㄶㅦ慦㙡㌷㜴㝣っ换㠲敥㐱㤸ㅢて㠱〸㜴搶ㅥ昷戰敤昲㐹㘸戵〷扡愷愱户〵攸昸㌸㤷㐰昷㈸㝣慢昵㘸攵㐰昷㌸〳〰戳㙤攸㥥㠳㠶㐰搷㐲㈷搴收敢㜹㜰㜵㡡改挲㠶敥〹攸㤸㙢愹挸㠷挳㕣ㄴ搶㔱攱㐹㉡晣ㅤち〲摤㔳㘸㘵愱攳ㄳ㘱摡捣〱摤搳㌴㝢㠶㘶㙦㐳挱〱摤戳攰㘹攸㥥挳㌶愱攳戳㕤挵愱晢㥢慤挵㠷扦摡つㅤㅦㄲ戳愰㝢ㅥ收挶ぢ㈰㜲戰戴㍥〶晦㙥扢㝣ㅦ㕡敤㠱敥〳攸戵㜱戰攴㠳㘶〲摢㡢昰慢昸挴㔹づ㙣㉦戳㜳㌰摢㠶敤㘳㘸〸㙣㌹ㄷっ㥦㠲慢搳㑢ㄷ㌶㙣慦挲愵戹㠱扤昱戱㌵ㄷ㠵搷愸昰㍡ㄵ㍥㠷㠲挰昶〶㕡㔹搸昸慣㥡㌶㜳挰昶㈶捤摥愲搹㐶㈸㌸㘰㝢〷㍣つ摢扢搸㈶㙣㝣敡慣㌸㙣敦搹㕡㝣㉣慤摤戰昱昱㌵ぢ戶昷㘱㙥晣㠳㐴慥搱慤ぢ㠶て㙣㥦扦㐰慤㍤戸㙤㠲摥ㄶ㜶㌹㍥〷㈷搸㝤〸摦㡡て挴攵㘰昷㌱戸㕢挶敥て㤸〹㜶㥦搰〹㌳㈵慦㑥慤㌹㠶㠲挶敥㔳攸㤸㥦㔱㔱戹㉢㝣㑥㠵㉦愸㔰ち〵挱敥㑢戴戲搸㤵㌹捣ㅣ搸晤㤳㘶㕦搱慣〷ㄴㅣ搸㝤つ㥥挶敥ㅢ㙣ㄳ扢ち愸ㄴ挷敥㕢㕢换ぢ慤㜶㘳户ㄵ㤴㉤散扥㠳戹昱㍤㠸㕣㌰㐴㌹㜴昳〷摢㘵㑦㘸戵〷扡㕥搰㙢㘳㤷摢〶㘲㠱㙤㈳晣慡㙤搱捡㠱敤㈷㜶捥㥣昳攱ㅤ昹㜳搴挳㠱㘳㕤愳㙦て㌳㡡㜳换挵㜶〰㜷ㅤ戸㜹慢搰扦挰愵昹㉢㝢摢搱㕤㘱ㄳㄵ㝥愳挲㑥㔰㄰搸㌶愳㤵㠵㡤て昹㘹扦づ搸㝥愷搹ㅦ㌴摢〳ちづ搸㑡捡㄰㠴晤昰ㄱ㝦搷㠱戰敤〹㤵攲戰㤵摡㕡㝢㐱慢摤戰つ㠰戲〵㕢㈷㤸ㅢ㥤㐱〴戶㈰㝡昷㤸㘵戶换扤愱搵ㅥ搸〶㐲慦つ搸昶㠵㔸㘰㌳攰㔷昹搰捡㠱慤㥣㥤㙦ㄱ戶㉡㤸ㄵ挲ㄶ〴㜷㕤㈱㙣ㅥ戸㌴扢戲户㤰扢㐲㌷㉡㜴愷㐲ㄸち〲㕢て戴戲戰挵ㅣ㘶づ搸㉡㘸收〵㈹慢㠶㐲晢ㅥ㑡㘳㔵愷搷昱愴㈰ぢ愸㥢戶捡ㅣ㍣㈷㕥㡢㥦㕣㤹㠸挷㔵㥡挹晡㙦愸㔰敥㙣㍤㌴㤴晦つ攸戹扦挴㠲攷敤㘴〸㐷ㅥ搵ㅢ㈳换捦㐱慥慥㍤戶㈶㙡晥戹㠷㡡㍣㘵摦㙣晡昷扦摢搷ぢ愷㐷㤷戹晣㝥摤ㄹ㌳㑡捡搹㈷㐰挲㜴敥〹挰戸ㅦ㡤㐰戳㜰ち㡤㜴攳㤶㡤〲户㡤捡晥扣攷㜱攸㜵敢搶㍡㘴㔶㥣て愸攵て㍡戹ㄵ㌰攷ㄶ昸昷㐲㜰㙡戴㕢っ㙡㡣收㙥㑢ㅤ㜴挱㔷搹㌸㜰户㔸㌲㡥㈳ぢㅥ㐱㘴昱昸㤴收昹戵㈸搸攷㈶扦㤳搶摡㘲㠵戲㈵㐶搰つ㡤㥤昱戴㘵晥㔷㔰㘷㙤敦㠷慢慥扤昲扥昲㕢捣㈸ㄹ㡢㘸捡扥〰㐴㐵敤ㄹ㜴㉢㉡戴攱㥦戱㍤挶搴㙢㝣㑤戲戱愱愹㈱搳㕣㌹〵て㥤㔴昲㑢攰㌳㜸晣㘸㔸搹㘷昰攸摡㈷〷搶戹㥥扦㑥㈴㐰㝢㡥慢㙦㌸愱㕥愲㈹㙢攲㜷攱戳㌷戳㑢ㄷ㜶挳㠷㤲攴㙦㌷㈴捥慢㑦戰扣ㄳ㄰㌱㡦㌶挶づ㠸㘰昷敡攱搵㤳㘷挴慡㐲〱㝦㈶ㄹっ挴ㄳ愹㈰扥㌹㍥ㅥ㑦㐴ㄳ扥㔸㔵㈲ㄸ愸ち晢㝣㝥㘳挷慣慡㍦㥡㑡㈷愲㤹㤸㍦ㅣつ〷㘳愹㔰搴ㄷ昷愵㈲戱㐴㔵㌲㤴㐹昸㝣㔱敦㐴摢扤戹ㄳ㙣捣㥤㐱扣㤳㌴慢㌷㔹扢㤰㜵戰㘶㔱㐱㔴㉢㈶㠳挵㤰つ㉢攸晦ㅣ昵㑥㠱㘷晣挷㉦ㅥ愱戳㙥搵挳㘷㐸㤵晤㘴㝣㌹扤戱ㅢ㌸㕢㠱㤳晢㍢㔰㐶㕦戰㝢㠰敤㜸㠰挵㍢搵昶㘲敥ち㔷㘶㍦挶㕤㠹㉤㌵つ㝣ㅥつ㍤敡㑤㠰挶扤㤵㝤㜹捣㍤愱挱扤敥㔰㌴〵ㄵ㡤〰愴㔸摥㜴攵ㅥづ㉥昷㍣㜳〰㡣搵㤱慥㍡搳㌵㜷ㅦ敡搰ㄷ㕦㐷㠳换㍤㐳扤㠲〰㌸ㅦ搹㡢挹㐹挶昹愴㕥〲㠷㜳㉡㜷㑥捣㠴㠱㑣〵㍦昴慣愹攰㑦㈵晤改㜴㉡㤴〹愷ㄲ挱㘴㌰㥡㐸愶㠳戱㘸㔵〰㠰㈷挳搱㘸捣愸捡慡挶晣㤱㘰㈸ㄳて挷㤳㈱㝦㌰㔳ㄵ㑦挴挲㔵昱㐰㔵㌴ㅥ㠸㠶㝤攱戰摦ㅢ户摤㥢〱搸㤸㐱㄰㙦㐲戳㕡愷㐲㔲戳愸㈰慡ㄵ㈹戰㍡㘶㉡愴攱ㄹ晦昱摤戲散㡣攸㥢挴摡㥢搱晣晥ㄴづ㈶扦ㅦ戶搴㉣昰㉤㜰㥦㐰昶㕡挱ㅤちつ㠲㕢〳㜹㈱戸挷扡㜲㡦〳㔷挰ㅤづ㘳㔵攷慡搳愰戹㈳愸挳〸昸㍡ㅥ㕣〱昷㘱〴愱挱㌵㐶㐱愵攸ㄱ㐴㍤攸㡡㜸㈳㍣昱㄰㘲㡥㠶㜱昷㑥摥㈶戴㘵〶㡣㐱摢㥡〱改㘴㌴㔴㔵ㄵ〵扡愱㜰㌰ㄸ昰挷攳搱㐴㉡㤵㐸㔶攱〶㐶㉣㥥づㄸ㘳戳慡㤱㐸㔵愲㉡㔵ㄵっ愷㌳㤱㘰㈴㥣㠹㠶㈳攱㘸㈴㤵㐸㠴㝣愹㜸㈲ㄱ昱㌶摢敥捤㠳㘰㘳㡥〳昱捥搱慣昱㘴㑤㈰㙢慥㘶㘵戵㉡㑥〰慢㘳㘶挰㍣㜸挶晦㠲ㄹ㌰㕦昳昷愱昰㄰〶户㌷㜳㝦ㄲ昸搶っ戸㉤㘷〶ㅣ〶つ捥㠰〵㤰ㄷ捥〰ㄶ扡ㄷ㜲㑦〱㔷㘶挰ㄱ㌰㔶愷戹敡㥣愱戹搳愹挳〸昸㍡ぢ㕣㤹〱㌷㍡㘶㠰挹ㄹ㈰扢昷昵慥㘰㥦つ㈳〱㝢㈶昴〰昶㌹㘸ぢ搸㜱戴㉤戰㝤㠹㜸ㄲ扦晦ㄲ挵敦挰㈴㠲㠰㍡㥥づ愶ㄲ愹慡㜰㌸㠳㐶挸ㄷ㌴ㄲ㔹搵㑣㈶ㅥ㡦愴㘲㠱㘸㈰ㅣて挶㝤晥㘸㉣ㄲ㑣〵㘳㤱㔰ㄴ扦㈱㤳㐸㈴扣慣㕦愷㝢㌳〹ㅢ㌳〵攲㕤愸㔹慤㘰㥦愷㔹㔹慤㡡昳挱敡ㄸ戰㉦㠰㘷晣㉦〰晢㐲捤攷ㄵ戶㔹挷㜸戹㐶愲ㄶ㠱㙦㠱㝤㜱づ搸戳愱㐱戰ㄷ㐳㕥〸敢ㄲ㔷敥挵攰ち搸㡤㌰㔶㤷戸敡㕣慡戹捤搴㘱〴㝣㕤づ慥㠰㝤㠱ㄳ散散戱晣㍣㔷戰慦㠴㤱㠰㍢て慥㉣㜰㔳㔵〹㝣㐰㐷搳挹㔴㌸ㅣ㡣挶㜰愰捥昸㈲㌸戸㔷㐵㘲扥㑣㈰ㄸ㌳收㘷㔵愳昱㘴㌸ㄴ〱挲扥㔸㍡㤸㐹㐶ㄳ昱㜴㍣ㄱ㡦昹攲昱㌰㍥搵㤳㈱敦㌲摢扤㜹㈲㙣捣㤳㐰扣㉣㙥ㄷ扣㕢㡦攵㔷㙢ㄶㄵ㐴戵攲ㅡ戰㍡〶㕣㔶挹攳㝦〱戸搷㙡㝥㡣挲戳ㄸ〹慦挶搵㜵攰㕢攰㥥㤸〳敥戹搰㈰戸搷㐳㉥攰㉥〴㐳晦愹ㅢ㕣戹㌷㠲㉢攰㥥〷㕤㜵戳慢㡥搴戲挳㡦㜹〱㜵戰㈱慦摢愰㉢攰㌶㍢挱捤敥挹㡤慥攰慥㠴㤱散挹㡢攱ち㝢昲敤㘸ぢ搸㑢搰戶挰づ㐷〰㜳㍣㠴搳户㐸㌲㤸㠹晢攲挹㜴挴ㄷ昳㠷慡搲扥㘰捣ㄷ㐹ㅡㄷ㘷㔵㔳㤱㐴㍡收㑢㔷〵ㄳ搸改㠳㠱㘸㉣㤰〹㐶㐲愱㔴㍣ㅣ昴愵㔲扥㠸昷づ摢扤戹ㄴ㌶收㈵㈰摥㍢㌵敢㔲戲㉥㈳敢㉥捤愲㠲愸㔶摣つ㔶挷㠰扤ち㥥昱扦挴戸ㄲ㥤戹㥣戱㉤〳㍢昷搴敥㉡㜰昲捦攱敥戱扤㤸㔷㌳攴㈱〴攷〰〲㜳ㅦ昸搶搴㐸攴㑣㡤攵㔰攳搴㔸つ戹㑣㡤㥣㜳戸晦㜱攵摥て慥㑣㡤敢㘱慣搶戸敡㍣愸戹㌷㔲㐷㑦㡤㠷挱㤵愹㌱摤㌹㌵戲晢晤ㄱ慥㔳㠳ㄵ昱㌲ㄵ㙥㠱㉢㙢㉡昸㔳㔱㥦㉦攴㑢挷㔲㔵挹㘰㈲ㅣ㡢㈷㝤㘱㥥㥣挵ㄲ㠹愸摦㥦㡥ㅢ户㘶㔵慢㔲攱㜴搴㤷挸㠴㐲㠹㐸㄰扢㝤㉣㤳㠹㐶㠳攱㘴挴ㅦ㐸㠵慢愲㝥敦㘳戶㝢昳㌶搸㤸㉢㐱扣㉣戱捦摢敦㕢㌴㡢ち愲㕡昱〴㔸ㅤ㌳ㄵ搶挲㌳晥ㄷ散昷敢㌴㝦㈴㠵昷㌱㤲ㄱ㑣敤㔳攰㕢攰ㅥ㤴〳敥晤搰㈰戸㑦㐳㕥〸㉥换昸ぢ戹敢挱ㄵ㜰搷挰㔸㍤攷慡昳㌷捤㝤㠸㍡ㅡ摣ㄷ挰ㄵ㜰㐷扡㠲㕢敤ち敥㡢㌰ㄲ㜰ㅦ㠳㉢ぢ摣㑣㉡㤴㐸昹㤳昸㈸づ㘱摦つ晡㘳㔱㥣愰㈷挳昱㘸㉣㔴攵〳挰挶攳㔹搵㘴挴㠷ㄳ昸っ慥捣慡㔲挱㐴搲ㄷつ挷㘳ㄹ㝦㈴㥣昶㈵〲㠱㔸㈰敤㝤挹㜶㙦戶挰挶㝣〲挴晢戲㘶戵ㅥ搴㕦搱㉣㉡㠸㙡挵慢㘰㜵っ戸ㅢ攰ㄹ晦ぢ挰㝤㑤昳て愲昰㌹㐶㌲㤶愹㘵愱扦〵㙥㌰〷摣ㄷ愰㐱㜰摦㠴扣㄰挶户㕣戹慣攱ㄷ㜰㕦㠴戱㝡搷㔵攷㝤捤㝤㤹㍡ㅡ摣て挰ㄵ㜰〷㍡挱捤ㅥ搴昷㜶〵昷㝦㘱㈴〷昵搷攰ち〷昵て搱ㄶ戰㕦㐷摢摥㤳晤戱㐰㍣ㄵ挳扥ㅢ捤〴愳㐹㕦ㅣ㔰挶㜰㠴昷〷㌲㠹㜰㈲ㅣ㌲摥挸慡㘲ち〰搳戸㉦㥣〹攲ㄳ㍣敡㡢㈵愲㠱㐸〰㤷㘳㘱ㅦ㉥攸㝣〱敦㐷戶㝢昳㑤搸㤸㙦㠱㜸㔹戹㉦㝢㜲敢改搹㈷㥡㤵搵慡昸ㄴ慣㡥〱㥢㡦〰攰㝦〱搸㥦㙢晥挱ㄴ㝥挸㜸㈷㌱搵㕦㠲㙦㠱扤㔳づ搸㥦㐰㠳㘰晦ㄳ昲㐲戰扦㜲攵晥ぢ㕣〱晢㌳ㄸ慢㙦㕣㜵扥搳摣㉦愸愳挱晥〱㕣〱㝢㕢㔷戰㝢戹㠲扤ㄱ㐶〲昶扦攰ち㘰晦㠸戶㠰晤㌵摡ㄶ搸㍥㝦㈸㡥㙢慣㑣ち挷㕦㕣㜳〷愳㔵昱㔸㈸㥡挰〷㜳搸ㅦ挴㉦㌴ㅡ摦㘴㔵昱㤳搷攱㜴挰ㅦ㐹㐷搲搰づ挶ㄲ㤱㔰㈴ㅡ㑣㐴㐳晥㜸〰挷㜱扦昷㈷摢扤昹㉤㙣捣敦㐰扣慣昵捦〳晢ㄷ捤捡㙡㔵晣ち㔶挷㠰捤㠷〶昰扦〰散摦㌴晦㔰ち㌷㌱摥㘹㑣㌵㥦㈵戰挰敥㥣〳昶敦搰㈰搸㝦㐰㕥〸㌶ㄷ㕦ち戹㑣扤㠰晤㙦ㄸ慢㔲戴ち㜵㍡㙢㉥㝦〰㍡ぢ戶〱慥㠰晤挷慦慤㤷摥慤ㄷ㕥㥢挱㉤㕣㔷改〲㈳晣挷て搲挳ㄵ挰㉥㐷㐳挰㌶搰戶挰挶㐱㍣㠱愵㤳戸㍦㕤ㄵて㠶㤲㠱㌸搶㔷㠲㠱㜴㈸ㄸ㐹㔴〵㈲搱愸搱㈵慢ㅡ㡦〷㝣㐹㕣㝢㔷㠵㔲晥㘰㌲㥤㠸㔷㠵㤲㠰摢敦挷愷㐰ち㥦摦㕥搳㜶㙦㤶挳挶㌴㐱扣ㅥ捤㙡摤戳扢㙡ㄶㄵ㐴戵愲ㅢ㔸ㅤ〳㜶㜷㜸〶ㄲ〵㘰昷搰晣愳㈸散挹㐸愶ㄳ㙣㉦昸ㄶ搸㕦㈱愳慤敢㉣摢㐰㠳㘰㙦〵㜹㈱㘴㍤㕤戹㕢㠳㉢㘰㙦〷㘳戵㡤慢捥戶㥡晢ㄷ敡㌰〲扥戶〷㔷挰晥搴〹㜶昶〴散㘳㔷戰㜷㠰㤱㠰扢㌳㕣搹㝢㜲㔵㉣ㄳ㑢㐶慢㐲㔵〹㕦㌰㠲戳昱慡㈴㡥摡㠹㔴㈰㔴ㄵ慣挲〹㤷搱㍢慢㡡捦㘲散扤㔸㐴㠹〶㔲㐱㕣㘲攳㌴㉣ㄱて㠵㜱搵ㄵ㐹晡晣昱㤸㜷㐷摢扤戹ぢ㙣捣㑡㄰敦㑥㥡搵晡ㄹ扤戳㘶㔱㐱㔴㉢㝡㠳搵㌱攰敥〲捦㙥攰㔶㙡㝥㤲攰敥挹㐸ㄲ㑣㙢ㅦ昰㉤㜰㕦换〱㜷㙦㘸㄰摣摤㈰ㄷ㜰〷㘰㐳晦愹扥慥摣摤挱ㄵ㜰〷挲㔸昵㜷搵搹㐳㜳㝤搴㘱〴㝣敤〵慥㠰晢愲〳㕣愳ち㉡挵ㄷ搱㕥㜰㐵㕣㠷改摤ㅢ㉥〵晡㈰扣㔸搰愷〲㠱愰㉦㥤㡥㈶搳改㜸㌰㥣昲攱晣ぢぢ敢㐹㑣〵㕦㍡攴ぢ〵㡤㔰㔶㌵敡㑢㐶㜰ㄸ㠸㈵㜸㝡ㄶ㠸㐵愲㈱㝣愴㐷㜱ㄹ㤶づ㠰㥤昶㝢昷戱摤㥢㘱搸㤸ㄱ㄰敦㐰捤㡡㤲ㄵ㈳㙢㕦捤愲㠲愸㔶昸挰敡ㄸ攸晤昰㑣攸㡤晤搱㔹敥昵搶㘰㜰㕣㉥捣づ〰㍢晦㌲慣捡昶㈲扦㔲㙥づ㘵摣戳〸㔱㄰㝣㙢愲㍣㤶㌳㔱慡愱挱㠹ㄲ㠲㕣㈶㑡捥㘵㔸搸㤵ㅢ〱㔷㈶捡㐸ㄸ慢㤸慢捥㝥㥡㝢㈰㜵昴㐴ㄹっ慥㑣㤴㌵㡥㠹搲㝡挸扦摦㜵㑥ㅣ〰㈳晣挷㡦〱挰ㄵづ昹㐳搰㤰愹㌱づ㙤㙢㙡㔴㘱攱㉣敡㡦㘰㡤摣ㅦ挰㘷㌵慥搱ㄳ昱㘸㍡㤳ち愴㜱㤲㠶昵㔳㘳㝣慢㙡㈶ㅣ㐸攱愰ㅦ㡦㈴㜰て挶捦扢㌱㌸㤵挷改㐱㍣㠶㘵搶㔰搸㍢搴㜶㙦㑥㠰㡤㌹ㄱ挴换㠷ㅣ搸愳搹㝡挸ㅦ慥㔹㔴㄰搵㡡㙡戰㍡㘶㙡㡣㠰㘷户愳挲㐸捤㙦㘰㜰㠷㌱㤲㝡愶晡㐰昰㉤戰㔷攴㠰㝤㈴㌴〸昶㘸挸ぢ挱ㅥ攳捡ㅤぢ慥㠰㝤ㄴ㡣搵㌸㔷㥤昱㥡㍢㠳㍡㡣㠰慦㠹攰ち搸搷㌹挱捥ㅥ昲慦㜵〵晢㘰ㄸ〹戸㐹戸戲挰挵㉤㤲㐰㌸㕤㤵捣攰㕡ㅢ㠸㠵ㄳㄹ㝦㔵捡㡦搵昱㜸㈴㠰㘳㜹挲㐸㘵㔵㜱㠲ㅥ㡦攰昲㉢㤵㡡挶㠲攱㘸㉡ㄶ昵攱散㍥ㅣづ㐷㝣㐹慣扣㐶扣㤳㙤昷㘶ㅡ㌶㘶〶挴㍢㐵戳㕡て昹㔳㌵㡢ち愲㕡㜱〸㔸ㅤ〳敥㌴㜸㜶〳昷㔰捤㥦㐳㜰ㅢㄸ㐹㌳搳㝡㌸昸ㄶ戸㡢㜳挰㙤㠴〶挱㍤〲昲㐲㜰㡦㜴攵㑥〷㔷挰㙤㠶戱㍡摡㔵㘷愶收捥愵㡥〶㌷〱慥㠰㝢㥥ㄳ摣散㘵搹戹慥攰㈶㘱㠴晦㔸扥㠴㉢散挹㈹㌴〴散㤳搰戶挰㡥㘴㜰昷㌳ㅤ㡦㘷ㄲ㝥㍦㑥搶㜱慦㈴改慦㑡㘰㕦收㥤㤰愰扦捡㔸㤰㔵㡤㈵㐳㔵㤹㈴㔶㔵攲㔸㠳㑤昹㌲戸㑣て㈴㈲㘸㔷㘵㌲愹㜸㌰收㑤摢敥捤㤳㘱㘳㥥〲攲捤㘸㔶敢㥥㝣㡣㘶㘵戵㉡㘶㠱搵㌱㘰搷挰戳ㅢ搸挷㙡晥㐹㑣捦戹㡣昷㐴愶扡ㄶ㝣ぢ散ㄳ㜲挰㍥ㅦㅡ〴扢づ昲㐲戰敢㕤戹つ攰ち搸ㄷ挲㔸ㅤ敦慡搳愸戹㡢愸愳挱㙥〶㔷挰㍥摥〹㜶㜶㑦㙥㜰〵㝢㉥㡣〴摣愵㜰㘵㠱ㅢ㡦㔵㘵㐲挹㤴㉦散て攰㤲ち户㌴挳㝥㕦ㅡ㥦攴㠱㔴〰㡢攴㐹㥦㜱㐹㔶㌵ㄴづ㐴ㄲ扥㔰㍡㡤戵昵㘰㔵㤵㍦㡡挳㝢㈸ㄵ㑣㐷㌲昸〴昷昹㠳摥ㄳ㙣昷收愵戰㌱㉦〳昱捥搳慣搶㍤㜹扥㘶㔱㐱㔴㉢㑥〴慢㘳挰㍤〹㥥摤挰㕤愰昹愷ㄳ摣㙢ㄹ挹㘹㑣敤㈹攰㕢攰捥捣〱昷㝡㘸㄰摣㔳㈱ㄷ㜰昵㔹ㄱ㡣㜰㙦换㤵换㠷㌳〴摣ㅢ㘱慣捥㜴搵㌹㕢㜳㙦愶づ㝤昱㜵㉥戸〲敥ㄱづ㜰㡤㕢愰㔲晣攴敤㌰㔷挴ㄷ挲ㄳ晥㘳㤵ㄲ挶搸扤捦㐳㐳㘶挰㑡戴敤摤㍢㠰慡〶摣捥挶㈵㔹㌴攸挷捤㉤ㅣ挱㐳戸慡捥〴㝤㔵攱㌸㉥挴㙦捦慡攲扣㍥ㄶ昶昱扥㔸㈸ㅤ㑣〴㜸挷㈴改㑦〴㘳㔵㌱㉣捤昹㝣㍥敦昹戶㝢昳づ搸㤸㜷㠲㜸㉦搰慣扢挸扡㥢慣ぢ㌵㉢慢㔵㜱ㄱ㔸ㅤ㌳〳ㄶ挱戳捣〰㥥挳㤹㍣㙤㌳㜹㤲收㕤慣昹攷㌲㍤昷㤳㝦づ㜳㝦㌱昸搶っㄸ㥤㌳〳ㅥ㠴〶㘷挰㔲挸㘵〶攴㥣㤵㕤攲捡扤ㄴ㕣㤹〱て挳㔸㕤敥慡㜳㠵收㍥㑡ㅤ㐶挰搷㌲㜰㘵〶っ㜷捣㠰搶〲㠷愱慥㘰㕦つ㈳〱昷〹戸戲㍦愸㔳挹㐸〰换愷〹㝦挰㡦扢ㅥ挱㜸㉣散挷㜹戸て搷搶㔸㘰㑢㐵㡣戵㔹搵㘴扡㉡攲挳㡤搱㘴㉣㠳摢愲㤱㔴㌴ㄸ〸愴㌲㐹㕣搹攱ㅣ㍦㠴㔵㤶㙢㙣昷收㍡搸㤸㑦㠲㜸晦慡㔹慤扢昷戵㥡㐵〵㔱慤㔸づ㔶挷㠰㝢ㅤ㍣扢敤摥㝣ㄶ㐴昸ㄷㄱ摣ㄷㄸ挹㠵㑣敢㡤攰㕢攰晡㜳挰㝤〹ㅡ〴昷㈶挸ぢ挱扤搹㤵扢〲㕣〱昷ㄵㄸ慢㕢㕤㜵㔶㙡敥〶敡㘸㜰敦〰㔷挰ㅤ攰〴㌷晢㐱扤愷㉢戸㜷挲〸晦昱攳㠲㜰㠵㍤昹㉥㌴〴散户搰戶挰づ〷㌲ㄱ摣慦づ㘲愱㉣ㄲ㡣〵㜰㐹ㅥ〹愰㘲挵ㅦ挳㌵㔹㍡ㅥ昶ㄹ㙦㘷㔵㌳扥㐴〸戲㔸㈶㥣〸〴戱㈲ㄳ㡦晡搲晥慡㘸㄰㡢㉥㠹〸㑥散扣㜷摢敥捤㜷㘰㘳扥ぢ攲攵ㄳㅥ散搱㜱捡㝤㡦㘶㔱㐱㔴㉢敥〵慢㘳挰扥て㥥摤挰㕥慤昹㤷㌰戸㑦ㄸ挹㔲愶晡㝥昰㉤戰晦㤲〳昶攷搰㈰搸て㐰㕥〸昶ㅡ㔷敥㠳攰ち搸㕦挲㔸㍤散慡昳愸收㝥㐵ㅤ㐶挰搷攳攰ち搸㕢扢㠲扤㤵㉢搸㉤㌰挲㝦晣㙣㈲㕣〱㙣㍥挲㈱㘰㝦㠷戶〵㜶ㅡ㠷攸㐸ㄲ换摤㔱晣搴㝢ち㜵〹扥㔴挸㡦昲愵㈰㡢ㄶ搲扥愸昱㝤㔶㌵㠰㍡户㜰摣ㅦ挵㜲㕢㌸㤸〹挵攳戸〵ㅡ㑦愱戶㉤ㅡつ昹愲愹㤴㜷慤敤摥晣〱㌶收㐶㄰敦㍡捤㙡㍤㉢㝢㔲戳愸㈰慡ㄵ㑦㠱搵㌱㘰㍦つ捦㙥㘰㍦愳昹换㤸㥥摦ㄹ挹㤵㑣昳戳攰㕢㘰慢ㅣ戰㑢㔰㤰㑢戰㥦㠳扣㄰散扦戹㜲㥦〷㔷挰㉥㠵戱晡扢慢捥㡢㥡摢㤹㍡㡣㠰慦㤷挱ㄵ戰㝦晢挵戱㝥㥡㍤㉢晢ㄵ摣挲昵搳㔷㘱㈴攰㤶挳㤵〵㉥捡㑤㠲㤹㐸ㅡ扢愶ㅦ扢㙥㉡㠶ㅢ摣㤹っ㤶挵㘳㠱㄰㤶搵㌲㌱挳捣慡㐶㜰㝣捦挴㘲〹〰ㄹっ㘶ㄲ慣㕥㑢攳慡㉣ㅡ㑢晢挲㘹㔴戵㜹㌷搸敥㑤㝥攳慣搹ㄵ挴换㈷㐷㘴㑦㙥㍤㙣扦慥㔹㔹慤㡡㌷挰敡ㄸ㜰摦㠴㘷㌷㜰摦搲晣攵〴户ㄷ攳扤㤶㘹㝤〷㝣ぢ摣㉦㤱挱搶昵搲敤愰㐱㜰摦㠵扣㄰摣昷㕣戹敦㠳㉢攰晥〵挶敡〳㔷㥤て㌵㜷㐷敡㘸㜰㍦〶㔷挰晤搸〹㙥昶戰晤愱㉢戸㥦挰〸晦戱㑡〹㔷搸㤳㍦㐵㐳挰慥㐴摢晥㡣づ㔴攱散〹㈵㠴㠹慡慡㈰敥㘲㘱㐹㍣〴㔴㝤㔵㌱㍦敥㔰㠷〲挶慥㔹㔵摣昳挲摤敡㜴㉡㠰㌳昴㈰㡡㕤ㄲ㔸㉣㡦㐶愲戸攷ㅤて㈶㐳戱戴昷㌳摢扤搹〷㌶收㙥㈰摥捦㌵慢㜵㑦晥㐲戳愸㈰慡ㄵ㕦㠲搵㌱㘰晦ㄳ㥥摤挰晥㑡昳㙦㘶㝡昶㘶㈴㌷㌱搵㕦㠳㙦㠱晤㑡づ搸晢㐲㠳㘰㝦〳㜹㈱搸㝣㥣愵㤰晢ㅤ戸〲戶ㅦ挶敡〷㔷㥤㡤㥡ㅢ愰㡥〶晢㈷㜰〵散攷㥤㘰㘷昷攴攷㕣挱晥〵㐶〲㙥〴慥㙣㜰㝤愱㜸㌴ㄸ㐹㘶ㄲ愱㘸㄰㍢㜱㌴ㄵづ愶㝤㈱愰敢慢㑡愷㠳㘱㈳㥡㔵慤昲㘱昱㍣㠴㤳㉥ㅣ搶㠳㔱㕦㌸㥥挱〲㕡ㄲ㜷戴㜱〱ㅥ㑣愶㐲摥㕦㙤昷㘶っ㌶收㈰㄰㉦ㅦ㐸挹摢㤳㝦搳慣慣㔶挵㘶戰㍡〶摣摦攱搹つ摣㍦㌴㥦㍦愳㘵㔶㌳摥㤵㤲㕡摣㤱戲挰㝤㌸〷摣㔱搰㈰戸㡡㜷慣㘸㤲㜳㜶㕤敡捡敤〴慥㠰㍢ㅡ挶㡡㑦戱ㄴ㕡ㅡ㥡㍢㤶㍡ㅡ㕣㍥㠳㈲攰晥㡦㉢戸昷戹㠲敢㠱㤱㠰㍢〱慥㉣㜰挳㜱㕦搴㠷挲搱㘴〲换㘰搸〳愳㘹慣㔷愶㔲晥㐰㈸ㅤ挶挲㐷捣㤸㤸㔵㑤愶昱攱ㅣぢ㔶㠵㝣愸㔲挱慤㙤㉣㜴㘲昵挴㠷㝢搸戸搱㤵っ㠴扤㕤㙤昷收㈴搸㤸〷㠳㜸昹搸㑡ㅥ戸摤㌵㉢慢㔵挱㈷㔹㍡〶㕣㍥晦攲〶慥㔷昳敦㈱㔲㐷㌰摥㔵㑣㉤㥦扣㄰〸愶㠳㐵㐳扥㔴㉦捤㍤ち㕣つ㠱㤷て㌹㘰㡥㤴㤸㐷㠳摢扤㔳ㄹ敢攷㕤㝦㠸挴慡㔵㥦㠲慦㤷㑦て慣ㅥㅥㄹ㌸㜲㕥㌲㕤换㥦㝥㐱㐵㍢㍥晤㑢戶愹ㅢ搳㠴捤㜴㘳搳搴㠶㘱昲㔳㈴㝣昰㘱㉢㕤昴㍥愰敥挰㌹㌵㈹㝣摢晣敥慤ㅣ晤扢㍦摡㙣㘲㘳搶慥㝢慢ㄶ扥〰㝢㥢搶㔶㌵㥥愸㐸捦㙢收㔷扥敦搸捡挵㡦㍣攱愷㘷搲㈹敤戱〹㌳戸㜳㘹㈷戵㑦昱ㅦ戰ㅡ搵㤸戴ㅦ㈷搱㙥㥡㜶挶㌰㜶㜴昹㝡晢攱㌵捤昲昴挸㑥㑣愳戹〳㌲㘴捣㐴戶扡っ敥㕢㍤扥㙦搴㔷戶ㅣ昳昴晦搶ㄳ搳摦晡㜴〶晢攵㥦挷㑣㄰ㅡ㍥㥣㐰ㄸ㤴挹〷㈰㡣ㄴ㜸㍤搱搵戸扥晥㐸扦㍥㠳㉡晢昴敢㍢㡣扤㕥㡤㕥昷㜲ㅢ摦㠸㠶扡㜸㑤晤㐰っ㔰㡦㙣㘴晤㥣扡摣㉥㜷戱㝡㐴㤷ㄹ㜶挹昳て晡㈳㔷昱㔱〹づ㐹ㅡ晤搰攸㡢㉤昳〵㤲扦㤳扣〸愲㉥㠷挲㍢昸敤戸戵㘵昳㙦㠸㥥㔳㌲昴挱㑦ㅥ敤搹攵搹ㄷ〲敡㌲㕢搰㝢搵㌵㘳㕥慣㝥㜰捣慤搳㠶昵㙤搹㜴攵ㄲ戵㈷㍣挹慣慣㐵㡦搹㔹㌹㐰㜳敢ㄸ〷㍤攳攵摤〷㕣㤹㤵昵攰㜶敦愴㔸捡㙦愵㠴捦っㄸ戳挱戵戲ㅦ〹愸挵攸㔰㠷敢㌱ㅢ改㠶㌵晤㤶㍡㥦ㅢ㌰昸㘳〰〵ㄹ㠴攵〵戰搴愳挶㡦㐴搳㤲㌵昸㙥挳㍤愷搸㜰捦戶〵㑢㍤㌳㥦㍡昰扢㝤㈶慥敡㌴晢㤶㌳扥摢攳ㅡ㌵ㄴ㥥㘴戸ぢ攰㌷㍢㕣㈹挲㘷ㄲ㑦㘶㙦㝡戸㉣扢㤷攱㥥〲㉥㜶㐲㤶挹敦攷〶慤晣〰捤㐰挷昳㈱〳㌰㠷昱㍢㌲改ㄴ㝥搹㘱㌶㜶㠱昹㈳敢㥢ㅢ昹㍤㈰㈵㥤戰慦㤵挹〴攸㕣㍡攸捦昹攲〳㘷㥣㥢㝣㤵㥤㡥㠱晥㝦昸攱㔸㜳㘷㍣愷愰㜹ㅡ搳挰〲㝣ぢ慥㌱搸㌲捥〰㙦敢挱㝤㠷ㅤ攲㥣昰昸㑡㝤㜵㜲づ㕥㘷搱㤴挵晤㤶改㔸㥡㥥〳㕥㌹㑣愷昵愵晥㝣攸户捥㡣㠵搴攷戹㤷㠶㕣昱㌱〰㉤㔷慣扤㜷㐳扥搹〶戸㘰愲㌷搹㠲〳ㄷ㉥ㅦ㄰晥慡㜱攲敡愳摥ㅢ晦敡攸㘹㕥㜵ㄸ㍣〹昲㡢搰㘳ㄶ昹㈳㌴㜷㌱攳挰搸昹昲㑥〷㔷㤰㕦〲㉥㈶晡㑣戴㠹扥㙡㠰㜷愶㕣戲戴㤴㈶慣㕣户㠶ㅡ挷㤶㜱㈹㜸㤸搴㜹㔹㡡愹攳㘰愴㐷攸㌱㉦愷㈵㡢攲㉤㑢搶搵ㅢ㔷㠲㠷扤㠷㐹㡡愹㘳愰慥㜳㠰㕦㥢愵㝡ㅤ㤴摣㌲㤱㠰慡敢㉥ㅦ户〵㡢挷㝤㜴摤㠶㔱㥦㡤㝤攸㠱㠹摦慦扡㜷㝥㐴捤㠶㈷挹挴㜵昰㥢捤㠴㔴愶ㄳ晣敢搹㥢捥〴㙢搱㈵ㄳ㌷㠰㡢㑣㥣㠸戶ㄵ昴㍣㙣ㄹ㌷㠱㙢敤昲㠱㤸㍡㌲㈷攸ㄵ㜴挳搲㙦㑢㥤攵攵挶慤攰ㄵ散昲戰㍣ㄴ㤶慤搹㔹㐹㑢㤶㙡扢つ㜷㜲戱攱ㅥ㙣ぢㅥ搹㜴㜵㜸㘴晦㈷慢㉦敡攵扤㝤挶㥡㔱摢㈹㤶㜴换㜰㔷挱慦ㅥ慥㜷㈱戸晣㔳攷㘹昱㍤散ㄶㅣ扣㘱㕤ㄶ㕣ㄹ昷扤㘸㘲摣慣戵㤶ㄹ㌰ㅥ摤㘴㘷挰㙡㥡戰㉥摡ㅡ攳ㄲ㙣ㄹ昷㠳㔷㌸〳愲㙡㑣捥ㄸ搷搰㤲戵搲㤶㈵敢戱㡤㠷挰戳㘷㐰㔴㡤㠴㝡敢っ㜸㠴敡慣戶搶㉣挵慡㙢㥤㌲挵ち㘶户㘴つ戵㜳㔲戰㤷っ戱〵㌵摦慢㡦昷㍢改愵〹愷扦㝥㤳敦戶つ敦㍥愵㔸攴㉣挹㕡㡢ㅥ㜵戲搴昵㥡扢㡥㜱㌰㙢捣ㄱ敢㤵㈵㐷㑦㠲㡢ㅣ摤㠶戶㌵ㅣ㤶ㅦㅢ㑦㠳㙢㝦ㅣ㠴㔴㉣㘷㌸敢改㠶攵挱㤶晡慤㔴㝦づ扣㠲戹ㄱ〹愹㄰㉣昵㐰㍤收昳戴㘴㌹慦摢㜰㝤挵㠶扢慦㉤㔸搶㜰昲〱㥦ㅡ㠷㔴慦晥敡㡦㙦㑥㍣㘶攳捤㡡㘵扦㌲摣㔷攰㌷㍢摣㌵㥡晢㉡㝢搳挳㝤〸㕣ㄹ敥〶㜰㌱摣ㄶ戴慤昸ㅦ挳㤶昱㍡戸搶㜰挳㔱戵㘷捥㜰摦愴ㅢㄶ捣㕡敡㉣捡㌵摥〶慦㘰戸戰摣㍤㘷戸敦搲㤲〵慥㙥挳慤㉣㌶摣㕤㙣挱戵ㄳ㝦搹㙢昳㤵㤹搱搷扥㍤晤昳慦〶摤㌳㑤扤〰㑦㌲摣て攱㌷㍢㕣愹㜰挵㈸捤㡦搸㥢ㅥ㉥㙢㕡㘵戸ㅦ㠳㡢攱戲㌰㔵昶㠰ㅤ攱㍤扢〷㝣㑡㤳㌷㈱戲㠶挶㙡㔵攳㜳昰ち㍦㈹㝣㘱戵㕤捥搸扥愴㈹㑢㑦㉤㔳㔶慦ㅡ㕦㠱㘷㝦㔲㐰㝦㙢攸敢〹敦㌱扦愶㍥敢㍦摤㜲搱挳ㅥ㜲挱㑣敦㙥ぢ㌶㌴㉤ㅡ㜲㔹㉡㌶晣昲㐷〶㍤扦昹扡摤㕦㔳慣ㄳ㤵㕣㙣㠴摦㙣㉥愴〰㤴戹昸㤱扤改㕣㝣〱㕤挹挵㑦攰㈲ㄷ晦㐲㕢㜲㘱挲㝢㌶ㄷ扦搰㠴搵㤳搶㠰㔸捣㘹㙣〲慦攰㘸㄰㡤慡㌲ㄸ戶捥敡捤戴㘴㘱愶㘵挹摡㑥攳て昰慣愳〱搴ㄵ搴㕢㌳㔱㔲づ昵㑤㔰㜲换挴收㥦㡢㝣ㅥ晣㘶ぢ㌶㙥㝡㘳㐳搷㙤扥慡扥愶晢㄰攳晡㉢捦㕡慤㔸㐴㈹㤹㌰攰㌷㥢〹愹㡥㘴㈶扡戰㌷㥤〹搶㐳㑡㈶捡挱㐵㈶捡搰㤶㑣晣っ敦搹㑣㜸㘸挲〲㐴㙢㍣慣㜴㌴扡㠱愷愱つ愹ㅦ愰摥㍡愰ㅥ搴㘷㈹愲愵捦㜲㐷挳ぢ㥥换㉣ち愹㙦㘰摡㥡扡㥥㌴敤〹〳户㕣㝣㘹て戹㘰㔶㝣㘱ぢ晥昶摥〳ㄳ㈷㑤㕦㌳收捥敤㥢㡦摢扣㔵挵ㄱ㡡㌵㠶㤲㡢敤攱㌷㥢ぢ㈹ㅥ㘴㉥晥挲摥㜴㉥㔸㉥㈸戹搸〱㕣攴㠲㐵㜹搶〰㜶挶㤶戱ㄳ戸昶〱㈱愶㍥捡ㄹ㙦㙦扡㘱㜵㥥愵摥㥢敡㤵攰ㄵㅥ㄰㘲敡ㅦ㌹挳敤㐳㑢㔶搳戹つ昷敤㘲挳㝤换ㄶ晣㌶㙢搴扡㙤ㅢ㥦慥㕥㜶摢㡦ㄷ㉦㕦㜲搳捥㙡㙦㜸㤲攱敥〱扦搹攱㑡㌹ㅤ㠷扢㈷㝢搳挳㘵〱㥤っ㜷㉦㜰㌱㕣ㄶ愲㔹昱〷戱㘵散つ㉥昰挵戵ㄷ扥〷㔸扤㥡㌳摥㠱昴挳㤲㌴㑢㥦㘵㙦㠶て㍣攰㥢㝢〱㐵搳ㄷ㜳〶㕣㐵㔳ㄶ戸㘹挸ㄵぢ摤昴搴㔱慣ㄷ㜳㑢挵㜳挵㔲昱慣㉤㌸㙦㝤慦ㄷ摦攸㝦昵戸㌳敦ㄹ昴挵㈱慦㌵㝤愴㔸㔷㈶愹㠸愲挷㙣㉡㐶㙡㙥㡣㜱攸㔴戰㐴㑣㔲㌱〸㕣愴㠲㜵㕥戲ㄷ㍣〵敦搹扤㘰㝦㥡戰㈶换ㅡ昵㌸㙣ㄹ〷㠰愷昷㠲㉡昵〴搴昵㔰㍣收㔰敡戳㍡换搲㘷〵㤸㌱ㅣ㍣㤷扤愰㑡㍤ち㔳㥤ㄲ晣㌴㌳㑤㔹㑥攵㤶㡢㌵昶㤰ぢ昶㠲〷㙣挱收㤷捦㙥扥敦㡡㤳挷㕦㌶㈴㜰昵愰㥢搶ㅦ愶㔸㜶㈵戹ㄸぢ扦搹㕣ㅣ愵戹〷戱㌷㥤ぢ㔶㔰㐹㉥挶㠱㡢㕣愴搱戶〶挰㠲㈸㘳〲戸昶㕥㄰㔶昷攴㡣㜷ㄲ摤㜰㤵挲㔲㘷㔱㤴㌱ㄹ扣挲扤㈰慣敥捣ㄹ敥㔴㕡戲挰挸㙤戸户ㄶㅢ敥㉤戶攰㕦晤㠷㍦㥥扡敦戹〳敦㠸㑦〸㑦搹晦搱昳㔵㈳㍣挹㜰㡦㠰摦散㜰㥢㌵昷㐸昶愶㠷换㥡㈲ㄹ敥㜴㜰㌱㕣ㄶ〶〹昴㌷挲㝢ㄶ晡愳㘹㜲㌲㐴搶搰㔸㉤㘴捣〴慦㄰㑡㝦㐰㉤捦ㄹ㕢㠲愶㉣晤戱㑣ㄷ搰㌴〵㥥㍤㙢愰㝦㌵昴㕢㘷㑤㠶晡慣扦㜱换挵攵昶㤰ぢ愰扦捣ㄶ㜸㕦ㅥ㜵㑤㙤戴㑦昵㌹㌳㕦㌸㌶戳昴㠳戳ㄵ敢㜴㈴ㄷ戵昰㥢捤挵㠵㥡㕢挷摥㜴㉥㔸㜲㈳戹愸〷ㄷ戹戸ㄴ㙤㉢敡愵搸㌲㘶㠳㙢㐱ㅦ昱慢挵㌹㐱㌷搲つ㉢㕣㉣㜵㔶搱ㄸ捤攰ㄵ㐰て换ぢ㘰搹㍡搳攷搲㤲ㄵ㈹㙥挳㍤愷搸㜰捦戶〵㠳㕦㔹晢搲改晤㉢㈶摥晤昱㠳愳㈶㙤㝤攷㌸挵捡ㄵㄹ敥〲昸捤づ㔷㑡㔲㌰㑡昳㘴昶愶㠷㝢㌳㜴㘵戸愷㠰㡢攱戲㘸㐴愰㍦ㅤ摥戳搰㥦㐶㤳㍢㈰戲㠶挶㑡ㄲ攳っ昰ち捥〲㘲㔵敡攴㥣愱㥤㐵㑢㔶㠵㔸㤶㉣㉣㌱捥〱捦㍡ぢ㠰晡㝣愸户〲扦㤰敡㉣ㅢ搱挹㔱㉣ㅦ搱㜲挵㥡つ户ㅣ㌵摢愹㈸㤸ㄲ㑤戶攰㠹㤲㤳㙥㠹敦晥挵挴搳扤㙢㜶搸㙦㥢捥㌳ㄴ㙢㍢㈴㐷㡢搰㘳㌶㐷㔲戴挱ㅣ㉤㘶ㅣ㍡㐷㡦㐲㔷㜲戴〴㕣攴㠸挵㄰搶㜰㔸㜵㘱㉣〵搷㥡ㄲ㔱扦慡换ㄹ捥愵㜴挳慡〸㑢㥤㤵ㄷ挶攵攰ㄵ㑣〹㔸搶挰㔲㡦摡㘳㕥㐹㑢㔶㌱戸つ㌷㔵㙣戸㐹㕢㌰昶戴㝤㕦㕤戶敡戵㠹㑢㕥㝢攵晣敢慦㕤昶㥤㘲戵㠳っ昷㕡昸捤づ昷ㄵ捤㕤捥摥昴㜰㌷㠰㉢挳扤づ㕣っ㤷搵〷㌲㈵㘶挰㝢㜶㑡摣㐰ㄳ㔶ち㔸㐳㘳㐹㠲㜱ㄳ㜸㌶戰㍥㜵㈴戴㌵㜰ㅥ㜳〵搵㔹㌲㘰愹戳㉣挱戸ㄵ扣挲ㄹ攴㔳㠷挲戲㌵ㄳ㉢㘹昹〹昴摤㌲㌱搹ㅥ㜰〱昰〷摢㠲㔰攳㜷㌷づ搹敦㤹㜱ぢ㐳攳㌷㉥攸扥㝣㝦挵㔲〰挹挴㉡昸捤㘶㐲敥昱ㄳ昸㝢搸㥢捥挴㔷搰㤵㑣摣ぢ㉥㌲挱㕢昳㤲㠹昱昰㥥捤挴㙡㥡昰㌶扡㌵㌴摥慦㌷敥〷捦捥㠴㕦㡤㠱㜶㙢㈶搶㔰㝤㘳㔶晤㝢慡㍦〴㕥㘱㈶晣㙡㈴㉣㕢㌳昱〸㉤㝦㠷扥㕢㈶㠶摡〳㉥挸挴㄰㕢搰昵愳昷㠷扥ㅤ㍡㙡挲慡晡㡢㉥摡㜷㜲㍤㝥㈳㠹㈷攸ㅣ昳㕡昸捤㘶愲㔴㜳搷戱㌷㥤㠹捥攰㑡㈶㥥〴ㄷ㤹昰愰㙤つ户ㅣ㕢挶搳攰ㄶ捥改㉡ㄵ换㠹㝦㍤㍤昲㙥戴㘵挹ㅢ摡挶㜳攰搹㍢㑦㤵ち㐱扤㌵㔱捦㔳扤ㄷ㤴摣㠶敢㉢㌶摣㝤㙤挱晢㝤㉥晣慤晢ㄹ㌷㡦扡攳戱敦收摥改扤攱㔷挵㍢挷㌲摣㔷攰㌷㍢㕣戹㈵捣㈴扣捡摥昴㜰㜹ㄳ㔸㠶扢〱㕣っ㤷㜷㜲〵昸〱昰㥥〵晥㜵㥡昴㠱挸ㅡ㑦㈵戶㡣㌷挱搳攷㐲〱搵㍦㘷㐰㙦㔳㝦户慣㍥敦昱ㅡ敦㠲㔷昸〱敡ぢ愸摤㘰摡ち晤晢㌴攵つ㔳户㕣昴戶㠷㕣〰晤捥戶㘰昵㔹捦㔷㝣㌲慢㙥攲搹挹ㅢ㝢㝦扦晥搹㘷ㄵ㙦慣㑡㉥㍥㠶摦㙣㉥攴㡥㈹㜳昱〹㝢搳戹攰㍤㔲挹挵愷攰㈲ㄷ扣挷㘸つ㤸户㍣㡤捦挱㉤㠰㍥ㄲ㔵摢攵挴晦㈵㍤づ捡㕡㐶㘹昹ㄵ㜸ㄶ昴㔰摦ㅡ敡慤搰㝦㑤昵㙡㈸戹つ户㐷戱攱㜶户〵㉦敤㝢㔶㜸摢户ㅦ㍢㘸挵搰㤳㡦摦㜱㔳攵㤹㙡ㄴ㍣挹㜰㌷挲㙦㜶戸愳㌵昷㐷昶愶㠷㍢ㄶ㕣ㄹ敥㑦攰㘲戸扣敢㘶つ㤷㌷〱㡤㕦挰㉤ㅣ㙥㔰㜵挹ㄹ敥㈶㝡攴つ㍤换㤲昷〴㡤捤攰搹挳つ慡㑥㌹挳晤㠳敡㐷㐰挹㙤戸㝦晣㔴攴摡昷㜷㕢㔰扡捤捤㥢㐶晥㝡昲愸㐵㤹挵㌵摥㝥换昷昴㑥㠷㈷ㄹ㐲㘷ㄳ㘰㤶㤱ㄸ㈰ㅥ㉦㙦挷㠹愰ぢ㥡㔸晣攷㡤㌸搷晢㍡搶攲扦昵㌳摤昸捡慥㜴㤳㌰㉡㤰愳戲っ敦戵㜵捤昰㥢扣搲昲㕢攱昸㥡戱㥡摡㕡昹㠶慥㙥昸挵敥挶攳搲㡤攳昰〳昴昸㥤敥㈹㌵㜵昶搷㑥攱㠷改㜹ㅢ㑤晦㈶戴㈹㉤慥昹ㅢ㤹㠹㡤昸㤱攸㉥㤹㌱㑤昸㤹晢㔴㜹摤愴㜸㜳㜳扡戱晥扦攱换昲昰㥤㘹㥤㜹㝢〳㔳愶ㄳ扥㙦戲搴昵敢捡昸㍤㘴昹扦㈱㕤㍤ㅣ户㉤慤ㄴ戶收㠳扦て捦扢ㅢ愵晣愱敦㍦昷㔵㜹㐶㌹㘰慢挸晥㑡敦㕣㝥ㄱ㕥㔳愹晡ㄹ昳㐰㑡㡣晥㔹昵ㄷ戹㤳挶㕢挸愶〷扡㐶㔷㤰㑥戸㍢挷摦㙥攱ㅣ昷㤸摤挰㌱㕢搰㄰㔲搲㌹㠱㈹搰搶㡤㐸敥㉤㕤敡㘶挴ㅢㅢ攳昳换敢㘶搴愶敢㡦㘹㥥㔵㍥㘳㉥㙥扥搶㌴昰㤶㔹㜹㜹戹搹〳㑥搹〳㕦㉡〳㈶扤㥡ㄵ攰㜲戶㤱敢攵㥤㌸㤹㝡㕥〶戰ㄵ㐹㑦㄰㡦㤷㌷攳㐴戰㌵㥡搸摦攸㤳昳搲攴㘰㑢搵㍦㕤〷户㉤敤㌹戸搶㠱㙤㑦㔶ぢ扡戲〶愶㜸㜷㑥挲搸㠱㝥散㌰搴㕣捤摤ㄱ摣㙣㜰ぢ挰㤵ㄸ㜶愲㤳㥤㐹㝡㠳㜸扣扣㜵㈶㠲㕤搰㐴㜰扣㘹收〸敥ㅦ慥挱昵愱㝤㙥㜰㝤挹㙡つ慥散㌴昸挹㥦㑥晣捡扥㔱っ戴散㠴㥡㔴昳㉣㘳㔶扡收㤸㔹㜸搶愴㙢㔷晤㤵㝡㤰攱ㅥ〲㑣㘵㕣晤攰㔳㡦㐰㉤搴摣晥攰敡搱㝡ㄷ㠱㉢攱敦挱晥昷㈴搹ぢ挴攳攵㡤㈱ㄱっ㐰ㄳ攳攲㉤㈱挷戸㕥㜵ㅤ搷㐰摡攷㡥换㐷㔶敢戸ㄴ敦ㅥ㜱㙣晡㑦㕤㡥㠶㐴㕢〵捤㙣戴㔷㘹㙥〰摣㙣戴搷㠱㉢㐱〵改㌵㐴ㄲ〶昱㜸㜹昳㐶〴ㄱ㌴ㄱ敤つ㘸㍢愲㝤挶㌵摡㐱戴捦㡤㜶㝦戲ㅣ搱慥搰㘱ㅣ〰㠱づ㐳慤搴摣㈱攰敡㤰扤扣捦㈲㌱っ愵㤳㘱㈴挳㐱㍣㕥摥㘱ㄱ㐱㌵㥡〸㡥昷㔶ㅣ挱㍤散ㅡ摣㈸摡攷〶㌷㥡㉣㐷㜰扣つ挳㔴㑥㔹昶搰搰摦〳㐷つ㔳扣扢㈲愹ㅣぢ㑤ㅤ㤷㝡㐴㜳て〲㔷㡦挱扢ㄶ㕣〹㙡ㅣ扤㡥㈷㤹〰攲昱慥搳㠲㠹㘸㈲㕡摥攵㜰㐴㝢户㙢戴㤳㘹㥦ㅢ敤㔴戲ㅣ搱慥搷㘱㑣㠳㐰㠷愱㜸㘳㐳㐲㍥ㄴ㕣ㅤ戲㤷户㈵㈴戸挳攸攴㜰㤲㈳㐰㍣㕥摥㤹㄰挱㤱㘸㈲㌸摥㤳㜰〴㜷愳㙢㜰㐷搳㍥㌷戸㤹㘴㌹㠲攳慤ち〹㈳〱㐱㌶戸㜷㌵㌷〹㙥㌶戸て㜵っ㈹㍡㐹㤳㘴㐰㍣㕥摥㐷㤰攰㡥㐱ㄳ挱昱づ㠲㈳戸㉢㕣㠳㍢㤶昶戹挱搵㤲攵〸㡥㌷ㅢ㜲㜶ㄹ摥㐲㤰㘸敢愱愹攳㔲㕦㙢㙥〳戸㝡っ㕥㉥昳㑢㔰戳改昵㜸㤲㐶㄰㡦㤷㉢晤㈲㘸㐲ㄳ搱㜲㡤摦ㄱ敤〵慥搱捥愵㝤㙥戴昳挸㜲㐴换摢〱㌹搱㙥〶㐳愲㍤ㄱ㥡搹㘸㑢㜰㐲㈳摣㤳挰捤㐶㙢㠰㉢㐱㉤愰搷㤳㐹㑥〱昱㜸戹ㅡ㉦㠲㔳搱㐴戴攵㘸㍢愲㍤搵㌵摡㌳㘸㥦ㅢ敤㔹㘴㌹愲昵挰㑦㑥戴㍤挰㤰戸捥㠱愶㡥㑢昵搴摣㜳挱搵㘳昰㙥て慥〴戵㤰㕥捦㈳㌹ㅦ挴攳攵㝡戹〸㉥㐰ㄳ搱敥㠰戶㈳摡㈶搷㘸ㄷ搱㍥㌷摡㈵㘴㌹愲敤慤挳㔸ち㐱㌶戸㍥㥡㝢〹戸搹攰昶搰㌱㕣㑡㈷㤷㤱㕣づ攲昱㜲㜵㕢㠲扢〲㑤〴户ㄷ摡っ捥戸ㄲ敤挲㜳㠷㘳㕣㠳扤ち扡挶搵㈰戹攷づ搷㠰攳っ㜸愰づ敤㕡〸戲〱㔷㘹敥㜲㜰戳〱㐷㜵㕣搷搱挹昵㈴㌷㠰㜸扣㕣㠳㤶㠰㙦㐴ㄳ〱て㐲摢㤱捤㈳㕤〳㕣㐱晢摣㙣摥㑡㤶㈳㥢晢挳㑦づ昶㐳挱㄰散㔷㐲㌳ㅢ敤〸捤扤ㅤ摣㙣戴㘳挱㤵愰敥愰搷㍢㐹敥〲昱㜸戹㑡㉣㠲扢搱㐴戴㕣ㅦ㜶㐴㍢搱㌵摡㝢㘹㥦ㅢ敤㙡戲ㅣ搱㜲搹㔸㠲扢ㅦ㠲㙣㜰㔳㌵昷〱㜰戳挱ㅤ愱㘳㔸㐳㈷て㤲㍣〴攲昱㜲㑤㔷㠲㝢ㄸ㑤〴㌷ㅤ㙤㐷㜰搵慥挱㍤㐶晢摣攰㕡挸㜲〴㜷㌴晣攴愴㌲〱㠶㐴扢ㄶ㥡㍡㉥㤵搱摣㜵攰敡㌱㜸戹攴㉡㐱㍤㐹慦㑦㤱㍣つ㠲ㄳ㍦㉤㜸〶㑤㐴㕢㡦戶㈳摡㠸㙢戴捦搱㍥㌷摡攷挹㜲㐴摢愸挳昸㍢〴㍡っ㌵㔷㜳㕦〴㔷㠷散㕤愰㘳㜸㠹㑥㕥㈶㜹〵〴㈷㝥㕡昰㉡㥡〸敥ㄴ戴㈵㌸敥㐶愵㙡㠰㙢㜰慦搳㥥扢㑤敢㔹改㥢㘴㌹㠲攳㐲㙡㑥㉡捦〲㐳㔲昹㌶㌴㜵㕣㙡愱收扥〳慥ㅥ㠳㜷ㄱ戸㤲捡㜷改昵㍤㤲昷㐱㜰㍡愷〵晦㐰ㄳ搱㜲㥤搲㤱捡㕤㕣愳晤㤰昶戹愹晣㤸㉣㐷戴㤷敡㌰㍥㠵㐰㠷愱慥搴摣捦挰搵㈱㝢慦搵㌱㝣㑥㈷㕦㤰㝣〹攲昱㜲㙤㔱愲晥㈷㥡〸㡥慢㡡㡥攰戶㜶つ敥㙢摡攷〶昷㉤㔹㡥攰戸〰㤹㤳捡ㄵ㘰㐸㉡扦㠷㘶㌶摡㤵㥡晢〳戸搹㘸戹昸㈷㐱㙤愴搷ㅦ㐹㝥〲挱改㥣ㄶ晣㡣㈶愲扤ㄷ㙤㐷戴㕤㕣愳摤㐴晢摣㘸㌷㤳攵㠸㜶㌵晣攴㐴扢〶っ㠹昶て㘸㘶愳㝤㐴㜳晦つ㙥㌶㕡㉥搰㐹戴慣晡㌵ㄵ㐹㈹〸㑥攷戴愰ㄳ㥡㠸㤶慢㜳㡥㘸㝦晢搱敤捡搰愰㝤㙥戴攵㘴㌹愲㕤慦挳㐰㠱㜶㌶っ挵〵㌹〹戹㉢戸㍡㘴敦㉢㍡㠶㙥㜴搲㥤愴〷〸㑥攷戴愰〲㑤〴户〱㙤㐷㜰摦戸〶搷㤳昶戹挱昵㈲换ㄱㅣ㤷摤㜲㔲昹㌶ㄸㄲ搷戶搰搴㜱愹昷㌵㜷㍢㜰戳愹攴㠲㤷愴㜲㝢㝡晤ぢ挹づ㈰ㅥ㉦搷扣㐴戰㈳㥡㠸㤶慢㕤㡥㘸㍦㜲㡤戶㌷敤㜳愳慤㈴换ㄱ敤㤷㍡㡣㍥㄰攸㌰搴搷㥡扢ㅢ戸㍡㘴敦㐶ㅤ㐳㕦㍡搹㥤愴ㅦ〸㑥攷戴愰㍦㥡〸㡥㙢㔳㡥攰摥㜰つ㙥㉦摡攷〶户㌷㔹㡥攰㌶改㌰〶㐲㤰つ敥て捤摤ㄷ㕣ㅤ㥣敡㡣ㄹ㈹㙢愰㉦愱㌷慥㠱敥㕦㠲慢晦㔲㐳㜱㠱㐹〴㉦摡㠲挱㈲㔰捡搰㠲扦摢㠲㈱㄰㤸〱㌸㉤敢〲㔱晥㜷晥㍢㤶㑤ㅣ摦扥㡦㔸昰〵戶㔳昰搵敦㕣㐱昱搴戱挰㔸㙡㑤㡤扡㈹戳昰搵昰㕢搹扡〳戲㍡㍤戳㥣慣㙥㡦㉣㑢㙣晥㔲摤㔰㌷㍢摥ㄸ㑦搴愶愹㌲愰搵改㌶昹ㄲ搱㐷㘶㤸㥣㤲㍥挵㡢㕢㜵㠰㕣攲㈹㔷敤㔶㉣㔷㌴㌰㠳挸㐹㜷㙣愸搶㉤㘹㤶㜹㤰愷㜶㉦㉦㜱つ昳㑦晥㐸㐱〸〱愸㙥攸㑣㤶㐹挳づ摣㉢㝡搸摣㜲㉥〵㔵㔴攸ㄶ摥昱慤㔶愰〲晤戳㜹㜳㠲ぢ㍣㈲㔸㥦㌷㈷㝡㙡挱㌳捥㌹㌱㠸摤㙦つㄱ攷㐵㙢づ㕡户㈴ㅢ㙡㕢㐸㤹ㄱ㜳㝦敡㙦㡦㉤〹㜷戰㌳摣ㅤ㙣慥ㄵ敥㡥扡㠵㜷晣㠲ぢ愸㐴戵㌶㉦㕣㉥昹㠸攰㠹扣㜰㝢㙢㐱㡢㌳摣㘱散㝥ㄷ㠸㈴摣攱㘸㔹攰㘵户慣㜰晢㐰㐳挲慤愶㝥㕦戴㈴摣ㄱ捥㜰晢搹摣㜲扣㤷㔴昴搷㉤收㕡敤㠱㤶㐴昵㜰㕥戸㕣挹ㄱ挱㐳㜹攱敥愵〵て㍡挳ㅤ捤敥〷㐰搴㜶戸〳愱㈱攱㡥愵扥て㉤〹昷㈰㘷戸㔵㌶搷ち㌷愰㕢ㄲ㙥㄰㉤㠹㙡㜵㕥戸㕣捡ㄱ挱㝤㜹攱㠶戵攰㕥㘷戸ㄳ搹㝤〴愲戶㈷挳㈰㘸㐸戸〷㔳㝦㝦戴㈴摣挹捥㜰て戰戹搶㘴ㄸ愲㕢㜸㉦㔱㕣挸㤱愸敥捣ぢ㤷㡢㍢㈲戸㈳㉦摣攱㕡㜰扢㌳摣㘹散㥥㡢㍦㙤㘷㜷ㄴ㌴㈴摣挳愸㍦ㅡ㉤〹昷㜰㘷戸㘳㙤慥㤵摤㠳㜴㑢戲㍢づ㉤㠹㙡㐵㕥戸㕣摤ㄱ挱捤㜹攱㑥搰㠲㥢㥣攱ㅥ挵敥㈷㐲搴㜶㜶㈷㐳㐳挲㥤㐱晤愹㘸㐹戸㌳㥤攱㑥戳戹㔶㜶て搵㉤扣愳㙥〷㔴愲㕡㥥ㄷ㉥搷㝢㐴㜰㙤㕥戸㐷㘸挱㕦㥤攱愶搸晤㤱㄰戵ㅤ敥搱搰㤰㜰㌳搴攷〲㤰㠴㝢㡣㌳摣㠴捤戵挲攵慡て㜵㈴搷㉡㠵㤶㐴㜵㘵㕥戸㕣〱ㄲ挱ㄵ㜹攱㘶戴攰㜲㘷戸挷戱晢㘳㈰㙡㝢㌲ㅣぢつ〹户㡥晡戵㘸㐹戸昵捥㜰敢㙤慥㌵ㄹㅡ㜴㑢㈶挳㙣戴㈴慡㡢昳挲攵ㄲ㤰〸㤶攴㠵摢愸〵㡢㥤攱㌶戲晢㈶㠸摡づ㜷㉥㌴㈴摣㘶敡捦㐳㑢挲㥤攳っ昷㐴㥢㙢㠵㝢㤲㙥㐹戸ぢ搰㤲愸捥捦ぢ㤷㙢㐰㈲㌸㉦㉦摣㔳戴㘰愱㌳摣昹散晥㔴㠸摡づ昷っ㘸㐸戸㈷㔱晦㉣戴㈴摣〵捥㜰捦戱戹搶㘴㌸㔷户昰㕥愲ㄶ㠲㑡㔴㘷收㠵换㐵㈰ㄱ㥣㤱ㄷ敥昹㕡㜰扡㌳摣搳搸晤〵㄰㐹戸挵㍥攳搵㈲㘸㐸戸㘷㔰㝦〹㕡ㄲ敥㤹捥㜰㤷摡㕣㉢摣㑢㜴ぢ敦㈸愱〷㤵愸ㄶ攴㠵换㘵㈱ㄱ㥣㤴ㄷ敥攵㕡㜰愲㌳摣㜳搹晤ㄵ㄰㐹戸ぢ搱戲㍥搵戲㕢搶愷摡㔵搰㤰㜰捦愳晥㌵㘸㐹戸攷㍢挳扤搶收㕡攱㉥搷㉤扣㤷㈸㉥〰㐹㔴㜳昲挲攵愲㤰〸㥡昳挲扤㐱ぢ㥡㥣攱㉥㘲昷㕣㌴㙡㝢㌲慣㠰㠶㠴扢㠴晡户愲㈵攱㕥散っ㜷愵捤戵挲扤㕤户昰㡥慡㈷㔰㠹慡㍥㉦㕣慥ち㠹愰㉥㉦摣扢戴愰搶ㄹ敥㘵散晥㙥㠸摡㥥っ昷㐲㐳挲扤㠲晡慢搱㤲㜰慦㜴㠶㝢扦捤戵挲㝤㐰户昰㡥慦㘳〷㤵愸㡥挹ぢ㤷敢㐴㈲挸攴㠵晢㤰ㄶ愴㥤攱㕥挳敥ㅦ㠶愸敤散㍥〶つ〹昷㕡敡㜳攱㐸挲㕤敥っ㜷慤捤戵㡥っ㕣ㅣ愲㡥〴慦㥥㐴㑢愲㥡㤹ㄷ㉥ㄷ㡡㐴㌰㈳㉦摣愷戵攰㘸㘷戸㌷戲晢㘷㈰㙡㍢扢捦㐱㐳挲扤㤹晡捦愳㈵攱慥㜰㠶晢㜷㥢㙢㘵昷㐵摤挲㝢㠹㝡〹㔴愲㍡㍣㉦㕣㉥ㅤ㠹攰戰扣㜰㕦搱㠲㐳㥤攱慥㘴昷慦㐲㈴攱摥㡥㤶戵慢㘵户慣㕤敤㜵㘸㐸戸㜷㔰晦㑤戴㈴摣㍢㥤攱扥㙤㜳慤散扥愳㕢㜲摣㝤ㄷ㉤㠹㙡㜲㕥戸㕣㍢ㄲ挱挱㜹攱扥慦〵㤳㥣攱摥挳敥晦〱㔱摢搹晤㄰ㅡㄲ敥㝤搴晦ㄸ㉤〹㜷戵㌳摣㑦㙤慥㤵摤捦㜴ぢ敦昸㑤㔳㔰㠹敡愰扣㜰戹㥡㈴㠲戱㜹攱㝥愹〵㘳㥣攱慥㘱昷晦㠴㐸挲捤㥥㤴㥢搹㉤㉢扢㕦㐳㐳挲㝤㠸晡摦愲㈵攱㍥散っ昷㝢㥢㙢㠵晢㠳㙥攱ㅤ㌵㕣愰ㄲ搵㠸扣㜰戹㥣㈴㠲敡扣㜰㝦搲㠲攱捥㜰ㅦ㘷昷㍦㐳搴㜶戸㥢愰㈱攱㍥㐱晤捤㘸㐹戸㙢㥤攱晥㘱㜳慤㜰晦慤㕢㜸㠷㌲ㄴ㈵慡挱㜹攱㜲㍤㐹〴晢攷㠵㕢慡〵晢㌹挳㝤ㅡ㕣搵〹愴敤挹㘰㐰㐳挲㕤㑦晤㜲ㄲ㐴㘱㍥㡢つ扤愴㔰攱戱戹搶摣敤慡㕢㌲㜷戹㥡㈴㔱㠵昳挲攵ち㤳〸㐲㜹攱㜲搵㐹〴㐱㘷戸㉦搰㉢㔷愰摡捥㉥搷㥤㈴摣ㄷ愹摦㡢㠴攱扥㠴㡤㙣戸㕣㕥㈲搷捡㉥㤷㤵愴㈵搹攵㜲㤲㜴扥㙦㕥戸㕣㘲ㄲ挱挰扣㜰戹散㈴㠲㝤㥣攱㙥愰㔷㉥㐱戵㥤㕤㉥㍣㐹戸慦㔳㥦㙢㑥ㄲ敥ㅢ搸挸㠶摢挷收㕡搹摤㑤户㈴扢㕣㘰㤲捥昷挸ぢ㤷㡢㑥㈲攸㥦ㄷ㙥㍦㉤攸攷っ昷ㅤ㝡攵愲㔴摢攱敥〵つ〹昷㍤敡㜳ㄵ㑡挲㝤ㅦㅢ搹㜰戹〴㤵捤㘷〵㤷㥥愴挵㜰㉢戸㘶挴㙦㑦㉦㥤愷㤲㌳㔳㌳㘷晥㔲搱戹㜲㠷捥㠷つ敤戶散㠳攷㍥㕣扡㘱晡攰捦㌶㕦㜳捤㠶㡦㤷㍥扦昹㤱挴攰㘷㙥戸攱挹戱换㥦晦戰㘷收扡搲晢㝦ㄹ㜷摤〲晦㜱ぢ㡥捦ㅣ戲搷㠱ぢづ㍦昶㘰晦愴慤〶㜴敡搴愵㑢晦慤搷㙦扦㠷昷戴攳搷愸㈷摥摡慥扥㡣㈷㘷敤㔸戴㘱㐴㝦㜲㠵攵ㅦㅣ㤰㉣戳挰㐷捥㜷㕤㜸戹摣挲昵㈵昳㝦戱㘱㝥〸搲扤戴㠲㑢㈲ㅤ㌹㘴㈵㙢㈸〵戱㜰㉤㐵㘲昹㤸戱㝣㘲挵挲昵㡥づ㡤㘵㌸㍡㈰〴收愷㈰慡㥡愴㈰㌲㉥㥢㐸㘴㥦㔳昱ぢ㄰㘴㘹㌴摥㍡㌴戲戱攸愰㌰㤶㠳挰㤵㔸晥㠹つ昳㉢㄰挴挲㜵㡢づ㡤㐵ㄶ㍡ち昲挲〵て㠹攵㙢挶昲㡤ㄵぢㄷ㈵㍡㌴ㄶ㔹挵㘰㉣摦愲㈷晥㜱㥤搶换搵っ㠹攵㍢㙣㤸摦㠳㈰㉦㕣㜱攸搰㔸㘴㠹〲摤攷敥㔵㕣慡㤰㔸㌶㌲㤶ㅦ慤㔸戸㥣搰愱戱㘴搰㐱攱㝣攱㍡㠴挴昲㌳㌶捣㕦㐰㤰㤷攳昰搶愱戱挸攲㐲㐱㕥敡㜵㉣㥢ㄸ换㙦㔶㉣㕣〸攸搰㔸㥡搱㐱㘱㕥戸㠲㈰㜹昹ㅤㅢ收ㅦ㈰挸ぢ慦昲㍢㌴㤶㤳搰㐱㘱㉣㕣ㅥ㤰㔸㑡扡㈲ㄶ〵㠲㔸㜸〹摦愱戱㥣攱ㅡ换㤹㍡㤶㑥㡣愵戳ㄵぢ慦捦㍢㌴㤶㠵攸㐰㡥挲㘵攸㔰挹攵㍤㘷㡦昳㝢㙦扤攷敢挸扡㌰戲㜲㉢戲㐵ㅤㅤ㤹㕣扢ㄷ捣㘴㕥挳ぢ㘲ㅥ挶搲搵㡡㠵搷搹ㅤ㥡㈵戹㌰㉦㠸攵㑡ㅤ㑢㜷挶搲挳㡡㠵ㄷ搱ㅤㅡ㡢㕣㜵ㄷ挴挲慢㙦挹㡢㤷戱㙣㘵挵㜲㘳㐷挷㈲㤷搴〵戱慣搰戱㙣捤㔸㝡㔹戱慣散攸㔸㙥㐷〷㌲㤳户㐱㠷㑡慥㥥ㄹ㔹捥㑣收㔵戴㘴㘹㍢㐶戶扤ㄵㄹ慦㜴㍢ㄴ㌱戹㌴㉥挸搲㙡ㅤ换づ㡣㘵㐷㉢㤶㌵ㅤㅤ㡢㕣昷ㄶ挴昲戰㡥㘵㘷挶搲摢㡡㠵搷愸ㅤ㥡ㄷ戹愸㉤㠸㘵慤㡥愵㤲戱散㙡挵昲㜴㐷挷戲ㅥㅤㄴ㝥㍥昰捡㔵收换㙥㡣愵慦ㄵぢ慦㉥㍢㌴㉦㜲㌹㕡㤰ㄷ㕥㤶㑡㉣晤ㄸ㑢㝦㉢㤶つㅤㅤ㡢㕣㙢ㄶ挴挲㙢㑥㠹㘵㑦挶戲㤷ㄵぢ慦ぢ㍢㌴㉦㜲㈱㔹㄰ぢ㉦㈸㈵㤶扤ㄹ换㍥ㄲ㡢㤲㉢㉦慡づ㐴㥢戸捡㡢搷㕡㜲愱晢昲㐶慢㥣㘱㌸㈴攵ち摦挶愱〵㉦搹〲㉦㙤晤戴攵㌵㤱搸晣㍤捦㠶搷㐹㈲㜸愱挰㐶慥㘸攸㈱攸散㥤搷㌰㘲昰户㍣㑦扣慥ㄱ挱㜳㑥㑦ㄱ摡昲㕡㐳㐴敢昳㙣㜸晤㈱㠲㘷ち㙣㜸㑤㈰愲愷昳㙣㜸㥤㈰㠲愷㥣㌶ㅣ愵㤷㘷昴㑣㘲昷捥㡡愷昱愲戵㉥捦㥣愷昶㈲㔸敢㌴㤷㌰㌷㙡㔱㑢㥥つ㑦挱挵收㜱愷㡤㈴㤶愷挵㈲㝡㌴捦㠶愷捡㈲㜸愴挰㠶愷慦㈲㝡㌸捦㠶愷戴㈲㜸挸㘹㈳戱昱㌴㔳㐴㙢昲㙣㜸敡㈹㠲〷ち㙣㜸㍡㈸愲晢昳㙣㜸㡡㈸㠲晦㈹戰攱㘹㥢㠸㔶攷搹昰㔴㑥〴昷㌹㙤㈴〷㜲搲挵㠹㌲ㄱ㍡搹㘹捡搳㉣㌱㔸㤵攷㠹愷㕥㈲戸摢改㘹㌲㙤㜹㍡㈴愲㍢昳㙣㜸㡡㈴㠲㍢㥣㌶㤲ㄹ㥥戶㠸㘸㘵㥥つ㑦㘵㐴㜰㥢搳㐶㈲收改㠵㠸㙥挹戳搹㑡ぢ㔶㌸㙤愴ㅦ㥥〶㠸捤㑤㜹㌶㍣㌵㄰挱㡤㑥ㅢ改㐷㍥挴㤹㤹ㄹ搰挹㘶㘶㍢㙤㜰㕤㥥㈷㝥㤴㡢愷攵㑥㑦〹摡昲攳㔵㐴㝦捤戳攱㐷慥〸慥㜱摡㐸敦晣ㄸㄴ搱㔵㜹㌶晣㘸ㄴ挱㌲愷㡤㡣㤲ㅦ㔷㈲扡㈲捦㠶ㅦ㘱㈲戸扣挰㠶ㅦ㉢㈲扡㉣捦㠶ㅦ㌵㈲戸搴㘹㈳戱昱昰㉦愲愵㜹㌶晣㐸㄰挱挵㑥ㅢ㠹㡤㠷㘹ㄱ㉤捥戳攱愱㕢〴㡢㥣㌶搲てて愷㈲扡㌰捦㠶㠷㔸ㄱ㕣㤰㙦攳攵搱㔶㡥挵㜳戱㠱㥡㌵㍡㤲㌵挰ㄳ戰攱攵搱㔰愴昳㉣㈹㐳ㄳ改㝣㑡戹ぢ㠸昴㐴㑢捡㘹㉤搲㤳㈸攵㌴㄰改〲㑢㑡㘸㐵㝡㌲㌶捡搸㕤ㅢ㈵㔳㤳搲㡤挹㜴㝤㜳㑤㙤㥡㈵㕢搸敤㑢扡搷㔵捦㘹㙡㙥戰慡捡㥡捡愴㡥慣戰捥慣㈷搵〷攴愸㝡㉣ㄶ㘹㠵戵㤹㉤㌸敢㙡㡢㔸愱昶㝦慤㌶敢㠲戱昱㠵ㅡ晣摥㙤ㄷ㥣㔹挵㘶敤搳戲㉢捤㑥㘱慥昰摤㐸㈸㌵㙢摤㤴戶㈲㉥摣扢捣㔳戱愱晦ㄴ昱㘱㑡捤搳㐰㙣换搶㑤换㤲㤸㠹攵改搸搰㝦㡡搸㠹攵ㄹ慤㤶慤㥢㤶㈵昱ㄴ换㌳㥤㤶挴㔵㉣捦㙡戵㙣摤戴㉣㠹戵㔸㥥敤戰慣攰㤸昸㘷㜸昵㈰㉡ㄸ慣挵搲搱㔵㌰ち㡢愵扢慤愰㝢㡢愵晤㜵晤㝦㑣攵〵敤</t>
  </si>
  <si>
    <t>㜸〱捤㝤〷㤸ㄴ㔵搶昶摣㠱㘹愶㥡㌰つ㡡〹挵㐱ㄱㄴ㄰㍢〷ㄵ〵㠶っ〲〲收〰ㅤ㘵㜴〲㑥㈰ㄹ㘰搵挵〸㉡㈲㙢㕡㐵捣㤸挵㑦搱㌵㡣㠰慣㔹搷㥣搶㌵慤晡㤹㈳戲㠸敥晦扥愷敡昶㔴㜷㔷て昳昹敦㍣捦㌶搳㠷扡攷扣攷搴戹攷慤慡慥扡㜵慢扢㐴㤵㤴㤴晣ㅢ㉦晥捦㔷㘷㉥散㍥㝤㐱㘳㔳扡㜶㘸㔵㝤㑤㑤㍡搹㔴㕤㕦搷㌸㜴㐴㐳㐳㝣挱愴敡挶愶㑥〰戸㘶㔶挳摥㔸㌶戳戱㝡㘱扡㝣收摣㜴㐳㈳㐰㘵㈵㈵攵攵㐶㈹散扢㕡㙦㡦㙥ㄸ昴㌲㍡㔳〰㔵㘲戸㈸扡㔰㤴㔳ㄸㄴ㙥㡡慥ㄴ摤㈸扡㔳昴愰愸愰昰㔰昴愴攸㐵戱〳挵㡥ㄴ扤㈹㜶愲搸㤹㘲ㄷち慥摦搸㡤愲て㐴户摤㈱㘶㔴㡤㥣㤲㌸ㄹ扤㤹摥㔴摦㤰ㅥ㔲㜹愴㤹昳㌰㥦㙦愸㙦㘸㌰攴昳て昵づ愹慣㙡慥㘹㙡㙥㐸て慢㑢㌷㌷㌵挴㙢㠶㔴㑥㙤㑥搴㔴㈷㈷愶ㄷ捣愸㍦㈵㕤㌷㉣㥤昰〶ㄲ昱㘰搴ㄷっ㠵㌲戱㔸戴摢ㅥ㠸㍣戹㙡攴搴㠶㜴愶昱㍦ㄵ戳㉦㘳㑥愹ㅡ㌹㜴㜲扡改㍦ㄵ㜳㑦挴㐴挸㔱昵戵昱敡扡晦㔰搰㌲㜲ㅡㄸ㤵㑥㔶㤳晣㜴扡愱扡敥愴愱㐸㍢愷搰㘸㐵㠶㡥㐱挵㤳昱挶愶慡㜴㑤捤戴㜴㠶扣㜷慢㘵捤搲つ改扡㘴扡戱㐷敤攸昹挹㜴㡤㘵㙥㉣慦㍤㌲摥㌰㌹㕥㥢敥捣㠵㡡㕡㤳户昱愹㜴㕤㔳㜵搳㠲敥戵㐷㌴愶愷挵敢㑥㑡ㄳ㔲㔶㍢戶戹㍡搵戹戳敡摣戹愴搳㐰愷㘴㠴㥢愱㘳ㅡ㤲㔵戳攳つ㑤搲㈲㙢㍥㈷慣㙤ぢ㤱挴㜳搲攲㔶㔴㤹攷㐵㥡愶㔷搷㑥㑣㌷搴愵㙢戸ㄲ㤲㌷㌸て㈴㌵㌱㑢㥦㉤㡥敥つ㠹㔱㕤慤晤㡤㕤攱㕡㡣㑡㡡㝥㄰慥扤㈰㍣挳慡㈶昵昷㐵〶散㜵㘰攵㕥〳晡㡦〸㠷㡣扤㘹敦て愱㍡扦㠳㥤搷敥捦ㅤ愸㜴㘶扣㜴㘶愲㜴㘶戲㜴㘶慡㜴㘶扡㜴㘶愶㜴收㐹愵㌳㘷㤷捥慣㉥㥤㜹㜲改捣㔳㠰搱慦昲㉥㕤㑡慤搷㔷㉢㝢捣昹㜵㝤敤昸㍢挷㘵戶㥤戸昲挳敢ㄵ昷㔷搹㜱〷㘰挱ㄸ〸攱摡ㄷ㈲㉦㥦㘸挰搸㡦昶㐱㄰㑡扤㠶㝣㤸搳㠰㐹搷㔶戹㑦㝤㙦摣捡㥢搳㉦摥㌸昰挷㠷ㄵ昷㝢〹㌶㠴攰晤㈱㕣㐳㈱㝡收㜶捥攷昳ㅡ〷㄰攰㠵㔰敡㐵㉢㕡㡦㍤㡦㍢攰敥挷㑥㥥㜲敦㑦㕤㕥㐹慤㥦摦㕦昱〰㈲搱晣〴〷㈰㕣㐱㠸晣㘸摥㤸ㄱ㈲㈰っ愱搴搳㔶戴慦收㔴㉦戸戶愹㘹昴愳㤳晡ㅤ昸搰挱㉤㥦㉡㙥㤱ㄲ㉤㑡㜰っ挲㜵㈰㐴捦㘱㈳㡥戰ㄵ摥㠷㘸〷ㄱ㜰㌰㠴㔲ㅢ慣㘸攷㍥昴晤挸ㄵ攱㈵㤳㤷㍣摡㉦㝡攸㈱摦㡣㔲㍣愴㐹戴㐳〸㍥ㄴ挲㌵ㅣ㈲慦㙣戱愸㌱㠲昶㤱㄰㑡㍤㙡〵慢戹攱㔸搷戲戱户て㕦晣昴ぢ㍢㌴㝤戱㜱戶攲愱㔱㠲㡤㈲㜸㌴㠴㙢っ㐴㝥㙡㍥㥦㌱㤶㠰㜱㄰㑡㍤㘸㐵敢搳昳扣㉦ㅦ㝦攷昳戱て摥㜱捡㍥慢㘶搴昵㔶㍣挶㑡戴〹〴㑦㠴㜰㑤㠲昰攴㜶㌴ㅡ㌶づ愳㝤㌲㠴㔲昷㕡挱挶㥥㜷搵㤲㙥㑢㠷㑤扥攱搳搴挲摦ㅥ㕢㠰捤ㄶ㘶〹㌶㤵攰挳㈱㕣搳㈰昲㠲愱㥦搳㘹㥦〱愱搴敤㔶戰㑥て㕥扥昶散ㅦ㙥ㅢ扤㜲捡㡣㑦晤㠹晡㙦ㄴ㡦昹ㄲ散㐸㠲㡦㠲㜰ㅤつ㤱㑦㈸晡㜹っ〱挷㐲㈸㜵㤳ㄵ敤愵㤱ㄷ㉦敡㍢㜹昰㘱㙢愶㑣改昱挱挹〷晣愰昸攱㈱搱㡥㈷昸〴〸搷㠹㄰昹愹〵㡤㤹戴捦㠲㔰敡㍡㉢搸㥣㝤ㄶ㝤搷㍣㜶散戸〷㙢㜷愹㝥㘰昸攷捦㉡㝥〸㐹戰〴挱㐹〸㔷ち愲㈰戵㠰㤱㈶㈰〳愱搴㤵㔶戴㍤㕥慦晤㜰捡㕤㌳㠶慦㔹搷㍣㝥攱〹㙢摦㔱晣㌴㤳㘸戳〹慥㠶㜰㥤っ㤱ㅦ捤ㅢ㌵戸㥢ㅡ㌵㄰㑡㕤㘶㐵敢㜲晢㘱晤㝥慡摣㘷散㥤ㄳ户㕤㌰㙤㘵昳㈶挵㡦㐵㠹㔶㐷㜰㍤㠴㙢づ㐴晥收攱昵ㄹ愷ㄲ搰〰愱搴㔲㉢摡敥换慥㝦㙡搹㉥扤㐷慤敡晡㜱挳㑤〳㝥㙢㔶晣㝣㤵㘸㑤〴㌷㐳戸收㐲攴㐷挳㍥㍡㡦㠰昹㄰㑡㥤㙢㐵㍢户㑦㔹改㍦㥦晥㙥摣㑡㘳扦㌷扥敥㌱戹扢攲〷戵㐴㕢㐸昰㘹㄰慥搳㈱昲㐸㠸挶㡣㌳㘸㍦ㄳ㐲愹㍦㔸挱搶〴㉡捥㕡㝤摤〳ㄳ㙥戹昴㤶〳搶晡慥㥥愶昸㠱㉦挱ㄶㄳ晣〷〸搷㔹㄰昹㍢㤵摦㌸㥢昶㜳㈰㤴㍡捤ち㔶㜳摤扢攵搷昴晡㙥昴昹㠹扦㡣㌹㝤敢ㅢ㍢㉢㥥㌸㐸戰㈵〴㥦ぢ攱㍡て㈲㉦戳㔸搸㌸㥦昶ぢ㈰㤴㙡搶摤㥣戰攳挱愳㤲昷㡥扥㘸搲昵戵〷ㅤ㜵昴㐷㡡㈷㈰ㄲ散㈲㠲㤷㐲戸㤶㐱攴ㄷ捤ㅢ㌴㉥㈶攰ㄲ〸愵敡慤㘸㍦㙤㥢摡戵愱㘵㔶搵慡搷ㄳ摦捦摢昴摡㠷㡡㘷㌲ㄲ㙤㌹挱㤷㐱戸㔶㐰攴昵㌳ㅡ㌲㉥愷㝤㈵㠴㔲搵㔶戰㥤㥦つ㙥摥晤搹㌳㈶㕦㝥攷愶ㅥ㙢搷㝦㜷㡤攲ㄹ㤱〴扢㠲攰㉢㈱㕣㔷㐱攴昷㌳㘲㕣㑤晢㌵㄰㑡㈵慤㘰㕦㉤㍥晡㠳㕦扥摡㍣敥昱〱㘷晦㌴㜶敥㐳㑤㙡ㄷ㤸㈵搸戵〴㕦〷攱㕡〵㤱ㄷ㉣ㅡ㌱慥愷㝤㌵㠴㔲㈷㔸挱㝡つ㕢昴晤〷つ㕦㡣㔹㍢愸挷㈹㕦㤶㌶㤷㉡㥥愱㐹戰ㅢ〹扥〹挲㜵㌳㐴晥㕥攰㡢ㄸ户㄰㜰㉢㠴㔲㐷㔹搱慥㍦㘹昳捦摥〳挷㡦扡攷摢㤷㉢户㝤戰㘶㤲摡つ㘶㠹戶㠶攰摢㈱㕣㜷㐰攴ㄵ㉤收㌳敥愴晤㉥〸愵づ户㠲つ敡昹改㥤ㄷ㙦昹㝥挲㉤愵戱㠱㝦㥦晦搶㜲挵㔳㐶〹㜶て挱昷㐲戸敥㠳㈸攰㌳㙡慣㈵攰㝥〸愵㈶㕡搱㙡㝦〹㉤晢㘳换㙥攳晦戴攰攰㑢㈷㍦昱收戵摤ㅥ㠰昹㜰敢昳㝤㔴㐳㝣ㅥ㑥㤲㕡捦扦㜰搲挹㝦摢㍦昱挴㜹㘷㈶㤴㠹㘴㝣扥㔴挸ㅢて挴换㉡ㄱ戶扤愷㍢摣摡扢㘵㡥慡慥㑢搵捦㤳昳㥦㙥㤹㌱搵㌵㑤改〶㘹㔴㘴昰㥦㜹づ㈷敤敥㤹搱昳㜱昲㥢㌴㑦㤵㜶捣㔴愵ㅢ㥡㜰搲搸戴愰昵晣㘹昷㤱昱挶㜴㙢㜳戰ㄵ㝢㘴㝤㜳㕤慡戱㡦戳㜱㝡㔳扣㈹扤㕢扥慤㌵㐸㠱摢㜴㥣㔰愶ㅢ㈵愵扥昹㙥㐷挶㙢㥡搳㈳收㔷㥢收㍤昲捣㌸戵慣㑦ㄴ户㡥㘹㐸㥦㥡戵ㄶ㘴㌴〲搷㍢㜳㈵㜶㐱㉦㑤㤳㤹㔷㘵搵散晡挶㜴㥤愴㌷戸㜶㙡㜵昲㤴㜴挳昴㌴慦㤶搲㈹改㙡㙦㥡慣昳摢挱㔳敡搰㔱㥣戱愶昶戲㙢㔹攸㜴㕤㉡㥤㐲扥㜳㔰攵〵㌳攲㠹㥡昴㑥㌹㄰㜳㥤㌰散㥡愳ㅥ㔳㥦㙣㙥慣慡慦㙢㙡愸慦挹戵㡣㐸捤㡤攳㥣㍡㜵㔸㝤㉡摤㔹㕥㈵愶㔴㈵㥤㍡㈹㔵戲慦搳挹㈹㘳㌷昲昴搵戶㤱昰㈴戹㙤戰㙤㈳㈲搸昱戴㌷ㅢㄹぢ戶㡤㡣昸晤摡捣挴扥ㄱㄲ敤㙤ㄳ敤戰㤱搲㘹㤷摣ㅤ㙦攸㌴昰〳ㅥ㙡搲摣㉢㑢晢ㄷて搹扡㕤㙥㈷㔳ㅢ㉢扣㌸㈶扡㡤愲㐹搸散戶搷戱攰搲搲ㅤ慣摥㡦㥥㡢㉢愷㜱昱扡㔴㑤扡愱捤㑢㝢挵㡣㡣〷㈹搶㔱㍣㐴昱㌰挵㕦㈰捡㐶攱ㄸ㔷戴愲㥤㠱㔰昳搵㠲戲㜹搵愹愶搹慥搹改敡㤳㘶㌷㐱㠷㈱㠱昲㜲㤶扢攰㘵㍣ち㤵昱ㄸ挵攳㄰㙥㜷㠹慢〵晦㤷戸摣挶ㄳ晣㙦㍤㐴户ㄱ捤㑤昵㤵搶戶攰㔶㘵晤愰晢扦㕦戹㤵挲换㤰ぢ㐵㕣挹㌷㤶搵攲㝡戴戱㔳㈷愷㔲㡣㡢㌷捥㙥攲㕥搸戶㤱昱㌶㔰㙣㠴攸昶㈴挴攴㜱改ㅡ散挳晦愹㐱㠰戲扤ㄱ㜳扢ㄷ㥢㍣挱摡愹㜶晡㠲扡攴散㠶晡㍡っ挵㡣㡡㌷挵㐷㈴㜱㐵摤愸攲慥摡㐹昵㔵捤㑤慥摡㜱搵昸慦㕢敤戴昴㥣㜴扣愹ち挷攸愶敥戵㤳㜰㌵㉥〷搱昱愹昹㘵戵收㠵昴愸㜴㘳搲攰ㄵ昷㜸ㅣ㤳收扢戰㠴㠳㙣户㕡ㅥ㘵搲昳㥢ㄸ扡㑢敤搴㌸慥搸㥢っ㠰〶㡢㤷戹㐴捦敥愲搳摥㙥慢㠵〸ㅥ㔹戴㐵改㉡ち㌳㔲〹㌷ㅢ㝣㝣攲ㄳ户戳㈵昳㜷㥦㈳㥡慡㙢ㅡ㠷㕡攵ㅤ㍡慡ㅥ㈳㌲㘹ㄹ㡣㘲搹㕤㉥㙣㕤慥㌶挹捡摦换㜹挹㍥㈵㤹㌰挳㈲㤵戱つ昵捤㜳晡㈲搶㝦㉡づ㘳㤵ㄸ㥢㈰慥晢㙥捤㐱晢晣昹敥㝦㕢晦㉦挲晥㈳㉦㘳㉦㈲㕡㈰搸挴㝦昲㌲㥥挶㝦敥戶㙣㘵晤㠱㜰㍣捣ㄶㄹ㕤㈸〳扥㕢㉤㝡㍢愳㈱㉤挳㈵攵搲㔸㌰㈷摤扤昶愸晡㠶㔳ㄲ昵昵愷㤰晣ㅥ搲㙡㥣㥤㑥㌷㜱っ愲慢㌵攴挲㘵愵㔴愷㑥㌹〳っ戶挱㡡㍤ㄱ摦昵㍣㐴昷ㄱ㌵㌵㤵㍡㘲愳敢〵愸㍡攱攳挴昵㈲ㄶ愲㝥慦㍦㔸㔹㌵㝤摡㠸捡ㄹ改摡㌹㌵㌸て愸っ敤㔳㔹㕢㥦慡っ㥥㌹㜹挴㤱㘳㐶㔴㔵愶㔳搵㑤晢敦扦扦㉦㌰攲㠸戱㠴て㥤㕦搳㌸㕦㜹㔱ㅤ㡥㈵慣㉦㕢戰㍡扡愴㘴昸㐳晦㝣戴㔷㤷愷㥦て愸〳㉣㐳挱㠸挵〰慣慦ㄲ㙦攳㘵㡡㔷㈸㕥愵㜸㡤攲㜵〸戵ㅦ㕣㜹㈰挳㜲敥换㜸ㄳ㙤攳㉤㡡户㈱㜰㌸ㄲ㠶㜰㌴㝡㤷㍡ㅥ㡤摣㑡つ挴㝦㍣〸ㄹ敦㔱晣〳㐲敤〷挱摤戵挴㜸ㅦ愲㈸攷晢ㄲ搱〲㠱㤵㘷搷㙥㝣〴㠵摢㘸挳愶〶〱㐱摥つ搶搹㘰㘵つ㔶㔵敤㠴㌰㡥挵改㙤ㄹち㐶㘰㠶挰慤㤲晥㕦㔲㝣㐵昱㌵挵㌷ㄴ摦㐲愸ち戸㍡ㄷ攷㝢㘲㝥愰昸ㄱ挲㔶㥣捤搴㔹挵搹ㅦ换㔲㥣㉤㔴晥ぢ㐲ㅤ〰㘱ㄶ㘷㉢㤶㡡ㄶ㘷㈸ㅤ㕡㈰㤰㐰㙢㜱㝥㠵挲㙤戴㘱㔳㕥㈰㥣㡡戳敤户㈲挵昹挵㌲ㄴっ㈸昹ㄱ愹ㄲ㙦挳愵㈰扡㔰㤴㔳ㄸㄴ㙥〸昵ㄳ㕣㥤㡢搳㡤㤸敥ㄴ㍤㈰㙣挵昱㔰㘷ㄵ㈷㠰攰晤戸㠲㕥㔴敥〰愱㐲㘸㥡挵搹ㄱ捤愲挵〹搲慢〵㈲愷㌸㍢挳挵㙤戴㘱㔳㘱戸㌸ㄵ攷挳㘲挵昹挰㌲ㄴ㡣㡦㐵ㄱ愹ㄲ㙦愳ㄲ㉢㌵晡㔱散㐵戱㌷㐵㝦〸昵㑥搱攲っ㈰㘶㈰挵扥㄰戶攲っ㐲搳㌵ㄸ㈲敦㐳㕥挵戰愶㝥㕣摢㄰ㄸ㡤晤㈱搴㐱㘸㥡㤵ㅡ㡡㘶搱㑡ㅤ㐸慦ㄶ㠸㥣㑡昹攰攲㌶摡戰愹㠳攱攲㔴愹愷㡡㔵敡慦㤶愱㘰散敦㄰㐴慡挴摢㌸㄰㉢㌵づ愲㌸㤸㘲ㄸ挵㈱㄰敡㠹愲㤵ㅡ㑥捣〸㡡㤱㄰戶㑡㡤㐲搳㌵ㅡ㈲扦㔲㠷㘲㑤晤戸戶㌱㌰ㅡ㘳㈱搴〸㌴捤㑡㡤㐳戳㘸愵㠶搳慢〵㈲愷㔲ㄳ攱攲㌶摡戰愹㤱㜰㜱慡搴㕤挵㉡㜵愷㘵㈸ㄸ搸ㅣ㠵㐸㤵㜸ㅢ㌳戰㔲攳〸㡡㈳㈹㡥愲㌸ㅡ㐲摤㔲戴㔲挷ㄲ㜳ㅣ挵昱㄰戶㑡㥤㐸ㅤ户㈹ㅣ慡㐷㈳㜸㍦慥㘰ㄶ㤵㜱〸挵㈱㔲戳㌸〹㌴㡢ㄶ㘷っ扤㕡㈰㜲㡡㤳㠶㡢摢㘸挳愶挶挱挵愹㌸㉢㡡ㄵ攷㌲换㔰㌰㑥㍢〱㤱㉡昱㌶敡戰㔲愳㥥㘲づ挵愹ㄴつ㄰㙡㘹搱攲㌴ㄱ搳㑣㌱ㄷ挲㔶㥣昹搴㔹挵㤹㠸攰晤戸㠲㠵㔴㥥〶愱づ㐳搳㉣捥改㘸ㄶ㉤捥㈴㝡戵㐰攴ㄴ㘷ㄱ㕣摣㐶ㅢ㌶㌵ㄹ㉥㑥挵㔹㔸慣㌸ぢ㉣㐳挱戸昳㔴㐴慡挴摢㌸て㉢㌵捥愷戸㠰攲㐲㡡㡢㈰㔴㘳搱攲㉣㈳收㘲㡡㑢㈰㙣挵㔹㑥㥤㔵ㅣづ㘵昷攳ち㔶㔰㜹㌹㠴㥡㡥愶㔹㥣㤵㘸ㄶ㉤捥㌴㝡戵㐰攴ㄴ攷㑡戸戸㡤㌶㙣㙡〶㕣㥣㡡㌳慢㔸㜱㘶㕡㠶㠲㜱昴㈳ㄱ愹ㄲ㙦㘳㌵㔶㙡摣㐰㜱㈳挵㑤ㄴ㌷㐳愸㘳㡡ㄶ攷㔶㘲㙥愳㔸〳㘱㉢捥ㅤ搴㔹㥦㘳ㅣ㥡敦挷ㄵ摣㐵攵摤㄰敡ㄸ㌴捤攲摣㠳㘶搱攲ㅣ㑤慦ㄶ㠸㥣攲慣㠵㡢摢㘸挳愶㡥㠵㡢㔳㜱挶ㄴ㉢捥㘸换㔰㜰㕢攰㜸㐴慡挴摢㜸〴㉢㌵ㅥ愵㜸㡣攲㜱㡡ㄶ〸㜵㘸搱攲慣㈷㘶〳挵㐶〸㕢㜱㌶㔱㘷㙤㌹㈷㈰㜸㍦慥攰㈹㉡㥦㠶㔰㌳搱㌴㡢昳っ㥡㐵㡢㜳㈲扤㕡㈰㜲㡡昳㍣㕣摣㐶ㅢ㌶㌵ぢ㉥㑥挵ㄹ㔲慣㌸㠳㉤㐳挱㙤㡥〴㈲㔵攲㙤扣㡥㤵ㅡ㙦㔰扣㐹昱ㄶ挵摢㄰㙡㥦愲挵㜹㤷㤸扦㔳扣〷㘱㉢捥晢搴㔹㕢㑥ㄲ挱晢㜱〵ㅦ㔲昹ㄱ㠴㑡愳㘹ㄶ攷㘳㌴㡢ㄶ㈷㐵慦ㄶ㠸㥣攲㝣ちㄷ户搱㠶㑤㘵攰攲㔴㥣㕥挵㡡搳搳㌲ㄴ摣戵㤹㡤㐸㤵㜸ㅢ摦㘲愵挶㜷ㄴ摦㔳晣㐰昱㈳㠴敡㕡戴㌸㥢㠹昹㤹㘲ぢ㠴慤㌸㕢愹攳攷㍡㍥慤㜸㈳愸ㅦ㔷戰㡤捡㕦㈱ㄴ敦晦㤸挵昹つ捤愲挵㌹㤹㕥㉤㄰㌹挵㔱愵㉣㑥ㅢ㌶㔵〳ㄷ愷攲㙣昹戵挸戹昳捦㤶愱攰㈶㔴ㅤ㈲㔵攲㙤戸戱㔲愳㉢㐵㌷㡡敥ㄴ㍤㈰搴㜷㜰㜵㍥㜷收ㄴㄱ愳㈷㐵㉦〸㕢㜱㜶愴捥摡慤敡ㄱ扣ㅦ㔷戰ㄳ㤵㍢㐳㈸摥捥㌲㡢戳ぢ㥡㐵㡢㌳㠷㕥㉤㄰㌹挵改〳ㄷ户搱㠶㑤㌵挰挵愹㌸敦ㄵ㉢捥摦㉤㐳挱㍤戵㈶㐴慡挴摢攸捦摣昷愱ㄸ㐰㌱㤰㘲㕦〸昵㐶搱攲っ㈲㘶㌰挵㄰〸㕢㜱㠶㡡〱㕢〵戶㥣㘶〴㤷攲㜸愹昴㐱㈸摥㥤㌳㡢攳㐷戳㘸㜱收㌲慤ㄶ㠸㥣攲㠴攰攲㌶摡戰愹昹㜰㜱㉡捥挶㘲挵搹㘰ㄹち㙥ㄱ㉥㐴愴㑡扣㡤㐳㤸晢愱ㄴ挳㈹㐶㔰㡣㠴㔰㡦ㄶ㉤捥㈸㘲㐶㔳㡣㠱戰ㄵ㘷ㅣ㜵搶㤶㜳ㅡ㠲㑢㜱㈶㔰㌹ㄱ㐲㥤〱㤵㔹㥣㐹㘸ㄶ㉤捥改㑣慢〵㈲愷㌸㔳攰攲㌶摡戰愹㌳攱攲㔴㥣㌵挵㡡㜳㥢㘵㈸戸攵戹ㄸ㤱㉡昱㌶㡥㘶敥挷㔰ㅣ㑢㜱ㅣ挵昱㄰敡㠶愲挵㌹㤱㤸㤹ㄴ戳㈰㙣挵㐹㔰户ㅥ㔱戱攵晣〱晦㐹㜱㔲㔴愶㈱搴搹㔰㤹挵挹愰㔹戴㌸㘷㌱慤ㄶ㠸㥣攲㔴挳挵㙤戴㘱㔳攷挰挵愹㌸㤷ㄴ㉢捥挵㤶愱攰ㄶ敥ㄲ㐴慡挴摢㘸挰㑡㡤㐶㡡㈶㡡㘶㡡戹㄰敡晣愲挵㤹㑦捣〲㡡㠵㄰戶攲㥣㑥㥤戵攵昰慥戰ㄴ攷㑣㉡ㄷ㐱㈸摥つ㌶㡢戳ㄸ捤愲挵㌹㡦㘹戵㐰攴ㄴ攷㙣戸戸㡤㌶㙣敡〲戸㌸ㄵ㘷㙥戱攲㌴㕢㠶㜳昳㙦㐹㕦㠴㐸㤵㜸ㅢㄷ㌱昷愵ㄴ换㈸㉥愶戸〴㐲搵ㄷ㉤捥㜲㘲㉥愳㔸〱㘱㉢捥㑡敡慣攲㉣㐵㜰㈹捥ㄵ㔴㕥〹愱㉥㠶捡㉣捥㔵㘸ㄶ㉤捥㌲愶搵〲㤱㔳㥣㍦挳挵㙤戴㘱㔳㤷挰挵愹㌸挷ㄷ㉢捥㜱㤶愱攰づ晢㜲㐴慡挴摢戸㤹戹摦㐲㜱㉢挵㙤ㄴ㙢㈰搴ㄱ㐵㡢㜳〷㌱㜷㔲摣〵㘱㉢捥㍤搴慤㐷㔴散㔶㤷攱㍦㈹捥㝤㔴慥㠵㔰扣㔹㙦ㄶ攷㝥㌴㡢ㄶ㘷〵搳㙡㠱挸㈹捥㠳㜰㜱ㅢ㙤搸搴㑡戸㌸ㄵ㘷㘴戱攲㡣戰っ〵㌳〶慥㐰愴㑡扣㡤ㄶ收晥〴挵㝡㡡つㄴㅢ㈱搴㐱㐵㡢戳㠹㤸扦㔲㍣〵㘱㉢捥㌳搴㔹㕢捥㤵〸㉥挵㜹㡥捡攷㈱搴搵㔰㤹挵㜹〱捤愲挵戹㑡搲㠲挸㈹捥摦攰攲㌶摡戰愹㙢攰攲㔴㥣㝤㡢ㄵ㘷愰㘵㈸㤸〱㜱㉤㈲㔵攲㙤扣捤摣摦愱㜸㤷攲敦ㄴ敦㐱愸㝥㐵㡢昳㍥㌱ㅦ㔰㝣〸㘱㉢捥挷搴㔹挵戹づ挱愵㌸㥦㔰昹㈹㠴扡ㅥ㉡戳㌸㥦愱㔹戴㌸慢㤸㔶ぢ㐴㑥㜱扥㠰㡢摢㘸挳愶㔶挳挵愹㌸㍤㡡ㄵ愷扢㘵㈸㤸搱㜱㈳㈲㔵攲㙤晣㠸㤵ㅡ㍦㔱㙣愶昸㤹㘲ぢ㠴敡㔲戴㌸㕢㠹昹㠵㘲ㅢ㠴慤㌸扦㔱户ㅥ㔱戱㕢摤㠴晦愴㌸㥣㥤㘱㈸〸挵戹㈱㘶㜱㑡搱㉣㕡㥣㥢㤹㔶ぢ㐴㑥㜱㌸㝦搵㙤戴㘱㔳户挲挵愹㌸㍦㙥㉢㜲㠶晣㠳㘵㈸㤸愰戲〶㤱㉡昱㌶㝡㘰愵㐶〵㠵㠷愲㈷㐵㉦〸昵ㄵ㕣㥤捦㤰㜷㈴愶㌷挵㑥㄰戶攲散㐲㥤㔵ㅣ捥㜹㤱攲散㐶㘵ㅦ〸㜵㈷㔴㝢攳㕤㘲散㡥㘶搱攲摣㐱㐴ぢ㐴㑥㜱昶㠴㡢摢㘸挳愶敥㠲㡢㔳㜱摥㉥㔶㥣户㉣㐳挱㠴㥢㝢㄰愹ㄲ㙦㘳㕦慣搴搸㡦㘲㄰挵㘰㡡㈱㄰敡㤵愲挵ㄹ㑡捣〱ㄴ㕥〸㕢㜱晣搴㔹扢ㄵ攷昰㐸㜱㠲㔴㠶㈰搴㕡愸昶挶ㅢ㔳㐳搱㉣㕡㥣晢㠸㘸㠱挸㈹㑥っ㉥㙥愳つ㥢扡ㅦ㉥㑥挵㘹㈹㔶㥣挷㉤㐳晥晣愱㌲摥㡤捦扦㈵㉡ㄳ㡡戳㌳㉢㙣㜳㌶㝡〰散捡ㅣ㔱㔷摤搴搸㌵挳㕢攷㘳慡㥢㐶㌵㌶㜵换㐰㘰㔱㕣㜶㤳㐹〸㌶愷挱㤹㈳慢搳昳㘶攰愶攰㥥㠵㈶捣戵慥㙡㙥㙣慡㤷扢扤㝤ぢ敤愳敡㈷搷㌷㡤慡㙥挴㙤扤〵晤ㅤ捣愶攵愸搹改㍡捣㡡㘹挰攴㤸敤㠱敡攷捣㐹愷ㅣ㜲㥣㕥摦摣㤰㑣㡦ㅦ昵摦㌰慦㐶㤹户慤㑢㜰㘷㔴㈹っ㡢ㄴ㥦㐷㘲慢晢ㅥ攰愶ㄴ㜷㔳搵敦㥣㤶搱〲晦ㄲ愳ち㥢㕥〹㠲㘰㔳㌷㐶㜱㌳㜴㤷㤴慤㠳慡敤㑤挴㌶㔳愷㉢挰敥っ㘸㌵㜵摤慤愹㘰攳敢ㅡ慢㔳㘹户搵㍡慣扡慥㠷戵㌸愵戹㈹挷ㄲ㥦扦㠳㘵挱㉤摦㈹㜵愰㍥ㄹ㙦㐸晤㌷戰㠲㡥攱㘵㔲愲㕣昸昷晢ち㙤㠶㈹㈹昹㔶㍦ㄳ昳敤㈲散散愳慤㕡㍦〴戳攳ㅤ昸散敥㠸〵摢㐴愷ち攰扢戳摣㔹㜵㌹㕢㠷愵攳㜵挲挲昴愶搴愸昴摣ㅥ㠲㐸㘳〳挷㈳づ㌵改ㅤ㜲㥢㌲ㄱ挳挸㡣㐸㌴搶搷㌴㌷愵㝢㘴㤷㘴㐷㌷㌲搳搲戸愷㡥㐹㙢摤戲㑢㔳㤳㑤㤸搶㤷㡤挷〹㘹晦㍤っ愱㈲㥤㉤㤶㤴昰攴㙡㘳攳捤敤〴昷愱摦挹慡㉡㈹挹挸敢敢㐳搵㔵㔷昲㜵摢愱㈵㝡挱捤㔷㐹搹挳〸摦晥㔹㘹摣㤳㜶搰㤳㈵捤㈳㥣ㅣ扣扡㘹ㅤ㈷㠴㜵捦挸㜱て戳㍥昹㜴㑢〵㜷㥤ㅡ㍣㝡搴㔴㥤㡣搷搴㉣攸㤱ㄹ㕦㤷慣㘹㑥愵㈷挵ㄳ改ㅡ㝤捣慥㙦愸晤㉦攱慢㌳慡㘶敤㔱㙤搴挵㥡㥥㌵ㅥ㡦㠴改㌹㜰扦晢㌰愷㡣㌱搸搳㕣㘳㈱捡㠶㔵ㅤㄶ收㉤㜲户㌱捥摡晢㌸つ敤晦㍣ㄱ搰つ愷㕥慤搳㔸攵搱㈱ㅣ攰ち㔴㍣戲㜱㕥㔴㜶㉥愱散㜷㌶搸愴晡㐹昵㤸攷㤹戲愹挶㔵㥢慡晦㥡扤㑢㜶㉣㤷换昵㝢㍦㘶㔰㉢扣扥戵收㘰攰搰㘷戶て攵㈷つ㜷㤱㐷搱捥㥦㔱㘵㍢ㅤ㤱㌳〰㌹ㄴ㝡〰慣攰㜱捣㍣㝤㤸㔱摤㔴㤳敥㥡ㄱ扢㉣㤷㜳挷㘰㌵扢㘴㘶捣挶散愴㔱摤㌳㘳ㅢ慡㔳㌵搵㜵㘹㥥㡡㘰摥㌱ㅦ搷㥡㤴㍥〹㌳㘴愷搶㌷㔶昳㈹挴敥㤹ㄹつ昱扡挶㌹㥣㠴㤶㕣搰㉢愷㈵㘴㤵㘵㐶㔶搷㘱㌷㌲搷挹攵㡡捣昴搹昵昳昰㈰㘳㜳㙤摤搸昸㥣挶晦ち愲戸㔷㤹㉦昳㌸㔸慡㑡㑢㔵㜹㘹昹敦晤挴挲ㄶ㡥㤰㝥㠴㉣愵戰愸㝡っ㑢㙤散戵㘴挹㥡㥦捣扤㤶㌹攵㍣㤴攷㌸㍦㌲晢ㄴ㈸㡦挴挶㜸散㤶摤㈶㐰㑣ㄸ㝢挴昸搶㔹敤晦㕦㡦㔴㤶㍤㡥挸㙤㝣㈰挸㘶㤱㥤㐲摢ㅢ攰ㅥ收愶㐲ㅤ户ㅣ㐳ㄸ㘷㉢㝦昳㜳㘷〴挳㉤ㄱ㥦愱㠴㜳㜱っ收㌷㜶挳㡥㡦〳㌰收㠵攲挸摢挳㙣昰愴慥㌶㕥搳㘸搹慡敡㙢㙢攳摣戴戸㔹㑥挷搱㍢㕤㉥㘷搸㌸㤲ㄸㄹ〸搹晥㉣㔵㝣㍥㔴昱昹愲挲㠷㌲愷挵换㌲㘳搵㥦ㄴ㙦愸㙥㥡㕤㕢㥤㉣㘷㠳㔳搷晦㉢戶㐹㙣㐲㥤㔱㑣晤㤲つㄳ愷慢昹㜳㔰捤㘹㤳愰㝢㈸慥㈰㔸㍡搲㡦㉤户㔴㍥挹搵敦㥣㜳㡣捤㔷慥戲㡣㐹㠸㔶㠶㙢㝥㌹挵㤵㕣㙣愷㘱搸㐴攵㈰愴㥥㈰〰㙦攳㌰挰昵慢昳〶㉣戵㌹ㄳ戴ぢ〰敥㐹昵昱搴ㄸ㍣摤㔰摦搰挵㝡〴戸ㅣ搴昲㤰搲攰攱散摦㉡捣㥢挷㝣晣戹㌸ㅢ㙥㈸愷㘲㍡收搵㜶收扣㘱㤷挹㈱㍦㄰㑢捡捡扡㤶㍢慤㙢扣㡥搵摦㥡㈵㘹㝦㠴㝡㝣㐱晣㉦て㡦昲㥥〷扡挵㡥ㄸ㤳㈱㡤㈹㄰㙡㈳㥡散㑦ㅥ㘰㉡〱㠷㐳㤴㙤㠲㌱㝦㉦㈹㍡㔳ㄶづ㈵㘵戵㥣挱㕢㕥换敥攰愴挳㠵㜹扤㤸〹㡣㤲戸扡㤶㍦〹扢㌱つ愸攷㥦㝢㙥ㄸ㤶㑢ㄴ愷愲㙥挰㥢敢摦ㄹ晦扢摤㉣㥥㌱ㅤㄸ㘳〶㠴㝡ㄹ㑤㕥㥡ち㙤㤸戹〳㥤扥㉣㌹ち换昸愸㔰慦㐰挵㑢ㄳ晤戲㌱㠹㡦昴愳㉤搴慢㌰昳愴㥡㠴㙥敦〴㑤扤〶ㅣ㑦搲㤴㜱っ摣㕤挷㐲昰㉣㈱ㅡ㠰捥㙤ㅣ㘷㠵㝣ㅤ㉤㥥㈹㤸慦愲㥦㘵敡㑤〰昸㜹㔶攲㜸晣㔴㙦挱挲㘳愸㜱㍣攲慡户戱挴㐳㔳㜶㔳㍤㤱㉢摦敥愶晡慥㜸㈰㠸㝤㔳㔵敦㐱扢〱敦㍣㝡㘷㈱愴ㄱ攷摡晥攱っ㐸㄰㤰㈴攰㝤〰戸つㄸ㈹戴戲戴㝤㘴㜳戳搱㤶愶㕢㠶㙥㕦〲㘰愳㙤㌶㜴㥡戶㙡㉣㤳戶慦愰㉡㑥摢挹ㄶ敡㙢愰摡㑤摢㌷〰㥢戴㥤〲㜷㔷つ〵㘸挳戳扥㌰戸㡤㕡㉢收户㘸戵㠷户敦㠱㙢㠳户ㅦ㘰ㄶ摥敡㄰㔷晤㠸㔶づ㙦㜳愰摤㍥㙦㥢攱㔶㜰㠸㔱㕢愰摤㠰㜷ㅥ㙦つ〸㘹㌴㜲㙤晦㜲〶㌴ㄱ搰㑣挰㔶〰㠴户戹㘸㘵㜹晢搵收㘶攳㙤ㅥ摤收搳捤㠵㕣㙣扣㉤㠴㑥昳㜶ㅡ㤶挹㕢ㄷ㐰㡡昳㜶扡㠵㉡〷慡摤扣㜱敥慢挹摢ㄹ㜰㜷㥤㐹㐱摥扣㌱慣摥㙤㉣戲㘲扡〱㙢て㙦㥣㈶摢〶㙦㥣㐰㉢扣㉤㐶㕣搵〳慤ㅣ摥捥㠲㜶晢扣㜹攰㠶扦扣晤㡤㔳㙥㌷㐰㥢挷摢㌹〸㘹晣㤱㙢攳㜴㕣〷挰ㄲ〲捥㈵㘰㐷〰㠴户昳搰捡昲挶㌹戸摡捤挶摢昹㜴扢㠰㙥㤵〰搸㜸扢〸㍡捤摢㔲㉣㤳户㝥㠰ㄴ攷㙤㤹㠵摡ぢ愸㜶昳戶㌷挰㈶㙦ㄷ挳摤㜵〹挵戰ㄱ㐷㙡摥㉥戵㘲昶〷慣㍤扣つ〰㑥㜸㜳㉤㠷㘷摦慡晡挶愶㑡晤㤵づ㤵昳づ愸慦㥣㔶摤㜸㑡㈵㉦晦づ慣昴愱㝦〵愷愲㙡㈰㜴㐲敤㘵〸愰昶㐵㉢㠷摡换愱摤㍥戵㠳攰㠶㍦㍣昴捡㈰㉣㈴摦㥣㈳扣〱ぢ㜹搴晥〹ㄸ攳ち〲㌹㝦搸〱㜰㈵〱㔷ㄱ㌰ㄴ〰愱昶㙡戴戲搴㜲搲戰㜶戳㔱㝢つ摤晥㑣户〳〱戰㔱㝢ㅤ㜴㥡摡㔵㔸㈶戵㥣晥㕢㥣摡敢㉤搴挱㐰戵㥢㕡捥㈳㌶愹㕤つ㜷搷つ㄰晣〴㡣㐵戱㜶户㜱愳ㄵ昲㄰愰摡挳散㜰攰摡搸㈳㐷挰㉣戴摤㠴戸㙡㈴㕡㌹戴摤挲㤵㙦昷ㄳ㜰ㄴ摣昰㠷㥢慣㠰敢㤷ㅡ〳搵〶戴昲㘸扢つㄸ㘳つ㠴ㅡ敢っ戸㥤㠰㍢〸ㄸ〷㠰搰㜶㈷㕡㔹摡㈶摡摣㙣戴摤㐵户扢改㌶〳〰ㅢ㙤昷㐲愷㘹扢て换愴㡤㜳㤱㡢搳戶搶㐲ㅤ〹㔴扢㘹攳愴㘶㤳戶晢攱敥晡ㅦち敥㤱㍥散㉦攰敤〱㉢㈶愷㍤户㠷户㘳㠱ㄳ摥っ敥㤱攸㐰攱㉥挷搹搱挲摤㍡㈰搴昱㘸攵㜰昷㌰戴摢攷敥㐴戸攱て捦晦㌱㠸戹愲ㄲ㌵ぢ㑢ㅢ搰挸攳敥ㄱ㘰㡣㐷〹㡣㍢〳ㅥ㈳攰㜱〲ㄲ〰〸㜷㉤㘸㘵戹攳〴敢つ㔶㕣ㅢ㜷㑦搰㙤㍤摤敡〰戰㜱户ㄱ㍡捤摤㤳㔸㈶㜷㥣㉡㕤㥣扢㑤ㄶ㙡づ㔰敤收㡥㜳慥㑤敥晥ち㜷搷㔳㄰㘵攰㉥ㅡ挶摡摤挶搳㔶㐸㑥捡㙥て㜵扣搰摥づ㜵㥣扢㉤搴㍤㡢搸㙡㉥㕡㌹搴㍤捦〴戶扢摢㜱戲㌷晥昰挴㄰㠳戰㔰㝣㉦㠴摣㠰㠵㍣敡㕥〴挶㜸㠹㐰捥〴㜷〰晣㡤㠰㤷〹㌸ㅤ〰愱敥ㄵ戴戲搴㜱晡户㜶戳㔱昷㉡摤㕥愳摢㜹〰搸愸㝢〳㍡㑤摤㥢㔸㈶㜵㥣挸㕤㥣扡户㉣搴〵㐰戵㥢扡ぢ〱㌶愹㝢ㅢ敥慥㜷㈰㐸㥤㜵戴㝣搷ち挹㈹攳敤愱㙥ㄹ㜰摢愱㡥㌳换㠵扡昷㄰㕢㕤㠲㔶づ㜵敦㌳㠱敤㔲挷愹攸昸挳㜴〱〶㘱愱昸㕥〱戹〱ぢ㜹搴㝤〸㡣昱ㄱ㠱㥣愷敥〰昸㤸㠰㝦ㄲ戰ㄲ〰愱敥ㄳ戴戲搴㜱㜲扡㜶戳㔱昷㈹摤㍥愳摢㙡〰㙣搴㝤づ㥤愶敥ぢ㉣㤳㍡㑥㌳㉦㑥摤㤷ㄶ敡㐶愰摡㑤ㅤ攷慢㥢搴㝤〵㜷搷搷ㄴ㜲捤㘰ㅥ㌱扦戱㘲摥っ㔸㝢戸扢ㄵ戸㌶㍥改㌸改㕤㜸晢ㄶ㜱搵ㅡ戴㜲㜸晢ㅥ摡敤昳挶㔹昲昸换㍢昷扣ぢ慡つ㠵扣晤㠸㤰挶㑦㕣ㅢ愷搰㍢〰㌶ㄳ昰㌳〱昷〰㈰扣㙤㐱㉢换ㅢ攷捤㙢㌷ㅢ㙦晦愲摢㔶扡㍤〲㠰㡤户㙤搰㘹摥㝥挵㌲㜹攳っ昸攲扣晤㘶愱ㅥ〳慡摤扣㜱㉡扤挹摢扦攱敥攲㥤㔲搹攵㠲㔸扢摢攰ㄸㄳ㔷摣〲㔴㝢㘸㕢て摣㜶㜶㌹㑥挹ㄷ敡㍡㈱戶摡㠸㔶づ㜵㘵㑣㘰扢扢摣㈶戸攱て㑦晦㌱〸ぢ挵昷㔳㤰ㅢ戰㤰户换㜵〱挶㈸㈷㤰ㄳ晣ㅤ〰晣愲㍢挳㑤挰㌳〰〸㜵㕤搱捡㔲挷㔹晤摡捤㐶㕤㌷扡㜵愷摢敢〰搸愸慢㠰㑥㔳攷挱㌲㉢挸昹昹挵愹敢㘹愱㌸㠱扦摤搴㜱愲扦㐹㕤㉦戸扢㜶愰㤰㕤捥ㅣ㕥搹搱㡡昹㌶㘰敤攱敥㕤攰摡搸攵昸戴㠰昰搶ㅢ㜱搵㝢㘸攵昰戶㌳戴摢攷敤㝤戸攱㉦㙦㤷晢㄰㉡㕤㕦㔲㙦つ慦敤㡡㤰挶㙥㕣ㅢ㥦㍤㜰〰昴㈱㘰㜷〲㍥〶㐰㜸摢〳慤㉣㙦㥦摡摣㙣扣昵愵摢㥥㜴晢ㄶ〰ㅢ㙦晤愰搳扣敤㠵㘵昲挶㐷〷㡡昳戶户㠵攲戳〵敤收㡤捦㈰㤸扣昵㠷扢㙢ㅦち戹㑣㡦戲敦挶〰㉢收㡦㠰戵㠷户捤挰戵挱ㅢㅦ㘴㄰摥〶㈲慥攲ㄳつ㌹扣敤〷敤昶㜹摢ち㌷晣攵㕤ㄴ㙣㠳捡㠱㤶挱〸㘹っ攱摡昸㔸㠴〳㘰㝦〲㠶ㄲ昰ㅢ〰挲摢〱㘸㘵㜹攳戳㄰摡捤挶㥢㤷㙥㍥扡戹〱戰昱ㄶ㠰㑥昳ㄶ挴㌲㜹攳㔳つ挵㜹ぢ㔹愸㙥㐰戵㥢户敥〰㥢扣㠵攱敥㡡㔰挸㘵扡昹ㄱㄷ戵㘲昶〰慣㍤扣昱㐹㡡敤ㅣ㉢昹㥣㠵㜰㜷㈰㘲慢㕥㘸攵㜰㜷㌰戴摢攷㙥㐷戸〹㜷挳ㄸ㠴㤵攲㥢㑦㘶攸ㅡ㘳㔱敦㜳㠷〰㘳ㅣ㑡㈰㥦摡㜰〰っ㈷㘰〴〱扢〰㈰摣㡤㐴㉢换ㅤㅦ搵搰㙥㌶敥慡攸㌶㡡㙥晤〱戰㜱㌷〶㍡捤摤㔸㉣㤳扢㝤〰㈹捥摤㌸ぢ㌵〰愸㜶㜳挷愷㌷㑣敥挶挳摤㌵㠱㐲㉥攸捣㈱捤㠹㔶捣㝤〱㙢て㜷㠳㠰摢づ㜷㝣っ㐴戸㍢っ戱搵㄰戴㜲戸㥢〲敤昶戹ㅢち㌷攱㙥㉡㠳㘸敥昸攰㠸慥㌱ㄶ㌵㜷㠷〳㘳㑣㈳㤰て㤵㌸〰愶ㄳ㌰㠳〰㍦〰挲摤ㄱ㘸㘵戹攳㤳㈴摡捤挶摤㤱㜴㍢㡡㙥㠷〰㘰攳敥ㄸ攸㌴㜷挷㘲㤹摣昱晥㐸㜱敥㡥戳㔰挳㠱㙡㌷㜷㝣戸挴攴敥㜸戸扢㑥㠰㤰ぢ扡ㄸ扢㙥㥣㘸㠵攴搳㈷敤愱㙥ㄴ㜰摢愱㙥㌴㈰㐲摤㉣挴㔶㘳搰捡愱㉥挱〴愰㤴慥攳扦㥣戹㐷㈰挹扣改㌵づ〸愱㉥挹㈰㐴昳㍤〱㕡㕤㘲㠶戰㍥敡㔲挰ㄸ㘹〲昹挸㡢〳㈰㐳挰㐹〴㑣〲㐰愸㥢㡤㔶㤶扡㈹㌶㌷ㅢ㜵搵㜴㍢㤹㙥㐷〳㘰愳慥〶㍡㑤㕤㉤㤶㐹ㅤ㥦㔸㈹㑥㕤㥤㠵㍡ㄶ愸㜶㔳挷㐷㕦㑣敡敡攱敥㥡〳㈱挳㕦扣敤敤㌶㑥戵㐲昲搹㤸昶㔰㜷㈲㜰㙤㝣搲昱昱ㄹ愱慤〱㜱搵㉣戴㜲㘸㙢攲捡愱㙣㥢㌶㍥㙦㈳戴ㅤ搶〹㔰敢愵㔲搰㍡戰㌲ㄷ㈱㡤㜹㕣㕢摡ㄹ㌰㥦㠰〵〴㘴〰㄰摡ㄶ愲㤵愵㡤㑦攰攸戸㌶摡㑥愳摢改㜴㙢〰挰㐶摢㤹搰㘹摡ㄶ㘱㤹戴昱㔹㥡攲戴㉤戶㔰㑤㐰戵㥢㌶㍥㤴㘳搲昶〷戸扢捥㠲㤰㡢〲㜳〸攵㙣㉢㈴㥦摡㘹て㙤昳㠱摢捥ㅥ挷㠷㝢㠴扡㍦㈲戶㕡㠸㔶づ㜵攷㌲〱㈸摢愶㡥㑦〳〹㜵攷㌱〸搱㝣㥦〹慤㉥㌱㐳㔸㝢摣昹挰ㄸㄷ㄰挸㐷㠵ㅣ〰ㄷㄲ㜰ㄱ〱㡢〱㄰敡㤶愲㤵愵㡥捦〷㘹㌷ㅢ㜵换攸㜶㌱摤㉥〲挰㐶摤愵搰㘹敡㤶㘳㤹搴昱㐹㥦攲搴㕤㘶愱㤶〱搵㙥敡㉥〶搸愴㙥〵摣㕤㤷㔳挸㐹㡡㜹㐱户搲㡡挹㠷㡡摡挳摤㜲攰戶挳ㅤ㥦㍤ㄲ敥慥㐰㙣戵〲慤ㅣ敥慥㠲㜶晢摣昱㘱㈵攱敥㙡〶搱摣㕤〱慤慥㌱ㄶ㌵㜷搷〰㘳晣㤹㐰㍥挹攴〰戸㤶㠰敢〸戸ち〰攱㙥ㄵ㕡㔹敥昸昸㤲㜶戳㜱㜷㍤摤㔶搳敤㘶〰㙣摣摤〸㥤收敥㈶㉣㤳㍢㍥㠸㔴㥣扢㥢㉤搴慤㐰戵㥢㍢㍥搱㘴㜲㜷ぢ摣㕤户㐲挸敤㜲㜳㔲摤㙤㔶挸㌵㐰戵㠷扡㍢㠰㙢攳㘸挹愷愲㠴戶㌵㠸慢敥㐲㉢㠷戶㍢戸㜲㈸摢摥攵昸ㄸ㤵搰㤶㜳戴扣て㕡㕤㕥㠶戰㜶戹扢㄰搲戸㥢㙢攳㌳㔶づ㠰㝢〸戸㤷㠰晢〱㄰摡敥㐳㉢㑢ㅢㅦ慣搲㙥㌶摡搶搲敤㝥扡戵〰㘰愳敤〱攸㌴㙤て㘲㤹戴昱ㄱ愹攲戴慤戳㔰㝣㠶慡摤戴昱㔹㉢㤳戶㠷攰敥㝡ㄸ㐲㡥㤶ㄱ㜶摤昸㡢ㄵ㜲㈳㔰敤愱㙤ㄳ㜰摢搹攳昸捣㤶㔰昷㈸㘲慢愷搰捡愱敥㜱㈶〰㘵摢搴㍤〳㠴㔰搷挲㈰㐴昳晤ㅣ戴扡挴っ㘱㔱昷〴㌰挶㝡〲昹〴㤸〳㘰〳〱ㅢ〹㜸〱〰愱敥㐹戴戲搴昱戱㉦敤㘶愳㙥ㄳ摤晥㑡户户〱戰㔱昷㌴㜴㥡扡㘷戰㑣敡昸〰㔷㜱敡㥥戵㔰㝣挲慢摤搴昱㐹㌰㤳扡攷攰敥㝡ㅥ㐲㑥㉤㑤敡㕥戰㐲扥〷㔴㝢愸㝢ㅦ戸敤㔰挷㈷捡㠴扡㤷㄰㕢昱搱戲ㅣ敡㕥㘶〲㔰戶㑤摤挷㐰〸㜵慦㌰〸搱㝣㝦〲慤㉥㌱㐳㔸搴扤ち㡣昱ㅡ㠱㝣㍥捤〱昰㍡〱㙦㄰昰ㄹ〰㐲摤㥢㘸㘵愹攳㐳㘹摡捤㐶摤㕢㜴㝢㥢㙥㍦〲㘰愳敥㕤攸㌴㜵㝦挷㌲愹攳攳㘵挵愹㝢捦㐲昱昹戳㜶㔳挷攷搴㑣敡晥〱㜷搷晢ㄴ㌲晡㘵㜲昷㠱ㄵ㜳ぢ㘰敤攱㙥㉢㜰㙤ㅣ㉤昹戰㥢昰昶㈱攲㉡㍥昵㤶挳摢挷搰㙥㥦户摦攰㈶扣攵ㅣ㉤㑢㍡戵搶ㄷ〰捤摢㈷〸㘹㝣捡戵㈹㘷挰㘷〴晣㉦〱愵〰〸㙦㥦愳㤵攵慤捣收㘶攳敤ぢ扡㝤㐹户ㅥ〰搸㜸晢ㅡ㍡捤摢㌷㔸㈶㙦ㄵ㠰ㄴ攷敤㕢ぢ攵〱慡摤扣昵〴搸攴敤㍢戸扢扥㠷㤰㑢〲㜳㄰攵〷㉢㘴㉦愰摡㐳摢㡥挰戵㐱㕢㙦㤸㠵戶ㅦㄱ㔷敤㠴㔶づ㙤㥢戹㜲搶㥣㑦攸挸换㌶改つㅡ昳㑡㙥ㄷ戸ㄵ搲戶ㅢ戴ㅢ攰㤳㌷搸扣〵㈱㡤㝦㜱㙤㝤㥣〱㕢〹昸㠵㠰摤〱㄰摡戶愱㤵愵㙤㑦㥢㥢㡤戶㕦改昶ㅢ摤昶〵挰㐶㕢㐹㤹㤵㍦㥥㌰攲㡦㌶㤰戶晤〰㈹㑥㕢愹㠵ㅡ〴㔴扢㘹ㅢっ戰㐹㕢㈷戸扢㍡㔳挸㜹㘵ㄴ慢㜷ㅢ㘵㔶捣㈱㠰戵㠷户愱挰㙤攷㔰㜹〰㈰挲㕤ㄷ挴㔶㕥戴㜲戸攳て搳㙣㥦㍢㍦摣㠴㍢㌷㠳戰㔲㝣〷愱摤㠰㠵㍣敥扡〲㘳㜴㈳㌰攴っ攸㑥㐰て〲挲〰〸㜷ㄵ㘸㘵戹㡢搹摣㙣摣㜹攸搶ㄳ愲慣ち㠰昶㍤㝥挶昹㥢ㅥ摢㌳㠱㥣㉡摤搸㌳㜳㜸㜳扣〶㍦慡㌲〵て愶㌴㔱昵摦㌰ㄷ戹戳昹㜸㔰晥搷㥢攷晥搶ち㥥慣㤳㉥ㅣ㜷㐲㕦昴㉣扦〶戹㔸慢㙦㡤㐴晥扥挷㠷摣㘵㕦㙦晤昷扦摢户ㄶ㙥ㄱ㕤收昲换㜳㘷捥㉣㈹攷㍡㐱ㄲ㌶改ㅤ㐰ㄸ㜷愶㔱㘸捡㈶㤴㜳搴ㅥ敤愴㉤ㅢ〳㙤ㅢ㜳昸昳㥥扣㘱搴ㅤ㕡㘷ㅣ㜳㙥昹攰ㅡ晥㘴㤳搳㔴攵摣愹晣扤㤱㥣ㅡ攷㤴㠳ㅡ慦戵㍢ㄳ㠳㔵昰㕤㌶〹摡敤㑥づ挷攱〵てㅢ㜲㥡昸昴愶〵㌵㤸㥡捦㐵㝥攱慣戹挴戹挸愶ㄹ㐹搷㌷㜴挶㜳㤵昹摦㉦㥤昵㝤〰愱扡敥㤸昷㝤摥攲㐶换〴㘴㔳昶ㄹ㈸㉡敡捦愴㕢㔹愱て㕦慥㕤搱愷ㅤて慢㑥㌶搴㌷搶㘷㥡㉡愷攳昱㤲㑡㝥挳㝢〶てㅡ㡤㈸晢〴ㄱㅤ搷挹㡥㜵慥攳敦て〹搱敥㔳敡敡攷搵㐹㌶㘵㡤晣愲㝢慥捤攸搲㠵慢攱攳㐷昲摡ㅢ㠵昳㘸捥㍤㤳㤱㌱㍦㈹㕣㝤㤰挱㍥㔵㈳慢愶捤昴㠶㌲㈱㕦㌰㥥〹㈶㘳改㘰㌰散㡢〵扤挱㔴㉡㤴㠸㐷挲戱㜰㈲ㅥ㜵敤㥥㠵㠶搳愹㐴㈲㄰㑤〴㐳㐹㕦㌰ㄹ昱挶㠲ㄹ㍦㠰晥㜴㈰㤶㠸㈴㤳㐹捦ㄴ㉢扣戱〷㝣㡣扥㄰㥥愹㕡戵㈷㔵㤵㔴ㅤ慥㔵〴〸戴㘲ㅡ㔴㑣搹㘵㈶晤㥦㤳㥥改㠸㡣扦ㄲ搷摥㔸㔹户慡㤱㌳㘵㍥晤㌴㝣昳扣慢㍦㌴㍤愱挹晤愵㈷搷㍥㔰昷㠰摡昶愸㡡㘷㠶ㄵ挵攸㠷㔰挶㐰收㕤㠹㈵㜵㈴昴㍣ㅡ扡搵ㅢ㈰㡤㝢㉢搷攵㌶〶〱挱扤敥㈸㌴㠵ㄵ捤〰慣ㄸ挵㜴搴ㅥ〳㉤昷㍣㘳〸㥣搵㜱㡥㤸攳戵㜶㈸㌱㡣挵昷㠹搰㜲捦㔰㝦㐳〲摣ㅥ戹ㄶ㠳ㅢㄹ户㈷昵㈲㌴摣愶㜲户㠹㔹㜰㤰㑤挱て㥣戹㈹挴㠳㜱㝦㈸攴㑦㈵㐱㙦㌰㤴㐹㐴愳㠹㑣〲㡦愸〴㈳摥〰戸昷扡〲㔹㘸㌲ㅣ昲㠳㝤晥㌸㐴㌸ㄸ㑤晢ㄲ㜱㥦㉦㄰挸㈴挲㤱愰ㅦ㥢㔲摣ㄳ户挲ㅢ㐱昸ㄸ㈱〸㑦㐲慢㕡㌷㠵愴㔶ㄱ㈰搰㡡ㄴ㔴ㅤ戳㈹愴ㄱㄹ㝦昸〲㔹慥㡣散ㅢ攴摡㤳搱晡㠱㌴ㅥ㐲晤〰㉣愹搹搰㥢攴戶愰㝡慤攴㡥〰㠲攴㔶挳㕥㐸敥挹㡥摡㔳愰ㄵ㜲慢攰慣㙡ㅤ㌱㜵㕡㍢㥡ㄸ㘶挰昷ㅣ㘸㠵摣㠷㤱㐴㈱戹敢ㅣ挹㙤㠰㤳㤰㍢ㅥ愱㑣㜲㈳晥㐰㌴ㅤ〹〶㤲晥㜰㍡ㄸ昷〶愲挱㑣㌲㥡昰晢ㄳ改㠸㍦㤲㑣㈷㕣ㄳ戲㔰散摢㤱㠰㍦㤹昴愷攳〱㙣ㄲ搱㘸㈴ㄹ㡢愶㘳晥㐸㉡ㄴ〹㝢ㄳ㜱㑦愳ㄵ摥㤸〸ㅦ㘳ㄲ㠴愷㐹慢㕡挹㙤搶㉡〲〴㕡㌱ㄷ慡㡥㈱㜷ㅥ㈲攳慦㠰摣昹㕡扦㍦㡤㐷㌰㤳㈱㉣敢㐲攸㑤㜲㙦换㈱昷㘸㈰㐸敥㘹戰ㄷ㤲㝢扡愳㤶昳搴㠵摣㘳攱慣ㄶ㌹㘲ㄶ㙢敤昱挴㌰〳扥捦㠲㔶挸扤挱㤱摣敢ㅤ挹㍤〷㑥㐲敥㉣㠴㌲挹挵㑥ㅢ挶㜱搸㤷㐹昸〲挱㜴㈰ㅡ㡤㈶㌳搸㤷愳㠹㈸昶捡㜴㌲散㡡㘷愱〱㤰ㄸ㡤昹㌲㠱㤴㍦ㅤ㑣㘴攲昱㔸㈲ㅤち㠵扣晥㤰㉦ㅤ㑢㈷搳㥥㍦㕡攱㡤〴㝣㡣㈴㠴㘷㠹㔶戵㤲换昹改㑣愲ㄵ㔵㜱ㅥ㔴ㅤ㐳敥昹㠸㡣扦〲㜲㉦搰㝡捥ㄵ㌱㙡㤸㉦敦挹愸㡢愰㌷挹㕤㥥㐳㙥㍤㄰㈴㜷㈹散㠵攴㉥㜳搴㕥っ慤㤰㝢㉡㥣搵愵㡥㤸换戴戶㤱ㄸ㘶挰昷攵搰ち戹ㄷ搹挸㜵㌵〳㔲昴戳㕦㕤攰挸昸㑡㐴攲㠷扦㌱て捥摤㍢㜹晥㠴戶㙣〱昳搱㌶户〰㝦㍣ㄶ㐹㠷㝣攱㘸搲攷て㈶㐳戱㐴ㅣㅦ攴挹㐴㌲㤸昱愵㐳㐱㙦捣戵㈰ぢ㡤〷晣晥㐰㍡攳㡦〷㘱㠹㐴晣昸慡晣㐸㍡攸昳㈶㈲㈹㕦㌸ㄶ㡣㜹慥戰挲ㅢぢ攱㘳㥣〶攱戹㔲慢㑥愷敡っ慡慥搲慡㉣慡攲㙡愸㍡㘶ぢ戸〶㤱昱㔷戰〵㜰㔲扣攸㘳㌴㥥挳攴㜸㈹愷慥㠳搲摣〲ㄶ收㙣〱攷〲挱㉤㘰ㄵ散戲〵摣㑡㙦敢愵慥㜷搴慥㠶㔶戶㠰昳攱慣㙥㜴挴摣愴戵ㄷㄲ㠳㜸昲收㕣㜵搹〲㥡散㕢挰㔲㐰㡡㙦〱つ㡥㕢㠰㑥搳㜳ㅢ㐲ち昵ㄷ㈳㡡㐹㝤㈲㤶㡡晢攲㌱㙥〰㤹㘰㍣㤹㡣㘶扣愱㐴捣ㄷ捦挴㐲㘱㝦㈴ㄴ㜰㕤㤲㠵㠶㤲㤱㔴ㄴ㝢㝢摣ㅦっ〷晤昱㜸㍣㤱㠹昸ㄳ㤹㈰㡥敤㠹㜰㈸㤵昴慣戱挲ㅢ㤷挲挷㔸づ攱戹㕤慢㉥愳㙡〵㔵㜷㘸㔵ㄶ㔵㜱㈷㔴ㅤ㐳晤㕤㠸㡣扦ㄲ搷㥦戰敡摣㌳戸㉢愰㜱㌸㠳扢ㄲ敡晣㌳戸扢慤㈸昲换㠸挶搵㐰ㄸ㠷㤰愶㝢愱㌷㌷㤴㘴捥㠶㜲㉤㄰摣㔰敥㠳㕤㌶㤴㥣㌳戸戵㡥摡晢愱㤵つ㘵ㄵ㥣搵〳㡥㤸㜵㕡扢㥡ㄸ扤愱㍣っ慤㙣㈸㈷搸㌶ㄴ㠳㠷ち㌹㠳㍢捥㜱㥢昸ぢ㥣攴愸㜰㌳㜰㌸㉡㍣㠲戶㙣ㅡ户愰㙤㙥ㅡ㠱愴㌷ㄶ挹㠴〳挹㔴㠶ㅦ晤挹㐴㈴ㄱ㑤〶㈳愹㘰㈶ㄶて㠷㠳㐹搷慤㔹㘸㉡ㅣ昲昹ㄲ㍥㝦㌴ㄵ㑡〶㘹て㐶㤲扥㜴㉡ㄶ昲〶晣㈹㕦㌴敤攱㈴㝢㌹攲摦〶ㅦ㘳つ㠴㠷㜳敢㐵搵㝡㔴㜸㕣慢〸㌰〸慤㘸㠱慡㘳㌶㡤㈷㄰ㄹ㝦〵㐷㠵昵㕡㍦㥡挶戵捣㘴ㄴ㤶搴㐶攸㑤戲㈷收㤰晤〰㄰㈴晢㐹搸ぢ挹摥攴愸攵戴㝣㈱㝢ㅤ㥣搵搳㡥㤸㘷戵昶㘱㘲㤸〱摦捦㐳㉢㘴㡦㜶㈴扢捡㤱散ㄷ攰㈴㘴㍦㠶㔰㈰晢㐵戴㠵散挷搱戶㑥〲㜰ㅡㅥ㡣㈶㐲晥㔸搲ㅢっ〶〳昸昹戶ㄸ㡥敡愱㔴㍣ち㑡㈳㜱㔷㑢ㄶㅡ㐸昸搳㤱㔸ちㅢ㐶㍣〲㥥晤〹ㅣ㈷攲攱㔴㉡ㅣ㑥〵晤愹㔴搰昳㤲ㄵ摥㜸〲㍥挶㝡〸捦摦戴慡㤵散㤷戵㉡㡢慡㜸〵慡㡥㈱晢㔵㐴挶㕦〱搹慦㘹晤㐴ㅡ㥦㘵扥ㄳ㔸收㌷愰㌷挹づ攴㤰晤〲㄰㈴晢㑤搸ぢ挹㝥换㔱晢㌶戴㐲昶㑢㜰㔶敦㍡㘲㘴昲㍤㔳㜸㤹ㄸ㘶挰昷晢挰ち搹晢㍢㤲㍤搸㤱散て攰㈴㘴扦㡥㔰㈰晢㐳戴㠵散㌷搰㌶挹㑥挵㘳愹㘰㈰ㄴっ挴㈳㤱㘰搰㤷㡣晡戰攳㐶晣愹㘸㌰ㅡ㑤㐷㐳㈹搷㥢㔹㘸㉣ㅥ昱㐵㝤愱㐸ㅣ〷晣愰ㅦ捦攳〵扤昱㐴挲ㅦ㑤愷昰昹㥦ち〶㍤ㅦ㔹攱㡤户攰㘳扣つ攱昹㔸慢㕡挹晥愷㔶㘵㔱ㄵ㥦㐰搵㌱㘴昳㐱〰晣ㄵ㤰晤㤹搶ㅦ㑥攳㐷捣㜷㉡换晣㌹昴㈶搹㝤㜲挸晥〴〸㤲晤〵散㠵㘴㝦改愸晤ち㕡㈱晢㌳㌸慢㙦ㅣ㌱摦㙡敤攷挴㌰〳扥扦㠷㔶挸敥㙤㈷㝢㔷㐰攴㌰扥㠳㈳搹㍦挲㐹挸晤ㅡ㌸㤳㕣㝦㈴㄰㡡晡㌲愱㜴㉡㄰ぢ㈶㔲㘹㡣戱㐴㠲㌸㥢て愶㘲摥㔰㌲ㄱ㜰㝤㤳㠵㠶〳㘱㥣昹〷挳愹㘸㈴ㄶっ挶㘲㌱㙦挶㡢慢扢㔰㌸ㄵ〹愷昰敢㡤㥥㥦慣昰挶户昰㌱扥㠳昰㙣搶慡搶搳昹㥦戵㉡㡢慡搸〲㔵挷㤰晢㉦㐴挶㕦〱戹㕢戵晥㈸ㅡ户㌲摦㈳戱愴戶㐱㙦㤲摢㌹㠷摣㕦㠱㈰戹㝣戰愰㤰㕣㍥㐸㔰愸攵〰㡤㤰晢㙦㌸㉢㠵扤慣㄰搳㐹㙢昹㠳捦㐲㉣戳㈸㠳㔶挸晤敤㕦戶ぢ昱散㘷昴㌶㘸ぢ㐷㔹㕣㜰挲ㅦ㝥㠰ㅥ愱戰㈷㜷㐱㐳挸㜶愱㙤㤱ㅤ㡥攱挴㍢㤵昲晢㈲搱㘰㈴ㅣ挷戵㕢㈰ㄳ㡥〶㜰昹㤶㡥攲戴摣搵㈵ぢつ晢ㄲ摥㔸㉣ㅥ昰㘲攴㈵㤸㠸〵愲攱㄰㡥昲昱㌰捥昲攳攱㔸㈸改㈹户挲ㅢ攵昰㌱昸㠳昷ㅥ㐳慢㕡昷㘴户㔶ㄱ㈰搰㡡慥㔰㜵っ搹摤㄰ㄹ㌵㉦㈰扢扢搶㥦㐰㘳㉦㘶㜲㍣换㕣〱扤㐹昶㤷愸㘸敢愸㑢㙦㈰㐸戶〷昶㐲捡㝡㍡㙡㝢㐱㉢㘴敦っ㘷戵愳㈳愶户搶敥㑡っ㌳攰㝢㘷㘸㠵散㑦散㘴㘷昷攴㡦ㅤ挹摥ㄵ㑥㐲敥ㅥ〸㘵㤲㥢づ㐴愲㠹㔸㍡攲㑤〵ㄲㅣ㜰㠹〷㘲搰㘴〲㘱散搵扥㌴㉥换晡戶㐲㜱㕥㡥㌳戰㜴㤸ㄷ收戱愸㉦㠶搱户㜰搲ㅦ昱〵扣㕥㡣挱〵㍤扢㔹攱㡤㍤攱㘳㔴㐲㜸晡㘴㔵摣㔹㘴㜴㜵昷慣㑡愳㉡昶㠰慡㘳挸敤㡢挸㑥攴敥愹昵㐹㤲扢ㅦ㌳㐹戰慣晤愰㌷挹㝤㉤㠷摣㈱㐰㤰摣扤㘰ㄷ㜲昵昵づ㥣㑡搴摥㡥摡晥搰ち戹㐳攱慣〶㌸㘲〶㙡慤㤷ㄸ挶攲㝢㍦㘸㠵摣ㄷ敤攴昲戲㑣づ搳捦㍢㤲㍢ㄸ㑥㐲㙥㄰愱㑣㜲攳挱㔸搸㡦换敢㠰㉦ㅡ挳㡥ㅡ㡣㠶攳戸散㡥㐶㠳㈹㙦挲敦换㈴㕤愱㉣㌴㤶昶㘲㕣㌵ㄲぢ㠷㈳扥㘰㌸〶㙥愳㐱㉦〶摥㈲昱㜸㌴㤳昴挷㍣㐳慣昰㐶ㄸ㍥㐶〴挲戳扦㔶戵㕥㜸つ搵㉡〲〴㕡㜱〰㔴ㅤ㐳慥ㄷ㤱㠵㕣㕥㜸ㄹ扣搶㌲慥㠴昰昸戴㥥扦ㅥ㘱っ㘷㈶戳㔹搶〰昴㈶戹㡦攵㤰㕢〵〴挹つ挲㉥攴收㕣㑡㠵ㅣ戵㘱㘸㠵摣搱㜰㔶㔱㐷捣㠱㕡㍢㤶ㄸ㘶挰昷挱搰ち戹敢散攴㘶て搳て㌸㤲㍢っ㑥昸挳㈸㈵㐲攱㌰㝤〸ㅡ㐲昶㈴戴㑤戲扤扥㔰㌴㠵㕤㌹敡㡦攱收㠷ㄷㄷ摡ㄸ㙣㑢攳ㅣ捡ㅦて㐷㈳戸㑦㜲㔸ㄶ㡡㥤㍢㤰づ㠵㌱ㄸㄳち攳㘳摢ㅦ㑦挶㤳㌸攵昲㘶㌰ㅣ攳つ㠶㘲㥥㐳慤昰挶㘴昸ㄸ㔳㈰㍣挳戵慡昵㌰㍤㐲慢〸㄰㘸挵㐸愸㍡㠶散㉡㐴㜶摡㤳㐷㘹㝤㍤换㜳㌴㌳愹㘳㤹挷㐰㙦㤲㝤㜳づ搹挷〱㐱戲挷挲㕥㐸昶㌸㐷敤㜸㘸㠵散ㄳ攰慣㈶㍡㘲づ搳摡㤹挴㌰〳扥愷㐰㉢㘴慦㜲㈴晢㕡㐷戲愷挲〹㝦ㄸ摢㐴㈸㤰㝤㌸ㅡ㐲㜶ち㙤㤳㙣摣昷ち〵㌳愹㜰〶㥦换挱愸㌷㤲㠸㠷扣改㐴㌴攵㡢愷㐱㙡捣敢㑡㘷愱昱ㄴ㑥扤愳晥㑣摣㡢戳改㐴ㄸ挳㉥挱㜴㍡㡣ㄱ㤶〸㌷㡦㑣捣㌳捤ち㙦㘴攰㘳㥣〴攱㤹慥㔵慤㘴捦搰慡㉣慡攲〸愸㍡㠶散㈳ㄱ搹㠹散愳戴扥㤹攵㤹挳㝣㥢㔸收㘳愰㌷挹㕥㤶㐳㜶㈳㄰㈴晢㔸搸ぢ挹㍥捥㔱㝢㍣戴㐲㜶㌳㥣搵㠹㡥㤸㔹㕡㍢㡦ㄸ㘶挰㜷〲㕡㈱晢㍣㐷戲㤷㌸㤲㥤㠴ㄳ晥㌰㡣㠹㔰㈰㍢㠵㠶㤰㝤㍡摡搶㘷㜴㌰ㄱ㡤㘰戸㍣㥤㠸㘱㈴㉣㄰㡦㝢昱㡢攷摥㜴搸㡢戱㄰㕦搸攷㜳㥤㤱㠵㠶㈲㌱㝦ㄸ愷搹㐱㥣㜲攱扡㌹ㄳ昵愶晤戸㘶挶戰㑡ㄸ搷搹改㠴㈷㙤㠵㌷捥㠴㡦戱〸挲㤳搱慡㔶戲㑦搲慡㉣慡㘲㌶㔴ㅤ㐳㜶㌵㈲㍢㤱㝤戲搶㥦挶昲㥣挷㝣ㄷ戲捣㌵搰㥢㘴捦捤㈱晢㐲㈰㐸㜶㉤散㠵㘴搷㌹㙡敢愱ㄵ戲㤷挲㔹㥤敡㠸㘹搰摡㡢㠹㘱〶㝣㌷㐱㉢㘴捦戱㤳㥤㍤〱慢㜳㈴㝢㉥㥣㠴摣换㄰捡㈴㌷ㄵて㐵㜰扡散㑦攰ち㈹ㄸ换〴ㄲ愱㔸㍡ㄴ㡤攳扡㌷攲㡤㈶挲〱搷㡡㉣ㄴ昷㌰㌳扥㈸㍥㤴㠳扥㘸㌰㄰㑣㐵扤㘱㕦㈰敡て㜸挳ㄹㅣ扡㈳㐹捦㍣㉢扣㜱㌹㝣㡣㤵㄰㥥昹㕡搵㝡㈹戵㐰慢戲愸㡡㠵㔰㜵っ戹愷㈱戲ㄳ戹愷㙢晤ㅦ㐸敥㜵捣㜷㌱换㝡㈶昴㈶戹㌳㜳挸㕤つ〴挹㕤〴㝢㈱戹㡢ㅤ戵㝦㠰㔶挸扤ㄱ捥敡㙣㐷捣ㅦ戵昶㘶㘲㤸〱摦攷㐲㉢攴ㅥ㘳㈷㌷晢ㄹ㝤㤴㈳戹攷挱〹㝦ㄸ㝡㐴㈸散挹攷愳㈱㘴摦㡥戶戵㈷〷㈲愹愴て昷慤〳㌸㈱ぢ㐴挲ㄸ昵㐸㈴ㄲ改㜴摡㡦攳㜱㍣㤴㜰摤㤱㠵㘲㤸㉣敤昵㠵㐳㕥扣昰愱散挵㜹㤸捦ㄷ昵攲㤳㍤㠵㡤挳攷昷㕣㘰㠵㌷敥㠴㡦㜱ㄷ㠴攷㐲慤㙡摤㤳㉦搲㉡〲〴㕡戱ㄴ慡㡥㈱㝢ㄹ㈲㍢㤱㝤戱搶㥦换昲㍣挸㑣㤶戰捣㤷㐲㙦㤲㍤㌶㠷散㠷㠱㈰搹换㘱㉦㈴晢㌲㐷敤ち㘸㠵散㐷攰慣㔶㍡㘲慥搰摡挷㠸㘱〶㝣㕦〵慤㤰㍤挲㤱散㐳ㅤ挹扥ㅡ㑥昸挳搰㈳㐲㠱散㙢搰㄰戲㌷愰㙤㤲ㅤっ挴㤲㔱捣㍦〹㈶晤㥣扦ㄲ㡡昹㤳扥㤴㍦㠱摢㥦㤸㤰ㄲ㑥晢㕣ㅢ戳㔰㕦㈲ㄹ〸昸愳昱㜸㈴㠹㘱㜰㥣㡡㠵挳㌸ㄲ㐴晣㘱扦㍦㤹挲㌸㤸攷捦㔶㜸攳㐹昸ㄸ㥢㈰㍣搷㙡㔵㉢搹搷㘹㔵ㄶ㔵戱ち慡㡥㈱晢㝡㐴㜶㈲㝢戵搶㉦㘵㜹㕥㘴扥ㄷ戱捣㌷㐲㙦㤲㝤㐰づ搹㉦〳㐱戲㙦㠲扤㤰散㥢ㅤ戵户㐰㉢㘴扦ち㘷㜵㥢㈳㘶㡤搶扥㑥っ㌳攰晢づ㘸㠵散晤散㘴㘷て摢〳ㅤ挹扥ぢ㑥㐲敥摢〸㘵㤲ㅢち㐶㈳㌸㡤づ㠶〳㤸㕦攲㑦愷愲搸㝢㜱昶㠵㥢㔷㜱摣搵㡣挵㕤敦㘴愱㤸扦㄰昵挵㝤㕥㝦㌸㠹㠳㝡㉡ㅣ捤攰〴摤ㄷつ愴㝣〹摣晥づ㈷㍣㜷㕢攱㡤㜷攱㘳晣ㅤ挲㜳㡦㔶戵ㅥ戶敦搵㉡〲〴㕡㜱ㅦ㔴ㅤ㐳敥㕡㐴㜶㈲昷㝥慤扦㡣攴㝥挲㑣㤶戳慣て㐰㙦㤲扢㑢づ戹晦ぢ〴挹㝤㄰昶㐲㜲搷㌹㙡ㅦ㠲㔶挸晤〲捥敡㉦㡥㤸㐷戵昶㉢㘲㌴戹㡦㐳㉢攴昶戲㤳㥢㍤㙣㝢ㅣ挹㙤㠱ㄳ晥㌰昴㠸㔰搸㤳㥦㐰㐳挸晥ㅥ㙤㤳散㘴㈲攸昳㘵㘲㈹㙦㌰ㅤ挷㈹㜴㌴ㄶ㈷愷〹㡣㠷挵㐲㌸㈱ぢ扡㝥挸㐲㘳戸㐱㥤づ㘷㌰㠷〵愷㘱㐱㝦㌲㤶㐹㐷㌳㜸㠷㘳挹㤴ㅦ㔳搲㍣敢慤昰挶㡦昰㌱㝥㠲昰㙣搰慡搶㍤㜹愳㔶ㄱ㈰搰㡡㈷愱敡ㄸ戲㌷㈱戲ㄳ搹㝦搵晡㉢㔹㥥摦㤸挹ㄵ㉣昵搳搰㥢㘴㤷攴㤰慤㌰㥢㤶㘴㍦〳㝢㈱搹捦㍡㙡㥦㠳㔶挸敥〴㘷昵㠲㈳收㈵慤㉤㈳㐶㤳晤㌲戴㐲昶搶㉤㑥挳㥤㕢愰㉤ㅣ敥㝣〵㑥昸挳搰㈳㐲㠱散㔷搱㄰戲昹㑤慥㈶搹戸㔵㤱㡣攳㤸㡢㕤㌶ㄴっ昹扣㜱㥣㑥㐷ㄲ扣㕦㠵ㄳ慦㔸搰敦敡摡ち挵㕤㡡㐸〸㔷摣㕥㕣㌸愷攲㐹捣㕦㡡㜱挴㈴㤴挰ㄵ㤹㌷敤昵昰㠱㄰㠶㌷扡挱挷攸づ攱㜹㕤慢㕡挹㝥㐳慢〸㄰㘸挵㥢㔰㜵っ搹㙦㈱戲ㄳ搹㙦㙢晤㜵捣㜷㈷㘶㜲㉤㑢晤㉥昴㈶搹㥦愱愲慤挳㥤扢〲㐱戲晦づ㝢㈱搹敦㌹㙡晦〱慤㤰摤〷捥敡〳㐷捣㠷㕡扢〷㌱捣㠰敦㡦愱ㄵ戲㍦戴㤳㥤㍤㙣扦敦㐸昶㈷㜰ㄲ㜲晢㈱㤴昵㤹㡣㘳㙦挴敢昵挵ㄲㄸ敥㑣〷攲戱㔰㌴ㄳ捤㘰㠰㍢㤰㡣㝡㜱㌴㜷敤㤵㠵晡攲㠱㘸㈸ㅡ㐸愴扤㐹摣㠸挶㜰愷搷攷挷昴㌲ㅣ扦㜱戲敤㑤㝡㍤㥦㕡攱㡤扤攱㘳昴㠷昰㝣愶㔵慤㠷敤晦搵㉡〲〴㕡昱㌹㔴ㅤ㐳敥ㄷ㠸散㐴敥㤷㕡㝦ㄳ挹摤㥦㤹摣挸戲㝥つ扤㐹敥摦㜲挸昵〲㐱㜲扦㠱扤㤰摣㙦ㅤ戵摦㐱㉢攴晡攱慣㝥㜰挴晣愸戵㐱㘲㌴戹㥢愱ㄵ㜲㥦㜵㈴昷㘹㐷㜲户挰㐹挸㡤㈲㤴戵攷㘲㜶戰㉦ㄵ昱㈶㘲㌸㘵㑥㠲搱㔰㈴㤵挲戴㔰㝦㌰㡥㝤搹ㅢ㜴挵㕡愱摥㐸搴㍣ㄷ捦㜸㠳㝥㍦㘶て㠶㌲戸㥥昲㘲㝢〸〴㜰㘹敤昹㤷ㄵ摥㌸㄰㍥挶㐱㄰㥥慤㕡搵㑡敥㉦㕡㐵㠰㐰㉢戶㐱搵㌱攴晥㡡挸㑥攴晥愶昵晣戵㉢㘳ㄴ㌳㔹㈳愵挵㔸愸㐹敥挳㌹攴㡥〵㠲攴㉡搸ぢ挹攵㘳㉢㠵摡㑥搰ち戹攳攱慣昸ㄸ㑡㈱㐶ㅥ㈰㘱ちㄳ㠹搱攴ㅡ挰ち戹昷摢挹捤㝥㈶摦攷㐸慥ㅢ㑥攸ㄵ㠶ㅥㄱち㠷㘹㍥㌲㈲㘴㑦㐵摢㈴㥢㔷扤〹摣㔹挶晣㡦〸㙥㐱㠶愳晥㌰挶挲攴〲㈹㡤㤹〲㈱搷攱㔹㘸㈶㄰て昳づ㠷㌷ㄲ昰〶ㄳ昱㑣挲㥦挲㙤て㝣㐶㐷㐲㤱㜴㈰ㄳ昴㜴戳挲ㅢ搳攰㘳㑣㠷昰昰ㄹㄴ㌹㜲户ㅥ愶昹㐴㡡愸〸㄰㘸〵ㅦ㑢改ㄸ戲㍤㠸散㐴㜶㑦慤扦㤷攵㌹㥥㤹摣挳㔲敦〰扤㔰㜲㈲㔴㜴攴㕢昵搶摡㤹搰㙡㑡㍣㍢㐳㉢搵㥤〵㙤昷㑥㘵㥣っ敦昸晢㈱收挴昳改昸㔶昸昴搰慡㤱㤱愱愳攷㈷搳㌵晣挵ㄶ㑣㑦挷搹㐰㐹敦摡昱㡤㔸㑣㌷㌴捥愸ㅦ㈱扦㈰挲愷ㄸ㝡敡ㄹ散㠳㙢挷㌶㔷愷昰㈵昱晢戴㙡昴捦昵㘸户㈹つ㔹扦敥慤㈸㝣㡦㙥敦搶㔶ㄵㅥ㡦㐸捦㙦攲㌷戵昷㘹搵攲户㤹昰㡢㌱改㤴㡥搸挸扢愵愵㥤搴晥挵㝦㜷㙡㑣㐳搲㝡㌶㐴㠷㘹摣〳摤攸攳昰慤昴㈳慢㥢攴㔱㤰摤㔹㐶㠳㑦㈳戸ㄲ愸㔶㤷㘱晤慢づ敢ㅦづ㤵晤ㄹ摢敤晦㙤㑤㉣㝦敢愳ㄶ㕣㉦㕦昸愵㙥㔲挳㈷つ㐸㠳㌲㜶攷慡㌲搰昵挲慡㈶昵昷㐵〶散㜵㘰攵㕥〳晡㡦攰㕡慦挴㕡〷㌹昵㙦㔴㝤㙤扣扡㙥㈸㍡愸㝢㌶扡慥戹㌶㜷㤵㝢㥡㙢挴㉡㘷㜳㤵㍣㡡㌱ㅥ戵㡡㜷收搸㈵㘹昰昱㠱晥㔸㌲㥥愷㜸㠱攲㐵〸戵〲㠰㜷昰㤳㙦敢换ㄶ慣㡥㉥㈹ㄹ晥搰㍦ㅦ敤搵攵改攷〳敡㌲换昰搵捡ㅥ㜳㝥㕤㕦㍢晥捥㜱㤹㙤㈷慥晣昰㝡㌵〸㤱㘴慢慣挳ㅡ戳㕢攵㄰慤慤㘷ㅥ㡣㡣户㠷㑦っ挸㔶㌹〷摡敥㥤ㄴ攷攵㥢㈵攱〳〰慥〶㘸捤敡㐷〳㙡㈹㔶愸搳㜵ㅢ晣扥㝥ㄵ捡挲〳㠴捦㠵慥愰㠲昰㍣ㅦ㥥扡搷㙥㘳㍥㍤㌹愱摥愹扢攷ㄴ敢敥搹㤶㘱挰愴㙢慢摣愷扥㌷㙥攵捤改ㄷ㙦ㅣ昸攳挳㙡〴㈲㐹㜷捦㐴摣㙣㜷㘵㐶㍤㡢戸㠸㙢搳摤攵ㅣ㝡改敥㘲㘸搱㕤捥㔴㌷扢㍢ㅥ㑢慥戳愰㉤㤷㡤つ㐳扤敡㡣㥣晥㥥挳㌸㥣戳㙥攲㈷㄰扦〴扡ㅤ昲户ㄸ扡㉥挸改昰㜹㜴㍤〲づ㑥ㅤ㙥㉡搶攱㐶换搰㘳捦攳づ戸晢戱㤳愷摣晢㔳㤷㔷㔲敢攷昷㔷㐷㈳㤲㜴㜸ㄹ攲㘶㍢㝣慣搶㕥捣戵改づㅦて慤㜴昸ㄲ㘸搱㘱捥摥㌶㍢㌰ぢ㑢慥攵搰ㄶ㜶挰ㅢ㔳戵㌹ㅤ㔸挱㤰㥣昳㙤扡挶改扡ㄲ㍡慢㔶挰㔷〳摦扡㙤㕣㐱㍣㈷㕥㍢㜵㌸㔵慣挳㐹换昰搵㥣敡〵搷㌶㌵㡤㝥㜴㔲扦〳ㅦ㍡戸攵㔳挵〹摡搲攱㙢ㄱ㌷摢攱㔳戵昶㍡慥㑤㜷戸ㄱ㕡改昰㉡㘸㜱㤸㥤㠷昶㐱㑥㍢慦晣㌲搰㔰摢攳㍣㠳㜱㤴挲て晣愴㔳昸挹㡤㌹㌸挸㉤ㄸ㕤搷搴挰㉦㙦㈹改㠴愳㘹㤹散攲㥤㑢て晣㝤戱昸㝣㈰㡦㍥㝣㤷捤㐴㐷晦㍦攲戰慦戹挷㌴ㅥ㘴㡣搵㉣挳㐲㜴搷㈴㘹㍥㤶㕣㌷㐲〷㝥㐷ㅣ㘱㍦愴㘱慥㤷㍡づ㈹戴敥㤱㌷搳㤵㌳扡㑤搷〵㜴扤ㄵ㍡昰㍢攲挸晥挴ㅦ〵㝣㉢扦㙢㠸攷㘷戴づ愱捥㐰㐳摢ㄵ㈷㕣㍢㌱㍦捤㈲戸攰㔰㜶戸㘵㌸昷愱敦㐷慥〸㉦㤹扣攴搱㝥搱㐳て昹㘶㤴攲挴㙣㘱晥ㅥ慣㌱换晣昹㕡㝢㉦昳㐰摦昹昶㜰㡥戵㌰㝦ㅦ戴搸搴㌹ぢ搹散て㈷㐵扢敥㠷戶攰搸ㄴ㡢慡㠹㌹㤵㜸㠰ㄱ㌹挱搹昴扣㠴㥥敢愰㌳て㠲㠰㡦捤㈹挴挳㠴昳㐶㝣戶㄰㥣〹㥤㉤〴㈷ㄴ㍢ㄵ㘲㘴戱㐲㡣戰っ㌵㌷ㅣ敢㕡㌶昶昶攱㡢㥦㝥㘱㠷愶㉦㌶捥㔶㥣㜸㉣㠵㘸挱ㅡ戳㠵㔸愵戵㑦㌰て㕤〸捥㈱㤶㐲慣㠷ㄶ㠵攰㐴㘰敥〶㙡ㄸ愲㜳摢㤳捤㘵㈳㕤㌸ㄳ搷散㈹㘷〷扢㌶㐱㘷㜱敥昳愹ㄸ愰扡㉢㙥攳㈹攲搷㘴昱㥣㈲散㝡〶扡挲捤ぢ慥㈱戸敡㤲戸㡤攷攸扡ㄶづ㑥戵昰〲敡昸昹㜶㠰㘵攸搳昳扣㉦ㅦ㝦攷昳戱て摥㜱捡㍥慢㘶搴昵㔶㥣㤷㉢戵㜸ㄹ㜱戳戵㔸愷戵慦㜰㙤扡ㄶて㐳㉢戵㜸ㄵ㕡搴㠲昳㘴愵ㄶ㠳ㄱ㍤㕢㡢搷改挲搹慡㘶㉤ㅥ挷㤲敢㑤攸戰扤攴敥㍡搱戰ㅡ㤸搳戵户改挹㠹戰愶㘷ぢ㍤摦㠵づ摢ぢ昶ㅣ挰昷〶扣戵㠸敦ㄱ捥挹愸㑥㤵攸㙢㜵戸㘰昷搸挳㌲㡣㍤敦慡㈵摤㤶づ㥢㝣挳愷愹㠵扦㍤戶〰㈳㌷㠸㈴㤵昸ㄸ㜱戳㤵㜸㐹㙢晦挹戵改㑡㜰晥愹㔴攲ㄳ㘸㔱〹㑥㈲㤵㑡散㡡攸搹㑡㝣㐶㤷户㘰㌲晢昳〶㤶㕣㥦㐳㔷㔰〹散ち扤攱搸㑡昲㤷昴㝣㍢敢昹㈶㍤扦㠶捥慣〴攰㍤〱㙦慤挴户㠴㜳愶愶㔳㈵扡㔹ㅤ㉥愸㐴㔷换搰改挱换搷㥥晤挳㙤愳㔷㑥㤹昱愹㍦㔱晦㡤攲㡣㑥愹挴㘶挴捤㔶㐲愶㙡愲〰挶捦㕣㥢慥挴攷挰㑡㈵戶㐰㡢㑡㜰㜲愳搹㕤捥戵㜴㙤㠵戶昰㌳ㄱㅢ㜵㔹㑥㝦户㌱㈴㈷㑥㥡慥㥣㝢改晡つ㍡㝤晥攰㔳㉡愷挳㈵攵挰㙦〵捡愹挳摢㝥㉥戲ㄳ晣㘲ㄹ㕥ㅡ㜹昱愲扥㤳〷ㅦ戶㘶捡㤴ㅥㅦ㥣㝣挰て敡㔷㐴㤲づ扢㄰㌷摢攱㝦㙢㙤ㄷ慥㑤㜷㤸ㄳㄶ愵挳攵搰愲挳㘵㘸ぢ昵㍦㈳㝡㤶㝡㌷㕤㌸㐳搰散㤰ぢ㑢慥㙥搰㔹〴〶搵て㐰户ㄲ搸㠳㜰㑥ㄵ㌴攱㥣㡥攸昲㐰㔷戸愵〴搵㌷昰㙣摤㔲㝡搱㤳㔳晢㥣㉡昱戹搵攱〲敡晦搷㌲捣搹㘷搱㜷捤㘳挷㡥㝢戰㜶㤷敡〷㠶㝦晥慣敡㡤㐸㔲㠹㕤㄰㌷㕢㠹㥤戵㜶㔷慥㑤㔷㠲戳昹愴ㄲ扢㐱㡢㑡㜰捥㥣㤹晦ㅥ㔸㜲敤づ慤〳昵〱昵㔱㑥〷晡㌲㈴㘷摡㤹慥㝤改㕡〹㥤愶㍥愰晥〱㝣㙢愹昶㈲㥥搳摤㥣㍡晣㜶戱づ扦㘵ㄹ昶㜸扤昶挳㈹㜷捤ㄸ扥㘶㕤昳昸㠵㈷慣㝤㐷㜱㕡㥣㜴㜸㕦挴捤㜶㔸收扢愱㥦挶㝥㕣㥢敥㌰㘷戸㐹㠷〷㐱㡢づ㜳ㅥ㤹㤹㌵㈷慣戹㠶㐰㙢㘵敤㡤慡㔷㜲戲ㅥ捡㌸㥣㔱㘶攲㐳挴㝢愱㉢㉣㄰㕣㕦㠴㙢㉢挳㝥扡㜲ち㤸㔳㠷㥦㈹搶攱愷㉤㐳㤷摢て敢昷㔳攵㍥㘳敦㥣戸敤㠲㘹㉢㥢㌷㈹㑥ㄵ㤳づ㐷ㄱ㌷摢攱搱㕡ㅢ攳摡㜴㠷㌹敢㑢㍡㝣㈰戴攸㌰愷㙥挹戶晥㈴愲㘷户昵㠳改挲㘹㔶㘶摦㌸㥦换㜵〸㜴搶㠷㥦搷愷㥥〰扣㤵挱攱挴㜳挲㤵㠹㍦㡣昸㤱搰ㄵ㝥昸挱昵㔱戸戶搶㘲ㄴ㕤㌹㐳捡愹ㄶ敢慣㉥ㄷ㙣敤て㕡㠶摤㤷㕤晦搴戲㕤㝡㡦㕡搵昵攳㠶㥢〶晣搶慣㌸㤳㑡㙡㌱〱㜱戳戵㌸㐱㙢㈷㜲㙤扡ㄶ㥣ㄴ㈵戵㤸〴㉤㙡挱㤹㑤㔲㡢戵㠸㥥慤挵㘴扡㜰㘴挱散ㅢ愷㍢戹愶㐲㔷搸㌷㕣搸摣㥤搳户㘹㜴攵摣㈵搳㌵㑤搷ㄹ搰㔹㘵〴晥㜶攰㕢换㜸㈴昱㥣㐰攴㔴㡢㥢慤㉥ㄷ搴攲㈶换㜰㙥㥦戲搲㝦㍥晤摤戸㤵挶㝥㙦㝣摤㘳㜲㜷挵㠹㐶㔲㡢攳ㄱ㌷㕢㡢㘶慤㍤㠱㙢搳戵攰㥣㈱愹挵㠹搰愲ㄶ㥣昸㈳戵戸ㅥ搱戳戵㤸㐵ㄷ㑥扦㌱㍢挴搹㐰慥〴㜴〵〷戵㘸㑣晤ㄹ㡥慤㌴愷攸挹㤹㍤愶攷ㄹ昴捣㐰㘷㥤〸挴搴㤵㠰户㔶㘲㌶攱㥣㕤攳㔴㠹ㄵ㔶㠷ぢ㉡㜱㤹㘵㔸ㄳ愸㌸㙢昵㜵て㑣戸攵搲㕢づ㔸敢扢㝡㥡攲㉣ㅣ愹㐴ㅤ攲㘶㉢戱㔴㙢敢戹㌶㕤〹㑥愸㤱㑡捣㠱ㄶ㤵戸ㅣ㙤㌳㘹捥㡦㜱㌵㐰㡢敥收㡥㠲挴晣㙡㘹㑥㜷㥢ㄸ㤱㜳㕤㑣㑦㑥㤷㜱捤㠵づ摤挵㔰つ攰攷攷㜴㜷㍥攱㥣㙦攲搴摤㜳㡡㜵昷㙣换㔰㜳摤扢攵搷昴晡㙥昴昹㠹扦㡣㌹㝤敢ㅢ㍢㉢捥㑢㤱敥㥥㠹戸搹敥捡㠴ㄳ昴搲㔸挴戵改敥摥っ慣㜴㜷㌱戴攸㉥攷㠹〸昱㡢㄰㍤㑢晣㔹㜴戹ㄳ㈶戳㍦㥣㍣攲㍡〷㍡敢挳㉦慣㑥换改捦ㄲ挲㌹戹挳㠴㜳〲㠹敢㍣攸ち戶㤳㔸㔸捤㠳㘷敢㜶㜲〱㍤㌹ㄹ挳愹ㄲつ㔶㠷ぢ㠸㍦搵㌲㥣㍢㘱挷㠳㐷㈵敦ㅤ㝤搱愴敢㙢て㍡敡攸㡦ㄴ㈷㙤㐸㈵㉥㐱摣㙣㈵㘴㌶〶㉢㜱㈹搷愶㉢挱昹ㄷ㔲㠹攵搰愲ㄲ㥣㐴㈱㤵愸㐵昴㙣㈵㔶搰㠵㔳ㄹ捣慥㜱㘶㠵㙢㈵㜴㠵㠷〳㙦㔰㔵攷昴敤ち扡㙥捡扡㜲愶㠵敢㉡攸昴㔱㌵愸搲挰户敥〴搷㄰捦戹ち㑥戵㤸㘵㜵戹愰ㄶ㌳㉤挳㑦摢愶㜶㙤㘸㤹㔵戵敡昵挴昷昳㌶扤昶愱攲㥣〶愹挵㙡挴捤搶㐲㈶㉢戰ㄶ㌷㜰㙤扡ㄶ㥣㥥㈰戵戸ㄱ㕡搴㠲㤳〰捣づ㜳戶㠱敢㘶㘸捤㑤㌹ㅡ㔲挷攴㈴㝤㉢挳㜰㌶㠰〹攷㡣〳搷ㅡ攸ち昶ㄹ㜸ㅥ〱捦㔶敡敦愰攷㈷挰㍢㜵㜷㙡戱敥㑥戱っ㍢㍦ㅢ摣扣晢戳㘷㑣扥晣捥㑤㍤搶慥晦敥ㅡ挵扢晣搲摤晢㄰㌷摢㕤戹㝤捦敥慥攵摡㜴㜷㜹挳㕥扡㝢㍦戴攸㉥敦扡ぢ昵ㄳㄱ㍤㑢晤〳㜴攱ㅤ㜲戳㙢扣ㄵ敦㕡〷㥤戵ㄳ㐴搴㔸愰㕢改㝢㤸昰㥦戲㜰摥㡥㜷㍤〲㕤攱㑥㄰㔱㔵昰㙣慤挴㘳昴攴慤㙤愷㑡ㅣ㘲㜵戸㠰昸㘱㤶攱慢挵㐷㝦昰换㔷㥢挷㍤㍥攰散㥦挶捥㝤愸㐹昱ㄶ戸㔴㘲㈳攲㘶㉢㈱昷戶㔹㠹㈷戹㌶㕤〹摥捤㤶㑡㙣㠲ㄶ㤵攰㉤㘹愹㐴っ搱戳㤵㜸㡡㉥扣㝤㙣㔶㠲昷愹㕤捦㐰㘷㔶㈲ㅡ㔱㈱愰㕢㉢昱ㅣ攱扣㡦㙣挲㜹慦摡昵〲㜴〵㤵㠰愷て㥥慤㤵㜸㠹㥥㍢〱敦㔴㠹㈱㔶㠷ぢ㉡㌱搸㌲昴ㅡ戶攸晢てㅡ扥ㄸ戳㜶㔰㡦㔳扥㉣㙤㉥㔵扣㍦㉣㤵㜸ㅤ㜱戳㤵㤰ㅢ扦慣挴ㅢ㕣㥢慥〴㙦昵㑡㈵摥㠴ㄶ㤵攰つ㔵㌳㝦摥戹㜵扤つ慤㜵㙡攸㡢愸㝤㜲晡晢㉥攳昴捦攲昷㈲晥㍤攸ち㑦つ攱摡㉦愷挳敦搳㤵昷㐲㥤㍡扣㝢戱づ昷戱っ搷㥦戴昹㘷敦㠱攳㐷摤昳敤换㤵摢㍥㔸㌳㐹㜹ㄱ㐹㍡晣〹攲㘶㍢散搷摡㑦戹㌶摤攱㈰戴搲攱捦愰㐵㠷㜹㤳搱散㜰ㄴ㑢慥捦愱㌵昷昹㤸㑦昵捥改敦㤷っ挳扢㡤㈶㥣㜷㌴㕤㕦㐳㔷戰捦挳戳㘷㑥㜷扦愵攷㈸攰㥤扡摢慤㔸㜷扢㕡㠶㐱㍤㍦扤昳攲㉤摦㑦戸愵㌴㌶昰敦昳摦㕡慥㜸ㄷ㔱扡扢ㄹ㜱戳摤㤵摢㠳攴昷㘷慥㑤㜷㤷㌷〴愵扢㕢愰㐵㜷㜹㔷㑦戶昴㉥㠸㥥摤搲户搲㘵ㅡ㑣㘶搷愶㘲挹戵つ㍡㝤捣㡥慡㑥㠰户㙥敡扦ㄱ捦㝢㜱㈶㥥昷晢㕣㈵㠶攳挷㐳㔴晤㝢戳㝤㕢㉦〵㑣昱收㤹㔳㉤戶〲敡㌸っ昴㉦换㔰晢㑢㘸搹ㅦ㕢㜶ㅢ晦愷〵〷㕦㍡昹㠹㌷慦昵㥣㠸㐸搲扦㜲挴㌵っち㌷㠴摢挳摢㙥㘲攸㡡㈶㠶㠰㘷愱敤㜸晦挶ㅣ〲㌶㝦㐵ㅢ摦戳㤵㙥ㄴ㐵〵ち㔸㤶攱㍤戵慥ㄹ㝥晤㔶㕡㝥捡ㅢ摦つ㔶㕤㔳㈳㕦慢搵つ㍦愸摤㜰㑡扡㘱ㄲ㝥ㅦㅥ㍦愳㍤扤扡搶晡慥㈸晣㙥㍣㙦㤷改㥦㙣㌶愴挵㤱㕦㔷㘶㑡〳㝥挳戹㑢㘶㝣㈳㝥㠵㍥㔵㕥㍢㌵摥搴㤴㙥愸晢㙦昸㠶㍢㝣搱㔹㘷づ㜲㘳㝢敡㠴㙦㡡㉣㜵晣㡥㌱㝥㜹㔸晥㑦㍣㔷㡤挴敤㐹戳㠴慤昵攰捦户㜳㡣扢㤴扦挳晤晢扥摦捥搵つ戴㔵㘴㝦搴㜳㉥扦扤慥戱㔴晤㠰敤㐰愶ㄶ㝤攱摦㔵敥㤸昱扥戰搱〳㔸㔷〵㐴㈷摣㠵攳㙦慢㜰〷㜰ㅢㅥ㘸㡣ㄶ㌴㐴㤴㜴㑥㘱ㄳ㘸敢㠶㈳㜷愵㉥戵㌳攳つつ昱〵攵戵㌳㙢搲㜵㈷㌵捤㉥㥦㌹ㄷ㌷㔹慢敢㜹ㅢ慤扣扣摣攸㠵愰㕣〳摦㙡㌶㤴㡣㙡散〰㉤户㌶㙡㍤㠴捡愶户㈳ㄳ攸㑤戱ㄳ㠴摢挳㥢㙥㘲搸ㄹ㑤散㡣㜳搰收㜶㘹戰戳愵敡㔳挷捥敤㐶㝦㜶慥戵㘳扢㔳搵㠲㔵㤹ㅤ㔳㑤㠸㈱㘹昴㘵ㅣ㉢つ㌵㕦㙢昷㠴㌶㥢摣㤹搰㑡づ㤵っ搲㡦㘲㉦〸户㠷户挸挴戰㌷㥡㐸㙥㌱摡戶攴摥㜱㑣㙥〰晤㜳㤳摢㤷㉡㕢㜲攷攸㌴〶挱㤰㑤敥㍣慤ㅤっ㙤㌶㌹摥换㤲ㅣ㠶㌰挸晥ㄴ㐳㈱摣ㅥ摥捥ㄲ挳〱㘸㈲戹㑢搰戶㈵昷愲㘳㜲㝥晡攷㈶ㄷ愴捡㤶摣ち㥤㐶ㄸ〶㥤㠶扡㐲㙢㈳搰敡㤴㍤搷敡ㅣ愲っㄲ愳㌸㄰挲敤攱慤㈷㐹敥㈰㌴㤱摣㉡戴㙤挹㙤㜰㑣敥㄰晡攷㈶㌷㥣慡搶攴捡㜸㉦㈷㝦㐷攴㌷ㄴ㡥㘱㑡㘵昳慡㔳㑤戳㕤戳搳搵㈷捤挶㠳㌸㕤扢敡㙦㄰㠴つ㕦敦づ㔷搹㈲㐶㈲㘶戶㕦扣㘳㈳摡㉡㘸戳晤扡〷㕡㐹㝦ㄴ搷㍦㥡㘲っ㠴摢挳ㅢ㉢㘲ㄸ㡢㈶晡挵㕢㉡散㤷㙢ㅣ摡㠵晢收㠳㡥晤㥣〰慣㙢㈲㐴敥扥㌹〹ㅡ㕢㕦ㄵ㙦戹㐸㙡㤳㘱挸㈶捣㍢㉢愲㥤〲㙤㌶攱ㄶ㘸㈵慦愹っ㜲㌸挵㌴〸户㠷㌷㐰挴㌰ㅤ㑤㈴捣㕢ㅦ㌶㈲㙥㜷㑣昰㐸晡攷ㄲ㜱㌴㔵慤㐴愸㡤㠸㐳㌲昴㑢昱㌶㠸攴㜵㉣㤰㍡㉦挵㍢ㅣ愲㍤づ㕡摤〷て敦㑦㐸㔲挷㌳敡〹ㄴ㈷㐲戸㍤扣㐵㈱㠶㤹㘸㈲㕢摥㥣戰㘵㝢㥤㘳戶〹晡攷㘶㥢愲捡㤶㉤敦㘳攴㘴换摢ㄳ㤲㔷〶㐸㥤㤷㝡㑦㙢㑦㠲㔶昷挱昳㌱戴㤲搴㙣㐶慤愶㌸ㄹ挲敤攱㙤〴㌱㥣㠲㈶戲攵つ〴㕢戶㤷㌹㘶㕢㐷晦摣㙣攷㔰㘵换㤶昷ㅡ㜲戲攵㉤〴挹戶〱挸㙣戶摦㙡㙤㈳戴搹㙣㌹捥㉦㐹㌵㌱㙡㌳挵㕣〸户㠷㐳晤㘲㤸㠷㈶戲攵㈰扦㉤摢㜳ㅤ戳㕤㐸晦摣㙣㑦愷捡㤶㉤挷晢㈵戹㌳㘱挸㈶㔷㠲搳㈱搱㉥㠲㌶㥢㥣ぢ㕡挹㘱㌱㠳晣㠱攲㉣〸户㠷挳昲㘲㌸ㅢ㑤㈴㔷㡥戶㉤戹搳ㅣ㤳㕢㐲晦摣攴捥愳捡㤶㥣ㅢ㜱㜲㑡搹〳ち挹敢〲㈰㜵㕥慡㤷搶㕥〸慤敥㠳㘷ㄷ㘸㈵愹㡢ㄸ㜵㈹挵㌲〸户㠷㐳攷㘲戸ㄸ㑤㘴扢ㅢ摡戶㙣敢ㅤ戳㕤㑥晦摣㙣㔷㔰㘵换戶慦㑥㘳㈵っ㍡つ戵㤷搶晥〹㕡㥤戲㘷㕦㥤挳ㄵっ㜲㈵挵㔵㄰㙥て㠷戹㈵戹慢搱㐴㜲㠳搰㤶攴㜸㠸㉡㔵㐹挷攴慥愵㍦て㐹慤㥦愸慢愸戲㈵㌷㔴愷戱㥡㜱㑡捣户昲㙢敤つ搰敡㤴㍤㔱㥤挳㡤っ㜲ㄳ挵捤㄰㙥て㠷愴㈵戹㕢搰㐴㜲〷愲㙤慢摣㔱㡥挹慤愱㝦㙥攵敥愰捡㤶摣挱㠸㤳挳昳㜰㈸㠴攷扢㠰捣㘶㍢㑡㙢敦㠶㌶㥢敤〴㘸㈵愹㝢ㄸ昵㕥㡡晢㈰摣ㅥづㅡ㡢㘱㉤㥡挸㤶挳挵戶㙣㈷㍡㘶晢〰晤㜳戳㕤㐷㤵㉤摢挹㠸㤳㤳敤㌴㈸㈴摢㠷㠱搴㜹愹㈳戵昶㉦搰敡㍥㜸㡥㠷㔶㤲㝡㠴㔱ㅦ愵㜸っ挲敤攱戰慥ㄸㅥ㐷ㄳ搹㥥㠸戶㉤摢㐳ㅤ戳㕤㑦晦摣㙣㌷㔲㘵换㜶ㄶ攲攴㘴㥢㠲㐲戲摤〴㘴㌶摢搹㕡晢㔷㘸戳搹搶㐱㉢㐹㍤挵愸㑦㔳㍣〳㠱ㄳ㍦㙤㜸ㄶ㑤㘴换㐱㔷㕢戶〱挷㙣㕦愰㝦㙥戶㉦㔱㘵换㤶〳戰㤲摣换㌰㘴㤳㥢慦戵慦㐰㥢㑤敥㑣㥤挳慢っ昲ㅡ挵敢㄰㌸昱搳㠶㌷搰㐴㜲㡢搱戶㈵㌷搰㌱戹户改㥦㥢摣扢㔴搹㤲攳㘸㙡㑥㈹㤷㐰㈱搹扥〷愴捥㑢㕤愰戵晦㠰㔶昷挱挳㤱㑣㈹攵晢㡣晡〱挵㠷㄰㙥て〷㌳挵昰ㄱ㥡挸㜶㌹摡戶㙣晢㌸㘶晢〹晤㜳戳晤㡣㉡㕢戶ㅣ昱捣挹昶ち㈸㈴摢捦㠱搴㜹愹㙢戴昶ぢ㘸㜵ㅦ㍣ㅣ㙢㤴愴扥㘴搴慦㈸扥㠶㜰㝢㌸摣㈸㠶㙦搰㐴戶ㅣ㘸戴㘵㕢攱㤸敤昷昴捦捤昶㐷慡㙣搹摥慡搳搸っ㠳㑥㐳㜱㙣㔱㔲晥ㄹ㕡㥤戲攷㍥㥤挳ㄶ〶昹ㄷ挵㔶〸户㠷㠳㠳㤲摣㉦㘸㈲㌹づぢ摡㤲敢攴㤸摣㙦昴捦㑤㡥昳㜰敤挹㜱〴㌱愷㤴て㐳㈱㜹㤵〲㤹捤昶㌱慤敤〴㙤㌶㕢㡥摥㐹㔲㥤ㄹ戵㡣挲〵攱昶㜰〰㑦っ㕤搰㐴戶ㅣ扡戳㘵晢昳㑦㑥㔷㠶㤸㙣㥤㥦㙤㌷慡㙣愵㝣ち㜱㜲戲攵㌸㥥㘴摢〳挸㙣戶ㅣ愳ㄳ㙤〵戴搹㙣㌹挲㈶㐹㜹ㄸ戵㈷㐵㉦〸户㠷㠳㙣㘲搸〱㑤㘴晢㈶摡戶㙣扦㜰捣㜶㈷晡攷搶㜶ㄷ慡㙣搹扥慢搳搸つ㠶㙣㜲敦㙢㙤ㅦ㘸戳挹㜱㌴㑣㜲搸㥤㐱昶愰攸ぢ攱昶㜰㐰㑣っ㝢愲㠹攴㍥㐳摢㤶摣㍦ㅣ㤳摢㡢晥戹挹昵愷捡㤶ㅣ㐷挸愴㐶〳㘰挸㈶挷搱㉦搱づ㠴㌶㥢ㅣ挷慥㈴㠷㝤ㄹ㘴㍦㡡㐱㄰㌸㜵搳㠶挱㘸㈲戹㉤㘸摢㤲㝢挵㌱戹愱昴捦㑤捥㑢㤵㉤㌹㡥㜱攵昰晣ㅢㄴ㤲㤷ㅦ挸㙣戶愵搸扥㐵ㅢ㠰㔶㘷慢捡愱㤵㘱戳攷戰㝡づ㥢ㅤ㕣㠲攱㠰㔲㤷攲㠸㤳ㄸ㥥戵っ挳挴愰㤴㕢ㅢ㥥戱っ㠷挲㘰㐴㄰戴慣㉢㑣昹摦摣㙦ㅢ㐷戱㝤㠷㍥㌲㉣㌱㙡愷攳ぢ摣㌹愴攲慥攵捣㘲㤹㠲攸慡㥤㍥ㅢ㕦昰摥搳挲づ捥㘲㝡㘵㌵㔹㙣㡦慣㑡㝣㜶慤慡慦㥤ㄳ㙦㠸㈷㙡搲㠴っ㙥つ摡㍢摦㈲㜸搴㠰㘵㈸搹慢昸㥣㐷㥤㈰挷㝣捡㔵扢㠱攵㡡づ㐶ㄴ㌵改㡥〵搵扡㈴捤戲ㅥ愸㔳扢挷㥢㌸攲昹㍢㝦㙡㈰㠶〴㤴〷㉢㤳㐱搵〳搱搲㕢㐳㐵㉦㑢㕢捥戱愱㡡ㅤ㜴ぢ晦攳㍢愳㈰㠵晡㈷昳戶〹㡥昸㠸㘱㘳摥㌶戱㤳㌶㙣戰㙦ㄳ㠷㜰昵㍢挳挴敤愲戵〶慤㑢㔲つ戵ㅢ慣慣㠸㌱㥣昸摤戱㈴改㡥戰愷摢搷搲㥡改敥愹㕢昸扦㐴㔵㐲㑡㔶㡦攵愵换㌱㈰㌱㍣㥡㤷敥㕥摡昰㠸㍤摤搱㕣晤摥㌰戵㥤敥〰㈰㈴摤戱挴敦㡢㤶愴㍢捥㥥敥㈰㑢㙢愶㍢㔸户昰㍦㝥㑦ㄶ㔲戲㝡㌰㉦㕤㡥ち㠹攱㠱扣㜴㠷㙡挳晦搸搳㥤挴搵ㅦ〰㔳摢改晡㠱㤰㜴㈷ㄳㅦ㐴㑢搲㥤㘲㑦㌷㙣㘹㜹㌰㈸愹㠸攸ㄶ㌷つㄵ㐵㑢戲扡㈷㉦㕤㡥ㄳ㠹攱敥扣㜴て搴㠶扢散改㑥攷敡て㠲㐹搲㥤㠱㤶戹㙢㘴㤷捣㡤攱㄰㈰㈴摤㈳㠸ㅦ㡥㤶愴㝢愴㍤摤㤱㤶搶㑣户㑡户㈴㕤づ昵㐸㔶户攵愵换攱ㅦ㌱摣㥡㤷敥ㄸ㙤戸挵㥥敥戱㕣㍤㠷㠷㈴摤攳戲改㘶㤷捣㜴㈷〰㈱改ㅥ㑦晣㈴戴㈴摤ㄳ散改㑥戶戴㘶扡㔳㜴㑢搲㥤㡡㤶㘴戵㍡㉦㕤づ晥㠸攱晡扣㜴愷㘹挳㉡㝢扡㜱慥㝥㍡㑣㙤㔷昷㐸㈰㈴摤㈴昱㐷愳㈵改愶散改ㅥ㙢㘹捤㙤昷㌸摤挲晦戸扤〱㈹㔹㕤㥤㤷㉥㐷㝦挴㜰㔵㕥扡㈷㙡挳㤵昶㜴㘷㜳昵㌳㘱㙡㍢摤〴㄰㤲敥挹挴㜳㌸㐸搲㍤挵㥥㙥挶搲㥡搵攵㤰て㌱㤲扣㥡㡤㤶㘴戵㈲㉦㕤づ晦㠸攱戲扣㜴㑦搶㠶攵昶㜴敢戹晡㔳㘰㙡㍢摤㍡㈰㈴摤㔳㠹㥦㠳㤶愴摢㘰㑦户挱搲㥡改㌶敡㤶㙣っ㑤㘸㐹㔶㑢昳搲攵昸㡦ㄸ㉥捡㑢㜷慥㌶㕣㘸㑦㜷㉥㔷㍦て㈶㐹户搸愷㤰㕡〸㠴愴㍢㥦昸搳搱㤲㜴ㄷ搸搳㍤搳搲㥡改㉥搲㉤㐹㜷㌱㕡㤲搵㤲扣㜴㌹㈲㈴㠶㍦收愵㝢㤶㌶㥣㘳㑦昷っ慥晥㙣㤸摡慥敥ㄲ㈰㈴摤㐵挴㥦㠷㤶愴扢搸㥥敥〵㤶搶摣㜶㉦搴㉤晣㡦敦挷㠷㤴慣ㄶ攵愵换㈱㈱㌱㥣㤹㤷敥㌲㙤㌸挳㥥敥㌹㕣晤挵㌰戵㕤摤攵㐰㐸扡㑢㠸㕦㠱㤶愴㝢慥㍤摤㤵㤶搶慣敥㥦㜴㑢慡㝢〵㕡㤲搵晣扣㜴㌹㐸㈴㠶㜹㜹改㕥愵つ㜳敤改㕥挸搵㕦つ㤳愴㥢㍤㝣ㄹ搹㈵昳㐰㜶㉤㄰㤲敥㔲攲㔷愱㈵改㉥戳愷扢摡搲㥡搵扤㐱户昰㍦扥㠹〳㔲戲㍡㌵㉦㕤づㅢ㠹㘱㑥㕥扡㌷㙢㐳扤㍤摤攵㕣㍤㠷㤵摡摥ㄸ搶〰㈱改慥㈰晥づ戴㈴摤换敤改摥㘵㘹捤㜴敦搶㉤晣㕦愲敥㠱㤴慣㑥捥㑢㤷攳㐶㘲愸捥㑢昷㍥㙤㤸㙤㑦昷㑡慥㝥㉤㑣㙤愷晢〰㄰㤲敥搵挴慦㐳㑢搲扤挶㥥敥挳㤶搶摣ㄸ晥愲㕢戲㌱㍣㠲㤶㘴㤵捣㑢㤷〳㐷㘲㐸攴愵晢㤸㌶挴敤改慥攲敡ㅦ㠷愹敤㜴搷〳㈱改慥㈶㥥㈳㐹㤲敥つ昶㜴㌷㔹㕡㌳㕤㡥ㄶㄱ㘳ㅥ㜷㥦㐲㑢戲㍡㍥㉦㕤㡥ㅣ㠹攱戸扣㜴㥦搱㠶㘳敤改摥挲搵㍦ぢ㤳愴㕢昴㐰昶〲㄰㤲敥㙤挴扦㠴㤶愴扢挶㥥敥换㤶搶㑣昷ㄵ摤㤲敡扥㡡㤶㘴㜵㐴㕥扡ㅣ㑢ㄲ挳㡣扣㜴㕦搷㠶改昶㜴敦攲敡摦㠰愹敤敡扥つ㠴愴㝢て昱敦愲㈵改摥㙢㑦昷㍤㑢㙢㙥扢晦搰㉤晣㕦愲摥㠷㤴慣㈶攷愵换挱㈴㌱ㅣ㤶㤷敥㠷摡㌰挹㥥敥晦㜰昵ㅦ挱搴㜶扡㥦〰㈱改㍥㐸晣㘷㘸㐹扡敢散改㝥㙥㘹捤敡㝥愱㕢㔲摤㉦搱㤲慣挶收愵换搱㈴㌱㡣挹㑢昷㙢㙤ㄸ㙤㑦昷ㄱ慥晥ㅢ㤸摡摥ㄸ扥〷㐲搲㝤㡣昸ㅦ搱㤲㜴ㅦ户愷扢搹搲㥡搵晤㔹户昰㝦㠹摡〲㈹㔹つ捦㑢㤷攳㑢㘲㌸㌴㉦摤慤摡㜰㠸㍤摤つ㕣晤㉦㌰戵㕤摤摦㠰㤰㜴㥦㈴㥥〳㑥㤲敥㈶㝢扡ㅣ㕣愲搶㑣㤷㠳㑡搲㠲㘷㠹攲㘰㤲㘴ㄵ换㑢㤷〳㑣㘲㠸收愵换㐱㈷㌱㐴散改㍥挳愸㕤㈰摡㑥搷つ㠴愴晢ㅣ昱ㅣ㜱㤲㜴㥦挷㐲昶搲戲㠷愵㌵搳攵愸㔲㙢扡ㅣ㑤㤲㤵晢昳搲攵〸㤳ㄸ㝣㜹改㜲搴㐹っ㕥㝢扡㝦㘳㔴㡥㐰戵扤㌱㜰摣㐹搲㝤㠵昸㕤㈸㔰㌴攳㔵㉣㘴搳攵㜸㤳㈴挸慤戵愲㡦㙥㐹㜵㌹扥㈴㉢ㅦ㥣㤷㉥挷㥣挴㌰㈸㉦㕤㡥㐳㠹㘱㍦㝢扡㙦㌲㉡挷愴摡㑥㤷㈳㔱㤲敥摢挴㜳㄰㑡搲㝤〷ぢ搹㜴㌹〲搵㥡敥㐰摤㤲㜴㌹攲㈴㉢敦㥦㤷㉥㐷愱挴戰㜷㕥扡㠳戴㘱㉦㝢扡晦㘰㔴㡥㔲戵扤㌱っ〵㐲搲晤㠰㜸づ㑢㐹扡ㅦ㘲㈱㥢㉥㠷愰㕡搳攵搰㤳戴㤸㙥〵挷㡣昸慤攷愵昳㔵㜲㔶㙡搶慣㉤ㄵ㥤㉢㜷敢㝣昴昰㙥㔷扥晦捣㠷换㕦㍤㝥搸愷摢慥戹收搵㡦㤷㍦户敤㤱挴戰扦慥㕥扤㜱挲㜵捦㝤搸㉢戳慡昴㠱㉤㤳㔶㥤敥㍢攵昴㔳㌳㐷っㅡ㝢晡㌱㈷ㅦ敥㥢摡㜳㜰愷㑥㕤扡っ摣攱愹㕤昶昵㉣㍥㜵㥤㝡攲慤㥤敢捡昸㠹搱㡥㐱ㅢ㘶昴㍢㐷㔸㍥㘲㠷㘴㤸〵㌱っ晢㜷晣㝡㌸摣㈲攳㠰晦挴㠲昱〹㐴昷搲ちづ㠹㜴㘴㤷㤵㡣愱ㄴ攴挲戱ㄴ挹攵㌳收昲扦㘶㉥ㅣ敦攸搰㕣挶㘲〵戲㐵攴搴㠵〳㈵㤲换ㄷ㔸㌰扥㠴㐰㕤㌸㤸搱愱戹㑣挶ちち㜳攱㈸㠸攴昲㌵ㄶ㡣㙦㈰㤰ぢ㐷㉡㍡㌴ㄷづ㜹㜰搳㌴扥㠵㔰㌲搰㔱挰ㄸ〷㍣㈴戳敦〹晣〱〲㤹㜱㔰愲㐳㌳攳㐵㠱㘴昶㈳ㄶ㤴㡣㘹㌰戳㕢㜹㘸戴㕥ㅥ㡥㙤㐸㘶㥢戱㘰晣っ㠱捣㌸晥搰愱㤹㈵戱㠲㐲晥㌸㜰㈱戹晣ぢぢ挶㔶〸攴挲挱㠵づ捤攵㘴慣愰㌰ㄷ㡥㑡㐸㉥摢戰㘰晣ち㠱㕣㌸㜲搰愱戹挸㔰〳愸挹㍤昶㌴攸㕣晥捤㕣㑡扡㑡㉥ㅣㄶ攸搰㕣收㘳〵㠵㜵攱㜸㠲搴愵ㄴ㘹ㄸ㥤捣㕣㜸捤摦愱戹㉣㜲捣㠵㠳〵㤲㑢ㄹ㜳㜱㤹戹昰㠲扥㐳㜳㔹攲㤸换戹㍡㤷㜲收㘲㤸戹昰㙡扤㐳㜳㤱换㝢㙥㉦㌹晢昴㌲㥤㑢㔷收搲捤捣㘵㜹㐷攷㈲搷敥〵摢㉥慦攱㠵愳ㅥ捣愵挲捣㠵搷搹ㅤ㕡ㄷ戹㌰㉦挸攵ㅡ㥤㑢㑦收搲换捣㠵ㄷ搱ㅤ㥡㡢㕣㜵ㄷ攴㜲㠳捥㘵㐷收搲摢捣攵㤶㡥捥㐵㉥愹ぢ㜲㔹愳㜳搹㤹戹散㘲收㜲㔷㐷攷㈲搷换〵戹昰扡㔹戶㤷摤㤸㑢ㅦ㌳ㄷ㕥摢㜶㈸㐷㜲㌱㕣㤰换㍡㥤换ㅥ捣愵慦㤹换㈳ㅤ㥤㡢㕣改ㄶ攴昲戸捥愵㤲戹昴㌳㜳搹搰搱戹㤸㤷戱㔸㘱捥㌹摦㈶㥤换摥捣愵扦㤹换㌳ㅤ㥤㡢㕣愳ㄶ搴㠵搷慡戲扤っ㘰㉥〳捤㕣㜸㍤搹愱摢㡢㕣㠰ㄶ攴挲ぢ㔱挹㘵㍦收㌲挸捣攵捤㡥捥㐵慥㉥ぢ㜲攱㔵愶攴㌲㠴戹散㙦收挲㉢挱づ慤㡢㕣㍡ㄶ攴挲㑢㐸挹攵〰收攲㤵㕣㤴㕣㙢ㄱ敡㐳㥢攷ㄹ昲收搵㤵㕣摡扥昰愳㌹㠱㘱㈴㉣攵ち㡦㈲㙡挳昳㤶挱㐳摦㈰㝤㜹ㄵ㈴㍥捦收昹昰捡㐸っ捦ㄴ昸昰㙡㐵㑣㑦攷昹昰ち㐶っ㑦ㄵ昸昰慡㐲㑣㝦捤昳攱㤵㠶ㄸ㌶ㄵ昸挸㌵〱㌳㍤挸摥㑢㕥〵㠸挳挶扣㐸扣㌲㄰挳〶㝢愴㐳攸㉢攷昰㡣㜴愸㍤ㄲ捦摡挵愱㈵㉦ㄲ捦攴挵昰戸㍤搲㐸晡昲散㕡㑣㡦收昹昰㡣㕢っ㡦搸㝤㘴敤㍣ぢㄶ搳挳㜹㍥㍣㌳ㄶ挳㐳〵㍥㍣㕢ㄵ搳扡㍣ㅦ㥥挱㡡攱挱〲ㅦ㥥㔵㡡改㠱㍣ㅦ㥥㘹㡡攱㝦散㍥挲㍦捦晥挴戴㌶捦㠷㘷㠴㘲戸捦敥㈳晤攱㔹㥡㤸敥挹昳攱㤹㥢ㄸ敥戶晢挸㝡㜸㌶㈵愶㍢昳㝣㜸㠶㈵㠶㍢散㍥㔲㙢㥥昵㠸㘹㑤㥥て捦㠴挴㜰㥢摤㐷㜲攳搹㠹㤸㙥挹昳攱ㄹ㡢ㄸ㙥㉥昰攱㔹㠴㤸㙥捡昳攱㤹㠵ㄸ㙥㉣昰攱愷扤㤸㙥挸昳攱ㄹ㠰ㄸ㔶摢㝤愴〶晣㔴ㄶ搳慡㍣ㅦ㝥㔲㡢攱㍡扢㡦昴㠷㥦㥥㘲晡㜳㥥㑦㕦㙤戸愶挰㠷㥦㜲攲㜳㜵㥥て㍦昹挴㜰㤵摤㐷㜲攳愷㤱㤸慥挸昳攱㈷㤴ㄸ晥㘴昷㤱摣昸愹㈱愶换昳㝣昸㐹㈲㠶ㄵ〵㍥㍣扡㡢改戲㍣ㅦㅥ昱挵戰摣敥㈳戹昱㈸㉣愶㑢昲㝣㜸㘴ㄶ挳挵〵㍥㍣㕡㡡㘹㔹㥥て㡦愰㘲㔸㙡昷㘱㝦㍣㍣㤸捡愱戶ㄹぢ㤸㤵挶㤵换愰摥㕣㕡㜹㄰ㄲ敢㍣搳㑡ㄷ戱捥愷㤵〷ㄶ戱㉥㌰慤摣㠰挵扡㄰ぢ㘵っ搸挶㉣愷愹改㠶㘴扡慥愹扡㈶捤㔹㔶搸昳㑢扡搷㔶㌵㌷㌶搵㥢ㄳ挱ㅡ换㘴敡㔷攱搴戰㕥㠴て捥㠱扡㑤ㄵ㘵㠵戹㤸㥤㈳搶搵㌲㜱㔲搹晦㜵㠲㔸ㄷ昴㡤㙦㍣攷搳户敤㌹㘲收晣戰昶愱慣挹㘱愷愱㍡㙥㝣㥦ㄱ㘶㠷戵㉥㑡㕢戱昲㜲ㅤ㝤㍡ㄶ昴㑢㤱〱㤶搴㌸〳挲昲㙣㕤㌴㍤挹㡡㜸㥥㠹〵晤㔲㘴㐷㍣ㄷ戵㝡戶㉥㥡㥥㘴㑣㍣ㄷ摢㍣㉢㤸ㄹ㕦㉥㡦㑥愵㠲慢㌴㔵㝡ㅤㄵ㡣㘵慡戴㜳搷晦〷㐸昰捤ち</t>
  </si>
  <si>
    <t>㜸〱捤㝤〷㤸ㄴ㔵摡昵摣㠱㈹愶㥡㌰㑤㌰㘱ㅡㄴㄱ〱戱㜳挰㐵ㄹ㠶㈴っ㐱㤲〹㠵㡥㌰㌲〱㘷〶〴㘴㌱愰㠸㡡㘱ㄱㄵ搴㌵㘰〶㌳ち慥〱㠷㈰㈲挶㜵㕤〳戸㉣㠶㌵慦㈲戲㠸昹㍦攷㔶摤㥥敡敥敡㘶㍥晦㥤攷搹㠶㝥愷敥㥢敡摣昷㔴㔵㔷摤扡搵㕤㈰ちちち㝥挳㡢㝦昹㙡捤㠵挳挶捤愹㙦㐸㔴昷㉤慦慤慡㑡挴ㅡ㉡㙢㙢敡晢㤶搵搵㐵收㔴㔴搶㌷戴㠲㠳㌶戹ㄲ昶晡愲挹昵㤵㜳ㄳ挵㤳㘷㈵敡敡攱㔴㔴㔰㔰㕣慣ㄷ挲㝥㠸昹㜶慡㠶捥㈸扤㌵〵扣ち㜴㡤愲つ㐵㌱㠵㑥攱愰㘸㑢搱㡥愲㍤㐵〷㡡ㄲち㈷㐵㐷㡡㑥ㄴ㥤㈹扡㔰ㅣ㐰㜱㈰挵㐱ㄴ〷㔳㜰晤㝡㔷㡡㐳㈱摡ㅤ〶㌱扥㝣攰攸攸戹攸捤戸㠶摡扡㐴㥦搲㠹〶收晥㙥㜷㕦㜷㕦㥦摦敤改敢敡㔳㕡㍥戳慡㘱㘶㕤愲㝦㑤㘲㘶㐳㕤愴慡㑦改㤸㤹搱慡捡搸㠸挴㥣昱戵搳ㄳ㌵晤ㄳ㔱㤷㌷ㅡ昱㠵摣㍥扦㍦ㄹづ㠷摡ㅤ㡥捣愳捡〷㡥愹㑢㈴敢晦㕢㌹㡦㘰捥搱攵〳晢㡥㑡㌴晣户㜲ㅥ㠹㥣㐸㌹愸戶㍡㔲㔹昳㕦㑡㕡㐴㑥扤㠳ㄲ戱㑡㤲㥦㐸搴㔵搶㑣敤ぢ搸㘹㠵㐶㉢搸㜷〸㉡ㅥ㡢搴㌷㤴㈷慡慡挶㈶㤲攴扤㕤㌵㙢㤶愸㑢搴挴ㄲ昵ㅤ慡〷捦㡥㈵慡㑣㜳㝤㜱昵挴㐸摤愸㐸㜵愲㌵ㄷ㑡慡つ摥㑥㠹㈷㙡ㅡ㉡ㅢ收戴慦㥥㔰㥦ㄸㅢ愹㤹㥡愰㑢㔱昵搰㤹㤵昱搶慤㐵敢搶〵慤㡥戵〳㈳戹改㍢愴㉥㔶㍥㉤㔲搷㈰㕢㘴捤㙤攷㙢搹㐲㈴昰㌴㔸摣㡡㑡㌳愲㐸搳戸捡敡ㄱ㠹扡㥡㐴ㄵ㔷㐲昲㝡㘷㌸挹㥡ㄸ愵㑦ㄵ㐷昵㠶挴㠸戶收晥挶慥㜰㉤㝡㈹㐵㌷〸敤㈸㠸㡥晤换㉢扡扢㠳㍤㡥敡㔷㝡㔴㡦敥㘵㙥㤷㑢㍦㥡づ摤㈱㐴敢敤搸㝢慤〹戸〷ㄵ㑥㡥ㄴ㑥㡥ㄶ㑥㡥ㄵ㑥㡥ㄷ㑥㑥ㄴ㑥㑥ㄶ㑥㥥㕡㌸㜹㕡攱攴捡挲挹攷ㄶ㑥㥥づㅦ昵㉡㙥搳愶搰㝣昵㈸ㅦ扢㘱挹㑤㕢〷㍣晤㕣㘴搸ㄱて㠸㕤㠲㍢慣摣㜳㝢㘰㐱㍦ㄶ㐲敢〹攱㑣〷ㄴち敡挷搱摥ぢ㐲㠸扦〳て㌱㥤昵挶捣ㄳㄷ晤昴挵㠸㘵晤慥ㅦ摤晦ㄲ㝦戱攰㡥㉦㤳昵愱昳昱㄰㕡㕦㠸㡣㘴㘱㤷㝥〲敤㉥〸㈱㕥㌷㤳㍤㌴戰敢扢㙢㉢㤲〳慦晡昲㤰㉢㝡㑥㕡愰〹ㅥ㐰㘴㌲て㥤扤㄰㥡て挲搹扦㙣㠲愵㔴㘱慦敥愷㍤〰㈱挴㑢㘶戲〵慢㤷㍣㜶昸摡㕤㠳㙦摥搹攵散㠵㘷㜵戸㐲㜰㠳㤴挹㐲㜴づ㐳㘸晤㈰㌲㤳昹昵ㄳ㘹晦〳㠴㄰ㅢ捤㘴㙦っ摥昲昳㌱晥㡦换敥ㅡ㌹㙢昵㌳ㄷ晦㜱慤攰〱㑤㈶㍢㠹捥㈷㐳㘸〳㈰㌲扢改搷换㘸ㅦ〸㈱挴㜳㘶戲昱㡢㕥敤昲捤攱㤱昲㌵㕤㕦摢戳敡㥣戳捦ㄶ㍣㌰捡㘴㠳攸㍣ㄸ㐲ㅢ〲㤱㤹捣愷て愵㝤ㄸ㠴㄰㙢捤㘴㤷ㅤ㝡摤愶㜹昳晦㔱昱㔰扢㈹敤慦晤散散戹㠲〷㔸㤹㙣㌸㥤㐷㐰㘸ㄵ㄰㤹挹〲晡㐸摡㐷㐱〸昱㤸㤹㙣挶攴㑢㝥戹捥扤㙡挰㕤㝢㑥搸扢扢敦扥敢〴㌷㌳㤹㙣っ㥤㑦㠵搰挶㐲㘴㈴ぢ㠵昴㜱戴㡦㠷㄰㘲㤵㤹捣昹㔹摢挲㘹㥢㌶㡥㕥扡挱㍦㈸搶戰晤㕣挱〳扥㑣㌶㤱捥愷㐱㘸愷㐳㘴㙤昸㍥晤っ㍡㥣〹㈱挴㍤㘶戶挵㡦户昳㉣㕥㍦㘵搰㥦㑥㍤戸㘷㘳搹㝤挷〸㝥㜲挸㙣㤳攸㝣㌶㠴㜶づ㐴㔶戶㠰㍥㤹づ㔳㈰㠴戸摤捣㌶㘲昹㠹愷〴摥㌹愹㝣戵晦改㤷攷㕥㜱挱㉡挱㡦㈰㤹㉤㑡攷ㄸ㠴ㄶ㠷挸捡ㄶ搴ㄳ㜴㐸㐲〸戱摣捣㔶戲敦昳㙤慢㙥㥢㍤昸㤹㑦ㄷ攸户㉥㜸㙥愹攰㘷㤹捣㌶㡤捥㤵㄰摡戹㄰㔹搹晣㍡昷㔱扤ち㐲㠸敢捤㙣㑢㐶慤ㅢ摢戶昴挲攱㑢㝥㜸摦昳晣挰㈷愶ぢ㝥㈸捡㙣㌵㜴慥㠵搰㘶㐰㘴㘵昳敡攷搱愱づ㐲㠸慢捤㙣ㄵ㜷ㅤ扥㘵搴敥挷㉢㙥搸㜳㝣攷㑢晡㕣㝡㤸攰愷慢捣搶㐰攷㤹㄰摡㉣㠸㑣㑡挳晡昹戴捦㠶㄰攲㜲㌳㔹慢㡡ㄷ愷㝥㝡晥㠰㤱㤷㙤敢敡扢戴攲捦ㅥ挱㑦㘹㤹㙣㉥㥤㉦㠰搰收㐱㘴㈶昳改㝦愴㝤㍥㠴㄰ㄷ㥢挹づ晡改扤ぢ摥㍣慣㘰挴㠲愹扢搶戶㝦散昸ㅤ㠲㥦昶㌲搹㐵㜴扥ㄸ㐲扢〴㈲慢㥦㙥㝤〱ㅤ㉥㠵㄰攲〲㌳摢㝤㡦㠶捦㍦攲户搳㐷㉣昵敦㜸扤㙣搷㕤敢〴㑦ㅢ㘴戶㠵㜴扥ㅣ㐲㕢〴㤱〱㉤ㅣ搶慦愰晤㑡〸㈱㘶㥡挹㡡戶㥦昴捡〳㥤扢っ㕢扥捦晤攴敤㠷㥣㜲㤵攰改㠷㑣戶㤸捥㔷㐳㘸搷㐰㜴㑣㍦㄰昱㤸㝤㉤ㅤ慥㠳㄰愲搶捣戶㜸㐱戸攳慢㤷㡥ㅣ㜹摢つ慦㙤敦㌳㉡㜹㡥攰㜹㡣捣戶㠴捥搷㐳㘸㑢㈱㌲愱〵昵ㅢ㘸扦ㄱ㐲㠸㑡㌳搹慢ㄳ〶㝤扣㝣挳㜵㐳慦扡㙤搹攲搵㡦㉤㥤㉥㜸㍥㈴㤳㉤愳昳㜲〸敤㘶㠸捣慡戹〳晡㉤㜴戸ㄵ㐲㠸㤸㤹敤㤰捦㍤㉦㍢户昵愸㔸㔹ㄴ㙦㍦敦㥥昹て㠹㠳㘱㤶搹㙥愳昳敤㄰摡ㅤ㄰㤹ㅤ㐵戶㍢改戰〲㐲㠸戳捤㙣扤㈷㥣㌱㘵散㥡㕤㠳㙥昱慣㥢㕦戳㝣晥㙡挱㌳㌴㤹敤㙥㍡摦〳愱摤ぢ㤱㠹捤攵搱敦愳挳晤㄰㐲㥣㘶㘶扢改愰㘳ㅣ㔷㡥敥㌷晣愶ぢ捡扤〳て㌸攴〹搱ㄵ㘶㤹㙤㈵㥤㔷㐱㘸て㐲㘴㤴㉤ㄴ搰ㅦ愲晤㘱〸㈱㑥㌵㤳摤昲捣戱㥤㤳ㅦ㙣㉦㕦戴晣㥥扡昵㌳㍤捦ぢ㥥㌲捡㘴㡦搲昹㌱〸敤㜱㠸㡣㘴昸㘸㔹㑤晢ㄳ㄰㐲㡣㌰㤳㝤昰攲搸㥢㤶㥦户慣晣戲戹㌷㉤ㅤ昷㘵㜲㔵扢㌵㌰㥦㙡㝥扣て慡㡢㥣㡦㜳愴愶搳㉦㥣㜳昲摦晥捦㍢㜱摡㤹昴㈷㠳㐹户㍢敥㜷㐵扣㤱愲㔲愴㙤敥搹づ㌷昷㜶挹搳㉡㙢攲戵攷换搳㥦㜶挹㈱㤵㔵つ㠹㍡搹㈸㐹攲㡦㜱ち㈷摢敤㤳㠳㘷攳摣㌷㘶㥣㈹㜵㐹㤶㈷敡ㅡ㜰捥搸㌰愷改昴改戰㠱㤱晡㐴㔳戳户㤹㝢㘰敤捣㥡㜸晤愱昶挶㜱つ㤱㠶㐴搷㑣㕢㔳㤲慣戰㜱㌸㥦㑣搴㑢㐸㐷㘴㠶㑤㡣㔴捤㑣㤴捤慥㌴捣㠷㘷㤸㜱㘶㔹ㅢ捤㙤ㅤ㔲㤷㌸㉦㘵捤㐲㔴㠶换㥤㔹㌲㜷㔶㉦つ㤳㠱慢戴㝣㕡㙤㝤愲㐶挲敢㕤㍤愶㌲㌶㍤㔱㌷㉥挱㡢愵㐴㕣㜶昵〰㥡捣搳摢摥愳㙢搰㔱㥣戰挶㡦戲㙡㔹攸㐴㑤㍣ㄱ〷摥ㄹ愸昲㥣昱㤱㘸㔵攲挰㌴ㄷ㘳㥤㌰ㅣ㤲愶ㅥ㔲ㅢ㥢㔹㕦㕥㕢搳㔰㔷㕢㤵㙥㈹㡢捦㡡攰㤴㍡㍥戲㌶㥥㘸㉤㕦〵㠶ㄴ〵慤㕡〹㔱搰搳敥摣㤴戹敢㜹昶㙡搹㐸㜸㡥㥣摦搹戲ㄱ搱搹昶慣㌷㤵ㄹぢ㤶㡤㡣晥挷攵㐵㘲摤〸改敤捡敢㙤戳㤱㌲攸攰昴ㅤ慦敦㔸昰〳ㅥ慡ㄲ摣㉢ぢ扢攷㑥搹戴㕤敥〷愹㠵ㄵ㕥ㅢ搳㍢㑦搱㘴摡搴戶搷戲捥㠵㠵㥤捤摥て㥥㠵ぢ愷㘱㤱㥡㜸㔵愲㉥敦㤵扤㈰㈲㝤㉤挵㔳ㄴ㝦愱㜸㥡攲ㄹ㠸愲㐱㌸挶攵慣㘸㙢㜸㠸搹㘲㑥搱昹㤵昱㠶㘹摡戴㐴攵搴㘹つ搰㘱㐴愰戸㤸攵捥㝡改捦㐱愵慦愳㜸ㅥ挲攱㈸搰ㅡ昱户㐰㜳攸敢昹㘷〳㐴扢戲㤹つ戵愵收戶攰㄰㐵摤愰晢扦㕦戸ㄵ㈲㑡㤷搷㠹戸㤰慦㉦慡挶攵㘸㝤慢㔶㜶愵ㄸㄶ愹㥦搶挰扤㌰扦㤱昹㌶㔲㙣㠲㘸昷〲挴愸㘱㠹㉡散挳晦慤㌱㠰愲愳㤱㜳扦搷㥡㍣挵㍡戰㝡摣㥣㥡搸戴扡摡ㅡ㡣挴っ㡡㌴㐴捡㘲戸愰慥ㄷㄱ慤扡愲戶㝣㘶㠳㔶㍤慣ㄲ㝦摡㔵㡦㑤捣㐸㐴ㅡ捡㜱㡣㙥㘸㕦㕤㠱㡢㜱㜹㄰㍤㈵㍥扢愸摡戸㡥ㅥ㤴愸㡦改扣攰㍥〵挷愴搹ㅡ㤶㜰㤰㙤㔷捤愳㑣㘲㜶〳㔳户愹ㅥㄳ挱〵㝢㠳づ愷摥㌲捡㔸㘲㘴㝢愹㔳搱づ戳㠵っ㑥戹㘸挹搲㔶㉡㡣㑣〵摣㙣昰昱㠹て摣搶愶捣摣㝤㈶㌴㔴㔶搵昷㌵换摢㜷㔰㉤〶㘴ㄲ㜲㉣㡡㘵搷㌴㙣㕤㕡㕥戲㌲昷㜲㕥戱㡦㡥㐵㡤戴㠰㌲戴慥㜶收㡣㈳㤰敢扦㤵㠷戹ち昴捤㄰户㝦扢昲挴㘳晥晣挸㙦收摦ぢ戱晦挸㤷㝥ㄴ㍤ㅡ㈱搸挴ㅦ昹搲㕦挲ㅦ㐷㍥㕢㔱㜷㜸搸ㅥ㘶㜳っ㉥ㄴ挱扦㕤㌵㝡㍢扥㉥㈱㐷㑢㡡㘵㘳捥㡣㐴晢敡搳㙡敢愶㐷㙢㙢愷㤳晣づ戲㔵㍦㉤㤱㘸攰㄰㐴㕢㜳挴㠵换㐲㠸㔶慤搲㠶ㄷ㉣㘳ㄵ㐷㈲扦昶㉡㐴晢戲慡慡㔲㤵戱㕥㝢つ慡㔶昸㌸搱㕥挷㐲挸攳昲昸㑡换挷㡤㉤㉢ㅤ㥦愸㥥㔱㠵昳㠰㔲晦㌱愵搵戵昱㔲摦晣㔱㘵ㄳ㠷㤴㤵㤷㈶攲㤵つ挷ㅦ㝦扣摢㕢㌶㘱㈸摤晢捥慥慡㥦㉤㕣愸づ㐷ㄲ㌶ㄴ捤㔹ㄱ㕡㔸㌰攰㉦晦㝡慥㔳㥢㤷㕥昵㡡ㄳ㑣㐳搶㜸㐵て慣慦ㄴ㙦晤㑤㡡扦㔱扣㐵昱㜷㡡户㈱挴㜱〸攵㠱っ换改㉦晤㕤戴昵昷㈸戶㐱攰㜰㈴ㄹ挲搱攸㝤敡㜸㌴㜲〸㜱㉣晥昰㈰愴敦愰昸㈷㠴㌸づ㠲扢㙢㠱扥ㄳ㈲㈷攷㍤改搱〸㠱㤵愷搶慥㝦〴㠵㐳捦㘳ㄳ扤攰㐱摥㜵搶㔹㘷㘵㜵㔶㔵ㅣ㠸㌴戶挵㌹挰㌴㘴㡤扦昴㐱㔸㈹攳扦愲昸㌷挵搷ㄴ摦㔰散㠲㄰㈵〸戵㉦捥㙥晡㝣㐷戱〷挲㔲㥣扤搴㤹挵㌹ㅥ换戲㌸晢愸晣〱㐲㥣〰㘱ㄴ攷㐷㉣攵㉣㑥㕦〶㌴㐲〰㐰㔳㜱㝥㠱挲愱攷戱〹ㄷ㍣散㡡昳昳慦㌹㡡昳㤳㘹挸ㅡ㑦昲㈰㔳㈹摥扡㈶㈰摡㔰ㄴ㔳攸ㄴづ〸昱ㅦ㠴摡ㄷ愷ㅤ㝤摡㔳㜴㠰戰ㄴ挷㠹愶搶ㄱ㈲攳㜳㑣㜸戱愶㙥㕣㕢㈷ㄸ昵捥㄰挲㡦愶㔱愹㉥㘸收慣㤴㡦㔱㡤㄰㘹㤵㍡〸㈱づ㍤㡦㑤〴㄰㘲㔷愹て㜳㔵敡〳搳㤰㌵㔸ㄶ㐲愶㔲扣昵㔲慣㔴敦㐶㜱ㄴ挵搱ㄴ摤㈱挴昶㥣㤵敡㐱㥦㘳㈹㝡㐲㔸㉡搵㡢㍡㔶ち晢㔸ㄸ挹扢㜱〵㝤愸㍣ㅥ㐲㥣㠸愶㔱㥣扥㘸收㉣㑥㍦㐶㌵㐲愴ㄵ挷㡤㄰㠷㥥挷㈶晥㠰㄰扢攲㙣挹㔵㥣ㄷ㑤㐳搶攰摦㐹挸㔴㡡户摥て㉢搵㑦愴昸〳㐵㝦㡡㤳㈰挴晡㥣挵ㄹ㐰㥦㌲㡡㠱㄰㤶攲っ愲捥摣挷㑥㐶昲㙥㕣挱㄰㉡㠷㐲㠸㌲㌴㡤攲っ㐳㌳㘷㜱〶㌰慡ㄱ㈲慤㌸㈳㄰攲搰昳搸挴㐰㠴搸ㄵ攷攱㕣挵㜹挸㌴㘴つ㘶づ㐲愶㔲扣昵昱㔸愹㍥㠱㘲㈲挵㘹ㄴ愷㐳㠸晢㜲ㄶ攷㑣晡㥣㐵㌱〹挲㔲㥣㜳愸㌳㡢㌳ㄸ挹扢㜱〵㔳愸㡣㐰〸㡥㡢ㅡ挵㠹愲㤹戳㌸㐳ㄸ搵〸㤱㔶㥣〴㐲ㅣ㝡ㅥ㥢ㄸ㠶㄰扢攲㉣捤㔵㥣敢㑤㐳搶攰散㜰㘴㉡挵㕢慦挱㑡昵㕡㡡ㄹㄴ攷㔱搴㐱㠸慢㜳ㄶ愷㠱㍥㌳㈹㘶㐱㔸㡡㌳㥢㍡戳㌸㈳㤰扣ㅢ㔷㌰㤷捡ぢ㈰挴㐸㌴㡤攲捣㐳㌳㘷㜱㉡ㄸ搵〸㤱㔶㥣ぢㄱ攲搰昳搸挴㈸㠴搸ㄵ㘷㙥慥攲捣㌱つ㔹㠳捤㘳㤰愹ㄴ㙦㝤ㄱ㔶慡㕦㐱㜱㈵挵㔵ㄴ㡢㈱㐴㝤捥攲㕣㐳㥦㙢㈹慥㠳戰ㄴ㘷〹㜵㘶㜱㌸㝥摤㡤㉢㔸㑡攵つ㄰㘲ㅣ㥡㐶㜱㙥㐴㌳㘷㜱挶㌲慡ㄱ㈲慤㌸换ㄱ攲搰昳搸挴㜸㠴搸ㄵ㘷㑡慥攲㑣㌶つ㔹㠳攷ㄳ㤱愹ㄴ㙦㝤〵㔶慡摦㐵㜱㌷挵㍤ㄴ昷㐲㠸㌳㜲ㄶ攷㝥晡㍣㐰戱ㄲ挲㔲㥣〷愹㌳㡢挳昱昸㙥㕣挱挳㔴㍥〲㈱捥㐰搳㈸捥愳㘸收㉣捥改㡣㙡㠴㐸㉢捥㙡㠴㌸昴㍣㌶㜱㈶㐲散㡡㌳㈴㔷㜱〶㥢㠶慣㝢〱㤳㤰愹ㄴ㙦晤㔹慣㔴㝦㡥㘲ㅤ挵昳ㄴ㡤㄰攲攴㥣挵搹㐰㥦㡤ㄴ㥢㈰㉣挵搹㑣㥤㔹㥣戳㤱扣ㅢ㔷戰㠵捡㤷㈰挴㘴㌴㡤攲㙣㐵㌳㘷㜱捥㘱㔴㈳㐴㕡㜱㕥㐵㠸㐳捦㘳ㄳ㔳㄰㘲㔷㥣㍥戹㡡搳摢㌴㘴摤摡㠸㈲㔳㈹摥晡摢㔸愹晥づ挵扢ㄴ敦㔱㙣㠳㄰挷攴㉣捥晢昴昹〷挵づ〸㑢㜱㜶㔲㘷ㄶ㈷㠶攴摤戸㠲て愹晣〸㐲㈴搰㌴㡡昳㌱㥡㌹㡢ㄳ㘷㔴㈳㐴㕡㜱㍥㐵㠸㐳捦㘳ㄳ㐹㠴搸ㄵ愷㔳慥攲㜴㌴つ㔹㜷㙡愶㈱㔳㈹摥晡㉥慣㔴晦㤶㘲㌷挵㜷ㄴ㝢㈰㐴摢㥣挵搹㑢㥦敦㈹昶㐱㔸㡡昳㈳㜵㘶㜱㜸昳愷ㅢ㔷昰㌳㤵扦㐰〸摥昳㌱㡡昳㉢㥡㌹㡢㜳㉥愳ㅡ㈱搲㡡㈳ち㔹㥣㍣㌶㔱㠵㄰扢攲散晢㈵挷改昲昷愶㈱敢挶㔳つ㌲㤵攲慤㍢戰㔲扤㉤㐵㍢㡡昶ㄴㅤ㈰挴户〸戵㍦㕤收愴㄰扤㈳㐵㈷〸㑢㜱扡㔰户〱㔹㜱ㄲ㔸㡢㍦摤戸㠲〳愹㍣〸㐲昰ㄶ㤶㔱㥣㠳搱捣㔹㥣ㄹ㡣㙡㠴㐸㉢捥愱〸㜱攸㜹㙣愲づ㈱㜶挵搹㤱慢㌸晦㌰つ㔹昷搱ㅡ㤰愹ㄴ㙦扤㍢戱ㅦ㐳搱㠳攲㔸㡡㥥㄰攲㥤㥣挵改㐵㥦摥ㄴ㝤㈰㉣挵改㑢摤〶㘴㐵㜱㘶攲㡦㉣㡥㡢㑡㌷㠴攰㉤㌹愳㌸ㅥ㌴㜳ㄶ㘷ㄶ㘱㌵㐲愴ㄵ挷㡦㄰㠷㥥挷㈶㘶㈳挴慥㌸㥢㜲ㄵ㘷愳㘹挸扡㉦㌸ㄷ㤹㑡昱搶㑦㈲昶㤳㈹〶㔰㤴㔱っ㠴㄰捦攵㉣捥㈰晡っ愶ㄸ〲㘱㈹捥㌰敡㌶㈰㉢㡡㜳〱晥挸攲っ愷㜲〴㠴昸㈳㔴㐶㜱㉡搰捣㔹㥣㜹㠴搵〸㤱㔶㥣搱〸㜱攸㜹㙣㘲㍥㐲散㡡戳㌲㔷㜱ㅥ㌰つ㔹昷㌹㉦㐲愶㔲扣昵搳㠹晤っ㡡㌳㈹捥愲㤸〴㈱敥捡㔹㥣㜳攸㌳㤹㘲ち㠴愵㌸㔱敡㌶㈰㉢㡡㜳㌱晥挸攲挴愹㑣㐰㠸〵㔰ㄹ挵㐹愲㤹戳㌸㤷㄰㔶㈳㐴㕡㜱㉡ㄱ攲搰昳搸挴愵〸戱㉢捥㜵戹㡡㜳慤㘹挸扡㙤扢㄰㤹㑡昱搶敢戰㔲扤㥥愲㠱㘲㈶挵㉣〸㜱㐵捥攲捣愶捦ㅣ㡡戹㄰㤶攲捣愳㙥〳戲愲㌸扣ㄳ㉣㡢㌳㥦捡ぢ㈱〴敦〰ㅢ挵戹〸捤㥣挵㔹㐴㔸㡤㄰㘹挵㔹㠰㄰㠷㥥挷㈶慥㐴㠸㕤㜱㘶攵㉡捥㑣搳㤰㜵ㅢ㝡㌱㌲㤵攲慤㉦㈶昶慢㈹慥愱戸㤶攲㍡〸㔱㥢戳㌸㑢攸㜳㍤挵㔲〸㑢㜱㙥愴捥扣㉡扦ㅡ挹㘵㜱㤶㔱戹ㅣ㐲㕣ぢ㤵㔱㥣㥢搱捣㔹㥣㙢〸慢ㄱ㈲慤㌸㝦㐶㠸㐳捦㘳ㄳ搷㈱挴慥㌸㤳㜲ㄵ攷㉣搳㤰㜵㔷㝤〹㌲㤵攲慤摦㑢散昷㔱摣㑦昱〰挵㑡〸㌱㈱㘷㜱ㅥ愴捦㐳ㄴて㐳㔸㡡昳㈸㜵ㅢ㤰ㄵ㕢捥昵昸㈳㡢昳㌸㤵慢㈱〴㙦搰ㅢ挵㜹〲捤㥣挵㔹㑡㔸㡤㄰㘹挵㔹㡢㄰㠷㥥挷㈶㙥㐴㠸㕤㜱〶收㉡㑥㤹㘹挸㥡㈵戰っ㤹㑡昱搶ㅢ㠹㝤㍤挵〶㡡㡤ㄴ㥢㈰挴㠹㌹㡢戳㤹㍥㉦㔲㙣㠱戰ㄴ㘷㉢㥡摡换㄰㤹㈳㕦换戱㈶㔹愹㔷ㄸ昵㉡㠴戸〵㉡愳㔲慦愱㤹戳㔲㌷㑢㡣㄰㘹㤵晡㉢㐲ㅣ㝡ㅥ㥢戸ㄵ㈱㜶㤵敡㤹慢㔲挷㥡㠶慣ㄹ㄰户㈱㔳㈹摥晡㌶㘲摦㑥昱㍥挵㍦㈸㜶㐰㠸㙥㌹㉢戵㤳㍥ㅦ㔰㝣〸㘱愹搴挷㘸㙡晦㠲挸慣搴敤㔸㤳慣搴㈷㡣晡ㄴ㐲摣〹㤵㔱愹捦搰捣㔹愹㍢㠸戱ㄱ㈲慤㔲㕦㈲挴愱攷戱㠹ㄵ〸戱慢㔴㠷㕣㤵㙡㙦ㅡ戲㘶㜷摣㡤㑣愵㜸敢㝢戰㔲晤㍦ㄴ㝢㈹扥愷搸〷㈱摡攴慣搴㡦昴昹㠹攲㘷〸㑢愵㝥愵㙥〳戲㘲㠷扢〷㝦㘴㜱㌸㔳㐳ㄷ㄰㠲昳㐴㡣攲ㄴ愲㤹戳㌸昷ㄲ㔶㈳㐴㕡㜱㌸㤷搵愱攷戱㠹晢ㄱ㘲㔷㥣㍤㍦攷㌸㜷晥捥㌴㘴㑤㔶㔹㠹㑣愵㜸敢ㅤ戰㔲扤㠴挲㐹搱㤱愲ㄳ㠴昸㌷㐲敤捦㥤扢搰攷〰㡡〳㈱㉣挵㌹㤸㍡戳㌸㥣晦㈲㡢搳㤵捡㐳㈱挴㐳㔰ㅤ㡤㜷㠱㝥ㄸ㥡㌹㡢昳㈰㍤ㅡ㈱搲㡡㜳㈴㐲ㅣ㝡ㅥ㥢㜸ㄸ㈱㜶挵搹㤶慢㌸敦㤹㠶慣挹㌷㡦㈲㔳㈹摥㝡㑦慣㔴㍦㡥愲ㄷ㐵㙦㡡㍥㄰攲㙦㌹㡢搳㤷㍥㈷㔰戸㈰㉣挵昱㔰㘷ㄶ㠷昳㜹㘴㜱㝣㔴晡㈱挴㙡愸㡥挶ㅢ昳㐴搱捣㔹㥣挷改搱〸㤱㔶㥣㌰㐲ㅣ㝡ㅥ㥢㜸〲㈱㜶挵㘹捣㔵㥣攷㑤㐳收㘴愲㈲摥㥡捦扣㍦㉡㈷ㄷ愷愶㔹㔸㈶㜰㜴㠰戳㤶㥣㔰㔳搹㔰摦㌶挹晢攸㐳㉡ㅢ〶搵㌷戴㑢㐲㘰㔱㠶㜴㤵㌳ㄲ㉣㐱扤㤳ㄳ㉢ㄳ攷㡦挷ㅤ挲㈳戳㑤㤸㜷㕤㍥戳扥愱㔶摥晡㍤㈲摢㍥愸㜶㔴㙤挳愰捡㝡摣攳㥢搳摤挶㙣㔸㑥㥢㤶愸挱ㄴ㤹㍡捣㤴搹㥦㔳敤㡣ㄹ㠹戸つ挶㜱戵㌳敢㘲㠹㔳〶晤㉦㑣戲ㄱ挶㍤散〲摣㈶ㄵ〲〳㈶戹㈷㤵㔸敡㝥㌸戸㈹挴慤㔵昱㍢攷㘸㌴㈲扥㐰㉦挷愶㔷㠰㈴搸搴昵㐱摣っㅤ〵㐵㑦㐱㤵㝦ㄳ戱㑣摢㘹ぢ㘷㐷ㄲ戴ㅡ扡昶收扣戰㔳㙡敡㉢攳〹㠷搹ㅡ㔹㔹搳挱㕣ㅣ㍤戳㈱捤ㄲ㤹摤搹戴攰晥敦攸ㅡ㔰ㅦ㡢搴挵晦ㄷ㔸㐱挷昰㌲㈸ㄱ㤸㉤晥㍢ぢ㙤愴㈹㈸搸愵㥥㡦搹㜵㈱㜶昶挱㘶慤晦〲戳敤敤昸搴敥㠸〵换慣愷ㄲ昸户㘷戹㔳敡㘲戶㐶㈶㈲㌵㤲㠵㜱つ昱㐱㠹㔹ㅤ愴㐷〲ㅢ㌸ㅥ㜷愸㑡㜴㑥㙦捡㔹ㄹ㝡戲㉣㕡㕦㕢㌵戳㈱搱㈱戵㈴㜷㜴㍤㌹㌶㠱ㅢ散㤸挱搶㉥戵㌴㈶搶㠰㌹㝥愹㝣㥣㥤昶扦挳㄰㉡搲摡㘴㐹㐸㥥戴㍣ㅢ㙦㝡㈷戸て晤扥摤愷㐰ㄴㄴ㈴攵敢敢㤳挵捤换昹㝡攰攴〲戵攰攰慢愰攸㘹愴㙦晥ㄴ㌵敥㐹㥤搵捣㐹攳〸㈷て㕥敤㤴㡥戳挳摡㈷攵㜱て㔳㐰昹愴㑢〹㜷㥤㉡㍣㠶搴㔰ㄹ㡢㔴㔵捤改㤰㍣愵㈶㔶㌵㌳㥥愸㠸㐴ㄳ㔵敡㤸㕤㕢㔷晤㍦挲㔷㙢㔴捤摣愳昲搴挵㥣慢㜵ちㅥて㔳ㄳ攲㝥昷㘱㑥攸㐳戰愷㘹㐳㈹晡㤷㡦挴ㅣ㙡㈰㜰攸挳捣摤㡦㤳搲晥捦搳〲ㅤ〸敡搴㌴愹㔵㍥㐷㠴㈳㕣㤶㡡㠷㌶捥㤲㑡捤㉣㤴㍢㥥挵慤愲戶愲ㄶ戳㍥攳ㄶ搵戰㑡㐳昵㍦戳㝢挹㍤㑢搳戴摦晢㌹㠳㕡攱戵换㥣㤱㠱㘳㥦搱㍥㤹ㅦ㌵摣㐷㥥㐳㍢㜳㝥㤵攵㝣㐴㥥〲挸㘳愱ㄳ㡥㈵㍣㤰ㄹ攷て攳㉢ㅢ慡ㄲ㙤㤳搲㉥㤷㡢戹㘷戰㥡㙤㤲攳愷㘱慥搲愰昶挹愱㜵㤵昱慡捡㥡〴捦㐵㌰ぢ㤹捦㙥㔵㈴愶㘲扥散㤸摡晡㑡㍥㤲搸㍥㌹扥㉥㔲㔳㍦㠳㔳搲㘲㜳㍡愵戵㈴㔹㐵挹㠱㤵㌵搸㡦㡣㜵㜲戹㈴㌹㙥㕡敤昹㜸慡㜱㘶㜵捤搰挸㡣晡晦〹愲戸㕢ㄹ㉦攳㐰㔸㈸ちぢ㐵㜱㘱昱敦晤挸挲ㄶ㡥㤴ㅥ愴㉣愴㌰愹㕡㠷愵㍣扢㉤㔹㌲㘷㉢㜳户㈵愶戴㈷昴㙣㘷㑢愶ㅥ〹攵愱㔸㍦〵扢㘵扢攱㄰挳㠷㑥㌸愵㘹㡥晢晦搷昳㤵㐵捦㈳㜳㥥㑦〴戹㔹愴㈶搴ㅥ〰攷づ挶愶㐲ㅤ户ㅣ㕤㌲捥㔶收收攷㐸㑡ㅦ㙥㠹昸㄰愵㍢ㄷ㠷㘰戶㘳㍢散昸㌸〲㘳㤶㈸づ扤ㅤ㡣〶捦敡慡㈳㔵昵愶慤扣戶扡㍡挲㑤㡢㥢攵㌸ㅣ扥ㄳ挵昲ㄴㅢ㐷ㄲ㍤〹㈱户㍦㔳ㄵ㤹つ㔵㘴戶㔴攱㔳㤹㤳攴攵㌲㜳搵㑥㡤搴㔵㌶㑣慢慥㡣ㄵ戳挱㠹散晦ㄳ摢㈴㌶愱搶㈸愶㝡挹つㄳ攷慢㤹㌳㔲㡤㐹㤴愰扢㉦㉥㈱㔸㍡搲㡦㉤户㔰㝥㤴㡢摦㌹〳ㄹ㥢慦扣捣搲㉢㤰慤〸ㄷ晤昲ㅣ㔷㘲戱㥣㠷㘱ㄳ㤵〷㈱戱㥥づ㜸敢㈳攱慥㕥慤㌷㘲㈹敦扣搰㌶㜰㜰㔴搴㐶攲㐳昰慣㐳㙤㕤ㅢ昳㜹攰㘲㔰换㐳㑡㥤㤳㜳㠱换㌱㡢ㅥ戳昳㘷攱㜴戸慥㤸㡡㜱㤸㘵摢㥡戳㠸㌵㠳㐳㝥㈲ㄶㄴㄵ戵㉤戶㕢搷㈹㉡㔷㜷㜳捥愴昵㜹敡㔳戲昲㝦㜵㙡㠸户㐳搰㉤㜶㐴ㅦ〵愹㡦㠶㄰㥢搰㘴㝦㌲ㅣ挶搰攱㔴㠸愲捤㌰㘶敥㈵㌹攷捤㈲愰愰愸㥡昳㜹㡢慢搹ㅤ㥣㜵㘸㤸攵㡢㜹挱㈸㠹搶戶昸〵搸昵戱昰㝡昵㤵㔷晡㘳戹㐰㜰㘲敡㐶扣戹晥㠳昱搷攱㘰昱昴㜱昰搱挷㐳㠸㌷搱㤴搳挶ㅢ戱㠰㐹㍤搰愹敢㤲搳戰㡣㡦ち昱㌷愸㜸㙤愲㕥ㄶ㈶昱㤱㝥扡改昵ㄶ捣㍣慢㙥捥ㄹ㥡昸㍢晣㜸㤶㈶昴㌳㄰慥㥤〹㔱㠴搳㠴㔰㄰㍡㠷㝥㤶㤹昲㙤戴㜸愶㘰扣㜲㝥㤶㠹㜷攱挰捦戳〲摢攳愷㜸てㄶㅥ㐳昵㐹挸㉢戶㘱㠹㠷愶搴愶㝡づ㔷扥摦㑤昵㝤ㄹ㠱㈴搶㑤㔵散㠰㜶㈳摥ㄹ昴㑥㐱㑡㍤挲戵晤搳摥㈱㑡㠷ㄸㅤ㜶挲㠱摢㠰ㅥ㐷㉢㐵摢㐷㤶戰㠳戰㙣搲㤶㘰㔸㤲㘱㕦㐱㘹愱㙤ㅡ㜴㡡戶㑡㉣㤳戶㝦㐳㤵㥢戶㜳㑤慦慦攱搵㙣摡扥㠱戳㐱摢㜴㠴㙢㔵㄰愴㉤㙣㥣摣㔵㥢㈹㜷挱慢㌹戴敤㠶㕦ㅥ摡扥㠳㔹搲㔶㠳扣㘲て㕡㘹戴捤攰捡昷㑢摢㕥㠴㘵ㅤ㘱挴㍥㘸㌷攲㥤㐱㕢ㅤ㔲敡昵㕣摢て昶づ晣〲〵㝤㈶ㅤ㝥㠴㠳愴㙤ㄶ㕡㈹摡㝥戱㠴㔹㘸㍢㥦㘱戳ㄹ愶〱㡢㠵戶戹搰㈹摡㉥挰㌲㘹㙢〳㤷摣戴捤㌳扤㡡攱搵㙣摡㌸ㄱ搶愰敤㡦〸搷收㐳ㄴ昵㉦㥢ㄸ昶㘲敤づ晤㐲㌳愵〳㕥捤愱㡤㔳㘶㈵㙤摡㐵㠸㍣愲扣戶扥愱㔴㝤㑢㐰改昹㈷搴㤶㡥慤慣㥦㕥捡慢㠸㝥愵㙥㜴㉦敢㠴㐶㜰扥慤㘴昶㘲㈴㄰ㅤ搰㑡㘳㜶〱昱敤㤷㔹㈷挲昰ㅦ㑦㡣㌲〹敢挸㌷㈷攵㙥挴㐲〶戳㤷挱㐷㕦㐸㐷㑥搸戵㜱戸㥣づ㡢攸搰〵づ㤲搹㉢搰㑡㌱换㔹扡㉡捣挲散㤵っ扢㡡㘱愵㜰戰㌰㝢㌵㜴㡡搹㙢戰㑣㘶扢挱㈵㌷戳搷㥡㕥㐷挱慢搹捣ㅥつ㘷㠳搹敢㄰慥晤〹㐲㌲敢挷摡ㅤ晡ㄲ㌳㘵㜷㜸㌵㠷搹ㅥ昰㤳捣敡㘴ㄶ昸戳愹㍢ㄶ㍡㐹摤㔲㜸㠸㥥㘸愵㔱㜷㈳〱散㤷扡㕥〸挳晦〲晤㈶㈶㌱㔶㔴㈰㌸㘵㜸㈳ㅡㄹ搴㉤㠳㡦扥㥣㡥㥣㑥㙣攳㜰㌳ㅤ㙥愱㐳㕦㌸㐸敡㙥㐵㉢㐵ㅤ攷㄰慢㌰ぢ㜵㝦㘶搸㙤っ敢〷〷ぢ㜵㜷㐰愷愸扢ㄳ换愴㡥戳㠱㜳㔳户挲昴晡〳扣㥡㑤ㅤ愷ㄵㅢ搴摤㠵㜰敤㙥〸㜹㉣㌵愸扢挷㑣㜹ㄲ扣㥡㐳摤〰昸攵㌹㤶㤶挱㉣㘹扢ㄷ㜹挵㐰戴搲㘸扢㥦㉢摦㉦㙤㠳㄰㠶晦ㄹㅦ㠱㐳愰摡㤸㑤摢㑡愴搴㔷㜱㙤㐳敤ㅤㅥ愴挳㐳㜴ㄸ〶〷㐹摢挳㘸愵㘸攳散收㡤㘶㕥ぢ㙤㡦㌰散㔱㠶㡤㠷㠳㠵戶挷愱㔳戴慤挶㌲㘹攳㍣攵摣戴㍤㘱㝡㑤㠴㔷戳㘹攳㠴㘷㠳戶㈷ㄱ慥慤㠱㤰戴昹戰㜶㠷扥搶㑣挹ㄹ搱捤愱敤㑣昸攵愱㡤㤳愶㈵㙤㑦㈱慦㤸㠴㔶ㅡ㙤㑦㜳攵晢愵敤ㅣ㠴攱㝦〶㙤㔳愰摡㘸㤶㤷㈹捣㌳搷㘷㤱㔲㝦㡥㙢㡢搸㍢慣愳挳昳㜴㠸挲㐱搲搶㠸㔶㡡㌶捥扢摥㘸收戵搰戶㥥㘱ㅢㄸ㔶〳〷ぢ㙤㥢愰㔳戴扤㠰㘵搲挶ㄹ搴戹㘹摢㙣㝡捤㠰㔷戳㘹攳㔴㙣㠳戶ㄷㄱ慥㙤㠱㤰戴〵搸㜵晤㈵㌳㈵攷㙡㌷㠷㌶㕥㘴攷愱㡤搳戹㈵㙤㕢㤱㔷捣㐲㉢㡤戶㔷戸昲晤搲挶昹摦昸㥦㐱摢㕣愸㌶㥡攵戵搰昶ㅡ㔲敡慦㜳㙤㥣ㅣ㙥攳昰〶ㅤ晥㑡㠷㜹㜰㤰戴扤㠹㔶㡡㌶捥〸㔷㘱〷戳㈶挶㜵挲摦ㄸ昶ㄶ挳ㄶ挱挱㐲摢摢搰㈹摡摥挱㌲㘹攳摣敥摣戴扤㙢㝡㕤〹慦㘶搳挶㐹攲〶㙤敦㈱㕣摢〶㐱摡㐲㈱㐲搴户㥢㈹㌹㡢扣㌹戴㕤〳扦㍣戴㜱愲戹愴敤㝤攴ㄵ搷愱㤵㐶摢づ慥㝣扦戴㜱㘶㍡晥㘷搰戶ㄴ慡㡤搰㘶㝣戶敤㐴㑡晤〳慥㡤搳搶㙤ㅣ㍥愴挳㐷㜴戸ㄱづ㤲戶㡦搱㑡搱挶戹敡㉡捣戲户晤㡢㘱㥦㌰㙣〵ㅣ㉣戴㝤〶㥤愲敤㜳㉣㤳㌶捥㍡捦㑤摢ㄷ愶搷摤昰㙡㌶㙤㥣扥㙥搰昶㈵挲戵慦㈸攴㈸戰㜱㤴晣户㤹昳㕥戸㌵㠷户晢攱㤷㠷㌷捥㠱㤷扣㝤㡤扣㘲㈵㕡㘹扣敤㠲㜶晦扣㜱搲㍣晥㘷昰昶㌰㔴ㅢ戳㜹摢㡤㤴晡㜷㕣ㅢ㘷搴摢㌸散愱挳㝦攸昰㈸ㅣ㈴㙦㝢搱㑡昱挶㘹昴㉡捣戲扢㝤捦戰㝤っ㝢ㄶづㄶ摥㝥㠴㑥昱昶ㄳ㤶挹ㅢ㈷挴攷收敤㘷搳㙢ㅤ扣㥡捤ㅢ㘷搶ㅢ扣晤㠲㜰敤㔷ち挹㥢㜱㤸晣捤捣搹〸户收昰戶〱㝥㜹㜸攳昴㝣挹ㅢ㙦挳㡡㑤㘸愵昱㔶〸敤晥㜹摢㡣㌰晣捦攰㙤ぢ㔴ㅢ戳㜹挳ㄷ㡤攱㑢散戸㌶㑥昶户㜱搰攸搰㠶づ㕢攱㈰㜹㉢㐶㉢挵ㅢ㘷昸慢㌰换晥挶㙦挷搳ㅤっ㝢ㅢづㄶ摥摡㐱愷㜸㙢㡦㘵昲挶戹晡戹㜹敢㘰㝡㜱㌲㝦戳㜹攳愴㝦㠳户ㄲ㠴㙢㑥ち挹㕢㄰慢㜷攸ㅤ捤㥣摢攰搶ㅣ摥摥㠷㕦ㅥ摥昸攴㠰攴慤ㄳ昲㡡ㅤ㘸愵昱搶〵摡晤昳戶ㄳ㘱昸㥦挱摢㠷㔰愹晡㕡㍥摥づ㐴㑡晤㈰慥㡤捦㈱搸㌸ㅣ㑣㠷㐳攸昰㌱ㅣ㈴㙦㕤搱㑡昱昶愹㈵捣戲扦ㅤ捡戰挳ㄸ戶ぢづㄶ摥㡥㠰㑥昱㜶㈴㤶挹ㅢㅦ㈳挸捤㕢愹改挵攷っ㥡捤ㅢ㥦㐷㌰㜸敢㠶㜰敤㈸ち挹㥢㜱ㄱ㜰戴㤹㜳て摣㥡挳摢㕥昸攵攱㡤て㌵㐸摥扡㈳慦攰搳つ㘹扣昵㠰㜶晦扣晤㠸㌰晣捦攰敤㘷愸㙣㘸改㠹㤴晡㜱㕣ㅢㅦ㤱戰㜱攸㐵㠷摥㜴昸ㄵづ㤲户㍥㘸愵㜸攳㜳ㄱ㉡捣戲扦ㅤ捦戰扥っ㜳挰挱挲㥢ぢ㍡挵㥢ㅢ换攴慤㉤㕣㜲昳收㌱扤摡挱慢搹扣戵㠷戳挱㥢ㄷ攱㥡㡦㐲昲㘶㡣愸昸捤㥣ㅤ攰搶ㅣ摥昸㔴㐵ㅥ摥昸扣㠵攴㉤㠰扣愲ㄳ㕡㘹扣㠵愰摤㍦㙦㕤㄰㤶捤ㅢ㥦搰㔰昵挵㈲敡搵㡡摣昶㐳㑡晤㐴慥㡤㑦㙦搸㌸晣㠱づ晤改㜰㌰ㅣ㈴㙦㈷愱㤵攲㡤㡦㙣愸㌰ぢ㙦㈷㌳㙣〰挳扡挳挱挲摢㐰攸ㄴ㙦攵㔸㈶㙦挷挰㈵㌷㙦㠳㑣慦ㅥ昰㙡㌶㙦㝣㡡挳攰㙤㌰挲戵㈱㄰昲㜴㌲捣慥敢㐳捤㤴㍤攱搵ㅣ摡㝡挱㉦て㙤扤㘱㤶戴つ㐳㕥搱〷慤㌴摡㠶㜳攵㔰捡㙥攳㑦摡㑣ㄵ㌰㘵摣㈱改ぢ㡦㙣摡昸散㠸㉡㉦㔳㤸戴㔵㈰愵㍥㤲㙢攳㜳㈵㌶づ愳攸㌰㥡づㅥ㌸㐸摡挶愰㤵愲㡤て㤳愸㌰ぢ㙤愷㌲㙣㉣挳㑥㠲㠳㠵戶昱搰㈹摡㈶㘰㤹戴昱㍥㐸㙥摡㈶㥡㕥〳攰搵㙣摡昸㝣㠹㐱摢㘹〸搷㑥㠷㤰戴ㄹ㘷㤳㘷㤸㈹昹〰㑡㜳㘸ㅢ〴扦㍣戴つ㠶㔹搲㜶㈶昲㡡㈱㘸愵搱㌶㠹㉢㠷㌲㍦㙤挳攰㤱㑤摢㜰㘸㔵㜹㤹挲愴敤ㅣ愴搴㈷㜳㙤㈳散ㅤ愶搰㈱㐲㠷ち㌸㐸摡愲㘸愵㘸ㅢ㙤〹㍢㔸收㤵㌷㜹㘲っ㡢㌳散㜴㌸㔸㘸㑢㐲愷㘸㥢㡡㘵搲挶〷㔶㜲搳㌶捤昴㍡ㄳ㕥捤愶㡤㑦扥ㄸ戴㔵㈲㕣㍢㤷㐲ㅥ㈵㌱㉡㡣摤㙤扡㤹㤳捦挶㌴㠷户㜳攰㤷㠷㌷㍥㍥㈳㜹慢㐲㕥㌱〵慤㌴摥㙡愰摤㍦㙦㝣摥㈶㥢户㌸戴㌶扣捤㐰㑡晤㍣慥㉤㘱敦㔰㐷㠷㝡㍡㈴攱㈰㜹㙢㐰㉢挵ㅢ㥦挰㔱㜹㉤扢摢㑣㠶捤㘲㔸ㅤㅣ㉣扣捤㠶㑥昱㌶〷换攴㡤捦搲攴收㙤慥改搵〰慦㘶昳挶㠷㜲っ摥㉥㐰戸㌶て㐲㡥㤵ㄸ㐷挹㍦㥡㈹昹搴㑥㜳㘸㥢つ扦㍣戴昱挱ㅥ㐹摢㝣攴ㄵ㜳搱㑡愳敤㈲慥ㅣ捡晣扢ㅢ㥦〴捡愶㙤㍥戴慡扣㑣㘱敥㙥㤷㈰愵扥㠰㙢攳㘳㐲㌶づ㤷搲攱㌲㍡㕣〴〷㐹摢㐲戴㔲戴昱搹㈰ㄵ㘶愱敤㜲㠶㉤㘲搸㘲㌸㔸㘸扢ㄲ㍡㐵摢㔵㔸㈶㙤㝣捡㈷㌷㙤㡢㑤慦㙢攰搵㙣摡慥㠵戳㐱摢搵〸搷慥愱挰㕤ㅥ㌵昵敡㕡㌳㈷ㅦ㈸㙡づ㙦㑢攰㈷㜹换㝤㌳㠰捦ㅤ㐹敥晥㠴摣㘲㈹㕡㘹摣㕤て敤晥戹攳㠳㑡㤲扢愵㑣挲㑡昱扤っ㕡㔵㘳㉣㉡敥㙥㠰㡦㝥㈳ㅤ昹ㄴ㤳㡤挳㑤㜴㔸㐶㠷㥢攱㈰戹㕢㡥㔶㡡㍢㍥扡愴挲㉣摣摤捣戰㕢ㄸ㜶㉦ㅣ㉣摣晤ㄹ㍡挵摤㙤㔸㈶㜷㝣〸㈹㌷㜷户㥢㕥昷挳慢搹摣昱㘹㈶㠳扢㍢㄰慥摤〹㈱㜷戹㈰扢慥慦㌰㔳慥㠴㔷㜳愸㝢㄰㝥㜹㜶㌹㍥ㄱ㈵㘹扢ぢ㜹挵挳㘸愵搱㜶て㔷づ㘵晥㕤㡥㡦㔰㘵敦㜲㡦㐳慢捡换ㄴ收㉥㜷ㅦ㔲敡昷㜳㙤㝣扥捡挶攱〱㍡慣愴挳ㄳ㜰㤰戴慤㐲㉢㐵ㅢㅦ慡㔲㘱ㄶ摡ㅥ㘴搸㐳っ㙢㠴㠳㠵戶㐷愰㔳戴㍤㡡㘵搲挶挷愳㜲搳昶㤸改挵攷愷㥡㑤ㅢ㥦戳㌲㘸㝢ㅣ攱摡㙡ち㝥挲戹㡤昱㤲㈷捣㥣㥢攰搶ㅣ摥㌶挳㉦て㙦㝣㔸㑢昲昶㈴昲㡡㉤㘸愵昱戶ㄶ摡晤昳戶ㄵ㘱㤲户愷攰慥㕥攲ㄵ㘸㔵㝤戱愸㜸晢ぢ㝣昴愷戹㌶㍥敤㘵攳昰っㅤ㥥愵挳㙢㜰㤰扣㍤㠷㔶㡡㌷㍥攲愵挲づ㤴㜹攵㤹挹㍡㠶㍤捦戰㙤㜰戰昰戶ㅥ㍡挵摢〶㉣㤳㌷㍥慣㤵㥢户㡤愶ㄷ㥦收㙡㌶㙦㝣敡换攰㙤ㄳ挲戵ㄷ㈸㜸愸㌴㜹摢㙣收摣〱户收昰戶ㄳ㝥㤲㌷敤㐵㐴晥㥥㍢攲㝣扡㑣㔲扢〵〹〴ㅦ㌳㑢愳㜶㉢戴晢愷昶㘳㠴㐹㙡㕦㘶ㄲㄶ㤲敦㑦愰㔵ㄴ㘰㔱㔱晢ち㝣昴㔷改挸挷搳㙣ㅣ㕥愳挳敢㜴昸っづ㤲摡㌷搰㑡㔱换㘷搲㔴搸〱㌲慦愴昶慦っ㝢㤳㘱㝢攰㘰愱昶㉤攸ㄴ戵㝦挷㌲愹攵搳㘵戹愹㝤摢昴攲攳㘷捤愶㤶㡦愹ㄹ搴扥㠳㜰敤㕤ち㜹搲挹〹㤵づ晤㍤㌳攷㍥戸㌵㠷摡ㅦ攱㤷㘷㤷攴戳㙥㤲户㙤挸㉢昸搰㕢ㅡ㙦敦㐳扢㝦摥㝥㐵㤸攴㙤㘴㉢㘰㌴㕦昸捥搷愶晡挲㐱昱戶〳㈹昵㝦㜲㙤挲摥㘱㈷ㅤ㍥愰㐳㈱ㅣ㈴㙦ㅦ愲㤵攲慤挸ㄲ㜶㠸捣㉢㜹晢㠸㘱ㅦ㌳慣〳ㅣ㉣扣㝤〲㥤攲敤㔳㉣㤳户ㄲ戸攴收敤㌳搳换〹慦㘶昳挶㈷攸っ摥㍥㐷戸昶〵㠴扣挶㌳㡥愴㕦㥡㈹㍢挱慢㌹戴㜵㠱㕦ㅥ摡づ㠰㔹搲昶ㄵ昲㡡〳搱㑡愳敤㙢慥㥣㌵攷〳㍡昲㘵㤹昲〶㡤㜱㘹㝥㌰挲戲㘹敢ち敤㐶挴㘴摣改搹㠵㤴晡户㕣摢愱昶づ扢改昰ㅤㅤづ㠳㠳愴㙤て㕡㈹摡昸㈰㥦捡㝢㄰昲㥢㌷攸晥挳戰扤っ敢〹〷ぢ㙤晢愰㔳戴晤㠰㘵搲㜶ㅣ㕣㜲搳昶愳改搵ぢ㕥捤愶慤㌷㥣つ摡㝥㐲戸昶㌳㠴㍣㜱㌱〶挲㝥㌱㔳昶㠱㔷㜳㘸敢ぢ扦㍣戴㥤〰戳愴敤㔷攴ㄵ㉥戴搲㘸㉢㈸㙡づ㙤ㅥ㠴㘵搳收㠳㜶㘳㌶㙤㠵㐸愹户㠲㄰㝥㝢㠷搶㜴㈸愲㐳〰づ㤲㌶つ慤ㄴ㙤㝣挴㔰攵㍤戸㠹戶㌶っ㉢㠶㈸㉡㠷㐳昳ㅥ㍣攳㙥敡戴㍣つ挸㌹搲昵ㅤ㤳愷捥㡣㔴攱愷㔵㐶攳㤱㤴〶慡晥ㄷ㈶㈱户㌶ㅥっ捡晣㤶昳昴㕦㕣挱㌳㜵戲ぢ㘷㥤㝤〴㝡㤶㔹㠳㜴㕦戳㙦昵昴晣㝤てづ㌹㡡扥晦昱户摦㥡户ㄶ㙥ㅥ㙤㘶昱㍢㜴㈷㑦㉥㈸收㍡㐱ㄲ㍥㍣ㅣ㈰㡣晢搱㈰㌴戳㌷愱挱㜶摡愲㈱搰收㤹扣㥦昱捣つ戳㜶㙥㥡㙡捣㐹攵扤慢昸挳㑤㜶㜳㤴搳攷昰户〳㌸㌱捣づ㠳㌸㐵㘹㍢搰〷慢攰扢愸〲摡晤捥ち挷㡥㠶挷っ㌹㍦㝣㕣挳㥣㉡捣挹攷㈲扦㜷搶㔸攲㈴㘴挳っ搰戵㜵慤昱㐴㘵收搷㑣愷㘲搷㈰㔵摢㉥ㄹ㕦敢㉤挳㘸ㄹづ㌴㐵摦㠲愲㥣昱〴摤挴ち㘳昸搲㥣攸㔳㤷㤱㤵戱扡摡晡摡㘴㐳改㌸㍣㔷㔲捡㉦㝡㑦攲〹愳戲愲㙦㤰搱㜶㥤散㔸敢ㅡ晥ち㤱㈴摡㌱扤愶昶晣ㅡ㠹愶愸㥥摦㜷捦戵改㙤摡㜰㌵㝣敥㐸扥㡥㐶攱㥣敡㐳摡㌹ち㠸昹㈱愱㜵〲㠲㘳捡〷㤶㡦㥤ㅣ昲昸摣㍥㕦摣ㄵ㜰㝢挳扥㘴㌲㄰ち挴晤攱㔸㈸敥㠹㐵㈳㐱㑦挴愷㜵㑥戹晡攲挱㐴㈰ㄸ㑤挶ㄲ搱愰捦ㄳ㠲㍤攴㑥戸攲慥愴㌷ㅡ㡦扢㕣㜱攷㘸㌳扤摥〵㌱晡〱㄰捥㌱㑡㜵㈰㔵〷㔱挵㌹攴〴㈱ㅤ愴㙢挹㔸愸〸㔹㤳㤸晦㡢挲㌹づ㤹昱扦㐰敢㡡㔵户㉢ㅦ㌸㔹㑥愴ㅦ㡢㉦愰搷づ㠵愶㈳㌴改扦昷愴ㅤ〶㜵〷愸㉤捦愸㌸挷㥢㔹昴㙥㐸愵ㅦ〱て扤ㄴ㑢㘲㈲昴㍣ㅡ㍡挴㑥㤰挶扤㤵敢㜲攸摤攰挱扤敥㌴㌴㈵㉢㡡〱㔸㌱戴㘹慢攵慣㜲敥㜹晡搱〸ㄶ㘷搹晡㑣㔲摡㘳攸挳㕣㝣㥦〳㉤昷っ戱つ〰戸㍤㜲㉤㍡㌷㌲㙥㑦攲㕤㘸戸㑤愵㙦ㄳ㔳㄰㈰㌷㠵攳攰㘷㙣ち㙥㝦挸ㅤ㡦晢ㄲ㐱㙦㌰攴㜳扢㝤㈱㙦搲ㅢっ㐶㍤㘱㑦㌲㠱挵㠰搶㉢攵ㅡ昰㈶〳㔱慦摦ㄵ㜴昹攳扥愴㉦ㅡち㠵晤㠹㜰挸敦つ扡㝤摥㘰㌲收㡣㤸改昵摥㠸搱晢㐰㌸愳㑡搵戴㈹挴㤴㉡攵㔵ㄲ㠷慡㘵㌶㠵〴㌲攳㍦㝥愹㡤㤰挸扥㑥慥㥤㐹愵㍦㤶㐶㍦昵㍤戰㈴愶㐱㙦㤰晢ㄲ慡搷㐴㙥〸ㅥ㈴户ㄲ昶㙣㜲捦戵搵㑥㠷㔶㤲摢て挱愲摡搶愷㐶㘹晦㐰ㅦ㈲攰㝢〶戴㤲摣㡤〰㤱㑤敥㝡㕢㜲敢㄰㈴挹ㅤ㠰㔴〶戹㍥散愴ㅥ慦搷ㄵ㡤〷㕣扥㔰㍣ㅥ昲挴晣晥愰挷ㄷ㡤㠳改㘴挲愷㤵愵㕣攳攱㤸㉢散昳攲㔰㄰㡡昸挲ㄱ㕦㈴攸㑦㈶ㄲ㝥㝦㉣ㅣ㡦昹愲〹户戳摥㑣慦て㐴㡣㕥づ攱㙣㔰慡㈶㜲㘷㉡㔵捡慢㘴ㄶ㔴㉤㐳敥昹挸㡣晦㔹攴捥㔶晡攳㘹慣㈰摥㍥㉣敢㕣攸つ㜲ㅦ㑦㈳㜷㌴㍣㐸敥〵戰㘷㤳㍢捦㔶换ㄹ敡㤲摣㔳ㄱ㉣㉥戴昵戹㔸㘹挷搱㠷〸昸㕥〰慤㈴昷㐱ぢ戹摡〴戸攴晣㜸㄰㉢㙤ㄹ扦ㄴ㤹昸昹愰㥦㠶攰昶慤㥣㤷愱㉤户㠰搳搱㌶戶㠰愴㉢㤰㠸扢愳㤱㜸搸㤵昴戹㠳慥㔰搲敤㑢㠴㈲㤱㘴㈰㠹㙤挲㤵搰捥㐸戹㠶愲㐱㝦㈰敥ぢ〵愳昸昹挱愰㌷ㅣ挵ㄳ㙡昱㐰㌸敡㑥〴㍤〹㤷㈷改㕣㘸愶搷捦㐴㡣㝥ㄶ㠴㤳搳搱攵㘱㝤ㄲ㔵㘷㔳戵㐸愹㔲㕥㈵㔷㐰搵㌲㕢挰㤵挸㡣晦㔹㕢挰㔵㑡捦昳㝢㍤㑥㜰扣慥ㄶ㔷㐳㙦㙣〱㌷愷㙤〱㔳攱挱㉤攰ㅡ搸戳户㠰㙢㙤戵搷㐱㉢户㠰㑡〴㡢㈵戶㍥㑢㤵㜶㍡㝤㠸㠰敦ㅢ愱㤵㕢挰㔲换ㄶ愰㜳ぢ㤰挷敥㈵戶㘴摦㠴㈰㐹㜶㉤晣㐰昶㌲戴㈵搹㌳搰㌶挸昶晢㝤搱㠸搷攷㑦扡㘳㐱㕦挰ㄳて晢昰晢㤱ㅥ扦搷攷㑢挶〲㍥㑦㐲㍢㉦攵敡㑤晡ㄲ㜱慦㉢攰昲㠷㝤昸慤挹㔸㌴攴㑦扡㝣ㄱ㙦㍣っ扡㈳㠹㤸㤳㌳搹㈵戳㜵㠸搱敢㈱㥣㌷㉢㔵ㄳ搹户㈸ㄵㅤ㜴扡㤶摣ち㔵换㤰捤㤹昰昸㥦㐵昶㙤㑡ㅦ愶㜱ㅥ㤱㠴戰㈴敥㠰摥㈰晢㤲㌴戲㉦㠴〷挹扥ㄳ昶㙣戲㔷搸㙡敦㠲㔶㤲㝤㌱㠲挵㍤戶㍥昷㉡敤〲晡㄰〱摦昷㐳㉢挹㥥㘷㈵㍢昵㐱㍤搷㤶散㤵〸㤲攴㕥㡥㔴收㥥㡣て㘸户㉢ㄹ㑦㈴㤲㕥㕦挲ㄷて㈷㘲扥㤸挷ㄳ昳〶摣扥㜸挴ㄷ搳ㄶ愵㕣㘱㠸㝡〲㤱戰㌷ㄸ挷㔹㥥㈷ㄲづ昹晣㌸㔵挳て㤰扡㐲㤱㘰搰敤㕣㘵愶搷慦㐰㡣㝥㈵㠴昳㐱愵㙡㍡㤶㍦愴㔴㈹慦㤲㠷愱㙡ㄹ㜲ㅦ㐱㘶晣捦㈲昷㔱愵㍦㤹挶敢㠹昷㈴㤶昵㜱攸つ㜲愷愷㤱㝢㈳㍣㐸敥㙡搸戳挹㝤挲㔶晢㈴戴㤲摣㘵〸ㄶ㙢㙤㝤㥥㔲摡㥢改㐳〴㝣㍦つ慤㈴㌷㘱㑢㙥捣㤶摣㘷ㄱ㈴挹扤つ愹っ㜲扤㍥晣昰㔶㈴攰㡢晢挲〱㕦㈲ㄱ㡦〶愲〹㑦㌴收㡤昸㝤攱㔰搲㥦搰㙥㑦戹〶挲㌸㈴〷挲㥥㐴っ㍦ㄱ敢昳㘲㥦つ〵㍤ㅥ㕦挲㥦㐸扡扤㥥㐸搴挹㔹昱㜲捦扤〳㌱晡㥤㄰捥㜵㑡搵㐴敥昳㑡㐵〷㥤慥㈵㡤㔰戵っ戹敢㤱ㄹ晦戳挸摤愰昴㠳㘹㕣㐹㈴㠳㔸搶㑤搰ㅢ攴㡥㑦㈳昷㈱㜸㤰摣ㄷ㘰捦㈶㜷戳慤㤶昳攸㈵戹㡦㈰㔸扣㘴敢戳㔵㘹ㅦ愳てㄱ昰晤ち戴㤲摣㔱戶攴㔶搸㤲晢ㅡ㠲㈴戹㑦㈲㤵㐱慥㉢ㄹつ攰戲捡攷〷㘵㍥ㅦ捥㥢摤搸㉦㕤搱㘸㈲捡晤搸攵搷搶愴㕣攳摥〰㑥挴ㄳ㝥ㅣ挳㘱っ㐷㐲㜱㔷捣㤷㠸〵摤挹㐰㉣ㅥつ㝢㥤慦㥢改昵戵㠸搱㥦㠲㜰扥愱㔴㑤攴㜲〲扤摣〴攸㈰㕤㑢摥㠴慡㘵挸晤ㅢ㌲攳㝦ㄶ戹㙦㈹晤〸ㅡ搷ㄳ挹㜰㤶昵㙤攸つ㜲晢愷㤱扢〹ㅥ㈴昷ㅤ搸戳挹㝤搷㔶换搹昶㤲摣捤〸ㄶ摢㙤㝤摥㔷摡㉤昴㈱〲扥㜷㐰㉢挹つ摡㤲敢户㈵㜷㈷㠲㈴戹慦㈰㤵㐱㙥㉣㤱昴㠴晤㉥慦㍢㡡攳戱摦攳㡦㜸㠲摥㐸㌴ㄹち㈶㜱晡攴㡢戸戵㔷㔳慥㉥㥦㉢㤴〸攱㈳搷ㅤ㜱昹㠲㔱㔷㈸ㅣち㐵攳愱〸㉥挶〳㙥㝦捣攷晣挰㑣慦扦㠶ㄸ晤㜵〸攷㠷㑡搵㐴敥㐷㑡㐵〷改㕡昲㌱㔴㉤㐳敥扦㤰ㄹ晦戳挸晤㐴改㑦愵昱㕤㈲ㄹ挳戲㝥〶扤㐱㙥㡦㌴㜲户挳㠳攴㝥づ㝢㌶戹㕦搸㙡扦㠴㔶㤲晢て〴㡢㝦摢晡㝣慤戴晦愴てㄱ昰扤ぢ㕡㐹㙥愹㉤戹㐷搸㤲扢ㅢ㐱㤲摣㡦㤰捡㈰搷攷㠹㝡愲㝥㙦〰ㅦ戲昸捣つ挶㈲㝥ㅣ㜹㘳〹㝦㈸ㄹっ晢攳㈱慦昶㜱捡㌵敡昷挵〲搱戰て㠳㈲㕥ㅦ捦㥤㤳㝥㡣慥㈴㝤扥㐸挸㤵昴挷㕤捥敦捣昴晡扦㄰愳㝦〲攱摣愳㔴㑤攴晥㐷愹㔲㕥㈵㝢愱㙡ㄹ㜲扦㐷㘶晣捦㈲㜷㥦搲㥦㐶攳㌷挴㍢㤱㘵晤ㄱ㝡㠳摣㤲㌴㜲㜷挳㠳攴晥〴㝢㌶戹㍦摢㙡㌹㜱㕦㤲扢〷挱㠲㐳㈸搹㤱㍣摦㤵摡扤昴㈱〲扥ぢ愱㤵攴敡戶攴戶戱㈵户㌵㠲㈴戹㍦㈲㤵戹攷㝡扤㐱㕦〸愳ㄹ㌱㝦㄰挳ㄹ攱㜰㈲㤸㠸挶㍣㈱ㄷ慥㤸㠳㥥㔰㕣晢㈹攵ㅡ㡦㜹晣㥥㜰㈰ㅥ㐹攲ㅡㄹ〷攴戰挷ㄷ㜱㈵挳㥥ㄸ㍥愴挳〱㔷搰㔹㘴愶搷㝦㐶㡣晥ぢ㠴㔳㔳慡㈶㜲摢㈸ㄵㅤ愴㙢㐹㌱㔴㉤㐳慥㡥捣愸㙡ㄶ戹づ愵㍦㥢㐶つ愳㙦晡㈴㤶戵ㅤ昴〶戹晢㝥戰㡥㝣攸昰㈰戹敤㘱捦愶愸㠳慤戶〴㕡㐹㙥㕢〴㡢㡥戶㍥㥤㤴戶㍤㝤㠸㠰敦㉥搰㑡㜲㜷〳㐴昶挸挷㉥㘸戳㠷戵づ㐴㤰㈴户㈳㔲㤹攴攲㕡㌷散㡦㘰昷㑢攲攴㌷ㅣづ攳ㄴ挹ㄳ㜱㝢㕤摥㤸㉦㠴搱㉤慤㔳捡搵ㄵ㡡㐷戸㕢挷扤ㅥっ㡡〴攳㤱㔰㌰攸挷〹㔸㌴攲㡥㘱敦昷㍢て㌲搳敢㥤ㄱ愳㜷㠱㜰ㅥ慣㔴㑤攴ㅥ愲㔴㜴㤰慥㈵㕤愱㙡ㄹ㜲て㐵㘶㍢㜲て㔳晡ㄸ挹㍤㥣㐸愲㉣敢ㄱ搰ㅢ攴㝥㤰㐶㙥㈹㍣㐸敥㤱戰㘷㤳㕢㙡慢敤〶慤㈴昷㈸〴㡢愳㙤㝤扡㉢㙤㜷晡㈸㜲㝢㐰㉢挹摤㙥㑢敥㝢戶攴昶㐴㤰㈴户㈷㔲ㄹ攴扡㕣㠱㘸㌰ㅡ挰㐹㙦㈴攲昳攲户㙡㤳攰ㄵ愷换㐱ㅦ㠶慢ㄲ挹愰㜶㕣捡搵敤昳㘳慣换ㄵ挱攷㙥搰攷ぢ攳㠴㍡收㡥㠵挲戱㠸㈷ㄲ㜳攱㌸敥㍣捥㑣慦昷㐲㡣摥ㅢ挲搹㑢愹㥡挸敤慤㔴㈹慦㤲㍥㔰戵っ戹挷㈳戳ㅤ戹㝤㤵㥥扦敡愰晢㠸㜷ㅡ㑢敢㠲摥㈰㜷㙢ㅡ戹㐱㜸㤰㕣㌷散搹攴㝡㙣戵㕥㘸㈵戹㘱〴ぢ扦慤㑦㐰㘹㑦愴㡦㈲㌷〴慤㈴㜷㤳㉤戹ㅢ㙣挹敤㠷㈰㐹敥挹㐸㘵㤰㥢昴㠷愳〹㔷挲ㄷ挴攱搸ㄷ昲挷㈳㠹㜸捣敢㡤挴〳敥愰㍦㤸っ〷戵〱㈹搷㘸捣ㅦ昰㝢ㄲ㘱㡣㕣㐴㝤㠱㜸㌰攲〹戹㈳㈱㝦㌰㠲慢㕤㥣㉥〷㥣㈷㥡改昵㌲挴攸〳㈱㥣㝦㔰慡㈶㜲晢㉢㔵捡慢攴㈴愸㕡㠶摣㤳㤱搹㡥摣〱㑡㕦㑢㜲㐷㄰㙦つ㑢㍢㄰㝡㠳摣搵㘹攴㡥㠲〷挹㉤㠷㍤㥢摣㐱戶摡挱搰㑡㜲挷㈰㔸っ戵昵ㄹ愶戴㘳改愳挸ㅤづ慤㈴昷㈱㕢㜲㔷搹㤲㕢㠱㈰㐹敥㐴愴㌲挸つ㠶攳挹㈸〶愵㠲〹㥣㈵㠵㤲挹㔰搴ㅦ㡢㜸㤳㐹㕦㉣攲㜲晢扤〹敤戴㤴㙢挴㡢㈳㜸㈲攲て〵〳㝥㥦㍢敥㡥昸㠳㙥㔷搰ㅢ㐸戸㘳攱戰㍦收㜵㡥㌴搳敢愷㈳㐶㍦〳挲㌹㑡愹㥡挸ㅤ慤㔴㜴㤰慥㈵㘳愰㙡ㄹ㜲㑦㐵㘶㍢㜲挷㉡晤㑣㤲ㅢ㈵㤲〶㤶㜶㍣昴〶戹户愶㤱㥢㠰〷挹㥤〰㝢㌶戹ㄳ㙤戵愷㐱㉢挹㥤㡡㘰㜱㠶慤捦㤹㑡㕢㐹ㅦ㐵敥㈴㘸㈵戹㌷摡㤲扢搴㤶摣㜳㄰㈴挹慤㐶㉡㠳㕣扦㍦ㅥ㑥晡扤㤱㔸摣ㅤ挶攷㙥㌲攴〹挴㤳㌱ㄷ昶挸㜸㉣攰昵㝡戴㥡㤴㙢搸㥢挴㐸㔴㈸ㄸぢ〷㈳扥㐰挰ㅤ挶㤵㔳搲攵〹扡㘳㙥户挷敦㡡㌹㈷㥢改昵㕡挴攸㌳㈰㥣㔳㤴慡㠹摣㠸㔲愵扣㑡愲㔰戵っ戹㌱㘴戶㈳㌷慥昴ㄷ㤰摣㌹挴㍢㤷愵㑤㐲㙦㤰㝢㔹ㅡ戹昳攰㐱㜲愷挲㥥㑤敥㌴㕢㙤㈵戴㤲摣昹〸ㄶ搳㙤㝤慡㤴昶㈲晡㈸㜲㙢愰㤵攴㕥㘸㑢敥ㅦ㙤挹㥤㠱㈰㐹敥愵㐸㘵㤰ㅢ挰㌹戰㍢ㄹ㑡㘲ㄸ㌹㡣ㄳ㉡㙦搴敤ぢ挶㤳㕥㡣㘵〴㜰㠱㤳っ㘸㤷愵㕣㌱〲敤㡢挵扣戸㠵㄰挴㘰㤶㈷㄰㡡㜹㤳㙥㥣㘵㘳慣㌹攲㡡㈵㍤捥昳捣昴晡㐲挴攸㤷㐳㌸敢㤴慡㠹摣㝡愵㑡㜹㤵㌴㐰搵㌲攴捥㐴㘶㍢㜲㘷㈹晤挵㈴昷㍡攲扤㠸愵㥤つ扤㐱㙥㑤ㅡ戹搷挳㠳攴捥㠱㍤㥢摣戹戶摡ぢ愰㤵攴摥㠰㘰昱㐷㕢㥦昹㑡㝢ㄳ㝤ㄴ戹ㄷ㐱㉢挹㥤㘶㑢㙥搲㤶摣㑢㄰㈴挹扤〵愹っ㜲扤慥ㄸ〶㤲㜱㥥攴㡦〴㝤㙥㔷〰㈳㡡㙥㥣㌸㘳搸ち搷戳㍥㕦㐰扢㌵攵ち㜳っㄷ户攱㈰㉥㝦㌱㜸ㄵ㠹昸ㄳㄸ㘳㡥戸摤晣摣挵搸戴㜳㠱㤹㕥晦㌳㘲昴摢㈰㥣㤷㉡㔵ㄳ戹㤷㈹㔵捡慢㘴㈱㔴㉤㐳敥攵挸㙣㐷敥㈲愵扦㥣攴摥㐷扣ぢ㔹摡㉢愱㌷挸㍤㉤㡤摣㤵昰㈰戹㔷挱㥥㑤敥㘲㕢敤搵搰㑡㜲ㅦ㐴戰戸搶搶攷㑦㑡晢㌰㝤ㄴ戹搷㐳㉢挹㍤搵㑡㙥敡㉥搱㘸㕢㜲㤷㈲〸晦ぢ昴挷㤱ち㜷㠹㙥㐰㐳㤲扤ㅡ㙤㠳㙣摣ㅤ昰㝡㜰㡦㍦攴挷搹戳换ㅤづ挵㠳戸㡦攰㜷㜹晣㌱㤷㈷ㅣっ㘹㑦愴㕣㕤戰㐴㝣搱㘰〰㔷㐶ㄸ晦挰晤㝥㥦㌷敥挲㕥ㅤ挴搹㌴〶㍡㥣㌷㥡改昵㈷ㄱ愳慦㠱㜰摥愴㔴㑤㜷㠹㤶㈹㔵捡慢㘴㌹㔴㉤㐳昶捤挸㙣㐷昶㉤㑡㝦㌵换昳㍣昱㉥㘶愹晦っ扤㐱昶挹㘹㘴㙦㠰〷挹扥つ昶㙣戲㙦户搵摥〱慤㈴㝢ㄳ㠲挵ち㕢㥦扢㤴㜶㌳㝤ㄴ搹昷㐰㉢挹づ㕢挹㑥摤㈵ち摡㤲㝤ㅦ㠲㈴戹㕢㤱捡㈰㌷ㄸ㑥㈶㜱摢㠰㘴㘱慣ㄹ户昱㌱戶㠱㔱㡥㔰〸㌷㡥挲挹愸㐷㝢㌹攵ㅡて昹㜰㜳㌰ㄴ挴ㄵㄳ〶愵㈳昱㔰㈰㠹て㙣㙣っ戸挵ㄴ㑥昸㕤捥晢捤昴晡㉢㠸搱㕦㠵㜰㍥愰㔴㑤㝢昲㑡愵愲㠳㜴㉤㔹〵㔵换㤰晢㈰㌲摢㤱晢㤰搲㕦㑦㜲摦㈶㤲㈵㉣敤㈳搰ㅢ攴昶㑣㈳昷㍤㜸㤰摣㐷㘱㤷攴㍥㠵〵昵ㄲ㡦搹㙡ㅦ㠷㔶㤲扢ㅤ挱攲〹㕢㥦㈷㤵昶ㅦ昴㈱〲扥搷㐲㉢挹㍤捡㐲慥昶㑦戸攴扥攳㕦㙡换戸㠲改晣ぢ㔲㑡敡㍦㐰ㄶ㠳㝡㜷㌸敡㜷㠷㕤㘱㙦っㄷ㑥㙥㥣㡢㜹㍣挱㈸㐶㉣㜹㜳搷㡢〱㐹敤挳㤴慢ㅦ㤷㑢戸て攸收㘷㌹敥㐷㐴㌰慢㉢收〹㘳㥣㌳ㄴ昰㘲㘶㔷搸昹戴㤹㕥晦〸㌱晡挷㄰捥㘷㤴敡㕦㔴㝤㐲搵戳㑡㤵昲㉡㜹づ慡㤶愱㝥ㅤ㌲㤳㝡敤㜳慣㍡㝤㔲搷ㄷ搰搸㑣敡晡ㄲ敡捣㐹㕤捦㥢㔹昴攵㐸愵晦ㅢㅥ晡㌲㔲挴〷㍡㡣つ愵㘳摡㠶戲ぢㅥ摣㔰㌶挰㥥扤愱㙣戴搵㙥㠲㔶㙥㈸扢ㄱ㉣㌶摢晡㙣㔱摡㍤昴㈱〲扥户㐲㉢㌷㤴戶搶つ㘵㉦㕣㜲㙦㈸扡敤㠶昲㌲㌲攱㍦扥愵〵挱昸ㅣ㜸〵つ戹扤晣㠰戶戱扤㜸㕣㐹て㑥扣〳ㄱ㑥㄰昰挵㐳㤸〵㠰㐹㠰㤸晣ㄳ㑤㜰㉣㌴愸晤㤸㜲㑤㘰っ捤敤昱攲戶㠵㍢㠱㡦って愶〸挵㌱搰ㅤ㜶㈱㉡ㄶて㈵㥣慦㥡改昵㥦㄰愳晦っ攱㝣㑤愹㝥愱敡㔷慡㕥㔷㉡㍡㐸搷㤲㌷愰㙡㤹敤攵慦挸㉣てㄵ摣㕥㜴㙥㈲㍡㌷〸攷㥢㑡㝦㍢换㔳㠴搹捡晡㙤慣晤㕢搰ㅢ㕢挰て晢慣攳㥦挵昰攰ㄶ昰㜷搸攵ㄶ㌰㤲㔹捤㤷㜸摢㔶晢づ戴㜲ぢ攰户㔳㠹昷㙣㝤戶㈹㙤㍢晡㈰㥦㝣扦て慤摣〲扥〳㠸散昱捦㙦愱捤ㅥ晦摣㠱㈰㐹慥ㄳ愹捣捦〱っ㘳晢㘲㍣㌱て昲㡣㉥ㄸ挶挰㜶㈴㠱㕢挵ㄸ㈲挳挵㜷㐲敢㤸㜲㡤㐵㜱㈹敥挵挰㐹っ㐷㠳㄰㑥晣㕣〱㑣〶昳扢㐰㝡㌸敥〹挵㥣晦㌴搳敢㥤㄰愳㜷㠶㜰敥㔴慡愶捦〱㍥捡㐱㄰搲㐱扡㤶㝣〸㔵换㤰晢ㄱ㌲摢㝤づ㝣慣昴昷㄰挹㘱挴㝢㌷㑢晢〹昴〶戹ㅦ愶㤱㝢㈴㍣㐸敥愷戰㘷㤳晢㤹慤昶㜳㘸㈵戹摤㄰㉣扥戴昵昹㑡㘹㡦愶㡦㈲昷㙢㘸㈵戹敦摢㤲扢捤㤶摣㕤〸㤲攴ㅥ㡢㔴〶戹㤸扦㠵〱㉦捣扢㡣㝡㐲戸扦ㄴ㡡扡㜱㉥㠶㠹㥢㘱㥣戴挷㤳戸愱摣㌳攵㥡㡣㘳㙥㐸㄰昷㤴㜱ㄹ收㡢㐷㜱扡㡥㠹㕤ㅥ㥣敦㐵攳ㄱ㤷〷愷敢摦㥡改昵攳㄰愳昷㠲㜰敥㔶慡㈶㜲昹挰㠷㈴㤷づ搲戵㘴て㔴㉤㐳敥㝦㤰搹㡥摣扤㑡捦ㅦ㥦搲扤㐴戲㤲愵摤〷扤㐱敥换㘹攴〶攰㐱㜲㝦㠰㍤㥢摣ㅦ㙤戵㍦㐱㉢挹つ㈱㔸晣㘲敢昳慢搲昶愳㡦㈲㤷㑦㜵㐸㜲㕦戰㈵㜷愳㉤戹㝣㙥㐳㤲㝢ㄲ㔲ㄹ攴㐶〳ㄸ昸挴㝣㤰㐰挲挳㥢㠷㙥㑣摤㡢戸㕣ㅣ㈴㜳㐷㘲〱㝦㐸㍢㌹攵ㅡ㡣攳㉥㘴㈰攰㜳挵㜱㑡ㅥ㑢㠴㌰㈳搷㤳㡣戸㌰㔱ㅢ昷㤹愳戱戸戳㤵㤹㕥ㅦ㠰ㄸ扤っ挲挹〷㐱㈴㤳㑤攴昲戱㄰愹㑡㜹㤵昰搹㤰㤶㈱㤷㑦㤴搸㤱换㠷㑣愴㥥㍦㥥愵て㈷摥㐷㔹㕡㍥换㈰挹慢㠰㡡づ㝣ぢ昹㄰〱ㅤ㐷㐲慢㈸㜰昲戱〱㜰㠳敦㌵㠷戶㝤慢㈲捥㐸户晤昵づ㘳昶昷㌸㝣㈷㝢愲㙦昹挰㘰摦挱戳㘳㠹㉡晥㘰ち收㠸攳㌳愲攰㠰敡㔳敡戱㤸愸慢ㅦ㕦㕢㈶㝦扦㠳㡦ㄲ㜴㔴搳挸㝢㔷て㥤㔹ㄹ挷㔷戴ㅦ搳愴㔱扦㤶愳挲㐶搷愵攲摡㌷㜹攱晢㠷て㘸㙡㤵攳ㄹ㠵挴散〶㝥㑦晡愱㑤㕡晣㌴ㄲ㝥戰㈵ㄱ㔷ㄹ敢昱㜸㔴敢挲㔶攲昸摣㍦晢㌴愴㉥㘶㍥愰愱搲搴ㅦ㡥㙥ㅣ㙡昳㥤昰〳㉢ㅢ攴昳ㄸ㠷挱㉥㜴㍥ㄲ愰㡤㐱戵㡡晢㜷㉦ㅦ搹ㅤ捦攰ㄷ㍤㠲つ昵晦戶㉡搶扦改㠱〷慥㤸㉦晣㌴㍤戹㌹〰㙢㈰て㐲敦捣㜵㡤㠷慥㌳搶㔵搱摤ㅤ散㜱㔴扦搲愳㝡㜴㉦㤳慢㕤㠵搵昶戲敢攱愰摡敡㐸㘵㑤㕦㜴㔱昵㙤㜰捤捣敡昴㜵ㅥ㘹慣ㄲ敢㥣挸㜵㜲搳㘶㍥㙡〵ㅦ㍦㘰㥦㘴㠳戳昸扢㘳㐹㝦㤵攲㌵㡡搷㈱挴扤㜰搸㡥摦㕣摢㔰㌴㘷㐵㘸㘱挱㠰扦晣敢戹㑥㙤㕥㝡搵㉢敥㌱つ㍤捡挷㙥㔸㜲搳搶〱㑦㍦ㄷㄹ㜶挴〳昸ㅡ慥㙥挸㈴户换㐹㔸㘳㙡扢㍣㕡㘹捦㈶づ㘶挶摢挹㠹晢㜲扢㍣〷摡昶慤〴㈷扥ㅢ㌵攱㍣㝣㙤ち戴㥤㌲㙢ㄲち㡡摢戱㙥搵つ㠷ㅥ㘵㐶捥愹㌷㈲㌹㉤㕦㡢㐳搷㐶㌲〷昷㕢攰慥㍡敡搰㤳㜴昷挳挹慥扢㌷收敡敥つ愶攱慣㌷㘶㥥戸攸愷㉦㐶㉣敢㜷晤攸晥㤷昸㡢㐵〸㤹㘴㜷慢㤰㌷搵摤㝥㑡㕢捤戵愹敥晥〱㕡搹摤ㅡ㘸搱㕤㑥〵㌷㐰て挰㤲㌶〳摡慣敥㠶㕤攲摡戴敥搶㌱㘳㜹㉡戲㡣㤱晣昵〰愳扢㜰扦㉡慤扢戳攸捥㤹摥㜶摤㕤㤸慢扢㤷㤹㠶㠷〶㜶㝤㜷㙤㐵㜲攰㔵㕦ㅥ㜲㐵捦㐹ぢ㌴㌱ㅡ㤹㘴㜷攷㈱㙦慡扢㜲慡㌷㝡愹晦㤱㙢㔳摤ㅤ〷㕦搹摤昹搰攲愸挳挹搸㈷摡㙤挹昲㘷㙡晡㕡ㅥ㌱改㡤㥤ㄶ扦㌶㤳㠸攳昷ㅦ㘶㘰㥦㥦㌳戸愶愱㡥㕦㌴㔲搰ち〷㤷㈲戹扤户㉥散昷晢㜲昱㤹㌵敥㡢㝣ㄷ㕤㡣㡥晥㝦攴㘱㕦搳昷㜰敥㜱晡㐵㉣〳愷㜹ㅢ散㥥㡥㈵敤ㄲ攸挰㙥搹〴敢づㅥ昶㡡㍦〲㐱搳挶㝣㈹㈳㌹㠳摣㠸攴㈴㜴㙤㈱㜴㘰户㙣㘲㜷戸捦㠱㝢搳挶扣㠸敥ㅣ㑦㔲ㄹ〴愷㥡㉢扢攰晣㙥㍢摥ㅢ㑣㝡戳昶敡㝡搳戰㘰昵㤲挷づ㕦扢㙢昰捤㍢扢㥣扤昰慣づ㔷〸捥〳㤷扣㕦㠳㌵愶㜸㤷ㄳ扣搹攱㙢㠹〳ぢ㝣㍢㌹愵㕢昲㝥ㅤ戴搸捣㙢搱㈶昷愲ㄶ搹㔹㜰㔹愳㈵っ攱挴㘸愳愷㥣慣慤㉤㠵捥散愹㕦㑣㠷愷敡㠹㐳扦㤱敥㥣㑣㙤戸㜳挲戶戶っ扡散㤲晡挵㔴㐴慡㠲攰昷㘹ㄹ㌹て晥㜶㤵㠸挲搵昶昸ㄶ㌱つ㙦っ摥昲昳㌱晥㡦换敥ㅡ㌹㙢昵㌳ㄷ晦㜱慤攰㈴㘹㔹㠹㍢㤰㌷㔵㠹㡢㤵昶㑥慥㑤㔵㘲〱戴戲ㄲ㉢愰㐵㈵㌸㕦搸挰捦改换摡摤搰㘶敦昰㝥㜱㔶ㅡ晥㝢㤹㤱㔳㤱㡤㐸捥㘶搶敥㠷捥摣攱晤攲㌴戸㌷ㄵ㙡㈵摤㌹ㅤ搸慥扢㘳㜳㜵昷㔴搳㌰㝥搱慢㕤扥㌹㍣㔲扥愶敢㙢㝢㔶㥤㜳昶搹攲㐶㘴㤲摤㝤ㄴ㜹㔳摤㕤愶戴㡦㜱㙤慡扢㥣〱㉣扢晢㌸戴攸㉥㈷捦ㅡ愰㌹愱㔷㝢〲㕡ㄳ戴㑦㡣㐸〳扤㠶㘹敥㑣戹㜳㔲慦昶ㄴ㜴搹搵昱㠹愱㠸㙣㘲昷㘹㐶㜲㠲慣㕤㜷〷收敡㙥㤹㘹戸散搰敢㌶捤㥢晦㡦㡡㠷摡㑤㘹㝦敤㘷㘷捦ㄵ㥣㐸㉢扢摢㠸扣愹敥㍥愲戴敢戹㌶搵㕤捥㠹㤵摤摤〰㉤扡换㤹愷㐶㜷㌹挵㔵摢〴慤搹摤㠰㌸㌱慤扢㥢㤹收愹㤴晢ㅡ扡㙦㠱㉥扢扢〱ㄱ㑣敢敥㔶㐶慥㠷扦㕤㜷㍤戹扡敢㌶つ㌳㈶㕦昲换㜵敥㔵〳敥摡㜳挲摥摤㝤昷㕤㈷㌸戵㔴㜶昷つ攴㑤㜵㔷捥ㄹ㐵㉦昵扦㜲㙤慡扢㥣㈵㉡扢晢㈶戴攸㉥攷㘲ㅡ摤攵愴㑦敤㉤㘸㡤敥㠶㐲愲㜷㕡㜷摦㘶㥡搷㔳敥㥣昸愹扤ぢ㕤㔶㜷ㄱ㜹㙣㕡㜷户㌱昲㕤昸摢㜵昷愸㕣摤敤㘶ㅡ㥣㥦戵㉤㥣戶㘹攳攸愵ㅢ晣㠳㘲つ摢捦ㄵ㥣㙣㈹扢扢ㄳ㜹㔳摤㤵戳㈸搹摤て戸㌶搵㕤捥㥢㤴摤晤㄰㕡㜴㤷昳づ㡤敥㝥㠴㈵敤㘳㘸㙤捥搷㝣攲搰戴づ㝣挲㤴㥣搳㘸㠴㜲㕡愴昶ㄹ㜴敡戴搲㈷づ㠲㝦搳摥晢〵晤扦㠱㤷㕤㠷㍢攵敡㜰㐷搳戰昸昱㜶㥥挵敢愷っ晡搳愹〷昷㙣㉣扢敦ㄸ挱〹㠸戲挳扢㤰㌷搵攱㍤㑡晢㉤搷愶㍡扣ㄷ㕡搹攱摤搰愲挳㍦愳㙤愰收搴㐰㙤て戴ち㜵㐰戴㑤㐳扤㤷㜹㌸㜷捦昰攷晣㐰㙤ㅦ㜴㌶〵ち㠸㌶〸㙤摡㝦㝦㘴愸㠶㙢ぢ扢づㄷ收敡戰㌰つ㈳㤶㥦㜸㑡攰㥤㤳捡㔷晢㥦㝥㜹敥ㄵㄷ慣ㄲ㍡㌲挹づㄷㄴ㕢㍡摣㔶㘹〵戴愹づ户㠷㔶㜶戸㄰㕡㜴㤸戳搸㡣づ㜰扡㥣搶ㅡ㕡搵攱愰昸改㝢㉢㑤ㅡ昳㜰㍥㥢攱捦㌹㜳㕡㌱㜴㌶ㅤづ㡡敦ㄱ摡搴㘱〷㐳て㐷㠰㕤㠷㜷挳搵昶攳攸㕢搳㔰戲敦昳㙤慢㙥㥢㍤昸㤹㑦ㄷ攸户㉥㜸㙥愹攰㐴㌵搹㘱㈷昲愶ㄸ㍥㑡㘹㍢㜲㙤㡡㘱捥㌹㤳ㅤ敥〴㉤㍡摣ぢ㙤愳〳㥣㐲愶㜵㠱搶愶〳㝥昱㘵㕡〷づ㘴捡摥愹搰攳ㄸ㝡㌰㜴慡㔶㝥昱㈹晣㥢㌶改慥昴攷愴㉣扢づ㝦㤸慢挳ㅦ㤸㠶㈵愳搶㡤㙤㕢㝡攱昰㈵㍦扣敦㜹㝥攰ㄳ搳〵㈷㙦挹づ㤷㈲㙦慡挳㘱愵敤挶戵愹づ㜳ㅥ㤶散昰㔱搰愲挳㥣挷㘴㜴㤸搳慡戴敥搰摡㜴搸㉢戶愷㜵戸〷㔳づ㑣㠵㜲㥡㤵搶ㄳ㍡搵㘱慦㜸㈷慤挳扤攸㍦〲㕥㜶ㅤ㝥㌳㔷㠷晦㙡ㅡ㉡敥㍡㝣换愸摤㡦㔷摣戰攷昸捥㤷昴戹昴㌰挱〹㑤戲挳㉥攴㑤㜵㔸捥㔴㐲㍦㜵㌷搷愶㍡捣戹㐹戲挳ㅥ㘸搱㘱捥〰㌲㍡捣愹㐶㥡て㕡昳ㄸㅤㄶ㉦愷㠱づ㌰捤ㄹ㈹㜷㑥㌷搲㐲搰㘵ㅦ愳挳攲㐵㐴㌶㙤搰晤ㄸㄹ㠵扦㕤㜷㌷攴敡敥㝡搳搰慡攲挵愹㥦㥥㍦㘰攴㘵摢扡晡㉥慤昸戳㐷㜰㡡㡦散敥〰攴㑤㜵㔷捥摤㘱㜷换戸㌶搵摤㑡昸捡敥づ㠴ㄶ摤攵㙣ㄷ愳扢搵㔸搲〶㐱㥢㡤摦㈷㥥㐹挳㍦㠴ㄹ㌹㤱挶㠸攴㕣ㅣ㙤ㄸ㜴㘶愱㝣㘲㉤摣㥢㌶攷攱㜴㥦〳㈷扢敥㍥㥥慢扢㡦㤹㠶㠳㝥㝡敦㠲㌷て㉢ㄸ戱㘰敡慥戵敤ㅦ㍢㝥㠷㤸㠷㑣戲扢㘳㤰㌷搵㕤㌹㥢㠵摤㍤㤵㙢㔳摤攵晣ㄵ搹摤戱搰愲扢ぢ搱㌶㐰㜳㍡㡡㌶ㅥ㕡㥢捤搹㉤㔶愵昵㜷㈲㔳㜲㙥㠹ㄱ捡改㈹摡改搰愹捤搹㉤敥㑢敢昰㤹昴攷〴て扢づ慦挸搵攱㍢㑤挳㝤㡦㠶捦㍦攲户搳㐷㉣昵敦㜸扤㙣搷㕤敢〴㈷㠲挸づ㑦㐱摥㔴㠷攵って㜶㌸挲戵愹づ㜳㑥㠷散㜰ㄴ㕡㜴㤸㜳㈲っ搴㥣愲愱挵愱捤攲㌷ㅣㄶ户愴昵㌷挹㡣㥣㙥㘱㐴摥捡挸㘹搰㤹攷㘶㘱㜱㔳㕡㜷捦愵㍢愷㍣搸㜵㜷㐹慥敥晥挹㌴ㄴ㙤㍦改㤵〷㍡㜷ㄹ戶㝣㥦晢挹摢て㌹攵㉡戱ㄲ㤹㘴㜷㘷㈰㙦慡扢㜲捥〳扢㝢ㅥ搷愶扡换㔹づ戲扢㜵搰愲扢㥣慡㈰㉦㥣慥㐶昶㡢昱㤱㈷㉦㥣ㅡㄸ挲〹〳㐶㝦㌸㝦㐱㥢〵ㅤ愸㑦扦戸挴愰㤵戸〲㤱㑤扢敡㙣㠶㜲㌲㠲ㄱ捡昹っ摡㕣攸㐰㍤慥㉥改㝦ㄹ晣㥢戶昵㜹昴攷㡣〰扢㕡㕣㘴㜶㌹敢㈲昲㐲搳戰㜸㐱戸攳慢㤷㡥ㅣ㜹摢つ慦㙤敦㌳㉡㜹㡥搸㠰㑣戲ㄶ㤷㈰㙦慡ㄶ㜲㑡〰㙢戱㠰㙢㔳戵搸っ㕦㔹㡢㑢愱㐵㉤㜸慢摤㐰扤ㄵ㑢摡㐲㘸㑤〲㠳㘲㑥ㅡ攸㐵㑣挳㝢敥㠶晢换㜴扦ㄲ扡散㉤㈵㈸㘶㈲戲愹㍣㡢ㄹ挹㝢攴㜶摤㥤㤱慢扢戵愶攱搵〹㠳㍥㕥扥攱扡愱㔷摤戶㙣昱敡挷㤶㑥ㄷ敦㈱㤳散敥ㄲ攴㑤㜵㔷摥㈴㘷㜷慦攷摡㔴㜷㜹㕢㕣㜶㜷㈹戴攸㉥㙦ㅣㅢ昸㜹ㅦ㕢扢ㄱ㕡㜳晦㜴〷㐴㘵㕡㝦㤷㌱て敦㐴ㅢ晥ㅦ搲晦㘶攸戲て〵〸㑤愴㜵昸㔶㠶昲戶戵愲㕣㝣㠲㠶㉡㠸攰㕤㘰扢㔲㑣挹㔵㡡挹愶攱㤰捦㍤㉦㍢户昵愸㔸㔹ㄴ㙦㍦敦㥥昹て〹摥㉤㤶愵㔸㠱㌵愶㑡㈱㙦〳戳ㄴ㜷ㄱ㠷㉡〵㙦晣捡㔲摣つ㉤㑡挱ㅢ戵㜲㉦㌸ぢ搹㔳㝢挱扤っ攱㑤㔵愳搷㍦㘰㐹扢ㅦ扡散扤〰扤㍥㉤慤搷㉢ㄹ捡㍢慤㐶㈸敦收㙡て㐲㘷敥〵昰ㅦ〷㝦㔵ㄲ㠷晥㌰晤㜹戳㔶愹〴㙦摡愶慡挴㍢愵㜶㔵ㅡ㘵ㄶ㈳㙢晦ㄸ㘹ㅡ㝡㑦㌸㘳捡搸㌵扢〶摤攲㔹㌷扦㘶昹晣搵愲㤸攷挲慣挷ㄳ㔸㘳慡㑡づ愵㝤㤲㌸㔴㤵㜸㜳㔴㔶㘹つ戴愸㔲㈷戴㡤晥㌸戱愴㍤〵慤㍡愰㝢挴搰戴晥㍣捤㍣扣㕢㘹昸昳㠶愷昶㉣㜴搹ㅢ㡣换㈳捡ㄱ慡扡敡搰搷㌱㤴㜷て敤㍡㝣㔲慥づ昷㌷つ㌷ㅤ㜴㡣攳捡搱晤㠶摦㜴㐱戹㜷攰〱㠷㍣㈱㜸㤷㔱㜶㜸ㄳ昲愶㍡摣㑤㘹㕦攰摡㔴㠷㜹挳㔰㜶㜸㌳戴攸㌰㙦换ㄹㅤ攰晤㍦㙤ぢ戴收㈷㌶慥㤹搳晡扢㤵㘹㝡愵摣㝢搲晤ㄵ攸戲づ〸愱㠰昰愶㜵昷㌵㐶昲㝥㥡㕤㜷晢收敡敥昱愶攱㤶㘷㡥敤㥣晣㘰㝢昹愲攵昷搴慤㥦改㜹㕥〴㤰㐹㜶昷㉤攴㑤㜵㌷愴戴㝦攷摡㔴㜷晢㐱㉢扢晢㌶戴攸敥〰戴㡤敥昲㡥㤸昶㉥戴㔹昸㌱㍣㜸㙣ㅡ晥㙤捣㔸㤶㡡攴つ㌲敤㝤攸捣㈳愷㔷ㅣつ㜷戵㔵㍢昴ㅤ㜴ㅦづ㈷扢敥ㅥ㤱慢扢㠷㥢㠶て㕥ㅣ㝢搳昲昳㤶㤵㕦㌶昷愶愵攳扥㑣慥㜲昲挶㤴散挲挷挸慢晦㡢攲ㄳ〸㠷㤳昷愶愴攱㔳㌴㌱㌰捣扢㔲戶户㌸㡣㠱㘱攳㠷㥥昱㡤㔰㠹㝡愹㈸㐱㡤㡡㤲扣昱搴㌶挹㉦㡡㑡挸㕦㥢挶户㔸㔵㔶㔵挹㉦㠰㙡㠷摦㝣慥㥢㥥愸慢挰㑦㤸攳㤷㥥挷㔵㔶㥢摦㙡㠴㥦㌶攷㍤㈵昵慢挲扡㙣㜱㍣㔸㑢㡥慥挳捦っ户㐹㥥㔲㡦ㅦ㑡㡦ㄷ㔷㡦㠹㌴㌴㈴敡㙡晥ㄷ扥㡢つ㕦挹搵㥡㐳摦搸㘴㕡攱敢っぢ㙤扦つ㡢㕦㜳㤵昹㉢挴㤶㕦㠳㙦慡〷㝦㘱㥣㈳摦㠵晣愹攸摦昷㑤㙣摡㘷愰慤㈴昵㡢愱戳昸㍤㙢昵㠵攲㈰㙣〷㜲ち挶㤷㥥㐳攴㑤㈵摥㍣搵扦㠰慦昶㈵㐴㉢摣愸攲慦㠱㜰ㅢ㜷攸㕦㐱愳㌷愲㈱㐵㐱敢戱搸〴昲摤㤵攳摥搲愶㝡㜲愴慥㉥㌲愷戸㝡㜲㔵愲㘶㙡挳戴攲挹戳㜰㈷ㄲ㍦㐷㡦攰攲攲㘲晤㙢㈴攵ㅡ昸ㄶㄳ愱㘴㔶晤ㅢ㘸戹戵㔱敢攴㑤㈹戹改敤㈲㠰㙦㈹㜶㐳㌸㥣扣㉦㈵つ摦愱㠹晤㡤㜷愴戸㕤敡散㙣愱㘸㙢摢戹扤㡣㘷攷㥡㍡戶㡦慡㐶慣捡攸㤸㠸㈲㠷㠴昱㈳っち㠶㐸㉡敤㑦搰㉡挸㑥摥㐲㤲ㄸ㝥㘶㤲㕦㈸㝥㠵㜰㌸㜹ㄷ㐹ㅡ㝥㐳ㄳ攰搸㘱ぢ戸摦昶摡㔵扥㔰㐷㝣㍡戸搶㔴㔹挰搵㈹ㄸㅡっ㈹㜰戳㤴戶つ戴㈹㜰扣攱㈳㌱ㄴ㌳㠹㑥攱㠰㜰㌸㜹捦㐷ㅡ摡愲〹㜰扣摢㘳〱昷㥤㉤戸づ㡣㑦〷攷愴慡〹㕣搱㐵挸㤳戹慤昳敢敡㠶㄰㔲搱昹㤵昱㠶㘹摡戴㐴攵搴㘹㜸㘲愴㙤㕢昵㜵㜲戰ㄵ〸摥㐵㤱㐵敦㠴㥣愹㝥㉤㔲摡捥搰愶晡㜵つ戴ㄲ㝥ㄷ慥晦〰㡡〳㈱ㅣ㑥摥搳㤰㠶㠳搰㐴扦慥㐳摢搲慦㑦㙤晢搵㤵昱改晤㍡㡣慡愶㝥㠹㈵挸挳扥愹㤷戸ㄱつ㠹昶〸㜸㉡㕣攲㘶愵㍤ㄲ㕡搵〷攷ㅤ搰㑡㔰愵捣摡㡤攲㈸〸㠷昳㑥㘵㌸ㅡ㑤愰攵ㅤ〷ぢ摡敤戶㘸㝢㌰㍥ㅤ㙤㑦慡㉣㘸㜹昷㐱㠲敢〵㠳㠲㈱㔶㉡㙤㙦㘸ㄵ㘴攷愳ち㐳ㅦ㈶㌹㥥愲㉦㠴挳挹扢〴ㄲ昵〹㘸〲摣攳㘸㕢挰扤㙥ぢ捥挳昸㜴㜰㍥慡㉣攰搶㈸ㄸ〱ㄸㄴっ昱戴搲〶愱㔵㤰㥤㡤ち㐳㠸㐹挲ㄴ晤㈰ㅣ捥昵捡㜰㈲㥡〰挷搱㝣ぢ戸㡤戶攰㑥㘲㝣㍡戸〱㔴㔹挰㜱㤰㕦㔶㙥㈰っ㈹㜰㕢㤵戶ㅣ摡ㄴ戸㌷ㄴ㠶㐱㑣㌲㤸㘲〸㠴挳挹ㄱ㜸㔹戹愱㘸〲摣㥢㘸㕢挰慤戵〵㌷㥣昱改攰㉡愸戲㠰㝢㕢挱ㄸ〵㐳ち摣㌶愵ㅤつ㙤ち摣㑥㠵㘱っ㤳㥣㑡㌱ㄶ挲攱晣㐰ㄹ挶愱〹㜰ㅣ㈹户㠰㕢㘵ぢ㙥㈲攳搳挱㥤㑥㤵〵ㅣ〷捤㘵攵捥㠴㐱挱㄰㕦㈸敤㔹搰㉡挸捥㕤ち挳㈴㈶㌹㥢攲ㅣ〸㠷㤳㘳摢戲㜲㤳搱〴戸摤㘸㕢挰摤㙥ぢ㉥捡昸㜴㜰㜱慡㉣攰昶㉡ㄸ㐹ㄸㄴっ昱愳搲㑥㠵㔶㐱㜶㜲㄰㕡㘲㤸挶㈴㤵ㄴ攷㐲㌸㥣ㅣ㠷㤶㠶改㘸〲㕣㈱摡ㄶ㜰搷摢㠲慢㘱㝣㍡戸ㄹ㔴㔹挰㘹挸㈳㉢㔷〷㐳ち㥣㐳㘹敢愱㑤㠱㜳㉡っつ㑣㌲㤳㘲ㄶ㠴挳搹㔱ㄹ捥㐷ㄳ攰㍡愱㙤〱㜷戹㉤戸戹㡣㑦〷㌷㡦㉡ぢ戸〳ㄵ㡣昹㌰㈸ㄸ愲慢搲㕥〸慤㠲散攴攰慥㉣搰㐵㑣㜲㌱挵㈵㄰づ㈷挷㜷愵㘱〱㥡〰㜷ㄴ摡ㄶ㜰ㄷ搸㠲㕢挸昸㜴㜰㡢愸戲㠰敢愱㘰㕣〹㐳ち㕣㉦愵扤ち摡ㄴ㌸㤷挲戰㤸㐹慥愶戸〶挲攱㜴㉢挳戵㘸〲㥣〷㙤ぢ戸㕡㕢㜰㑢ㄸ㥦づ㙥㈹㔵ㄶ㜰〱〵攳㐶ㄸㄴっ搱㑦㘹㙦㠲㔶㐱㜶㜲搸㔴ㄶ㘸ㄹ㤳㉣愷戸ㄹ挲攱攴挸愹㌴摣㠲㈶挰つ㐴摢〲㉥㘶ぢ敥㌶挶愷㠳扢㠳㉡ぢ戸㈱ち挶ちㄸㄴっ㌱㕣㘹敦㠲㔶㐱㜶㡥㔱ㄸ敥㘶㤲㝢㈸敥㠵㜰㌸㑦㔵㠶晢搰〴戸戱㘸㕢挰㥤㘶ぢ㙥㈵攳搳挱㍤㐸㤵〵摣㐴〵攳㘱ㄸ㔲攰捥㔴摡㐷愰㑤㠱攳㠰愴㉣搰愳㑣昲ㄸ挵攳㄰づ㈷挷㈴愵㘱㌵㥡〰ㄷ㐵摢〲㙥㠴㉤戸㌵㡣㑦〷昷ㄴ㔵ㄶ㜰㐹〵攳㘹ㄸ㔲攰捥㔵摡㘷愰㑤㠱㥢愱㌰㍣换㈴捦㔱慣㠳㜰㌸捦㔳㠶攷搱〴戸㍡戴㉤攰㑥戶〵户㠱昱改攰㌶㔱㘵〱挷㘱挶戴搳㤴搹㔰挸㘳换㘶㜸愶搰捥㔳摡ㄷ愱㑤愱扤〴㕡㔹戱㉤捣晡ㄲ挵㔶〸㠷㤳㘳㝣搲昰㌲㥡㐰换搱㍤ぢ㕡慦㉤摡搷ㄸ㥦㡥昶つ慡㉣㘸ㄷ㈹ㄸ㙦挲愰㘰〸づ攸㐹挸㝦㠳㔶㐱㜶㉥㔱ㄸ摥㘲㤲扦㔳扣つ攱㜰㜲㐴㑥㠲㝢〷㑤㠰攳㔸ㅣ挱㘹敦愲㥤㝤挱㜳慣㉤搸㙤昰搵戶㐳愴㕦昰扣て㡤ㄵ昰㌲〵㙤〷っ㈹挰户㉡敤㍦愱㑤〱㕥愱㜰敤㘴㤲て㈸㍥㠴㜰㌸㌹㙥㈶〱㝦㠴㈶〰㜳挴㑣㔶㤳㠰ぢ挵愱戶〰㍦㘱㍣〱㌶㕤戴㝣㐶㤵愵㥡昷㈲㑦ㅡ昷㉢愱㤰㠵晣〲㥥ち㤷攰挰㤸搴㝥〹慤敡㠳㤳㠳㔷ㄲ搴㔷捣晡㙦㡡慦㈱ㅣ㑥㡥㕦㐹挳㌷㘸〲敤ㅡ戴㉤摣㤷搸愲摤捤昸㜴敥昷㔰㘵㐱晢戴㠲戱ㄷ〶〵㐳㜰愸㑡㠲晢ㅥ㕡〵搹挹㠱㈶㠹㘱ㅦ㤳晣㐰昱㈳㠴挳挹戱㈶㘹昸〹㑤㠰摢㡣戶〵㕣㉢㕢㜰扦㌲㍥ㅤㅣ㘷〷㕢挱㙤㔵㌰ち㘱㐸㠱攳挰㤲〴搷ち摡ㄴ㌸づぢ㐹っ慤㤹愴㠸㐲㠳㜰㌸㌹㌲㈴つ㙤搰〴戸户搱戶㠰晢晥㍦㜶搷㝦㤸攱㥤〹慥ㅤ㔵㤶捡㙤㔳㌰㍡挰愰㘰〸づ〳㐹㜰㈵搰愶㈰㜳㄰㐷づ挳敥挲摡㌸っ晢㠷〲㕣㜵ㄷ㙡㠲〳㍢搲昰㡤㘹攸㉦つ㐲㝣愲っ㕦㥢㠶㤳㘱搰㍢㈳㘹ㄱ〷㝥㌲扦捡摤㌲㕣㘱昹㔲㜵㌸ㄶ攸搵攳昰㡤摥ㅣ戹㜰㔴㜳㡥慢㥣晦愷㔵㡦㥢㠶㙦晣敥㘸晡昶㑥昹㜴㑡㘹㔲扥ㅤ㔲㉡ㄹ㜳㐸㜹㙤昵㡣㐸㕤㈴㕡㤵愰㑢敦愶愴〷㘴㕡愴㍦㉡挳攲ㄴㅣ㤵㝢挲愱〲挸愱㤵㘲搱㙣挷㘲挱〰扤ぢ㙡搲ㅥぢ愲㘹㐹㌶㡢扥㐰昷㥢㍤慣挳戱挳摦昹摤昳〷〰㠰攰㤸㡣ㅣ㥥㍣搰挲㝢〹〷㔵愸㉤收㄰㑣〹〷㔳㘴ぢ㕢㍥扥㑥っ㉤㐹晤攷ㄹ摢挴户捡昰㔹挶㌶戱㕢ㄹ㍥戵㙥ㄳ㕤戹㝡づ扣㜰扢㘸慡㐱搳㤲慣㠶搸ぢ㉢㉢愲ㅦ㐶㝦㡥戴㐸戸㠷㕢攱晥㘸㙡㡢〹戰㠴挳㉢㈹昰㠲挳㉡ㄲ敥㠷ㄹ㜰㌹搴㈲つㅦ㘴挰攵昰㡢㌴散戴挲敤挶搵㜳㈸㈶㍦摣㐲㐰㤰㜰㡦愶㝦㙢戴㈴摣敥㔶戸㥡愹㌵攰戶㔱㉤搶㕡㔰㈷㔷扥㍤〳㉥〷㕦愴㘱㕢〶㕣㠷㌲扣㘷㠵摢㤳慢㙦ぢ㤳㠴㝢ㅣ㕡挶戶㤶㕡㌲慡摢〱ㅥㄲ㙥㉦晡㍢搱㤲㜰㝢㕢攱㜶㌲戵〶摣捥慡㈵攱㜶㐱㑢愲㝡㉢〳㉥挷㔴愴攱㙦ㄹ㜰て㔴㠶㌷慤㜰㑦攰敡て㠲㈹㍦摣慥昰㤰㜰摤昴㍦っ㉤〹搷㘳㠵㝢㠴愹㌵戶摤㈳㔵ぢ㝦ぢ㐴㈹愴㐴昵㙡〶㕣づ慡㐸挳㉢ㄹ㜰㡦㔲㠶㤷慤㜰〳㕣晤搱㌰攵摦ㄸ㝡挰㐳挲つ搱扦㈷㕡ㄲ㙥搸ち户㤷愹㌵慡摢㕢戵㘴㜵晢愰㈵㔱㙤捥㠰换㘱ㄶ㘹㜸㈱〳㙥㕦㘵搸㘴㠵摢㥦慢㍦〱愶晣㜰㍤昰㤰㜰㑦愶扦て㉤〹㜷㠰ㄵ㙥挰搴ㅡ搵つ慡ㄶ晥ㄶ㠸㄰愴㐴昵㝣〶㕣づ扣㐸挳扡っ戸晤㤴攱㌹㉢摣㐱㕣晤㠹㌰攵㠷㝢ㄲ㍣㈴摣㈱昴ㅦ㠰㤶㠴㍢搴ち㜷愰愹㌵攰㤶慢ㄶ晥攲〷㐱㈰㈵慡愷㌲攰㜲㈸㐶ㅡ搶㘶挰ㅤ愲っ㙢慣㜰㐷㜰昵㐳㘱捡て㜷㌸㍣㈴摣㤱昴慦㐰㑢挲ㅤ㘵㠵㍢捡搴ㅡ㜰㐷慢ㄶ晥ㄶ㠸㌱㤰ㄲ搵㘳ㄹ㜰㌹㌸㈳つ㡦㘶挰ㅤ慢っ㡦㔸攱㡥攵敡挷挱㤴ㅦ敥㐴㜸㐸戸攳改㝦㍡㕡ㄲ敥〴㉢摣㌳㑤慤戱敤㥥愵㕡㜲摢㥤㠴㤶㐴戵㌲〳㉥㠷㙢愴攱㠱っ戸攷㈸挳晤㔶戸㘷㜰昵㤳㘱捡て㌷ちて〹昷㉣晡挷搱㤲㜰㈷㔹攱㈶㑤慤㔱摤愹慡㠵扦昸愹〳㐸㠹敡慥っ戸ㅣ挰㤱㠶ㄵㄹ㜰捦㔵㠶㍢慤㜰愷㜰昵搳㘱捡て户〶ㅥㄲ㙥㤴晥㌳搰㤲㜰㘳㔶戸㜵愶搶㠰㕢慦㕡昸㕢㈰ㅡ㈰㈵慡㕢㌳攰㜲㐸㐷ㅡ㙥挹㠰㍢㑢ㄹ㙥戶挲㥤捡搵㥦て㔳㝥戸㜳攱㈱攱㔶搲㝦ㅥ㕡ㄲ敥戹㔶戸昳㑤慤戱㌱㕣愸㕡㜲㘳戸〸㉤㠹敡㠶っ戸ㅣ攴㤱㠶愵ㄹ㜰㉦㔱㠶敢慤㜰㙢戸晡〵㌰攵㠷扢㄰ㅥㄲ敥っ晡㉦㐲㑢挲㍤捦ち昷㑡㔳㙢挰扤㑡戵㈴摣挵㘸㐹㔴搷㘴挰攵戰㡦㌴㕣㥤〱昷ㅡ㘵㔸㙣㠵㍢㤳慢扦ㄶ愶晣㜰㤷挰㐳挲㍤㥦晥㑢搱㤲㜰㘷㕢攱摥㘸㙡㡤㡤攱㈶搵挲摦〲戱っ㔲愲扡㍣〳㉥〷㠲愴㘱㘱〶摣㥢㤵攱㌲㉢摣㜹㕣晤㉤㌰攵㠷㝢ㅢ㍣㈴摣昹昴扦〳㉤〹昷㐲㉢摣ㄵ愶搶愸敥㕤慡㈵慢㝢㌷㕡ㄲ搵㐵ㄹ㜰㌹㌴㈴つㄷ㘶挰扤㔷ㄹ收㕢攱㉥攰敡敦㠳㈹㍦摣㤵昰㤰㜰㉦愳晦㠳㘸㐹戸ぢ慤㜰ㅦ㌶戵〶摣㐷㔴㑢挲㝤ㄴ㉤㠹㙡㑥〶㕣づㄶ㐹挳散っ戸㡦㉢挳昹㔶戸㔷㜲昵慢㘱捡て㜷つ㍣㈴摣挵昴㝦ち㉤〹昷㙡㉢摣愷㑤慤〱昷ㄹ搵㤲㜰㥦㐵㑢愲慡换㠰换攱㈳㘹㌸㉦〳敥㍡㘵㤸㘱㠵晢㈷慥晥㜹㤸㈴摣搴㘹愳㥥㕡㌲㑥㈰㌷挰㐳挲扤㥥晥㥢搰㤲㜰㤷㕡攱㙥㌶戵〶摣ㄷ㔵㑢挲摤㠲㤶㐴㌵㍤〳㉥挷㡦愴攱摣っ戸㕢㤵愱搲ち㜷ㄹ㔷晦㌲㑣昹慢晢ㅡ㍣㈴摣㥢改晦〶㕡ㄲ敥㉤㔶戸㙦㥡㕡㘳㔷晢㥢㙡攱㉦扥ㄷ〱㔲愲㡡㘷挰攵㠸㤲㌴挴㌲攰扥慤っ㔱㉢摣摢戹晡㜷㘰㤲㜰敦㐰换㌸㍤㑦㉤ㄹ搵摤〶て〹昷㑥晡扦㡦㤶㠴扢挲ち㜷㠷愹㌵攰晥㔳戵昰户㐰散㠴㤴愸捥捥㠰换昱㈴㘹㤸㤴〱昷㐳㘵㌸换ち昷㕥慥晥㈳㤸㈴摣晢㔲㜰㔳㑢〶摣㑦攰㈱攱摥㑦晦捦搰㤲㜰ㅦ戰挲晤挲搴ㅡㅢ挳㤷慡㈵㌷㠶慦搰㤲愸㈶㘶挰攵㠰㤲㌴㑣挸㠰晢戵㌲㡣户挲㝤㠸慢晦〶愶晣ㅢ挳㙥㜸㐸戸㡦搰㝦て㕡ㄲ敥愳㔶戸㝢㑤慤㔱摤敦㔵ぢ㝦㜱㌱ち㈹㔱㡤捥㠰换㈱㈶㘹ㄸ㤵〱昷㐷㘵ㄸ㘹㠵晢〴㔷晦ㄳ㑣昹攱晥ちて〹㜷つ晤ぢ愴挰㜵昱㕡㉢㕣づ㌸戱ㄳ〶㕣づ㌴挹ㄶ㈲㜱㌱㡡㤶㐴㌵㉣〳㉥〷㥤愴㘱㘸〶㕣づ㐴㐹挳㄰㉢摣㘷㤸戵つ㐴㝥戸ㅣ㡡㤲㜰㥦愳㍦㐷愱㘴㜵搷㘱㐱㡤㉦㤵㜰〸㉡〵戰㠴㐳㑦㑤攰㌹㘶挴慦摣㉥㥣㉤㘲㔳攲㔳愶散㉢㘹㕤摡戵昵改〳摡㉤摦戹昵挳㈵㙦㑤敡晦改捦户摥晡搶挷㑢㕥昹昹搹㘸晦ㄷ㔷慣搸㌴晣昶㔷㍥散㤴扣愳㜰捤扥㡡㍢收戹愷捦㍢㉦㌹愱搷搰㜹㘷㥣㝢慡㝢㑣挷摥慤㕡戵㘹㜳㙣攷㉤〷昷㜴㕥㜴摥㔳㘲晤㝢〷搵ㄴ㜱〰愶ㄹ㠳㌶㐴昴㍢㐷㔸㥥㘷㠷攴㌰ぢ㜲攸搶慦㑡㜱㜲戸㐵㡥敥慤挷㠲扥〱愲㝤㘱〹㠷㐴㕡戲换㐲㡥愱㘴㘱攱㔸㡡挴戲㠹㔸㕥㌰戰㜰扣愳㐵戱挸〱㤲㉣㉣ㅣ㈸㤱㔸㕥㈴㤶㉤〶ㄶづ㘶戴㈸ㄶ㝥愸㜱㜳搰㕦㠲㄰㜲㉣㈴ぢㄹ挷㐴㈴戲㤷改昸ち〴ㄸ攳戸㐵㡢㈲㤳〳ㅤ㔹㔸㌸攰㈱戱扣㐶㉣慦ㅢ㔸㌸㈸搱愲㔸攴㈸㐶ㄶㄶ㡥㘶㐸㉣㝦㈵㤶㌷つ㉣ㅣ㜱㘸㔱㉣㜲㠸㈲ぢ换〰㠵攵㉤㘲昹扢㠱㠵挳〹㉤㡡㐵㡥㍦㘴㘱ㄹ慡戰扣㐳㉣敦ㅡ㔸㌸㔶搰愲㔸攴攰㐲ㄶㄶづ㌲㐸㡥戶ㄱ换㜶〳ぢ〷〲㕡ㄴ换㜸慣㐰ㅥ昳搳㡥㝣ㅣ㐱㤰㔸晥㠱〵㝤〷〴昶㈳㕥攵户㈸ㄶ㌹㉣㤰㔵ㄷづて㐸㉣㍢㠹攵〳〳换㤴㤶挶㈲慦昹戳戰昰摡㕦㘲昹㠸㔸㍥㌶戰㑣㙤㘹㉣㤵㔸㐱㌶㐷扣戰㤷㔸㍥挱㠲晥㈹〴㌸攲挵㜷㡢㜲㈴慦搶戳敡挲慢㜶㠹攵㜳㘲昹挲挰挲㉢敢ㄶ挵㈲㉦挵戳戰昰㤲㕣㘲昹㡡㔸晥㙤㘰攱㘵㜳㡢㘲㤱搷搹㔹㔸㜸扤㉤戱㝣㐳㉣扢っ㉣ぢ㕡ㅡ㡢扣㠸捥挲戲㔰㘱搹㑤㉣摦ㄹ㔸慥㙣㘹㉣昲ち㌹ぢぢ慦㤴㘵㕤晥㐳㉣㝢つ㉣扣㥡㙤㔱㡥攴攵㙦ㄶ㤶愵ち换㍥㘲昹挱挰戲慣愵戱挸㙢摢㉣㉣扣挶㤵㜵昹㠹㔸㝥㌶戰昰㍡戴㐵敢㜲〷㔶㈰捦慣㝥挱㠲㤰㤷戱㐴愶扥扡ㄳ换〵㑥㕥捥㑡㘴扦㘱㐱㉦㘸㉢㡦㌶昷㘲戹㐵㤱摤㠷ㄵ㐸㘴〲㉢ㄴ昲㡡㌵ぢ搹〳ち㔹㉢昸攸慤つ㘴扣扡㙣㔱㘴㡦㘰〵搹挷㘴㕥㤶捡㉡㘹挴搲挶挰昲㐴㑢㘳㌱慥㌵戱挲戴捦㜰㕥㜳㑡㉣㍡戱㌸っ㉣捦戴㌴㤶攷戰㠲散扡昰㠲㔲㘲㘹㐷㉣敤㈵ㄶ昱扣㜲敤㠰㌶㘳攴㥢搷㕡昲㝡昶摢㍤挶㜴㠶㠱戰ㄴぢ㝣愱愹㌲散㌲つ㑥㙥ちㅤㄹ换㙢㈲ㄹ昳㜵㐶っ慦㤳愴攱摦㔹㌱㉦㉡搳㔷ㄹ㌱扣㥥㤱㌱㕦㘶挵挸㉢て慥昵㐰㉢㘲㕥㙢挸㠰捦㌳㌲昱晡㐳ㅡ㍥戳㘶㍡㠴戱扣㈶㤰愶㑦㌲㘲㜸㥤㈰つ晦捡㡡攱戹扢㌴㝤㥣ㄱ挳昳㜹㘹昸挸ㅡ㈳㉢昳㤶㌲㝤㤰ㄱ挳昳㙥ㄹ戳㌳㉢㠶攷挲搲昴捦㡣ㄸ㥥ㅦ㑢挳㡥慣ㄸ㥥戳㑡搳㍦㌲㘲戶㉢挳晢㔹㌱㍣户㤴㌱摢㌳㘲㜸扥㈹つ摢戲㘲㜸づ㈸㑤敦㘵挴昰扣㔰ㅡ摥捤㡡攱戹㥡㌴扤㤳ㄱ挳昳㌷㘹㜸㍢㉢㠶攷㔴搲昴昷㡣ㄸ㥥㘷㐹挳㕢㔹㌱㍣昷㤱愶扦㘵挴昰㝣㐸ㅡ摥捣㡡攱㌹㡡㌴晤㌵㈳㠶攷㉤搲昰㐶㔶っ捦㈵愴改昵㡣ㄸ㥥㕦㐸挳㙢㔹㌱晣捣㤷愶㔷㌳㘲㜸ㅥ㈰つ慦㘴挵昰戳㔹㥡㕥捥㠸攱攷戵㌴㙣捤㡡攱㘷愸㌴扤㤴ㄱ挳捦㔵㘹搸㘲㡤㤱晢〲㍦敢愴㘹㜳㐶っ㍦晦愴攱〵㙢㡣摣慥攵㈷ㄵ昷挴晥搶㍤㤱㥦㑤㌲㘰㐳㐶㈶㝥㕥㐹挳㝡㙢愶〱㡣㤵㥦㉣捣㔴㘶捤挴捦ㄲㄹ戰㉥㈳ㄳ㍦㕦愴攱㌹㙢愶㐱㡣攵㌱㕦㥡㥥挹㠸攱攷㠰㌴㍣㙤㡤㤱晤攰戱㔹㥡㥥捡㠸攱昱㕡ㅡ搶㘶挵昰ㄸ㉡㑤㙢㌲㘲㜸㕣㤵㠶㈷㌳㘳㥣㍣挴捡〳㜰〵ㄶ㌰㔱㡤㉢㤷〳㝦㈳戱攰攴攱㑣㕡㐷ㄹ㔶搲㈲慤愳㘹㘵㠹愵㜵㡣㘱㘵搹愴昵㔴㕡㔹㌶㘹ㅤ㙢㔸㔹ち㘹ㅤ㠷㠵㈲慥㉥捦㍣愹㌱㠹扡㔸愲愶愱戲㉡挱㜹㕡㘰慦愰㝤㜵昹捣晡㠶㕡㘳㉡㔹㝤㤱㥣㍣㤶㍤戹慣ㄳ摤㝢愷戹㍡っㄵ㘵㠹戱㤸㥡㘵搶搶㌴㜱㕡摡晦㜵㡡㔹ㅢ昴㡤㙦捣ㅤ㍤㈲晦㉣㌳㘳㠶㔹昳扣捣改㘵攳㔱ㅤ㝥㕤㈸收㤷㌵㉤捡戶㈰㉦昲㜳㜴〲ㄶ搴㑢㤰ㅦ㤶㔴㥦〸㘱㐶㌶㉤ㅡ㤱攴㑣㐶㥥㠶〵昵ㄲ攴㑥㐶㥥摥ㄴ搹戴㘸㐴㤲㑦ㄹ㜹㠶㌵㤲扣捡挸㌳㥢㈲㥢ㄶ㡤㐸㜲㉤㈳捦戲㐴㤶戰㑦㝣㘹㑥搵㠹ㄲ㠲㌵㔴ち㕤〹㔱ㄸ㉡戵摡ㄲ愶㌷㔴㉡㕦摢晦〷ㄷ㡤敦挳</t>
  </si>
  <si>
    <t>㜸〱攵㕡㝦㡣ㅣ㔷㝤摦户户㌳户戳户㝢扢戶㘳攷㈷㘱ㅢ㙣㤱㜲昶改捥㜷戶捦愴慥㝢户攷戳㡦㥣㝤戶敦㙣ㄳ㈰㕤捦敤扥昱㑤扣戳㜳㤹㤹戵敦㘸ち〱㐵㐰㔵愹愵昹慢搰ㄴ愲㐸㔴㠰慡㠲㠴ㄴ㝥㠸㔶愴㐵愲愵㘹㠱ち戵愱㠵㌶愴戴㈹㑡㑡㐳㔰慡㌴つ㑡㍦㥦㌷戳㍦㙦㙦敤ㅣ㡥㘴愹㜳摡敦㝤摦捦㜹敦晢晢㝤摦挴㐴㉣ㄶ㝢つて晦昳㐹㄰戹㙤㘱捤て愴㌳㕣㜰㉢ㄵ㔹ち㙣户敡て㑦㝡㥥戹㌶㘷晢㐱ㅦ㍡攸㐵ㅢ敤扥㔶昴敤昷捡㘴昱㤲昴㝣㜴搲㘲戱㘴搲㠸愳扤晥换搵ㄱ㠳愳㡣〴㐰ㅡ扤㘲㡢㠵愹昹愵晢㌰昵㐲攰㝡㜲㜷晥㙣㌸挱愱搱搱攱搱攱昱㝤愳㝢㠷㐷㜶攷ぢ戵㑡㔰昳攴愱慡慣〵㥥㔹搹㥤㍦㔹㕢慡搸愵扢攵摡愲㝢㔱㔶て挹愵㤱戱㈵㜳㝣㘲㜴㝣摦㍥敢攰挱㠹戴㡥㤹㑦ㄴ愶㑥㝡搲昲慦搵㥣晤㥣㜳扥㌰㌵㝣㐲〶搷㙡捥㈴收挴㤴搳慥㘳摡搵㙢㌴愹㐶〲㡦㑤换㤲㑤㑥㐸改搹搵ぢ挳㔸㜶ㅢ愱㔱㍡㌰㍣〳㡡㤷㑣㍦㈸挸㑡攵戴戴戸挱戴㐳㥡㐹㑦㔶㑢搲ㅦ㜴㡥慣㤶㘴㈵㙡昶㤳捥㔹搳㍢㘱㍡㌲㐱㈴敢㠴㝣㥢㉤换㙡㘰〷㙢ㄹ攷㡣㉦㑦㥢搵ぢ㤲㕤㌴攷㘸捤㉥㈷ㄲ㈲㤱㠸昵扤戵摢㘲ㄴ㙦㠶㘷扣㔲㘱搹昴〲㔵㈲搷㐶扢昵㙤㤱㄰戵昰戶㘵㔱㡡昲ㅤ愳挸愶〵摢戹㕢㝡㔵㔹攱㑢戸户愱㡥㑥㡡㈶㈱改ㅢ挴愹敦㠶㡣ㄱ〳㤱昰㜳㉢㝣㡢㘱㄰愴〰昴〱㠰捣㐲㘹㔹㤶㙢ㄵ㤹㍦㙤晢ㄷ㡤㌴ㅢ㌳〰㈲昱㈲搴愸㜵㌰㝢挷㡢㘶扣戸ㄴ㉦㤶攲挵㜲扣㈸攳㐵㉢㕥扣㄰㉦㉥挷㡢㜶扣㜸㕦扣㜸ㄱ㝤敡㑦戲扦㍦ㅥ㍤捥昷攷㍥㍦㜵㔳㙥晡㔳㑦㐸昳愵搱㡦晥慤愰收㈸ㄵ捡〲㌱㜲〰晡ㄶ㘲〵搷て挲㠵㙣㘵㜱ㅢ㠰㄰捦㘳㈱㕣捣挴㉢㍦㉡搷扥㔵㤸晢愳㔷戲㥦㝥敡挵㉦㍣㤷摥㡥收㔳搱昶愶㍤昳㌲㘴愴㈹㝥搰㌹晥㕤㔹敦愰㜶搶㍥敢㠰㌵㍡㕡摥㌷㘲㡥㤹ㅡ〹㜴戵摣扥〱㝤搳搶㌹扢㕡㜶㉦㉢昶愷慤ㄹ扢ㄲ㐸㑦ㄵ戲ㄶ晥㠵㈲慣捡ㄹ敢挸㉡㜴扦ㄴ㑡捡つ㔶㐱㝡〱㜴㈶㔸㙢㡡捦㙤㔳愶㉦㥢挵愱㘸敥㈹户㔶㉤晢户㜶㙦㕣〸捣㐰摥搲搹搶㥣㘴摤戰〵攸㤳昴搵㤲㙥敦ㅣ㜶搶慣搴攴攴慡ㅤ㌶扦愹愳ㄹ㥡攵㉥㙤摣㍡攳挹晢ㅢ慤敢㔶㌴〹摢㝢㐹捤扤㙥㤷㘱㔳戸慥㝣㘱搹昵㘵㔵㉤㙦挸㌹㘹㤷㉥㑡㙦㐱搲㜲换戲摡敡㜶㌶㐵敡㍤㌴㕦挵㐶愱戰攵㍢㕡㙢㐹㘸㔹㉤换㌲搶扢〲㉡慦㉤㥡㑢ㄵ戹愳慤㑢昸㑥㌴摣摣㔶㍤攳㤶㙡㝥挱慤〶㥥㕢㘹㙦㤹㉣㕦㌲㘱㔲捡挷摤戲㑣愸㈷ㄶ㐲ㄱ敢敢ㄳ㈲㜶㘷㌷摤攴摣㍥戵户㐵㐸㘸㈳㝡㜷㙥ㄱ㈲㜶敥慡昵㡤㤹㠱戴〸ㄹ晢晦㜲捦㤵戴ち㈱㝢㡦昴散摤㐵㐸㌹攸愶㜶挵ㅢ㍥つ晥㠰てㄵ㐹慤㡣敦摣㜸捡愶㕣㕥㘱愵㉤㕣愱愳㘶敦ㅥ㐴㔳搳㌶㘴敦㡤敤ㅣ㡦㙦㡢㜶㝦攴ㄲㅣ挷㌱戳㕡慥㐸慦㘷㤸㈱戸㈲㘳〷挱㡤〴㌷ㄱ摣㑣㜰ぢ㠰昶㙦戰㙦ㅢ㔲㤴搶㔲慣㡡㌵敤戲㕤づ㤶昵㘵㘹㕦㔸づ㔰㠷昰㈴㤹㈴戹挷㘰㑢ㄷ昰晦㠷攸昹㈲㘳ㄴ攳㌶㠲㌷ㄱ摣づ㤰㑡挵昴㌷攳㝦㑣㑦ㄹ㜹晥晢㈵㠰昴㘴㉤㜰昳㤱㉣愴㠴㐶㤷昰晡ㅤ㤷㝡㥢昲㤳〸㘴㝣捤㠱㍢昶晢晡扡㤱攲㤸改㉦〷搴挲㥥㡤捡㐵摤㠱愵ㄸ㙦攱ㅡ㜷〲㥣㌸㈶㉢搰攱㙢ㄵ〳㘹昴㜱㔷昴戵昴㍦㍢㥣㠵戵㙡㘹搹㜳慢〸ぢ愷捤挰㥣㉣㈱愰昰㠵愹㍢㜳㙥愱ㄶ攸捥㌱ㅢ晦搲捥㘹戹㈲捤愰〰ㅢㅤ㘴㥣㌹〴㈳捡㠸捥㤶㔷㌵㈷㡣㈳愶愵㕦㌲ㄸ㜰捣挲㈶慤敡挰㘰㘴搳づ慤㡣㕣つ㌸㜵扦㜳搲㐴挰ㄲㄸ攸㌴愴㐶㠵ㄸ㐷㘶㔴㕤㝤㜴㉡㉡㘱㠶㥣㐲㕢㘶ㄹ㔰ㄵ攱㑣㌱㡡つ摣㈷㍣㙤㈲㠲㥤敡㜳㈶戰㉢晥㜰㐴摥攱㘹ㄷ〱愹㔴㠱㌱挹慥敢㤰㉥扤㈷戳㍡戵㥣ㄱ换㝣㘹㈹㥣ㄶ㑢㌹敡戹戵ㄵ㐶㉤搷㙡ㅥ捥ㄵ㌳㜶〱㝣昲愷㥦扤㙢搷ㅦ㝥敥戵攸晦晢愱㍦敡㌱ㄸ愶ㄸㄴ㜶ㄶ昱㑦㍤挶㥤昸㤷敡搵愶㌱攸改㙡㘶㌷〸慥㈸愸㘹〷扢㕤昴愴㡡ㄶ㤳慡戰戶㈲㌳捥㌹搷扢戸攴扡ㄷ挹晣㐱㔵昲㤷愵っㄸ㠲つ㐴ㄱ㈷㜱㈱㐴㕦㕦㕢㠸搵ㄲ慢㌱㜸搳㜷〳㘴㈶㉢㤵㝣㝤㐶㕦摦㠳慡㍥戸ㄳ㝤ㄸ挸挴摥㤱扤攳昹挲挲改挹晣愲㜴㔶㉡㠸〳昲晢㜶攵ㅤ户㥣ㅦ㝦摦㠹挹戳㌳㤳㠵扣㉣摢挱㥥㍤㝢㐶挷㈶捦ㅣ㘵昷攱搵㡡扦㉡扥〳敡㌰愸晡搰㐳㍦㜸改愹挲捣昴㠷㜷㝣攲挷㍦㝦㉤㝤㠷昸㜶搴戰㉥㘶㔳愱ㅡ摥㘹㡣ㄲ散㈵ㄸ㈳ㄸ㈷搸〷㈰扥㠹愱㌴㘴㕣晡㐷昰㙢㥡愳〳散㌳㐱㜰㄰〰收㐸㜱〸搶攸㉥搶搱ㅡ愵㠴㘰ㄸ㐸㈳㘴ㅣ㈲昸㔵〰㐱㉤愴扡挶㡣挳〰ㅢ昲㕣挵㡥敢㜸㍥㠵㈱㈹愳㐷㥢㘰㝣㐹扥ㅢ愴戳㐱捡ㅡ愴慡昸㘲㐴㠳㜵挴㜹㍣㙡攸っ㐵㌵ㅡ昶㑥敤㔲愱㜹挳㐹户戸晦㐱㜴搶慤㌳㔵㍢昰〷㉣㕡攱ㄹ㍢㤸昶㠳戴〵〰㔴つ戹㐵昹戳㤶㐱㐳搶㔹㕢㕥㕥㠴㝣扤㜹㝤ㄳ㑥㉤㠵㥡ㅦ戸捡㜰摣扥扥㝤摡㍤攱〶搳戶て〹㔹摢搹愵㌹㙣㌹户㉣慢〸戰㍣挴㔹㔷敡攴慥慣挸㜲㤷㌵㉥戸㌵慦㈴㘷愷慦㠷㄰㑤㠴ㄶ㌰〶㈵㠳晤ㄳ扢㌶づ㐹㕡攸㑥㌷ㅤ㠷㘲㡡㑤㝡㜸㑡㘱捣㤸㈳挴㍢㈱敡挶㜱愰㤰㜸㡤㙥扦户㠸戴〴㝤戴㘲㈹ぢ㙣つ敢㌲搱愹㘲戶敡摢㘵㤹㡡㑡挷敤敡㘰㠴捥搷㠲戶ㄶ㜳㜵㕢搴〲敢㌱㕦〵敢㑢愶㔷扥ㅥ戸㠲㡤攱〹㔹㈲㜴晣㙤㡥搰攱㌴戱搸ぢ昵㔴捦ぢ敦㠷戲㥦㐰㌵㘹捤攸慡慢㌱㙦愸㈳㤰㤶㤸㤹戶㉤㐳㜲㌷慡㤳㉣ㅤ㤷㘶㔵㜱㘱㈱㈸㑦换㑢㠳慡㠷㠴㠰㈳㔹㔰㤱摢摡㡢捡愷ㅢ搶攴㤲敦㔶㙡㠱ㅣ㙣㘰㑡搱つ敢戴㠴㜹挶昹㈷摤挰㑥㤶〲㥣㄰ㅢ昳昱㙣㜳晤㜰〸ㄴ㐹㐴㕣ㄲ㡡㑦㝡て攱㙤摦〴㜵㘸㤳㕣㐵戴㘲愹攷㈷㠷挵挷㍦挶攷㌳㠷㘳㜵㈴挵㈷愶㌱㙡扥晡〳づ㌵㘹㕢晤摣ㅤ㕡㌸㘵扣搲昵㍡㥥㉤㌲㤶戲㝢㐸㈰㌰㑦㤴愵敡㔴㤰挴ぢ散㤲㔹愹慣つ㕡戳搵㔲愵㔶㤶㜳收㤲慣搴㙤戶敢㌹搷〹扦㔴㤲㌳攴㔵て扡㐴㤱晥㉣㌲㥤昵攳搴愶捤㥣㌰收㐱㔶晤㈴㐰攲搰㤱㠹晤㘰㕢捡㌸㠵ㄲ昹挳〳捤敢㍥㔲搲昱㙦㙤㈶㐴㔴づづ昶㙤㕤ㄵつㅢ㈳散挶愹㔴愹㕤㑢户㌹㜷捥㐵挶愰摣㔲㜵捣づ慢慥ㅢ攵㔲扣搲㜵㝤戳㕥〶戴挲昳㐲ㄴ摥挲昲㠵攵挳愴㍦㌹挰搳㕦㘷㙣摥ㄲ㡤愸〰㐰㔹㐲㠶㕣㔹㥡戱㌰㝡㔸戴㠳㡡ㅣ戰㔴扢挲㤳搴ぢ㔲戳摦㕡㕣㐶㥣㍢㥤戱㡥㝡㜶戹㘲㔷㈵㈳ㄱ㘴戰㤸昷㥣㤳ㄷ㤰㙢㌹改晡㌶㜳敢ㄹ㙢搱㌳慢晥ち㡦㌳愵戵慤㙤㈵挵㉣捤㥡戲慢搰愲昰㥤挴戳搶挲戲㝢ㄹ改昹㥡㔳㍤㙡慥昸搷〵愳㈰搳搱ㄳ慡㔶㕣挴攳㈲ㄹ㑦㙥搶㘱愹搳〷愳㠲ㄸ㘳攷㌸㐱挴㉥㥥搳㝢㈸㉥㌹ㄵ㘵扢愸戸㕣㔷㕢㠶扢敢㘹扢㜱扦愱昲づ㑣づ愴ㄷ〱摥㜱昴捣㙣㌳㐷晡ぢ摤㑦㘸捣㉣昴昰〹㑡㌴ㅡ〹ㄹ愶㈹〶㐳㜱㘱ㅤ愵挷㔰㕣㘷愹㔳〴㔳㤶敡㐳㘹㠴ㅢ㘵㜷愲㌳㌸㉤愷愱晣戰挱挸㌲挰昸づ㠶〵挶㜵㡥㔹昱愳戶㠲敢㌸㈶挵㡢愲戹〰〳㉥㤳㉡挸㠶㌵㌱㉣〰㈵㠳㔱㤵戹㡡㉡㜳㔵㔵挱㉦㌳挹慡㜰捥攵㕥㌰㍤㍢㔸㜶散㔲㤲〵㈶㐲慦ぢ戹㠴〸愹㤳㍤〸捡㐷〹㈷㈲搶捥㡣㐶㜸〸〷扢㠷㜱㠸㈰改挸㝥㐸㙦㕣㌹㜳戱挹っㄶ挴㔷ㅤ摤㡣戳㤸㑤㘳昲〷㍥〴㄰㑦㑢㈴㠶ㅡ㘵㠸㐴ㅥ昵㙣㌶捥㐵〸ぢ〹愶㜷㝡收ㄵ㜸捣㑦捤戹㘶㜹〶戹㜲搷敢㡦敥搳㤲㘰㉤捤㡡㤷㘳㉥愹㠰㉣㉣戲扢㤷㄰㄰㝢㐹㔶㉣㈰㑢㤳㘰ㄶ㑡て㜹㐸摡挴㌴㙤㈰搹敤㕤戳昵戹㜶㐶㘷敥搶换挱搹㜵昳㍦㝦㙡攲㌰搷㥥㑡愹㙢㡢㜷〲㌵敥〱㄰捣㔲㜱㍦ㅤㅤ摥挵づ敦〶搰㤸慣攸搴㤲つ昳㉥㥣㕣㜳㤸て㑡㍡摣づ攲づㅤ㔹㈲攴㤵㐰ㄲ㝤㈰挹扣㡣昱ㅥ㠰扦㜹昲㐹㥥㤲㘳㠲㠹㡤晡晢㐳〷㑣攲ㄹ昷ㄲ晣㍡㍢㡣〲愸戴㘳㜸㌲㌹㡦㈲㔸愲㑥㈶㈶㔰戸ぢ㐱㔳挴搳㐹晤㘹攱㈴摣晡ㄲ慡搹㡢㠷㝤挶搵㘴攸㤵㘲㌴挱愴〰攳㌴㘱㤴〰昵㌲〰〲㠵晤愳ㄸ㥢㌲㈴㑡㥣㤱㐹〳〶ぢ攱戳愱㍢ㄳ捣ㅥ搰愵挵搴㘱㕥㉤愰挳㠴ち收ㄶ㘸㐶㡤ぢ〰㠲㐹〶㕡㈷㉣㌵㤴㔶ㅢ昸㤵愵㤵挹〸㌲搹戸㉦㐲㔸㄰愴㜳㥤挲慣㠸㐴㠰㔷㕤㐶㠵ㅤ㤸愹攸搲挱㘱㠷㉡㍢挰㉦挷㈸〶㠶ぢ搰攰摣ㄴち昵㘱搴捤㔴㑡㜱㙥㠵ㅤ敦〷搰㜸㠸扣扡㐳㉢〷收㕡㌲〹戴慥晥ㄶ敢㔴捤慣攰㔲㜳ㅥ攱㙣挰慡敢挱㝣㈵挲㐳㐵攷晤㕡晢㕤㈷捥攳㙡ぢ敦扥㤷㍢敢愴㐱㝢摦㘸㙦㍥㝢㙥敥搰㤱搲㝥〷㘹㥤慢㝢ぢ〵愰晦ㄲ戳户挵㘲㉣挹㜷㔲㘵㔳㠶㑦〸㤱收㘱㕦㠹㔰〰愴晥〸ㅥ㑢搷搵㙡っ愱㝢戸晤㡥㜸㥤攳户㌵㡤ㄴ摤搱㔰㠵摦㉦㜴戳㙥敤摥扦挶搷搳㌸慣㕢㠳㘰㘰愰㙡㉦㐷〸㕤㡢㐶攳㝥㐵㝦挲㥥挸㐴挰戳㉣〴㙢ㄵ㜸㜳愲捣㜸㠶ㄸ捤㔷搸㡣㐵扢ㅥ捥㈸㠹捥ぢ㡥挶㔸〶〷〳㌷㜴㕣㈸愹㘱㙣愱㜲㘸ㅦ〱㡢㌶ㅣ捦ㅤ㌴戹挲㌱㝣昴㌵㠰ㅢ㡥摢㈵捦昵㕤㉢挸㉦㈰㉡捤昳㡡搱挲昹㘴㔲晢㄰㘶散晡㑥㙥㉣㔱攵晤扦㘲㜴敡㘲搵扤㕣㔵慢搱㝣摥戴㉡㝡昵昷昳㌵㍣戵愸攷㉤愰㘲㡥㑥㡥㠳㡤摦〰挸昴攵攸㈵搸㔹㝦〰㘰㔷㘱慡㜰扡㘸ㅥㅣ搹㌷㘶㡤㡥挸㠳㜲㝣㝣㘴㝣㝣㘹㙣愴戴㘴㥡〷慣愵搲愸㈵㑢ㄳ㌹攵㔴搰摤昸㑤㠰ㅣ摤㠸㝡摤晢㔸愲㍦㔱㈵戶㘵改〶昸㝥〶㜸搷昴挹摤㡢改㈸搶晡㠳〰改挲㔴㔱昹搳搳戸挷搴㍦㠰㥡㉤愸㘹晦㙣㐲晦㈰慡〷㔱摤ㄲ慡收攸㝤㌸㡢晡搶挰㜸㠸ㄸ㙦搶挵㜹〰㥡戶㤴㜸㉦㌸㐰搵ぢ㔵攸挳慣㠳ち㤹昸慦㜶搹愶㐲㑢㕤㙢㑢愸愵ㅡㄹ扦挵㘶晡㤵昵㈳㉦搴㙢㝦㍢㐲挸㈲㐱㡦㐰㌱ㄷ〱ㄶ㐰攱〲ㅥ㌳㈸㌱ㄴづ攱愱㠶〲搲捥㘰晡〵挵攰摦〵〲〶搳〷昰㠵晡㐷〱㐲〶㤷㐷换晢昷敦㤷㜲扦戹㔴ㅡ㉦㡤㑤ㅣ㉣㡤㑣㑣㡣㕡㈵敢挰晥ㄱ换㍣戰㌷愷㕣〶扡ㅢ扦〷㤰愳㤳㔰㑢㝥㤸㈵攵㉤敡㙤㔹㝡㡢㌷㠶挱昴㌱㡡㌵て昲㘵ㅦ㈰㈰〷㜳㜴㍢慡㥥攷㐲攳昷〹戲〰㠲搶㑤慤昲攳㐰搸㠱扦㕣㥤㍦愲㔶㙦晥㠳〸㈱㡤㜲戴㈸㡡㔸㡦〰挹昴㘹㔴㡡扢㌶捥挱戶㠸捥㄰㑣㕦摢攵晤ㄱ㕣挶慦挵㌱扥て攱㥤愶愴㌱ㄱ㝦晢收收愲㘳愱捡昰愷㤵挰攲㕦㘰ㅥ搲愴㘹㜷㌸㈳㠳㉣攳ㄳ㥣㥡㍡摡㌵ぢ搲敢㍢㈰㑥戱摤㤹昵愱㙢戸昰㕣㜴㈷ㅢ摦㈲㙤愹敢攰㔰晤戲㜵㔷戳愶㥥㜳慣て㥢昷ㅡ攳㜰㜷〸㘷㠵㠶㈱㕥捤㙥㙦㤶㕡㙥つ㙦㙤搶㈲挱㡣戴㤷㉣搷㘷昴ㄱ摦㈷攲㝤㘲捦挶挴挶㕤㔴攴慡敡搳昸摣挶慤㕤攲敡㈹㍢㔰㥥㐹㐳扢㌰㘸ㄵ昵㐷〹づ敤㍣戲㜳㘲扦㔶〴㌷㕥摦㡢搶㌳〰搳挱ㅤ㍦〶㈸㘸㌳㌹㈵慢挴㐳〰ㄹ晣㍡慦㝡摥㠵づ㕤敦挱敥㠹ㅡ搶摤㠳搱㑥㈹㘵昸㌴㤰扡㌲〸㘵㠰㌸晦㘷愲㘶搲㈰㐷㤳愳㜴攰戳㐰㌲㝤㠲㜶㠳㝡㈰捥㘰㜶ち㥦㤲㤷㍦㘶つ捤〱㘵㐶ㄸ㌴㈶晡㥦㄰㤰㉥㠸㤹㑦愱㘳ㄱ㍦㔴㘱㙦㥦〷ㄴ㌴ㄷ昵㉡㐱㐵敤戶户㌹㡣改扡户扢愳㠶捥㙢慣ㅣ昵㕢慤昷㜱㈰挶ㄷ〹扥〴㤰捡㔱戳㔵挳㤷㠱㐰㤹愹搳㙦摢㔸㈶挲戳㜷昳㉢㈳㕡ㄱ捤㘲㜰㌰㘰㠵ㅦ昹㔰つ搵㍤㐶㐵㜹搶㌴㡥攱ㅥ扥昳㤹㐳㘶〹㠷㙦㝣昶ㄶ㜹ㄸ㘴㥣㜸ㅣ慡ㅦ昴っ㔵㔲㍡㙣捤㝢㌸昹昵㕢戳㍥昲㔷攵㈴敥捦〳㝣㜷㔵扤ㅥ㠲㕣挴㍡〹㥡㉢挸〷慦㥥攲㕤挳っ挶て㥤〷挳㤶㈴㕤㤳ㅥ昵㙣㙤㥣愷昷捤㠵戸晡㔷昰戲㙣晤㔳挹晣㈵摡〴㍦㉥㡥㐰づ㤴㤷㝢㙥敦捤㑡扡㤰㈱㠸ㄹ㕦㐵㕦晤㑦戹㜸愸戶㔰晢挰㜱搱昸㌳搴㠴愷㈹ち㙤㑣愳㤵敢摣ㄸ㠳扥ㄹ㡥攸昸㔴㘵㘰㐰〵㘵㍦ㅢ㤸㡣㍤晢愹挹〴搵戳㤷㝤愰㔶昵㍢㐵㤳摦攸㈶㥤㘲㐵㔶㉦〴换㡤敦㜲ㄱ㜵攳换〴攳㙢攸挴㔷昱㤷愳㉥㉡昹㝣〲㠸昱攷〴㝦〱㤰捡㔱ㅤ㔵挳搷㠱㐰〳愹㠸ㄴ㕥㠳ㄴ㠹㡢户㜷愵挰㌷搸㠱ㄴ㘸敥晥慦㔸愵戴㔵敤㕥㔰㘷㐹㠱㔸戴㈷㐱戵攴扥㡣扦〶愸慦㑢㔰㡦㤴挲㡦攳㐵㔴昸㕦㐱㐵㌲慥ぢ敡㤶㙡ㄸ㡢ㅡづ愹〶㈱愸㙦慡㘱㙦搴㜰ㄸㄵ挶户〰㌴敡㕥攷㌱愵㐵㘲㕡づっ㐹㡥㜱㜸愱㐴攱㐹㌹㐷慡戵昰㥢ㄳ摤㘱愶戵扡㈵敡㍢搴攸戳戵㔱搳攸㍢搸愸㔲㘳㙥づ㌳㈶晣㠲㠷㕤㠶㥡㤳㙥敦㙣㔱晤㐱㜵ㄲ㍥㜶挷挶㘶愲扥㐰摡捡愴戸敡㡥挹昰㘳慡㙦㘳ㄴ捤㥥㌰ㅡ㤸㉡㙡ㄴ攰慢搶㉣㥡昲㑤㥥慢扥挳㤷㔳㉤㤴㍢昸㍢㈰㜵扥㘷扦ㄶ搵㈶㈹捡㠲㐲愹㜸扡愷㐳ち㈸愸慡㘱㜷㠷ㄴ㔰㜸㔵挳㔰慢ㄴ晣㍤㈷愳㈰㔳ㄲ㡣㝦〰〸昷摦挰㔴㔱㔰㝣㐹〳攳㈹〰㐱挹㔵ぢ晣ㅥ㤰挶〲㈹愵慣㔵ぢ捣㔲扣捥戱㜹㔵㤴捥㤷捦㥦㝦㌹㥢挸摦㤲㜸攷慦愵㍦昶昴㌷㥦㜹昸扢敦㌹昴散慢㡦㍣昲摤ㅦ㍤晣攴慢㕦㕤㍡昴㡤挷ㅥ晢晡㍢㍥昹攴㌳㕢慤㐷攳㡦扦㍣昷攸〳愳ㄷㅦ戸摦㍡昳戶愳て摣㜳摦愹搱㤳㕢㠶晡晡晡晢摦扡敤㉦㙦扡㌳昷攰晤㕦ㄲ㑦㝣敦挶慡㐶づ㕤〵㝦戹愲㑤㌲攳ㅦ㌱㔴㈸㡥〰㌱晥㠹㈵晣ㄸ㍦攷挸ㄹ㡡愲昱㝤㠲ㅦ〰㘴攲㔹搲昲㡤摣戲㈰㔳戸㙤攳㥦〱㠴㘲〵㑢晦挲ㄲ㝥㙡㘵㘴㠹㕡搹搳㐰㡣ㅦ〲㘴攲㐲敤㠴攵㘷〰搸㤵扦ㅣ㜷愴扡晥㉢㄰ㄸ㌲敥㐵㐹挸㙤㤱㠴㑣愱㈲㠹捣ㅥ昷愷ㅡ㙥㡤ㅡ㜲愸㌰晥ㅤ㐰愸㤵戰昴㉣㑢搱㉦挷ㄵ愹㤹晦〳〸㘶㝥ㅡ晦搴〴㌷㜶捣捣昵愹㠶ㅤ慤㌳㍦㠷摡ㅣ㤷慡收㜸ㅥ〸攲〳㉥戲挷つ㔴搳戹晤扦戰㔴晦ㄹ㔱㐷ㄸつ㡣挴ㄲ㠲㕣㔱㥡晡ㄳ㈰㌹㜲㐵ㄱ昱扦㠰㠰ㄱ攴〷〹㘹扣㄰㌵㠸㈶ㄶ㡥㈷敤搵昸㥦〲搱㐸晢ㅥ㜶慦晤㤲㥥昲㤷㜱挲㍢㌸ㄵ戸攳攳㑤摡攳昵捥㘲㉢慢㠷摡扡愶挲㉡挲㙣㠸㌶扣挶㐰搴㐴㌷昳㝡㕤㐶㍦㜶挵ㅦ攲㡦摢㝢㝢㡤搰㘳㕣㕤慦挸㕤扣㠸㘹㔳攱挹愳㠹慡戲㈰㔷㤴慡晥っ㠸㈰㉦愸ㅣ㐶攳㠰换ち昲㠴〴㌶㕥〲㠸收㘹愲攱㍣攴㤳㥡攷扦㠱〸昲㘴摤㍣㔹扥㥢㡦㉥搴换㠰ㄹ㉦〳搴戵㌱换㌹昹攸㐲㑤〲捣昸ㅦ㠰㝡㝢㡥㥤㤵㤰扣〲〴㌹〸㌶慡昲晦慡戲㘰戵㕡攷慢㐰㔲愴㤳㌰㥡愸㉡ぢ㜶㔵㝤㝥摥散搳㐴㔵㥦㉣挷昴攱挷ㄲ㥥愷て㠷㕦㘱晣昸㌰ㄲ搸㜸㥥㍦㥣攵㠸㥥㍤〶晥て㠸㝦㉥㉢</t>
  </si>
  <si>
    <t>㜸〱捤㔸㕢㙣ㅣ㔷ㄹ摥㌳扢戳摥㔹慦㤳捤愵捥愵㘹戲㠹㔲搴攰㘴㤳㡤㙤攲〴㐲扣㤷搸戱攲搸㑥㜶攳㐰戹慣挶㍢㘷敤愹㜷㘶摣㤹㔹㕦㔲㔴㉥〹㈹昴〱㔲㤴㐸㔵㤰㐰㐲ㄴ愵ㄱ攲㕡〵㈱愰〸㐴〵㐵ㄴㅥ攰愱愰㔶〵㑡ㅦ愲昲〰㐸攱㈱ㄲち晦㜷㘶搶搹㕤慦摢㈴〴㈹㘳捦扦攷㥣晦㥣晦晣攷扦㥦〹戰㐰㈰㜰㤳ㅥ晣攲〹愱戱㈹扦攰戸摣㐸㘶慤㑡㠵㤷㕣摤㌲㥤㘴摡戶搵㠵㘱摤㜱㠳㌴㈱㕣搴〹敦挸㐵㐷㍦捤㈳挵㔹㙥㍢㌴㐹づ〴㈲ㄱ㐵㈲㝣敤㡤搷ㅡち㔶㈹㈱〲㌱㥡ㄵ㈸㘴㌳愳ㄳ㡦ㄱ改扣㙢搹㝣㘷㘲摣㈳㜰㌰㤵㑡愶㤲㍤扤愹扤挹㍤㍢ㄳ搹㙡挵慤摡晣愰挹慢慥慤㔶㜶㈶挶慡ㄳㄵ扤㜴㤴㉦ㄴ慣㘹㙥ㅥ攴ㄳ㝢扡㈷搴㥥扥㔴㑦㙦㙦㜹晦晥扥㔸㤸㈸㡦㘵㌳㐷㜸㘵㠶攸摤㉢慡㙤㐴㜵㈴㥢ㄹ戳㜹昹㕥搱㤴㈱㡤㔴㡥㤷㜴㠸㡤㜳㕢㌷㈷㤳搹っ晤搷㐹㠵㝡晢㤲愳昹㍣㌷ㅤ摤搵㘷㜵㜷〱㤲㔳㡣搱搲挴戸㕡愹昲戰㈱㔸㡡ㄸ攳慡㍤愲ㅡ扣挳㌸改昰ㄳ慡㌹挹搱㤳㡤挱慡慥㠵㐸㥤挱ㅤ慤㌶昲㠵㤴ㅣ捤㘶戲㔳慡敤㝡㈴㘹㠳摤慤㘶㡢㥤㤲㜵慣㠸㌵㘲ㄴ攲㘱敤扥挱㘰㑦挱㘵〴慣㉡〴挲㔱〲㙢敡㔶㈶挴搲㐴㡡㠵慥㤳搹搵㉦㙣愷㤹㔲㔱㤵㡡ㄳ㔲戱㈴ㄵ㌵愹挸愵㘲㔹㉡㑥㑡挵㈹愹愸㑢挵挷愴攲㌴捤愹㍤㤱戶㌶挹㝦㐶㔲㘳扦㌹昵搵敤晤㕦扦㔴ㄹ扡晡改捦㝣㥢挱搲㠴挹挵愸愱㜴㄰〸慦㈰搰㠲㤱扤㡣晤㤳ㄸ〱㌳㙦㙦挹㙥晢攵慡摤㈳㘷摤搷慦扣昲㥥㝤㙦挴攲戴㘴㠴㈴㤴ㅣ攱敥㍤㌲㈷ㄹ㤲戹㝤㡤㠰㝤搹昰ㄴ㥡攳㑥㐹㠱戶㠷㑣㡤捦㠷愹㐵㔶㄰㌳戲㤶改昲㜹㌷愷扡㙡㥢㌱愶摡摣㜴ㄵ㥡搴㈵㔶㜹㉤慣散㄰㘳戵搵㔱扦㐷ㄴ攲愲㔹㐷愵㕤っ㜸㤴ㄸ㠵㠳㘰挸㠳㤱㜰慢戸㜰㐴㜵愶㕣㜵愲挲户㌷ㄹづ攴㐶戶㝡搲搵㉢㑥㤲㐸づ摡㔶㜵〶ㄲ扤㔷㜴攰敥ち捣㉢扣㥡㠰㠸㘲昸愵つ晡㤵㌵昴ㄳㄵ㐸〵㐸㔲敥㑤㘰㙥攱㘲敢愸㐳㉣收㉣㐳搵捤㝢愴摣搸㝡㈲㝡摣昷㠵㥣慤捥㤱㕦摦㈲㑤㐱つ㝦敦ㅥ搸㈸慥㤵㝢换晢捡愹㤴搶扢㐷敤㔶㘵㌸搲㥤晡攵㕡㕡ㄳ㌳㑥改愶㘶捤〹㐷㕤㙤㤰ㄷち攷㉢㉣捣㜰㌱ㄴ㉢ㄷ㔴㝢㤲㤳昳摢㐳戹戵攵慣㘵摢扣愲扡㕣ㄳ〳〸昶敢ㅡ〷㥤〱摢㌲㌰扥㈹愳㍡晣㔶㄰攸㉡㝢ㅢ㘵慣慡愹㌹て戶㐶收㕤㈲扤戱ㄹ㜷㡢挸㤲㘵㜹ち㡣摣ㄱ㥣㙥㙥㕥㈶㡣㍦㍤慦㝢攸㠷㥡搰ㄴㅡ慤㠹攵戱〳㌶㝦㝣ㄱ扢㠴愳㌴㘵扣㔹づ晣㤲㔳㝡㈸㡦㉦ち㘴㤶挳㑤挱㕥㤷㌱愶㤷愶戹㥤攷挸㤷㕣ㄳ㐷㝤〰㈸㑥晥㔸攲㑥搷㈸㐴㑦戱㔹摢㔶㍦㕡㍥㍣敦㜲昲㘶㡤昸愵㥣攵㉥ㄴ攰㐹㥤つ㔳扣㍤〹戱愱㘱㜸挰㉡㔵ㅤ㜸慤㙤㔵ㅡ㌱㘹㙤㔶愵㍤戵㘳㤶挶㐳㈱㈹ㄸ〸〵㐲㜸〲㤴ぢ㠲攴捡㝢㥡ㅣ㔵㈴ㅥ搰㜶敡㈳㝣㥤攵㈰挴㜷摦搶愲㐶昳挲扡㔶㈱㘳戱㤴㘰敢ㅢ㝤㈵㜹㠲愴㐷㔲慡㜰㌸㤲搴ㅣ㔱敡ㄸ扤㘵㌵搸愴㘵㍣昵㑥㔴㈷㌳搸㉤㘶㍦戲晣㔱〴搹㐵换昸晦㑥㤶愴㌵晥改て捦㔲捣㍥愲㥡㕡㠵摢敦㉣㉦㜰愴㙣〰搸〸昰㈰挰㈶〲㑣㝥㤳㈲摣戲搲㐴㌶㘴昳㙣㐱㥥搳㌵㜷㉡㍣挵昵挹㈹㤷挶愸㕣㡢㐴㈰敡㘷改慤搰ㅢ愳㥣戹㡤㙡㌶愶㙣愶㥥戲㠵㐰㌴ㅡつ㠸ㄸㅡ㡥㉡㕢愹ㅦ摥㐶愰㙤㤰㥢㥣㙡戲㈸㘳挸㔰㈲摢㈳扦㉥つ戶て搳㘸㔴㜹〷ㅣ㐳㜲㐶㠰㔳㜶〰扣ㄷ愰ぢ㘰㈷〱挶㝥㑦攷挲搹㕥㈲捥㉥㔲㌲㝡㠸㝥户愲慡㔴㤲〰扢〹搴㜳㤸愲㝥㜸㉦㠱㐸搶愶ㄲ搵搶搵㈸ぢ㈱ㄹ戴㤲敢㘲敡㠲㔸愳挳㤶慡つ愸㈵㉡㐸摢晣㜲㌴㤲戵㡣ㄹ㑡愸㜶ㅣ㌳戳攴㑥攴愶戳扡挶敤〸〶昲㔴晢㠶愸ㅡ㜵挲㈲ㄸ㌹㤴㈹㠳〱㔹㙥㡦戴摡㙢愸㐶㙢扢慦昴晡摡㝡㘸〹晤扦ㅦ敦㍢㠴㔳㐶愳愲㡡改愶愶搲㐳㐰㠶昲敦搸㠱㔷搲愲㑥㈳㍦㘵捤ㅤ㈱捤㜳挷慢昶ㅣ㠸㘸摤搲㘱捡晣慡戱㐱㡣て摡㥣㘲戶㕤愰搰㈵捥㠸ㄵㅢ㕢㘲挴愲㡤挲㝦敡㈲㐷㔷㜹㕣攷㜳挸㌷㕢㤶愲愸㕣捤㔶ㅤ搷ㄲ㠵捡收愵昸㥣㌵㘲戹㌹摤㤹愹愸ぢ摢㕢愰㍤捣愹㈹㙥㔲戸戵㈹敡扥摢㈴㙢㘶㠶㙢㉤㜸捣㕢㔵扢挴㠷㜲昷㐳挰㈶㑤㜹てㄳ戱㥡㐵㔸㔸㘲昴摣㕤慣㘰㌰㤷挰ㄳ㙢扦㌵昸㤷搳㘷て㠵㈹〳戰㘸㔴改愵㌱昲㙡ㄹ㌱攴㙥攲㍡扣戵愳愱㥡㜸〰㜷㡦㘳㜴㕦搳㘷㉡㍣愳摡㘴摣㤶敤㈸㐶慤改ㄹ㕦摤㉤挰昳㤸晢㐱攰㤴ㅣ扤戴㤸㕣㍥㉤搴㌱㉥散㄰〶㡤㤸挱搶㌶攵㉦㜱㙥〴搴扢搴㤷晣㙢ち㜵㜷挸〸㉥散㙤戳戸ぢㄴ㡢㠱〸搸挲挳攴㤷㠹㔴㑢晥㤰つ㐲㈶敥㠸㘲㔵㜴摡戴收㑣挱戹散愰㐴〳㐱愵慤つ挷㐰㜵㉤㥥㕥捦㜴㘰㌵㐸㍡㕤慤㘴攵㤵搲㡢㤷搸㈱㡤戲㥡㝦㙢㡤攱搶㕡戰戹戸㥡㐶㐴㠷㐴搸㘱㥣戲散改〹换㥡挶〵㘷㠵攸㌹㔳㥣扢戸㐶戶ㅢ摥㕤ㄸ㙤戲晦㘰戰攱慡攸换ㅤ㐸ㄴ昲㕥㠲摡㑦慤攰㠰㕤ㄲ㍤昶ㄲ㥤ㅦ户扡㜳㘷㕦扦晥㙡㜶㈰昷㔴攷㔷慥晤攷㘶㙣ㅢ晢㠵㡦㌰㕥ㅢ晥㑥㘶㝤㍣昷摣捦戸㝡㍤㜵晥户㑣㘴㔲㔰㍢㐸〰搱ㄷ慦㡣㑣㜸㕢㤵〸敥㌶㉢换㡢㔱慤愰扢ㄵ摥㕥昶っ〶敤㐸㤹攲ㄴ㔵㠹㕡㕢戹㌰㐵戲挸㜵㤴〷㙤㕤慢攸㈶㠷㐱㔱晤㡤㡢昸㌰㥦愴㡡㜰捣挲愵摦㌲㍢捡〵㕢㌵ㅤ㘴㈱戳戴戰扡愱㈷㝣㐸㉥㘷㜴搳愱㙤㐴㈴㐵㝢㘵ㄹ㠱㥥昴㔹㌵捣㐱㜵挶戹ㅦ㥣㡣慣愷昶㜸㘱㑤㘲㤲挴㈲㔲攴㉥晤㈴㄰晥㈰搱摢㔸攷㤷〷ㄲ昹搲ㄴ搷慡ㄵ㥥㌸愱㍢昴㤹㠰攸㈳昸㐹㈸〶㔰㈲㤰攵愲㥣戹晤㔲ㄱ㉣挷挴㌷ㄶ扦㠶て戶捡敢㡢戵慣㈸捤づ搱ㅡ戶ㄵ㠰㕥愵摦㙦愰挳㔰〸愱㄰㘹捡散㘹ㅡ㔲㌲㤸㠰昲〷ㅣ㌳攱㜴捤㌱㍢㑢ㄸ㍡〳㐳㝤㠴戸捤㝥㑣㔶㡣㘸㐱㙤㉡㤳㝥㐴㉤㌸㝣ぢ㠷㘵愸愶㐴愵㠸㥢戰〲㈷昱ㅣ攴〷㌴扦愵㠳㕣昵ㄱ㝤㌷晥愶㔵㝦㤷ㅤ晥挶㡤㤵㤷㕦晤搷昷摦㘶愲㈴挳晡愳〴㔰㤸攰㘵㈸挴攰㈴㠱昰㌰㠱捥〶愵㘴㉤挷㕤㔶㈱っ搵ㅢ㤴愲ㅣ㈳挰㔰扢〹戹㡤昸つ㜴攲㈸㝤攰㠷攱㔱〲慢戲㤹愲ㄷㄶ㙡搱㈵㍣㐶挳㉢㘸戸慥搰㡦愳㔲挲ㅡ攵㌸〰搲ㄵ㐳捥ㄳ挴昳㝥㐳㄰㠷愳㈳ㅣ㉡〵㠰㤳〴㍡㈴㈶㤴㠸晥㌸㠱摡ㄳ敦愷㤶㤸㝡㡡ㅡㅤ挱㜸㥡㝥挴ㅥ攰㑢〱ㄷ㜱愸㔱っ㍤㡡㈱搴戵っ㙡ㄳ摢㝥搴㙦㠸㙤㈱㍥㐱敢㘳搴㔰㍥づ㔰㈴㄰㘵㐲づ攸㌶㙣つ㜹㠸改㉡㌵㍡㠲っ愷㠲㐲挳ㄳ攸愷㉢㤵㐴㉤㡥㍡攱ㄲ㠶ㅡ㍦敡㘹㌴搴户㜷捦摥㥥㐴㌶㝦㈲㥤㈸㜰㠳㉡㉡㤷㈷㝡ㅦ㑥ㄸ㤶㤶攸㜹㜲㈴㍤㍥㤰捥㈶戸愶扢扢㜶敤㑡㜵愷㑦づ㘲㝡㜲扥攲捣戳㉦晢挶㤰扣昸扥㌵慢扥㜷㘱攰敡攴㥡攸昳㍢づ敦㘳㤷㝣㐴昳户户㌸㈴㉣搸㥤〴㉦㐱〶搹㉥摡㕦㔸愷㕥㌰敤ㄸ㥥つ㕥昴㠹晣㕣㕥昸㕡摦戹㐰晦て摦晡挹敡戶㤷㕦改㘶ㄷ㝣㠴昹愷㑤㕦㌸昳挷ぢ愳㤷㍦搲搹扦改昱㌷捦㌳㈸㘹㤱㥡〲㙡ㅥ愵㘷㤶愳㜴摥㐷㈸㐳㡦㡣㝥昸㡣㤵㜹攱捡㠹捥户㑥捦扤ㄸ慦挹㔸㠶㐶摦摦㉡愳㉤戹㐲㜶㌵摦搷て搳晤㝢〱㍡て搲㐵㐰ㄶㄱ㌹㈴ㅤ戸㍢㕡戵慡〲㤱㐴晥㈲㜱晤㍦搰㠱㤹㌵ㄶ〵挲捦㙣ㅡ㘶戰㑥㈱㐱㤸㡦〲㠳㔱㘰㈲散㘹㕦㔰㑢㌴晤㜹ㅦ搱晣㝤㌴づ愳ㄶ㥡㥥愷〶㘹ㅡ收摣㑡㌷㘷㝤〲㑢戴㝣挶㐷㍣摢ㄵ摤㝦昹㜳㡦收扥㈹搹晦㜸昱〳愱㝦㌳昸㐴㉢㑡㥦㕡㡥搲㈷㝤挴㥦㌷摦昸挳昱搷扥㜴攴戳㙢㥦戹昶挲㠱㝤ㅢㄸㅣ慢ㄵ愵㑦㉣㐷改〹ㅦ戱昳扢㍦晤搵ㅢ愷晦㥡㌹㜷昰搲㤵攷慥ㅤ㍡捡攰㝤㌰ㄵ㜶㥡㘶㐰㍦㐲愴㑦㘱〴㤶㉥㔰昳㍥敡㐳㌴㄰㤱㤸っ㠱㌷ㄷ㘱戸㌷づ挰㘶㥡慥攳敤敤㈸戹㥥㍦㜴慤晦挹晥愷搳っ㌲ㄵ㌴攷ㅡ㘹㌲散〸扡戵㤹敤晦〵㌵ㅤ搷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</si>
</sst>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6" formatCode="&quot;$&quot;#,##0_);[Red]\(&quot;$&quot;#,##0\)"/>
    <numFmt numFmtId="42" formatCode="_(&quot;$&quot;* #,##0_);_(&quot;$&quot;* \(#,##0\);_(&quot;$&quot;* &quot;-&quot;_);_(@_)"/>
    <numFmt numFmtId="44" formatCode="_(&quot;$&quot;* #,##0.00_);_(&quot;$&quot;* \(#,##0.00\);_(&quot;$&quot;* &quot;-&quot;??_);_(@_)"/>
    <numFmt numFmtId="164" formatCode="000"/>
    <numFmt numFmtId="165" formatCode="0#"/>
    <numFmt numFmtId="166" formatCode="mmmm\ yyyy"/>
    <numFmt numFmtId="167" formatCode="&quot;$&quot;#,###\k"/>
    <numFmt numFmtId="168" formatCode="&quot;$&quot;#,##0"/>
    <numFmt numFmtId="169" formatCode="0%\ &quot;Total&quot;"/>
    <numFmt numFmtId="170" formatCode="0%\ &quot;Confidence ($)&quot;"/>
    <numFmt numFmtId="171" formatCode="0%\ &quot;Confidence&quot;"/>
    <numFmt numFmtId="172" formatCode="0%\ &quot;Finish Date&quot;"/>
    <numFmt numFmtId="173" formatCode="0.0\ &quot;Months&quot;"/>
    <numFmt numFmtId="174" formatCode="&quot;$&quot;#,##0.00"/>
    <numFmt numFmtId="175" formatCode="0.0%"/>
    <numFmt numFmtId="176" formatCode="&quot;$&quot;#,##0.00,,\ &quot;M&quot;"/>
    <numFmt numFmtId="177" formatCode="[$-409]mmmm\ d\,\ yyyy;@"/>
    <numFmt numFmtId="178" formatCode="#,##0.00\ &quot;MO&quot;"/>
    <numFmt numFmtId="179" formatCode="0\ &quot;Mo&quot;"/>
    <numFmt numFmtId="180" formatCode="0\ &quot;Months&quot;"/>
    <numFmt numFmtId="181" formatCode="0.00\ &quot;MO&quot;"/>
    <numFmt numFmtId="182" formatCode="#,##0\ ;\(#,##0\)"/>
    <numFmt numFmtId="183" formatCode="#,##0.0000"/>
    <numFmt numFmtId="184" formatCode="0%\ &quot;Confidence Project Schedule&quot;"/>
    <numFmt numFmtId="185" formatCode="0%\ &quot;Confidence Project Cost&quot;"/>
    <numFmt numFmtId="186" formatCode="&quot; -&gt;&quot;"/>
    <numFmt numFmtId="187" formatCode="&quot;Base Estimate w/ Contingency (&quot;0%&quot; Confidence)&quot;"/>
    <numFmt numFmtId="188" formatCode="&quot;Base Schedule w/ Contingency (&quot;0%&quot; Confidence)&quot;"/>
    <numFmt numFmtId="189" formatCode="&quot;Base Finish Date w/ Contingency (&quot;0%&quot; Confidence)&quot;"/>
    <numFmt numFmtId="190" formatCode="&quot;Cost&quot;"/>
    <numFmt numFmtId="191" formatCode="0000"/>
    <numFmt numFmtId="192" formatCode="#,##0.0\ &quot;MO&quot;"/>
    <numFmt numFmtId="193" formatCode="&quot; Contingency at  (&quot;0%&quot; Confidence)&quot;"/>
  </numFmts>
  <fonts count="44" x14ac:knownFonts="1">
    <font>
      <sz val="11"/>
      <color theme="1"/>
      <name val="Calibri"/>
      <family val="2"/>
      <scheme val="minor"/>
    </font>
    <font>
      <sz val="11"/>
      <color theme="1"/>
      <name val="Calibri"/>
      <family val="2"/>
      <scheme val="minor"/>
    </font>
    <font>
      <sz val="11"/>
      <color rgb="FF3F3F76"/>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6"/>
      <color theme="1"/>
      <name val="Calibri"/>
      <family val="2"/>
      <scheme val="minor"/>
    </font>
    <font>
      <b/>
      <sz val="11"/>
      <name val="Calibri"/>
      <family val="2"/>
      <scheme val="minor"/>
    </font>
    <font>
      <b/>
      <u/>
      <sz val="11"/>
      <name val="Calibri"/>
      <family val="2"/>
      <scheme val="minor"/>
    </font>
    <font>
      <b/>
      <sz val="14"/>
      <name val="Calibri"/>
      <family val="2"/>
      <scheme val="minor"/>
    </font>
    <font>
      <b/>
      <sz val="16"/>
      <name val="Calibri"/>
      <family val="2"/>
      <scheme val="minor"/>
    </font>
    <font>
      <i/>
      <sz val="11"/>
      <name val="Calibri"/>
      <family val="2"/>
      <scheme val="minor"/>
    </font>
    <font>
      <b/>
      <sz val="11"/>
      <color theme="4"/>
      <name val="Calibri"/>
      <family val="2"/>
      <scheme val="minor"/>
    </font>
    <font>
      <sz val="14"/>
      <color theme="1"/>
      <name val="Calibri"/>
      <family val="2"/>
      <scheme val="minor"/>
    </font>
    <font>
      <sz val="16"/>
      <name val="Calibri"/>
      <family val="2"/>
      <scheme val="minor"/>
    </font>
    <font>
      <sz val="16"/>
      <color theme="1"/>
      <name val="Calibri"/>
      <family val="2"/>
      <scheme val="minor"/>
    </font>
    <font>
      <b/>
      <sz val="11"/>
      <color theme="4" tint="-0.249977111117893"/>
      <name val="Calibri"/>
      <family val="2"/>
      <scheme val="minor"/>
    </font>
    <font>
      <b/>
      <sz val="11"/>
      <color rgb="FF0000FF"/>
      <name val="Calibri"/>
      <family val="2"/>
      <scheme val="minor"/>
    </font>
    <font>
      <i/>
      <sz val="11"/>
      <color theme="1"/>
      <name val="Calibri"/>
      <family val="2"/>
      <scheme val="minor"/>
    </font>
    <font>
      <sz val="9"/>
      <name val="Calibri"/>
      <family val="2"/>
      <scheme val="minor"/>
    </font>
    <font>
      <sz val="11"/>
      <color rgb="FF000000"/>
      <name val="Calibri"/>
      <family val="2"/>
      <scheme val="minor"/>
    </font>
    <font>
      <i/>
      <sz val="9"/>
      <color theme="1"/>
      <name val="Calibri"/>
      <family val="2"/>
      <scheme val="minor"/>
    </font>
    <font>
      <b/>
      <sz val="11"/>
      <color indexed="9"/>
      <name val="Calibri"/>
      <family val="2"/>
      <scheme val="minor"/>
    </font>
    <font>
      <b/>
      <sz val="14"/>
      <color theme="0"/>
      <name val="Calibri"/>
      <family val="2"/>
      <scheme val="minor"/>
    </font>
    <font>
      <sz val="11"/>
      <color indexed="8"/>
      <name val="Calibri"/>
      <family val="2"/>
      <scheme val="minor"/>
    </font>
    <font>
      <sz val="11"/>
      <color indexed="9"/>
      <name val="Calibri"/>
      <family val="2"/>
      <scheme val="minor"/>
    </font>
    <font>
      <sz val="16"/>
      <color indexed="9"/>
      <name val="Calibri"/>
      <family val="2"/>
      <scheme val="minor"/>
    </font>
    <font>
      <sz val="11"/>
      <color theme="0" tint="-0.499984740745262"/>
      <name val="Calibri"/>
      <family val="2"/>
      <scheme val="minor"/>
    </font>
    <font>
      <sz val="11"/>
      <color rgb="FFFFFFCC"/>
      <name val="Calibri"/>
      <family val="2"/>
      <scheme val="minor"/>
    </font>
    <font>
      <b/>
      <sz val="14"/>
      <color theme="0" tint="-0.14999847407452621"/>
      <name val="Calibri"/>
      <family val="2"/>
      <scheme val="minor"/>
    </font>
    <font>
      <b/>
      <u/>
      <sz val="11"/>
      <color theme="1"/>
      <name val="Calibri"/>
      <family val="2"/>
      <scheme val="minor"/>
    </font>
    <font>
      <b/>
      <i/>
      <sz val="11"/>
      <color theme="1"/>
      <name val="Calibri"/>
      <family val="2"/>
      <scheme val="minor"/>
    </font>
    <font>
      <b/>
      <i/>
      <sz val="11"/>
      <name val="Calibri"/>
      <family val="2"/>
      <scheme val="minor"/>
    </font>
    <font>
      <b/>
      <sz val="11"/>
      <color theme="0" tint="-0.14999847407452621"/>
      <name val="Calibri"/>
      <family val="2"/>
      <scheme val="minor"/>
    </font>
    <font>
      <sz val="11"/>
      <color theme="0" tint="-0.14999847407452621"/>
      <name val="Calibri"/>
      <family val="2"/>
      <scheme val="minor"/>
    </font>
    <font>
      <b/>
      <u/>
      <sz val="11"/>
      <color theme="0" tint="-0.14999847407452621"/>
      <name val="Calibri"/>
      <family val="2"/>
      <scheme val="minor"/>
    </font>
    <font>
      <u/>
      <sz val="11"/>
      <color theme="10"/>
      <name val="Calibri"/>
      <family val="2"/>
      <scheme val="minor"/>
    </font>
    <font>
      <sz val="11"/>
      <color rgb="FF0000FF"/>
      <name val="Calibri"/>
      <family val="2"/>
      <scheme val="minor"/>
    </font>
    <font>
      <b/>
      <u/>
      <sz val="11"/>
      <color rgb="FF0000FF"/>
      <name val="Calibri"/>
      <family val="2"/>
      <scheme val="minor"/>
    </font>
    <font>
      <b/>
      <u/>
      <sz val="11"/>
      <color rgb="FF000000"/>
      <name val="Calibri"/>
      <family val="2"/>
      <scheme val="minor"/>
    </font>
    <font>
      <sz val="11"/>
      <color rgb="FFFF0000"/>
      <name val="Calibri"/>
      <family val="2"/>
      <scheme val="minor"/>
    </font>
    <font>
      <sz val="8"/>
      <name val="Calibri"/>
      <family val="2"/>
      <scheme val="minor"/>
    </font>
    <font>
      <i/>
      <sz val="9"/>
      <name val="Calibri"/>
      <family val="2"/>
      <scheme val="minor"/>
    </font>
  </fonts>
  <fills count="46">
    <fill>
      <patternFill patternType="none"/>
    </fill>
    <fill>
      <patternFill patternType="gray125"/>
    </fill>
    <fill>
      <patternFill patternType="solid">
        <fgColor theme="0" tint="-0.14999847407452621"/>
        <bgColor theme="0" tint="-0.14999847407452621"/>
      </patternFill>
    </fill>
    <fill>
      <patternFill patternType="solid">
        <fgColor theme="6"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F2F2F2"/>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1"/>
        <bgColor indexed="64"/>
      </patternFill>
    </fill>
    <fill>
      <patternFill patternType="solid">
        <fgColor indexed="9"/>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FFFFCC"/>
        <bgColor indexed="64"/>
      </patternFill>
    </fill>
    <fill>
      <patternFill patternType="solid">
        <fgColor theme="0"/>
        <bgColor theme="4" tint="0.79998168889431442"/>
      </patternFill>
    </fill>
    <fill>
      <gradientFill degree="90">
        <stop position="0">
          <color theme="6" tint="0.80001220740379042"/>
        </stop>
        <stop position="1">
          <color theme="6" tint="0.40000610370189521"/>
        </stop>
      </gradientFill>
    </fill>
    <fill>
      <patternFill patternType="solid">
        <fgColor rgb="FF00FFFF"/>
        <bgColor indexed="64"/>
      </patternFill>
    </fill>
    <fill>
      <patternFill patternType="solid">
        <fgColor rgb="FFFFC000"/>
        <bgColor indexed="64"/>
      </patternFill>
    </fill>
    <fill>
      <patternFill patternType="solid">
        <fgColor theme="1"/>
        <bgColor theme="4"/>
      </patternFill>
    </fill>
    <fill>
      <patternFill patternType="solid">
        <fgColor rgb="FFFF0000"/>
        <bgColor auto="1"/>
      </patternFill>
    </fill>
    <fill>
      <patternFill patternType="solid">
        <fgColor theme="6" tint="0.39994506668294322"/>
        <bgColor indexed="64"/>
      </patternFill>
    </fill>
    <fill>
      <patternFill patternType="solid">
        <fgColor rgb="FFFFFF00"/>
        <bgColor indexed="64"/>
      </patternFill>
    </fill>
    <fill>
      <patternFill patternType="solid">
        <fgColor indexed="42"/>
        <bgColor indexed="64"/>
      </patternFill>
    </fill>
    <fill>
      <gradientFill degree="90">
        <stop position="0">
          <color rgb="FFFFFFCC"/>
        </stop>
        <stop position="1">
          <color rgb="FFFFFF99"/>
        </stop>
      </gradientFill>
    </fill>
    <fill>
      <patternFill patternType="solid">
        <fgColor theme="9" tint="0.59999389629810485"/>
        <bgColor indexed="64"/>
      </patternFill>
    </fill>
    <fill>
      <patternFill patternType="solid">
        <fgColor theme="8" tint="0.59999389629810485"/>
        <bgColor auto="1"/>
      </patternFill>
    </fill>
    <fill>
      <patternFill patternType="solid">
        <fgColor theme="0" tint="-0.14996795556505021"/>
        <bgColor auto="1"/>
      </patternFill>
    </fill>
    <fill>
      <patternFill patternType="solid">
        <fgColor theme="8" tint="0.39997558519241921"/>
        <bgColor indexed="64"/>
      </patternFill>
    </fill>
    <fill>
      <patternFill patternType="solid">
        <fgColor rgb="FFFFC000"/>
        <bgColor auto="1"/>
      </patternFill>
    </fill>
    <fill>
      <patternFill patternType="solid">
        <fgColor theme="0" tint="-0.14999847407452621"/>
        <bgColor auto="1"/>
      </patternFill>
    </fill>
    <fill>
      <patternFill patternType="solid">
        <fgColor theme="2" tint="-9.9978637043366805E-2"/>
        <bgColor indexed="64"/>
      </patternFill>
    </fill>
    <fill>
      <patternFill patternType="solid">
        <fgColor rgb="FFA29791"/>
        <bgColor indexed="64"/>
      </patternFill>
    </fill>
    <fill>
      <patternFill patternType="solid">
        <fgColor indexed="65"/>
        <bgColor indexed="64"/>
      </patternFill>
    </fill>
    <fill>
      <patternFill patternType="solid">
        <fgColor theme="2" tint="-0.499984740745262"/>
        <bgColor indexed="64"/>
      </patternFill>
    </fill>
    <fill>
      <patternFill patternType="solid">
        <fgColor theme="0" tint="-0.14999847407452621"/>
        <bgColor theme="4" tint="0.79998168889431442"/>
      </patternFill>
    </fill>
    <fill>
      <patternFill patternType="solid">
        <fgColor rgb="FF00B050"/>
        <bgColor indexed="64"/>
      </patternFill>
    </fill>
    <fill>
      <patternFill patternType="solid">
        <fgColor rgb="FF00FF00"/>
        <bgColor indexed="64"/>
      </patternFill>
    </fill>
    <fill>
      <patternFill patternType="solid">
        <fgColor rgb="FF00B0F0"/>
        <bgColor indexed="64"/>
      </patternFill>
    </fill>
    <fill>
      <patternFill patternType="solid">
        <fgColor theme="4" tint="0.59996337778862885"/>
        <bgColor indexed="64"/>
      </patternFill>
    </fill>
    <fill>
      <patternFill patternType="solid">
        <fgColor theme="3" tint="0.59999389629810485"/>
        <bgColor indexed="64"/>
      </patternFill>
    </fill>
    <fill>
      <patternFill patternType="solid">
        <fgColor theme="7" tint="0.39997558519241921"/>
        <bgColor indexed="64"/>
      </patternFill>
    </fill>
  </fills>
  <borders count="113">
    <border>
      <left/>
      <right/>
      <top/>
      <bottom/>
      <diagonal/>
    </border>
    <border>
      <left style="thin">
        <color rgb="FF7F7F7F"/>
      </left>
      <right style="thin">
        <color rgb="FF7F7F7F"/>
      </right>
      <top style="thin">
        <color rgb="FF7F7F7F"/>
      </top>
      <bottom style="thin">
        <color rgb="FF7F7F7F"/>
      </bottom>
      <diagonal/>
    </border>
    <border>
      <left/>
      <right/>
      <top style="thin">
        <color theme="1"/>
      </top>
      <bottom style="thin">
        <color theme="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top/>
      <bottom style="double">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top style="thin">
        <color auto="1"/>
      </top>
      <bottom style="thin">
        <color auto="1"/>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style="thin">
        <color auto="1"/>
      </bottom>
      <diagonal/>
    </border>
    <border>
      <left/>
      <right style="thin">
        <color indexed="64"/>
      </right>
      <top/>
      <bottom/>
      <diagonal/>
    </border>
    <border>
      <left/>
      <right style="thin">
        <color indexed="64"/>
      </right>
      <top/>
      <bottom style="thin">
        <color auto="1"/>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thin">
        <color auto="1"/>
      </top>
      <bottom/>
      <diagonal/>
    </border>
    <border>
      <left style="thin">
        <color indexed="9"/>
      </left>
      <right/>
      <top style="thin">
        <color indexed="9"/>
      </top>
      <bottom style="thin">
        <color indexed="9"/>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auto="1"/>
      </top>
      <bottom style="thin">
        <color auto="1"/>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right style="medium">
        <color indexed="64"/>
      </right>
      <top style="thin">
        <color auto="1"/>
      </top>
      <bottom style="thin">
        <color indexed="64"/>
      </bottom>
      <diagonal/>
    </border>
    <border>
      <left style="medium">
        <color indexed="64"/>
      </left>
      <right/>
      <top style="thin">
        <color auto="1"/>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right/>
      <top style="thin">
        <color theme="1"/>
      </top>
      <bottom/>
      <diagonal/>
    </border>
    <border>
      <left/>
      <right/>
      <top style="thin">
        <color theme="1"/>
      </top>
      <bottom style="medium">
        <color theme="1"/>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diagonal/>
    </border>
    <border>
      <left/>
      <right/>
      <top style="medium">
        <color theme="1"/>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style="medium">
        <color theme="1"/>
      </top>
      <bottom style="medium">
        <color theme="1"/>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auto="1"/>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double">
        <color indexed="64"/>
      </bottom>
      <diagonal/>
    </border>
    <border>
      <left/>
      <right/>
      <top style="medium">
        <color auto="1"/>
      </top>
      <bottom style="thin">
        <color theme="0"/>
      </bottom>
      <diagonal/>
    </border>
    <border>
      <left style="medium">
        <color indexed="64"/>
      </left>
      <right style="medium">
        <color indexed="64"/>
      </right>
      <top/>
      <bottom style="thin">
        <color indexed="64"/>
      </bottom>
      <diagonal/>
    </border>
    <border>
      <left/>
      <right/>
      <top/>
      <bottom style="thin">
        <color indexed="64"/>
      </bottom>
      <diagonal/>
    </border>
    <border>
      <left style="thin">
        <color indexed="64"/>
      </left>
      <right/>
      <top style="medium">
        <color indexed="64"/>
      </top>
      <bottom style="medium">
        <color indexed="64"/>
      </bottom>
      <diagonal/>
    </border>
    <border>
      <left style="thin">
        <color indexed="23"/>
      </left>
      <right/>
      <top/>
      <bottom/>
      <diagonal/>
    </border>
    <border>
      <left style="thin">
        <color indexed="23"/>
      </left>
      <right style="thin">
        <color indexed="23"/>
      </right>
      <top style="thin">
        <color indexed="23"/>
      </top>
      <bottom style="thin">
        <color indexed="23"/>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9"/>
      </right>
      <top/>
      <bottom style="thin">
        <color indexed="9"/>
      </bottom>
      <diagonal/>
    </border>
    <border>
      <left style="thin">
        <color indexed="9"/>
      </left>
      <right style="thin">
        <color indexed="9"/>
      </right>
      <top/>
      <bottom style="thin">
        <color indexed="9"/>
      </bottom>
      <diagonal/>
    </border>
    <border>
      <left style="thin">
        <color indexed="9"/>
      </left>
      <right/>
      <top/>
      <bottom style="thin">
        <color indexed="9"/>
      </bottom>
      <diagonal/>
    </border>
    <border>
      <left/>
      <right/>
      <top style="medium">
        <color indexed="64"/>
      </top>
      <bottom style="double">
        <color indexed="64"/>
      </bottom>
      <diagonal/>
    </border>
    <border>
      <left style="medium">
        <color indexed="64"/>
      </left>
      <right/>
      <top style="medium">
        <color indexed="64"/>
      </top>
      <bottom style="double">
        <color indexed="64"/>
      </bottom>
      <diagonal/>
    </border>
    <border>
      <left style="medium">
        <color indexed="64"/>
      </left>
      <right/>
      <top style="thin">
        <color auto="1"/>
      </top>
      <bottom/>
      <diagonal/>
    </border>
  </borders>
  <cellStyleXfs count="10">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18" borderId="1" applyNumberFormat="0" applyFont="0" applyBorder="0" applyAlignment="0" applyProtection="0"/>
    <xf numFmtId="0" fontId="3" fillId="14" borderId="0" applyNumberFormat="0" applyBorder="0" applyAlignment="0" applyProtection="0">
      <alignment horizontal="left"/>
    </xf>
    <xf numFmtId="0" fontId="3" fillId="38" borderId="0" applyNumberFormat="0" applyBorder="0" applyAlignment="0" applyProtection="0">
      <alignment horizontal="left"/>
    </xf>
    <xf numFmtId="0" fontId="3" fillId="36" borderId="0" applyNumberFormat="0" applyBorder="0" applyAlignment="0" applyProtection="0">
      <alignment horizontal="left"/>
    </xf>
    <xf numFmtId="0" fontId="37" fillId="0" borderId="0" applyNumberFormat="0" applyFill="0" applyBorder="0" applyAlignment="0" applyProtection="0"/>
    <xf numFmtId="0" fontId="1" fillId="0" borderId="0"/>
    <xf numFmtId="9" fontId="1" fillId="0" borderId="0" applyFont="0" applyFill="0" applyBorder="0" applyAlignment="0" applyProtection="0"/>
  </cellStyleXfs>
  <cellXfs count="1072">
    <xf numFmtId="0" fontId="0" fillId="0" borderId="0" xfId="0"/>
    <xf numFmtId="0" fontId="1" fillId="0" borderId="0" xfId="0" applyFont="1"/>
    <xf numFmtId="0" fontId="5" fillId="0" borderId="0" xfId="0" applyFont="1" applyAlignment="1">
      <alignment horizontal="center"/>
    </xf>
    <xf numFmtId="164" fontId="6" fillId="0" borderId="0" xfId="0" applyNumberFormat="1" applyFont="1" applyAlignment="1">
      <alignment horizontal="center" vertical="top"/>
    </xf>
    <xf numFmtId="14" fontId="6" fillId="0" borderId="0" xfId="0" applyNumberFormat="1" applyFont="1" applyAlignment="1">
      <alignment horizontal="center" vertical="top"/>
    </xf>
    <xf numFmtId="0" fontId="6" fillId="0" borderId="0" xfId="0" applyFont="1" applyAlignment="1">
      <alignment horizontal="left" vertical="top" wrapText="1"/>
    </xf>
    <xf numFmtId="0" fontId="6" fillId="0" borderId="0" xfId="0" applyFont="1" applyAlignment="1">
      <alignment horizontal="center" vertical="top"/>
    </xf>
    <xf numFmtId="0" fontId="7" fillId="0" borderId="0" xfId="0" applyFont="1"/>
    <xf numFmtId="0" fontId="6" fillId="0" borderId="0" xfId="0" applyFont="1"/>
    <xf numFmtId="0" fontId="8" fillId="0" borderId="0" xfId="0" applyFont="1" applyAlignment="1">
      <alignment horizontal="center"/>
    </xf>
    <xf numFmtId="0" fontId="8" fillId="0" borderId="0" xfId="0" applyFont="1" applyAlignment="1">
      <alignment horizontal="center" vertical="top"/>
    </xf>
    <xf numFmtId="0" fontId="6" fillId="3" borderId="0" xfId="0" applyFont="1" applyFill="1" applyAlignment="1">
      <alignment horizontal="left" vertical="center" indent="1"/>
    </xf>
    <xf numFmtId="0" fontId="6" fillId="3" borderId="0" xfId="0" applyFont="1" applyFill="1" applyAlignment="1">
      <alignment horizontal="left" vertical="center" indent="5"/>
    </xf>
    <xf numFmtId="0" fontId="6" fillId="3" borderId="0" xfId="0" applyFont="1" applyFill="1"/>
    <xf numFmtId="0" fontId="6" fillId="3" borderId="3" xfId="0" applyFont="1" applyFill="1" applyBorder="1" applyAlignment="1">
      <alignment horizontal="center" vertical="center"/>
    </xf>
    <xf numFmtId="0" fontId="6" fillId="3" borderId="0" xfId="0" applyFont="1" applyFill="1" applyAlignment="1">
      <alignment vertical="center"/>
    </xf>
    <xf numFmtId="0" fontId="6" fillId="0" borderId="6" xfId="0" applyFont="1" applyBorder="1" applyAlignment="1">
      <alignment horizontal="center" vertical="top" wrapText="1"/>
    </xf>
    <xf numFmtId="0" fontId="6" fillId="4" borderId="5" xfId="0" applyFont="1" applyFill="1" applyBorder="1" applyAlignment="1">
      <alignment horizontal="center" vertical="top" wrapText="1"/>
    </xf>
    <xf numFmtId="165" fontId="6" fillId="0" borderId="5" xfId="0" applyNumberFormat="1" applyFont="1" applyBorder="1" applyAlignment="1">
      <alignment horizontal="center" vertical="top" wrapText="1"/>
    </xf>
    <xf numFmtId="0" fontId="6" fillId="0" borderId="4" xfId="0" applyFont="1" applyBorder="1" applyAlignment="1">
      <alignment horizontal="left" vertical="center" wrapText="1"/>
    </xf>
    <xf numFmtId="0" fontId="6" fillId="0" borderId="4" xfId="0" applyFont="1" applyBorder="1" applyAlignment="1">
      <alignment horizontal="left" vertical="center" wrapText="1" indent="1"/>
    </xf>
    <xf numFmtId="0" fontId="6" fillId="0" borderId="4" xfId="0" applyFont="1" applyBorder="1" applyAlignment="1">
      <alignment horizontal="left" vertical="top" wrapText="1"/>
    </xf>
    <xf numFmtId="0" fontId="6" fillId="0" borderId="4" xfId="0" applyFont="1" applyBorder="1" applyAlignment="1">
      <alignment horizontal="left" vertical="top" wrapText="1" indent="1"/>
    </xf>
    <xf numFmtId="0" fontId="6" fillId="0" borderId="4" xfId="0" applyFont="1" applyBorder="1" applyAlignment="1">
      <alignment wrapText="1"/>
    </xf>
    <xf numFmtId="0" fontId="6" fillId="0" borderId="4" xfId="0" applyFont="1" applyBorder="1" applyAlignment="1">
      <alignment horizontal="left" wrapText="1" indent="1"/>
    </xf>
    <xf numFmtId="0" fontId="8" fillId="0" borderId="4" xfId="0" applyFont="1" applyBorder="1" applyAlignment="1">
      <alignment horizontal="left" vertical="center" wrapText="1"/>
    </xf>
    <xf numFmtId="0" fontId="8" fillId="0" borderId="4" xfId="0" applyFont="1" applyBorder="1" applyAlignment="1">
      <alignment horizontal="left" vertical="top" wrapText="1"/>
    </xf>
    <xf numFmtId="0" fontId="6" fillId="0" borderId="0" xfId="0" applyFont="1" applyAlignment="1">
      <alignment wrapText="1"/>
    </xf>
    <xf numFmtId="0" fontId="6" fillId="4" borderId="0" xfId="0" applyFont="1" applyFill="1"/>
    <xf numFmtId="0" fontId="6" fillId="4" borderId="0" xfId="0" applyFont="1" applyFill="1" applyAlignment="1">
      <alignment horizontal="right" vertical="center" indent="1"/>
    </xf>
    <xf numFmtId="0" fontId="6" fillId="4" borderId="0" xfId="0" applyFont="1" applyFill="1" applyAlignment="1">
      <alignment horizontal="right" vertical="center"/>
    </xf>
    <xf numFmtId="0" fontId="14" fillId="0" borderId="0" xfId="0" applyFont="1"/>
    <xf numFmtId="0" fontId="15" fillId="4" borderId="0" xfId="0" applyFont="1" applyFill="1"/>
    <xf numFmtId="0" fontId="11" fillId="4" borderId="7" xfId="0" applyFont="1" applyFill="1" applyBorder="1"/>
    <xf numFmtId="0" fontId="15" fillId="4" borderId="7" xfId="0" applyFont="1" applyFill="1" applyBorder="1"/>
    <xf numFmtId="0" fontId="16" fillId="0" borderId="0" xfId="0" applyFont="1"/>
    <xf numFmtId="1" fontId="0" fillId="0" borderId="0" xfId="0" applyNumberFormat="1"/>
    <xf numFmtId="1" fontId="0" fillId="8" borderId="0" xfId="0" applyNumberFormat="1" applyFill="1" applyAlignment="1">
      <alignment horizontal="center"/>
    </xf>
    <xf numFmtId="0" fontId="0" fillId="8" borderId="0" xfId="0" applyFill="1"/>
    <xf numFmtId="1" fontId="0" fillId="9" borderId="4" xfId="0" applyNumberFormat="1" applyFill="1" applyBorder="1" applyAlignment="1">
      <alignment horizontal="center" vertical="center"/>
    </xf>
    <xf numFmtId="1" fontId="0" fillId="8" borderId="23" xfId="0" applyNumberFormat="1" applyFill="1" applyBorder="1" applyAlignment="1">
      <alignment horizontal="center" vertical="center"/>
    </xf>
    <xf numFmtId="1" fontId="0" fillId="8" borderId="0" xfId="0" applyNumberFormat="1" applyFill="1" applyAlignment="1" applyProtection="1">
      <alignment horizontal="center"/>
      <protection hidden="1"/>
    </xf>
    <xf numFmtId="0" fontId="0" fillId="3" borderId="13" xfId="0" applyFill="1" applyBorder="1" applyAlignment="1">
      <alignment horizontal="center"/>
    </xf>
    <xf numFmtId="0" fontId="0" fillId="3" borderId="20" xfId="0" applyFill="1" applyBorder="1" applyAlignment="1">
      <alignment horizontal="center"/>
    </xf>
    <xf numFmtId="0" fontId="0" fillId="8" borderId="13" xfId="0" applyFill="1" applyBorder="1" applyAlignment="1">
      <alignment horizontal="right"/>
    </xf>
    <xf numFmtId="0" fontId="0" fillId="8" borderId="0" xfId="0" applyFill="1" applyAlignment="1">
      <alignment horizontal="left"/>
    </xf>
    <xf numFmtId="167" fontId="0" fillId="8" borderId="0" xfId="0" applyNumberFormat="1" applyFill="1"/>
    <xf numFmtId="0" fontId="8" fillId="8" borderId="0" xfId="0" applyFont="1" applyFill="1" applyAlignment="1">
      <alignment horizontal="right"/>
    </xf>
    <xf numFmtId="0" fontId="4" fillId="8" borderId="0" xfId="0" applyFont="1" applyFill="1" applyAlignment="1" applyProtection="1">
      <alignment horizontal="right"/>
      <protection locked="0"/>
    </xf>
    <xf numFmtId="0" fontId="4" fillId="8" borderId="0" xfId="0" applyFont="1" applyFill="1" applyAlignment="1">
      <alignment horizontal="right"/>
    </xf>
    <xf numFmtId="0" fontId="0" fillId="8" borderId="0" xfId="0" applyFill="1" applyAlignment="1">
      <alignment horizontal="center"/>
    </xf>
    <xf numFmtId="0" fontId="19" fillId="8" borderId="0" xfId="0" applyFont="1" applyFill="1" applyAlignment="1">
      <alignment horizontal="right" vertical="top"/>
    </xf>
    <xf numFmtId="0" fontId="19" fillId="8" borderId="0" xfId="0" applyFont="1" applyFill="1" applyAlignment="1">
      <alignment horizontal="center" vertical="top"/>
    </xf>
    <xf numFmtId="9" fontId="18" fillId="3" borderId="15" xfId="0" applyNumberFormat="1" applyFont="1" applyFill="1" applyBorder="1" applyAlignment="1" applyProtection="1">
      <alignment horizontal="center" vertical="center"/>
      <protection locked="0"/>
    </xf>
    <xf numFmtId="0" fontId="18" fillId="8" borderId="17" xfId="0" applyFont="1" applyFill="1" applyBorder="1" applyAlignment="1" applyProtection="1">
      <alignment vertical="center"/>
      <protection locked="0"/>
    </xf>
    <xf numFmtId="0" fontId="8" fillId="13" borderId="17" xfId="0" applyFont="1" applyFill="1" applyBorder="1" applyAlignment="1">
      <alignment vertical="center"/>
    </xf>
    <xf numFmtId="0" fontId="5" fillId="8" borderId="0" xfId="0" applyFont="1" applyFill="1" applyProtection="1">
      <protection hidden="1"/>
    </xf>
    <xf numFmtId="0" fontId="8" fillId="8" borderId="0" xfId="0" applyFont="1" applyFill="1"/>
    <xf numFmtId="0" fontId="4" fillId="8" borderId="20" xfId="0" applyFont="1" applyFill="1" applyBorder="1"/>
    <xf numFmtId="168" fontId="18" fillId="8" borderId="0" xfId="0" applyNumberFormat="1" applyFont="1" applyFill="1"/>
    <xf numFmtId="168" fontId="0" fillId="8" borderId="8" xfId="0" applyNumberFormat="1" applyFill="1" applyBorder="1"/>
    <xf numFmtId="168" fontId="4" fillId="12" borderId="10" xfId="0" applyNumberFormat="1" applyFont="1" applyFill="1" applyBorder="1"/>
    <xf numFmtId="168" fontId="0" fillId="3" borderId="5" xfId="0" applyNumberFormat="1" applyFill="1" applyBorder="1" applyAlignment="1">
      <alignment vertical="center"/>
    </xf>
    <xf numFmtId="168" fontId="0" fillId="3" borderId="14" xfId="0" applyNumberFormat="1" applyFill="1" applyBorder="1" applyAlignment="1">
      <alignment vertical="center"/>
    </xf>
    <xf numFmtId="168" fontId="0" fillId="3" borderId="0" xfId="0" applyNumberFormat="1" applyFill="1"/>
    <xf numFmtId="168" fontId="0" fillId="3" borderId="12" xfId="0" applyNumberFormat="1" applyFill="1" applyBorder="1"/>
    <xf numFmtId="168" fontId="0" fillId="3" borderId="8" xfId="0" applyNumberFormat="1" applyFill="1" applyBorder="1"/>
    <xf numFmtId="168" fontId="0" fillId="3" borderId="19" xfId="0" applyNumberFormat="1" applyFill="1" applyBorder="1"/>
    <xf numFmtId="168" fontId="0" fillId="3" borderId="16" xfId="0" applyNumberFormat="1" applyFill="1" applyBorder="1"/>
    <xf numFmtId="168" fontId="4" fillId="3" borderId="10" xfId="0" applyNumberFormat="1" applyFont="1" applyFill="1" applyBorder="1"/>
    <xf numFmtId="168" fontId="4" fillId="3" borderId="9" xfId="0" applyNumberFormat="1" applyFont="1" applyFill="1" applyBorder="1"/>
    <xf numFmtId="0" fontId="0" fillId="10" borderId="10" xfId="0" applyFill="1" applyBorder="1"/>
    <xf numFmtId="42" fontId="4" fillId="10" borderId="10" xfId="0" applyNumberFormat="1" applyFont="1" applyFill="1" applyBorder="1" applyAlignment="1">
      <alignment horizontal="right"/>
    </xf>
    <xf numFmtId="168" fontId="4" fillId="10" borderId="10" xfId="0" applyNumberFormat="1" applyFont="1" applyFill="1" applyBorder="1" applyAlignment="1">
      <alignment horizontal="right"/>
    </xf>
    <xf numFmtId="168" fontId="4" fillId="10" borderId="9" xfId="0" applyNumberFormat="1" applyFont="1" applyFill="1" applyBorder="1" applyAlignment="1">
      <alignment horizontal="right"/>
    </xf>
    <xf numFmtId="0" fontId="11" fillId="8" borderId="0" xfId="0" applyFont="1" applyFill="1" applyAlignment="1">
      <alignment horizontal="center" vertical="center"/>
    </xf>
    <xf numFmtId="0" fontId="0" fillId="0" borderId="0" xfId="0" applyAlignment="1">
      <alignment horizontal="center"/>
    </xf>
    <xf numFmtId="0" fontId="5" fillId="0" borderId="0" xfId="0" applyFont="1"/>
    <xf numFmtId="0" fontId="21" fillId="0" borderId="0" xfId="0" applyFont="1" applyAlignment="1">
      <alignment horizontal="left" vertical="top"/>
    </xf>
    <xf numFmtId="0" fontId="6" fillId="0" borderId="0" xfId="0" applyFont="1" applyAlignment="1">
      <alignment horizontal="left" vertical="center" wrapText="1"/>
    </xf>
    <xf numFmtId="0" fontId="6" fillId="15" borderId="0" xfId="0" applyFont="1" applyFill="1"/>
    <xf numFmtId="0" fontId="8" fillId="0" borderId="28" xfId="0" applyFont="1" applyBorder="1" applyAlignment="1">
      <alignment horizontal="right" indent="1"/>
    </xf>
    <xf numFmtId="0" fontId="6" fillId="15" borderId="0" xfId="0" applyFont="1" applyFill="1" applyAlignment="1">
      <alignment horizontal="center"/>
    </xf>
    <xf numFmtId="0" fontId="6" fillId="15" borderId="0" xfId="0" applyFont="1" applyFill="1" applyAlignment="1">
      <alignment horizontal="left" indent="1"/>
    </xf>
    <xf numFmtId="0" fontId="6" fillId="8" borderId="0" xfId="0" applyFont="1" applyFill="1" applyAlignment="1">
      <alignment horizontal="right"/>
    </xf>
    <xf numFmtId="0" fontId="6" fillId="15" borderId="0" xfId="0" applyFont="1" applyFill="1" applyAlignment="1">
      <alignment horizontal="left"/>
    </xf>
    <xf numFmtId="0" fontId="8" fillId="8" borderId="0" xfId="0" applyFont="1" applyFill="1" applyAlignment="1">
      <alignment horizontal="left" vertical="top"/>
    </xf>
    <xf numFmtId="0" fontId="8" fillId="8" borderId="0" xfId="0" applyFont="1" applyFill="1" applyAlignment="1">
      <alignment horizontal="right" vertical="top" wrapText="1"/>
    </xf>
    <xf numFmtId="0" fontId="15" fillId="0" borderId="0" xfId="0" applyFont="1"/>
    <xf numFmtId="0" fontId="8" fillId="16" borderId="0" xfId="0" applyFont="1" applyFill="1" applyAlignment="1">
      <alignment horizontal="center" vertical="center"/>
    </xf>
    <xf numFmtId="0" fontId="6" fillId="0" borderId="0" xfId="0" applyFont="1" applyAlignment="1">
      <alignment horizontal="left" vertical="center"/>
    </xf>
    <xf numFmtId="0" fontId="6" fillId="15" borderId="0" xfId="0" applyFont="1" applyFill="1" applyAlignment="1">
      <alignment vertical="top"/>
    </xf>
    <xf numFmtId="0" fontId="6" fillId="0" borderId="22" xfId="0" applyFont="1" applyBorder="1"/>
    <xf numFmtId="0" fontId="0" fillId="8" borderId="0" xfId="0" applyFill="1" applyAlignment="1" applyProtection="1">
      <alignment horizontal="center"/>
      <protection locked="0"/>
    </xf>
    <xf numFmtId="0" fontId="0" fillId="8" borderId="0" xfId="0" applyFill="1" applyAlignment="1" applyProtection="1">
      <alignment horizontal="right" vertical="center" indent="1"/>
      <protection locked="0"/>
    </xf>
    <xf numFmtId="0" fontId="6" fillId="0" borderId="17" xfId="0" applyFont="1" applyBorder="1"/>
    <xf numFmtId="0" fontId="6" fillId="0" borderId="23" xfId="0" applyFont="1" applyBorder="1"/>
    <xf numFmtId="0" fontId="6" fillId="0" borderId="0" xfId="0" applyFont="1" applyAlignment="1">
      <alignment vertical="center"/>
    </xf>
    <xf numFmtId="0" fontId="12" fillId="15" borderId="0" xfId="0" applyFont="1" applyFill="1" applyAlignment="1">
      <alignment vertical="center" wrapText="1"/>
    </xf>
    <xf numFmtId="0" fontId="6" fillId="8" borderId="0" xfId="0" applyFont="1" applyFill="1"/>
    <xf numFmtId="0" fontId="6" fillId="0" borderId="13" xfId="0" applyFont="1" applyBorder="1" applyAlignment="1">
      <alignment horizontal="left" vertical="center" indent="2"/>
    </xf>
    <xf numFmtId="0" fontId="6" fillId="0" borderId="26" xfId="0" applyFont="1" applyBorder="1" applyAlignment="1">
      <alignment horizontal="left" vertical="center" indent="2"/>
    </xf>
    <xf numFmtId="9" fontId="6" fillId="0" borderId="0" xfId="2" applyFont="1" applyBorder="1" applyAlignment="1">
      <alignment horizontal="center" vertical="center"/>
    </xf>
    <xf numFmtId="0" fontId="6" fillId="15" borderId="0" xfId="0" applyFont="1" applyFill="1" applyAlignment="1">
      <alignment horizontal="left" vertical="center" wrapText="1" indent="1"/>
    </xf>
    <xf numFmtId="0" fontId="6" fillId="0" borderId="20" xfId="0" applyFont="1" applyBorder="1" applyAlignment="1">
      <alignment horizontal="left" vertical="center" indent="2"/>
    </xf>
    <xf numFmtId="0" fontId="12" fillId="0" borderId="0" xfId="0" applyFont="1"/>
    <xf numFmtId="0" fontId="12" fillId="0" borderId="0" xfId="0" applyFont="1" applyAlignment="1">
      <alignment horizontal="left"/>
    </xf>
    <xf numFmtId="0" fontId="12" fillId="15" borderId="24" xfId="0" applyFont="1" applyFill="1" applyBorder="1" applyAlignment="1">
      <alignment vertical="center" wrapText="1"/>
    </xf>
    <xf numFmtId="9" fontId="0" fillId="0" borderId="0" xfId="2" applyFont="1" applyBorder="1" applyAlignment="1"/>
    <xf numFmtId="0" fontId="0" fillId="0" borderId="0" xfId="2" applyNumberFormat="1" applyFont="1" applyBorder="1" applyAlignment="1"/>
    <xf numFmtId="0" fontId="3" fillId="23" borderId="55" xfId="0" applyFont="1" applyFill="1" applyBorder="1" applyAlignment="1">
      <alignment horizontal="center" vertical="center" wrapText="1"/>
    </xf>
    <xf numFmtId="0" fontId="4" fillId="20" borderId="8" xfId="0" applyFont="1" applyFill="1" applyBorder="1" applyAlignment="1">
      <alignment vertical="center"/>
    </xf>
    <xf numFmtId="0" fontId="4" fillId="20" borderId="8" xfId="0" applyFont="1" applyFill="1" applyBorder="1" applyAlignment="1">
      <alignment vertical="center" wrapText="1"/>
    </xf>
    <xf numFmtId="0" fontId="0" fillId="20" borderId="8" xfId="0" applyFill="1" applyBorder="1" applyAlignment="1">
      <alignment vertical="center" wrapText="1"/>
    </xf>
    <xf numFmtId="0" fontId="4" fillId="20" borderId="8" xfId="0" applyFont="1" applyFill="1" applyBorder="1" applyAlignment="1">
      <alignment horizontal="left" vertical="center" wrapText="1"/>
    </xf>
    <xf numFmtId="0" fontId="8" fillId="4" borderId="0" xfId="0" applyFont="1" applyFill="1" applyAlignment="1">
      <alignment horizontal="right" vertical="center"/>
    </xf>
    <xf numFmtId="0" fontId="6" fillId="4" borderId="0" xfId="0" applyFont="1" applyFill="1" applyAlignment="1">
      <alignment horizontal="left" vertical="center"/>
    </xf>
    <xf numFmtId="0" fontId="6" fillId="4" borderId="0" xfId="0" applyFont="1" applyFill="1" applyAlignment="1">
      <alignment vertical="center"/>
    </xf>
    <xf numFmtId="0" fontId="6" fillId="4" borderId="0" xfId="0" applyFont="1" applyFill="1" applyAlignment="1">
      <alignment wrapText="1"/>
    </xf>
    <xf numFmtId="168" fontId="0" fillId="2" borderId="55" xfId="0" applyNumberFormat="1" applyFill="1" applyBorder="1" applyAlignment="1">
      <alignment horizontal="center" vertical="center"/>
    </xf>
    <xf numFmtId="168" fontId="0" fillId="0" borderId="46" xfId="0" applyNumberFormat="1" applyBorder="1" applyAlignment="1">
      <alignment horizontal="center" vertical="center"/>
    </xf>
    <xf numFmtId="168" fontId="0" fillId="2" borderId="46" xfId="0" applyNumberFormat="1" applyFill="1" applyBorder="1" applyAlignment="1">
      <alignment horizontal="center" vertical="center"/>
    </xf>
    <xf numFmtId="168" fontId="0" fillId="2" borderId="47" xfId="0" applyNumberFormat="1" applyFill="1" applyBorder="1" applyAlignment="1">
      <alignment horizontal="center" vertical="center"/>
    </xf>
    <xf numFmtId="168" fontId="0" fillId="0" borderId="0" xfId="0" applyNumberFormat="1"/>
    <xf numFmtId="179" fontId="0" fillId="0" borderId="0" xfId="0" applyNumberFormat="1"/>
    <xf numFmtId="0" fontId="0" fillId="0" borderId="0" xfId="0" applyAlignment="1">
      <alignment horizontal="center" vertical="center"/>
    </xf>
    <xf numFmtId="0" fontId="0" fillId="0" borderId="0" xfId="0" applyAlignment="1">
      <alignment wrapText="1"/>
    </xf>
    <xf numFmtId="0" fontId="0" fillId="0" borderId="0" xfId="0" applyAlignment="1">
      <alignment horizontal="center" vertical="center" wrapText="1"/>
    </xf>
    <xf numFmtId="180" fontId="0" fillId="0" borderId="0" xfId="0" applyNumberFormat="1"/>
    <xf numFmtId="0" fontId="0" fillId="20" borderId="8" xfId="0" applyFill="1" applyBorder="1" applyAlignment="1">
      <alignment horizontal="center" vertical="center"/>
    </xf>
    <xf numFmtId="0" fontId="0" fillId="20" borderId="8" xfId="0" applyFill="1" applyBorder="1" applyAlignment="1">
      <alignment horizontal="center" vertical="center" wrapText="1"/>
    </xf>
    <xf numFmtId="168" fontId="4" fillId="20" borderId="71" xfId="1" applyNumberFormat="1" applyFont="1" applyFill="1" applyBorder="1" applyAlignment="1">
      <alignment horizontal="center" vertical="center" wrapText="1"/>
    </xf>
    <xf numFmtId="9" fontId="0" fillId="20" borderId="8" xfId="2" applyFont="1" applyFill="1" applyBorder="1" applyAlignment="1">
      <alignment vertical="center"/>
    </xf>
    <xf numFmtId="0" fontId="0" fillId="20" borderId="8" xfId="2" applyNumberFormat="1" applyFont="1" applyFill="1" applyBorder="1" applyAlignment="1">
      <alignment vertical="center"/>
    </xf>
    <xf numFmtId="168" fontId="4" fillId="24" borderId="71" xfId="1" applyNumberFormat="1" applyFont="1" applyFill="1" applyBorder="1" applyAlignment="1">
      <alignment horizontal="center" vertical="center" wrapText="1"/>
    </xf>
    <xf numFmtId="9" fontId="0" fillId="25" borderId="8" xfId="2" applyFont="1" applyFill="1" applyBorder="1" applyAlignment="1">
      <alignment vertical="center"/>
    </xf>
    <xf numFmtId="0" fontId="8" fillId="4" borderId="0" xfId="0" applyFont="1" applyFill="1" applyAlignment="1">
      <alignment horizontal="left" vertical="center"/>
    </xf>
    <xf numFmtId="0" fontId="8" fillId="4" borderId="0" xfId="0" applyFont="1" applyFill="1"/>
    <xf numFmtId="0" fontId="8" fillId="8" borderId="66" xfId="0" applyFont="1" applyFill="1" applyBorder="1" applyAlignment="1">
      <alignment horizontal="center" vertical="center"/>
    </xf>
    <xf numFmtId="0" fontId="8" fillId="8" borderId="65" xfId="0" applyFont="1" applyFill="1" applyBorder="1" applyAlignment="1">
      <alignment horizontal="center" vertical="center"/>
    </xf>
    <xf numFmtId="0" fontId="8" fillId="8" borderId="70" xfId="0" applyFont="1" applyFill="1" applyBorder="1" applyAlignment="1">
      <alignment horizontal="center" vertical="center"/>
    </xf>
    <xf numFmtId="0" fontId="6" fillId="4" borderId="0" xfId="0" applyFont="1" applyFill="1" applyAlignment="1">
      <alignment horizontal="center" vertical="center"/>
    </xf>
    <xf numFmtId="168" fontId="6" fillId="4" borderId="0" xfId="0" applyNumberFormat="1" applyFont="1" applyFill="1"/>
    <xf numFmtId="180" fontId="6" fillId="4" borderId="0" xfId="0" applyNumberFormat="1" applyFont="1" applyFill="1"/>
    <xf numFmtId="9" fontId="6" fillId="4" borderId="0" xfId="2" applyFont="1" applyFill="1" applyBorder="1" applyAlignment="1"/>
    <xf numFmtId="0" fontId="6" fillId="4" borderId="0" xfId="2" applyNumberFormat="1" applyFont="1" applyFill="1" applyBorder="1" applyAlignment="1"/>
    <xf numFmtId="179" fontId="6" fillId="4" borderId="0" xfId="0" applyNumberFormat="1" applyFont="1" applyFill="1"/>
    <xf numFmtId="166" fontId="8" fillId="4" borderId="0" xfId="0" applyNumberFormat="1" applyFont="1" applyFill="1" applyAlignment="1">
      <alignment horizontal="left" vertical="center"/>
    </xf>
    <xf numFmtId="9" fontId="6" fillId="8" borderId="69" xfId="0" applyNumberFormat="1" applyFont="1" applyFill="1" applyBorder="1" applyAlignment="1">
      <alignment horizontal="center" vertical="center"/>
    </xf>
    <xf numFmtId="9" fontId="6" fillId="8" borderId="68" xfId="0" applyNumberFormat="1" applyFont="1" applyFill="1" applyBorder="1" applyAlignment="1">
      <alignment horizontal="center" vertical="center"/>
    </xf>
    <xf numFmtId="9" fontId="6" fillId="8" borderId="34" xfId="0" applyNumberFormat="1" applyFont="1" applyFill="1" applyBorder="1" applyAlignment="1">
      <alignment horizontal="center" vertical="center"/>
    </xf>
    <xf numFmtId="0" fontId="8" fillId="8" borderId="57" xfId="0" applyFont="1" applyFill="1" applyBorder="1" applyAlignment="1">
      <alignment horizontal="center"/>
    </xf>
    <xf numFmtId="0" fontId="8" fillId="8" borderId="56" xfId="0" applyFont="1" applyFill="1" applyBorder="1" applyAlignment="1">
      <alignment horizontal="center"/>
    </xf>
    <xf numFmtId="0" fontId="8" fillId="8" borderId="38" xfId="0" applyFont="1" applyFill="1" applyBorder="1" applyAlignment="1">
      <alignment horizontal="center"/>
    </xf>
    <xf numFmtId="0" fontId="8" fillId="8" borderId="37" xfId="0" applyFont="1" applyFill="1" applyBorder="1" applyAlignment="1">
      <alignment horizontal="center" vertical="center"/>
    </xf>
    <xf numFmtId="0" fontId="8" fillId="8" borderId="33" xfId="0" applyFont="1" applyFill="1" applyBorder="1" applyAlignment="1">
      <alignment horizontal="center" vertical="center"/>
    </xf>
    <xf numFmtId="0" fontId="4" fillId="0" borderId="53"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52" xfId="0" applyFont="1" applyBorder="1" applyAlignment="1">
      <alignment horizontal="center" vertical="center" wrapText="1"/>
    </xf>
    <xf numFmtId="0" fontId="8" fillId="8" borderId="32" xfId="0" applyFont="1" applyFill="1" applyBorder="1" applyAlignment="1">
      <alignment horizontal="center" vertical="center"/>
    </xf>
    <xf numFmtId="0" fontId="4" fillId="0" borderId="50"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48" xfId="0" applyFont="1" applyBorder="1" applyAlignment="1">
      <alignment horizontal="center" vertical="center" wrapText="1"/>
    </xf>
    <xf numFmtId="0" fontId="8" fillId="0" borderId="43" xfId="0" applyFont="1" applyBorder="1" applyAlignment="1">
      <alignment horizontal="center" vertical="top" wrapText="1"/>
    </xf>
    <xf numFmtId="168" fontId="0" fillId="0" borderId="43" xfId="1" applyNumberFormat="1" applyFont="1" applyFill="1" applyBorder="1" applyAlignment="1">
      <alignment horizontal="center" vertical="center" wrapText="1"/>
    </xf>
    <xf numFmtId="181" fontId="0" fillId="0" borderId="43" xfId="1" applyNumberFormat="1" applyFont="1" applyFill="1" applyBorder="1" applyAlignment="1">
      <alignment horizontal="center" vertical="center" wrapText="1"/>
    </xf>
    <xf numFmtId="168" fontId="0" fillId="0" borderId="43" xfId="2" applyNumberFormat="1" applyFont="1" applyFill="1" applyBorder="1" applyAlignment="1">
      <alignment horizontal="center" vertical="center" wrapText="1"/>
    </xf>
    <xf numFmtId="181" fontId="0" fillId="0" borderId="43" xfId="2" applyNumberFormat="1" applyFont="1" applyFill="1" applyBorder="1" applyAlignment="1">
      <alignment horizontal="center" vertical="center" wrapText="1"/>
    </xf>
    <xf numFmtId="168" fontId="6" fillId="0" borderId="0" xfId="0" applyNumberFormat="1" applyFont="1"/>
    <xf numFmtId="180" fontId="6" fillId="0" borderId="0" xfId="0" applyNumberFormat="1" applyFont="1"/>
    <xf numFmtId="9" fontId="6" fillId="0" borderId="0" xfId="2" applyFont="1" applyBorder="1" applyAlignment="1"/>
    <xf numFmtId="0" fontId="6" fillId="0" borderId="0" xfId="2" applyNumberFormat="1" applyFont="1" applyBorder="1" applyAlignment="1"/>
    <xf numFmtId="179" fontId="6" fillId="0" borderId="0" xfId="0" applyNumberFormat="1" applyFont="1"/>
    <xf numFmtId="0" fontId="8" fillId="0" borderId="0" xfId="0" applyFont="1"/>
    <xf numFmtId="0" fontId="4" fillId="20" borderId="8" xfId="0" applyFont="1" applyFill="1" applyBorder="1" applyAlignment="1">
      <alignment horizontal="right" vertical="center"/>
    </xf>
    <xf numFmtId="0" fontId="7" fillId="20" borderId="8" xfId="0" applyFont="1" applyFill="1" applyBorder="1" applyAlignment="1">
      <alignment vertical="center"/>
    </xf>
    <xf numFmtId="178" fontId="4" fillId="24" borderId="71" xfId="0" applyNumberFormat="1" applyFont="1" applyFill="1" applyBorder="1" applyAlignment="1">
      <alignment horizontal="center" vertical="center"/>
    </xf>
    <xf numFmtId="181" fontId="4" fillId="20" borderId="71" xfId="0" applyNumberFormat="1" applyFont="1" applyFill="1" applyBorder="1" applyAlignment="1">
      <alignment horizontal="center" vertical="center"/>
    </xf>
    <xf numFmtId="0" fontId="6" fillId="0" borderId="63" xfId="0" applyFont="1" applyBorder="1" applyAlignment="1">
      <alignment horizontal="left" vertical="center" wrapText="1" indent="1"/>
    </xf>
    <xf numFmtId="0" fontId="6" fillId="0" borderId="27" xfId="0" applyFont="1" applyBorder="1" applyAlignment="1">
      <alignment horizontal="left" vertical="center" wrapText="1" indent="1"/>
    </xf>
    <xf numFmtId="0" fontId="27" fillId="0" borderId="72" xfId="0" applyFont="1" applyBorder="1" applyAlignment="1">
      <alignment horizontal="center" vertical="center" wrapText="1"/>
    </xf>
    <xf numFmtId="9" fontId="0" fillId="0" borderId="0" xfId="0" applyNumberFormat="1" applyAlignment="1">
      <alignment horizontal="center"/>
    </xf>
    <xf numFmtId="3" fontId="0" fillId="0" borderId="0" xfId="0" applyNumberFormat="1"/>
    <xf numFmtId="4" fontId="0" fillId="0" borderId="0" xfId="0" applyNumberFormat="1"/>
    <xf numFmtId="183" fontId="0" fillId="0" borderId="0" xfId="0" applyNumberFormat="1"/>
    <xf numFmtId="9" fontId="0" fillId="0" borderId="0" xfId="0" applyNumberFormat="1"/>
    <xf numFmtId="168" fontId="8" fillId="27" borderId="8" xfId="0" applyNumberFormat="1" applyFont="1" applyFill="1" applyBorder="1" applyAlignment="1">
      <alignment horizontal="center"/>
    </xf>
    <xf numFmtId="168" fontId="8" fillId="27" borderId="19" xfId="0" applyNumberFormat="1" applyFont="1" applyFill="1" applyBorder="1" applyAlignment="1">
      <alignment horizontal="center"/>
    </xf>
    <xf numFmtId="168" fontId="8" fillId="21" borderId="43" xfId="0" applyNumberFormat="1" applyFont="1" applyFill="1" applyBorder="1" applyAlignment="1">
      <alignment horizontal="right"/>
    </xf>
    <xf numFmtId="168" fontId="8" fillId="27" borderId="0" xfId="0" applyNumberFormat="1" applyFont="1" applyFill="1" applyAlignment="1">
      <alignment horizontal="center"/>
    </xf>
    <xf numFmtId="9" fontId="8" fillId="27" borderId="12" xfId="2" applyFont="1" applyFill="1" applyBorder="1" applyAlignment="1">
      <alignment horizontal="center"/>
    </xf>
    <xf numFmtId="173" fontId="8" fillId="21" borderId="43" xfId="0" applyNumberFormat="1" applyFont="1" applyFill="1" applyBorder="1" applyAlignment="1">
      <alignment horizontal="right"/>
    </xf>
    <xf numFmtId="168" fontId="8" fillId="27" borderId="24" xfId="0" applyNumberFormat="1" applyFont="1" applyFill="1" applyBorder="1" applyAlignment="1">
      <alignment horizontal="center"/>
    </xf>
    <xf numFmtId="168" fontId="8" fillId="27" borderId="34" xfId="0" applyNumberFormat="1" applyFont="1" applyFill="1" applyBorder="1" applyAlignment="1">
      <alignment horizontal="center"/>
    </xf>
    <xf numFmtId="14" fontId="8" fillId="0" borderId="0" xfId="0" applyNumberFormat="1" applyFont="1" applyAlignment="1">
      <alignment horizontal="center"/>
    </xf>
    <xf numFmtId="0" fontId="8" fillId="0" borderId="27" xfId="0" applyFont="1" applyBorder="1" applyAlignment="1">
      <alignment horizontal="center"/>
    </xf>
    <xf numFmtId="0" fontId="8" fillId="0" borderId="0" xfId="0" applyFont="1" applyAlignment="1">
      <alignment vertical="center"/>
    </xf>
    <xf numFmtId="0" fontId="29" fillId="0" borderId="0" xfId="0" applyFont="1"/>
    <xf numFmtId="3" fontId="29" fillId="0" borderId="0" xfId="0" applyNumberFormat="1" applyFont="1"/>
    <xf numFmtId="0" fontId="8" fillId="0" borderId="0" xfId="0" applyFont="1" applyAlignment="1">
      <alignment horizontal="center" vertical="center"/>
    </xf>
    <xf numFmtId="3" fontId="8" fillId="0" borderId="0" xfId="0" applyNumberFormat="1" applyFont="1" applyAlignment="1">
      <alignment horizontal="center" vertical="center"/>
    </xf>
    <xf numFmtId="0" fontId="8" fillId="0" borderId="25" xfId="0" applyFont="1" applyBorder="1" applyAlignment="1">
      <alignment horizontal="center" vertical="center" wrapText="1"/>
    </xf>
    <xf numFmtId="0" fontId="8" fillId="0" borderId="11" xfId="0" applyFont="1" applyBorder="1" applyAlignment="1">
      <alignment horizontal="center" vertical="center" wrapText="1"/>
    </xf>
    <xf numFmtId="0" fontId="8" fillId="26" borderId="11" xfId="0" applyFont="1" applyFill="1" applyBorder="1" applyAlignment="1">
      <alignment horizontal="center" vertical="center" wrapText="1"/>
    </xf>
    <xf numFmtId="9" fontId="8" fillId="0" borderId="25" xfId="0" applyNumberFormat="1" applyFont="1" applyBorder="1" applyAlignment="1">
      <alignment horizontal="center" vertical="center" wrapText="1"/>
    </xf>
    <xf numFmtId="9" fontId="6" fillId="0" borderId="72" xfId="0" applyNumberFormat="1" applyFont="1" applyBorder="1" applyAlignment="1">
      <alignment horizontal="center"/>
    </xf>
    <xf numFmtId="168" fontId="6" fillId="0" borderId="72" xfId="0" applyNumberFormat="1" applyFont="1" applyBorder="1" applyAlignment="1">
      <alignment horizontal="center" wrapText="1"/>
    </xf>
    <xf numFmtId="168" fontId="6" fillId="22" borderId="37" xfId="0" applyNumberFormat="1" applyFont="1" applyFill="1" applyBorder="1" applyAlignment="1">
      <alignment horizontal="center" wrapText="1"/>
    </xf>
    <xf numFmtId="168" fontId="6" fillId="26" borderId="18" xfId="0" applyNumberFormat="1" applyFont="1" applyFill="1" applyBorder="1" applyAlignment="1">
      <alignment horizontal="center" wrapText="1"/>
    </xf>
    <xf numFmtId="168" fontId="8" fillId="0" borderId="72" xfId="0" applyNumberFormat="1" applyFont="1" applyBorder="1" applyAlignment="1">
      <alignment horizontal="center" wrapText="1"/>
    </xf>
    <xf numFmtId="168" fontId="8" fillId="0" borderId="0" xfId="0" applyNumberFormat="1" applyFont="1" applyAlignment="1">
      <alignment horizontal="center" vertical="center"/>
    </xf>
    <xf numFmtId="9" fontId="6" fillId="0" borderId="0" xfId="0" applyNumberFormat="1" applyFont="1" applyAlignment="1">
      <alignment vertical="center"/>
    </xf>
    <xf numFmtId="173" fontId="6" fillId="0" borderId="72" xfId="0" applyNumberFormat="1" applyFont="1" applyBorder="1" applyAlignment="1">
      <alignment horizontal="center" vertical="center" wrapText="1"/>
    </xf>
    <xf numFmtId="173" fontId="6" fillId="22" borderId="37" xfId="0" applyNumberFormat="1" applyFont="1" applyFill="1" applyBorder="1" applyAlignment="1">
      <alignment horizontal="center" vertical="center" wrapText="1"/>
    </xf>
    <xf numFmtId="173" fontId="6" fillId="26" borderId="18" xfId="0" applyNumberFormat="1" applyFont="1" applyFill="1" applyBorder="1" applyAlignment="1">
      <alignment horizontal="center" vertical="center" wrapText="1"/>
    </xf>
    <xf numFmtId="173" fontId="8" fillId="0" borderId="72" xfId="0" applyNumberFormat="1" applyFont="1" applyBorder="1" applyAlignment="1">
      <alignment horizontal="center" vertical="center" wrapText="1"/>
    </xf>
    <xf numFmtId="9" fontId="8" fillId="0" borderId="16" xfId="0" applyNumberFormat="1" applyFont="1" applyBorder="1" applyAlignment="1">
      <alignment horizontal="center" vertical="center" wrapText="1"/>
    </xf>
    <xf numFmtId="168" fontId="6" fillId="0" borderId="49" xfId="0" applyNumberFormat="1" applyFont="1" applyBorder="1" applyAlignment="1">
      <alignment horizontal="right" vertical="center" indent="1"/>
    </xf>
    <xf numFmtId="173" fontId="6" fillId="0" borderId="49" xfId="0" applyNumberFormat="1" applyFont="1" applyBorder="1" applyAlignment="1">
      <alignment horizontal="right" vertical="center" indent="1"/>
    </xf>
    <xf numFmtId="168" fontId="8" fillId="29" borderId="8" xfId="0" applyNumberFormat="1" applyFont="1" applyFill="1" applyBorder="1" applyAlignment="1">
      <alignment horizontal="center"/>
    </xf>
    <xf numFmtId="168" fontId="8" fillId="29" borderId="19" xfId="0" applyNumberFormat="1" applyFont="1" applyFill="1" applyBorder="1" applyAlignment="1">
      <alignment horizontal="center"/>
    </xf>
    <xf numFmtId="168" fontId="8" fillId="29" borderId="0" xfId="0" applyNumberFormat="1" applyFont="1" applyFill="1" applyAlignment="1">
      <alignment horizontal="center"/>
    </xf>
    <xf numFmtId="9" fontId="8" fillId="29" borderId="12" xfId="2" applyFont="1" applyFill="1" applyBorder="1" applyAlignment="1">
      <alignment horizontal="center"/>
    </xf>
    <xf numFmtId="168" fontId="8" fillId="29" borderId="24" xfId="0" applyNumberFormat="1" applyFont="1" applyFill="1" applyBorder="1" applyAlignment="1">
      <alignment horizontal="center"/>
    </xf>
    <xf numFmtId="168" fontId="8" fillId="29" borderId="34" xfId="0" applyNumberFormat="1" applyFont="1" applyFill="1" applyBorder="1" applyAlignment="1">
      <alignment horizontal="center"/>
    </xf>
    <xf numFmtId="177" fontId="8" fillId="7" borderId="8" xfId="0" applyNumberFormat="1" applyFont="1" applyFill="1" applyBorder="1" applyAlignment="1">
      <alignment horizontal="center"/>
    </xf>
    <xf numFmtId="173" fontId="8" fillId="7" borderId="19" xfId="0" applyNumberFormat="1" applyFont="1" applyFill="1" applyBorder="1" applyAlignment="1">
      <alignment horizontal="center"/>
    </xf>
    <xf numFmtId="177" fontId="8" fillId="7" borderId="0" xfId="0" applyNumberFormat="1" applyFont="1" applyFill="1" applyAlignment="1">
      <alignment horizontal="center"/>
    </xf>
    <xf numFmtId="173" fontId="8" fillId="7" borderId="12" xfId="0" applyNumberFormat="1" applyFont="1" applyFill="1" applyBorder="1" applyAlignment="1">
      <alignment horizontal="center"/>
    </xf>
    <xf numFmtId="173" fontId="8" fillId="7" borderId="0" xfId="0" applyNumberFormat="1" applyFont="1" applyFill="1" applyAlignment="1">
      <alignment horizontal="center"/>
    </xf>
    <xf numFmtId="9" fontId="8" fillId="7" borderId="12" xfId="2" applyFont="1" applyFill="1" applyBorder="1" applyAlignment="1">
      <alignment horizontal="center"/>
    </xf>
    <xf numFmtId="177" fontId="8" fillId="7" borderId="24" xfId="0" applyNumberFormat="1" applyFont="1" applyFill="1" applyBorder="1" applyAlignment="1">
      <alignment horizontal="center"/>
    </xf>
    <xf numFmtId="173" fontId="8" fillId="7" borderId="34" xfId="0" applyNumberFormat="1" applyFont="1" applyFill="1" applyBorder="1" applyAlignment="1">
      <alignment horizontal="center"/>
    </xf>
    <xf numFmtId="9" fontId="0" fillId="0" borderId="0" xfId="2" applyFont="1"/>
    <xf numFmtId="0" fontId="8" fillId="0" borderId="13" xfId="0" applyFont="1" applyBorder="1"/>
    <xf numFmtId="0" fontId="0" fillId="0" borderId="24" xfId="0" applyBorder="1"/>
    <xf numFmtId="0" fontId="0" fillId="0" borderId="34" xfId="0" applyBorder="1"/>
    <xf numFmtId="0" fontId="6" fillId="0" borderId="0" xfId="0" applyFont="1" applyAlignment="1">
      <alignment horizontal="left"/>
    </xf>
    <xf numFmtId="0" fontId="9" fillId="0" borderId="0" xfId="0" applyFont="1" applyAlignment="1">
      <alignment horizontal="center" vertical="center"/>
    </xf>
    <xf numFmtId="9" fontId="6" fillId="0" borderId="0" xfId="0" applyNumberFormat="1" applyFont="1"/>
    <xf numFmtId="0" fontId="8" fillId="0" borderId="75" xfId="0" applyFont="1" applyBorder="1" applyAlignment="1">
      <alignment vertical="top" wrapText="1"/>
    </xf>
    <xf numFmtId="0" fontId="8" fillId="0" borderId="0" xfId="0" applyFont="1" applyAlignment="1">
      <alignment vertical="top" wrapText="1"/>
    </xf>
    <xf numFmtId="176" fontId="6" fillId="0" borderId="0" xfId="0" applyNumberFormat="1" applyFont="1"/>
    <xf numFmtId="181" fontId="6" fillId="0" borderId="0" xfId="0" applyNumberFormat="1" applyFont="1"/>
    <xf numFmtId="176" fontId="3" fillId="14" borderId="11" xfId="0" applyNumberFormat="1" applyFont="1" applyFill="1" applyBorder="1" applyAlignment="1">
      <alignment horizontal="center" vertical="center" wrapText="1"/>
    </xf>
    <xf numFmtId="176" fontId="3" fillId="14" borderId="10" xfId="0" applyNumberFormat="1" applyFont="1" applyFill="1" applyBorder="1" applyAlignment="1">
      <alignment horizontal="center" vertical="center" wrapText="1"/>
    </xf>
    <xf numFmtId="176" fontId="3" fillId="14" borderId="9" xfId="0" applyNumberFormat="1" applyFont="1" applyFill="1" applyBorder="1" applyAlignment="1">
      <alignment horizontal="center" vertical="center" wrapText="1"/>
    </xf>
    <xf numFmtId="0" fontId="6" fillId="0" borderId="13" xfId="0" applyFont="1" applyBorder="1" applyAlignment="1">
      <alignment horizontal="center"/>
    </xf>
    <xf numFmtId="176" fontId="6" fillId="0" borderId="12" xfId="0" applyNumberFormat="1" applyFont="1" applyBorder="1" applyAlignment="1">
      <alignment horizontal="right"/>
    </xf>
    <xf numFmtId="0" fontId="6" fillId="0" borderId="26" xfId="0" applyFont="1" applyBorder="1" applyAlignment="1">
      <alignment horizontal="center"/>
    </xf>
    <xf numFmtId="0" fontId="6" fillId="0" borderId="24" xfId="0" applyFont="1" applyBorder="1" applyAlignment="1">
      <alignment horizontal="center"/>
    </xf>
    <xf numFmtId="0" fontId="6" fillId="0" borderId="24" xfId="0" applyFont="1" applyBorder="1"/>
    <xf numFmtId="176" fontId="6" fillId="0" borderId="24" xfId="0" applyNumberFormat="1" applyFont="1" applyBorder="1"/>
    <xf numFmtId="176" fontId="6" fillId="0" borderId="34" xfId="0" applyNumberFormat="1" applyFont="1" applyBorder="1"/>
    <xf numFmtId="181" fontId="6" fillId="0" borderId="12" xfId="0" applyNumberFormat="1" applyFont="1" applyBorder="1" applyAlignment="1">
      <alignment horizontal="right"/>
    </xf>
    <xf numFmtId="181" fontId="6" fillId="0" borderId="24" xfId="0" applyNumberFormat="1" applyFont="1" applyBorder="1"/>
    <xf numFmtId="0" fontId="0" fillId="16" borderId="0" xfId="0" applyFill="1"/>
    <xf numFmtId="0" fontId="0" fillId="31" borderId="0" xfId="0" applyFill="1"/>
    <xf numFmtId="0" fontId="0" fillId="31" borderId="0" xfId="0" applyFill="1" applyAlignment="1">
      <alignment horizontal="center" vertical="center"/>
    </xf>
    <xf numFmtId="0" fontId="10" fillId="31" borderId="0" xfId="0" applyFont="1" applyFill="1"/>
    <xf numFmtId="0" fontId="10" fillId="16" borderId="0" xfId="0" applyFont="1" applyFill="1"/>
    <xf numFmtId="0" fontId="8" fillId="31" borderId="0" xfId="0" applyFont="1" applyFill="1"/>
    <xf numFmtId="0" fontId="6" fillId="16" borderId="0" xfId="0" applyFont="1" applyFill="1" applyAlignment="1">
      <alignment horizontal="left" vertical="top"/>
    </xf>
    <xf numFmtId="0" fontId="8" fillId="31" borderId="0" xfId="0" applyFont="1" applyFill="1" applyAlignment="1">
      <alignment horizontal="left" vertical="top"/>
    </xf>
    <xf numFmtId="0" fontId="6" fillId="31" borderId="0" xfId="0" applyFont="1" applyFill="1" applyAlignment="1">
      <alignment horizontal="right" vertical="center" indent="1"/>
    </xf>
    <xf numFmtId="0" fontId="6" fillId="31" borderId="0" xfId="0" applyFont="1" applyFill="1"/>
    <xf numFmtId="0" fontId="8" fillId="16" borderId="0" xfId="0" applyFont="1" applyFill="1"/>
    <xf numFmtId="0" fontId="9" fillId="0" borderId="0" xfId="0" applyFont="1"/>
    <xf numFmtId="0" fontId="6" fillId="8" borderId="50" xfId="0" applyFont="1" applyFill="1" applyBorder="1" applyAlignment="1">
      <alignment horizontal="center" vertical="top"/>
    </xf>
    <xf numFmtId="9" fontId="8" fillId="32" borderId="13" xfId="0" applyNumberFormat="1" applyFont="1" applyFill="1" applyBorder="1"/>
    <xf numFmtId="9" fontId="8" fillId="32" borderId="0" xfId="0" applyNumberFormat="1" applyFont="1" applyFill="1"/>
    <xf numFmtId="9" fontId="8" fillId="32" borderId="0" xfId="0" applyNumberFormat="1" applyFont="1" applyFill="1" applyAlignment="1">
      <alignment horizontal="right"/>
    </xf>
    <xf numFmtId="177" fontId="8" fillId="32" borderId="8" xfId="0" applyNumberFormat="1" applyFont="1" applyFill="1" applyBorder="1" applyAlignment="1">
      <alignment horizontal="center"/>
    </xf>
    <xf numFmtId="9" fontId="6" fillId="32" borderId="0" xfId="0" applyNumberFormat="1" applyFont="1" applyFill="1"/>
    <xf numFmtId="177" fontId="8" fillId="32" borderId="0" xfId="0" applyNumberFormat="1" applyFont="1" applyFill="1" applyAlignment="1">
      <alignment horizontal="center"/>
    </xf>
    <xf numFmtId="173" fontId="8" fillId="32" borderId="0" xfId="0" applyNumberFormat="1" applyFont="1" applyFill="1" applyAlignment="1">
      <alignment horizontal="center"/>
    </xf>
    <xf numFmtId="177" fontId="8" fillId="32" borderId="24" xfId="0" applyNumberFormat="1" applyFont="1" applyFill="1" applyBorder="1" applyAlignment="1">
      <alignment horizontal="center"/>
    </xf>
    <xf numFmtId="9" fontId="8" fillId="29" borderId="13" xfId="0" applyNumberFormat="1" applyFont="1" applyFill="1" applyBorder="1"/>
    <xf numFmtId="9" fontId="8" fillId="29" borderId="0" xfId="0" applyNumberFormat="1" applyFont="1" applyFill="1"/>
    <xf numFmtId="9" fontId="8" fillId="29" borderId="0" xfId="0" applyNumberFormat="1" applyFont="1" applyFill="1" applyAlignment="1">
      <alignment horizontal="right"/>
    </xf>
    <xf numFmtId="0" fontId="14" fillId="31" borderId="0" xfId="0" applyFont="1" applyFill="1"/>
    <xf numFmtId="0" fontId="30" fillId="31" borderId="0" xfId="0" applyFont="1" applyFill="1"/>
    <xf numFmtId="0" fontId="10" fillId="31" borderId="0" xfId="0" applyFont="1" applyFill="1" applyAlignment="1">
      <alignment horizontal="left" vertical="top"/>
    </xf>
    <xf numFmtId="0" fontId="14" fillId="16" borderId="0" xfId="0" applyFont="1" applyFill="1"/>
    <xf numFmtId="0" fontId="4" fillId="0" borderId="40" xfId="0" applyFont="1" applyBorder="1" applyAlignment="1">
      <alignment horizontal="center" vertical="center" wrapText="1"/>
    </xf>
    <xf numFmtId="0" fontId="20" fillId="8" borderId="49" xfId="0" applyFont="1" applyFill="1" applyBorder="1" applyAlignment="1">
      <alignment horizontal="left" vertical="top" wrapText="1" indent="1"/>
    </xf>
    <xf numFmtId="0" fontId="0" fillId="4" borderId="0" xfId="0" applyFill="1"/>
    <xf numFmtId="0" fontId="0" fillId="4" borderId="50" xfId="0" applyFill="1" applyBorder="1" applyAlignment="1">
      <alignment horizontal="center"/>
    </xf>
    <xf numFmtId="0" fontId="0" fillId="4" borderId="49" xfId="0" applyFill="1" applyBorder="1" applyAlignment="1">
      <alignment horizontal="center"/>
    </xf>
    <xf numFmtId="0" fontId="0" fillId="4" borderId="48" xfId="0" applyFill="1" applyBorder="1" applyAlignment="1">
      <alignment horizontal="center"/>
    </xf>
    <xf numFmtId="0" fontId="6" fillId="4" borderId="0" xfId="0" applyFont="1" applyFill="1" applyAlignment="1">
      <alignment horizontal="center"/>
    </xf>
    <xf numFmtId="0" fontId="4" fillId="22" borderId="78" xfId="0" applyFont="1" applyFill="1" applyBorder="1" applyAlignment="1">
      <alignment horizontal="center" vertical="center" wrapText="1"/>
    </xf>
    <xf numFmtId="0" fontId="21" fillId="0" borderId="67" xfId="0" applyFont="1" applyBorder="1" applyAlignment="1">
      <alignment horizontal="left" vertical="top" wrapText="1"/>
    </xf>
    <xf numFmtId="0" fontId="21" fillId="0" borderId="80" xfId="0" applyFont="1" applyBorder="1" applyAlignment="1">
      <alignment horizontal="left" vertical="top" wrapText="1"/>
    </xf>
    <xf numFmtId="0" fontId="21" fillId="0" borderId="60" xfId="0" applyFont="1" applyBorder="1" applyAlignment="1">
      <alignment horizontal="left" vertical="top" wrapText="1"/>
    </xf>
    <xf numFmtId="3" fontId="31" fillId="0" borderId="0" xfId="0" applyNumberFormat="1" applyFont="1"/>
    <xf numFmtId="0" fontId="0" fillId="16" borderId="0" xfId="0" applyFill="1" applyAlignment="1">
      <alignment horizontal="center"/>
    </xf>
    <xf numFmtId="9" fontId="0" fillId="16" borderId="0" xfId="0" applyNumberFormat="1" applyFill="1" applyAlignment="1">
      <alignment horizontal="center"/>
    </xf>
    <xf numFmtId="9" fontId="8" fillId="16" borderId="0" xfId="0" applyNumberFormat="1" applyFont="1" applyFill="1" applyAlignment="1">
      <alignment horizontal="right"/>
    </xf>
    <xf numFmtId="168" fontId="8" fillId="16" borderId="0" xfId="0" applyNumberFormat="1" applyFont="1" applyFill="1" applyAlignment="1">
      <alignment horizontal="center"/>
    </xf>
    <xf numFmtId="0" fontId="8" fillId="16" borderId="0" xfId="0" applyFont="1" applyFill="1" applyAlignment="1">
      <alignment horizontal="center"/>
    </xf>
    <xf numFmtId="0" fontId="0" fillId="16" borderId="0" xfId="0" applyFill="1" applyAlignment="1">
      <alignment horizontal="left"/>
    </xf>
    <xf numFmtId="185" fontId="8" fillId="16" borderId="0" xfId="0" applyNumberFormat="1" applyFont="1" applyFill="1" applyAlignment="1">
      <alignment horizontal="center"/>
    </xf>
    <xf numFmtId="9" fontId="8" fillId="16" borderId="0" xfId="2" applyFont="1" applyFill="1" applyBorder="1" applyAlignment="1">
      <alignment horizontal="center"/>
    </xf>
    <xf numFmtId="184" fontId="8" fillId="16" borderId="0" xfId="0" applyNumberFormat="1" applyFont="1" applyFill="1" applyAlignment="1">
      <alignment horizontal="center"/>
    </xf>
    <xf numFmtId="173" fontId="8" fillId="16" borderId="0" xfId="0" applyNumberFormat="1" applyFont="1" applyFill="1" applyAlignment="1">
      <alignment horizontal="center"/>
    </xf>
    <xf numFmtId="0" fontId="10" fillId="16" borderId="0" xfId="0" applyFont="1" applyFill="1" applyAlignment="1">
      <alignment horizontal="center" vertical="center"/>
    </xf>
    <xf numFmtId="0" fontId="28" fillId="16" borderId="0" xfId="0" applyFont="1" applyFill="1"/>
    <xf numFmtId="3" fontId="5" fillId="16" borderId="0" xfId="0" applyNumberFormat="1" applyFont="1" applyFill="1"/>
    <xf numFmtId="0" fontId="10" fillId="16" borderId="0" xfId="0" quotePrefix="1" applyFont="1" applyFill="1" applyAlignment="1">
      <alignment horizontal="center" vertical="center"/>
    </xf>
    <xf numFmtId="1" fontId="29" fillId="16" borderId="0" xfId="0" applyNumberFormat="1" applyFont="1" applyFill="1"/>
    <xf numFmtId="14" fontId="8" fillId="16" borderId="0" xfId="0" applyNumberFormat="1" applyFont="1" applyFill="1" applyAlignment="1">
      <alignment horizontal="center"/>
    </xf>
    <xf numFmtId="0" fontId="8" fillId="0" borderId="84" xfId="0" applyFont="1" applyBorder="1"/>
    <xf numFmtId="0" fontId="8" fillId="0" borderId="85" xfId="0" applyFont="1" applyBorder="1" applyAlignment="1">
      <alignment horizontal="center"/>
    </xf>
    <xf numFmtId="0" fontId="0" fillId="0" borderId="12" xfId="0" applyBorder="1"/>
    <xf numFmtId="0" fontId="0" fillId="0" borderId="13" xfId="0" applyBorder="1"/>
    <xf numFmtId="0" fontId="9" fillId="0" borderId="0" xfId="0" applyFont="1" applyAlignment="1">
      <alignment horizontal="center"/>
    </xf>
    <xf numFmtId="0" fontId="0" fillId="0" borderId="26" xfId="0" applyBorder="1" applyAlignment="1">
      <alignment horizontal="left"/>
    </xf>
    <xf numFmtId="0" fontId="4" fillId="22" borderId="50" xfId="0" applyFont="1" applyFill="1" applyBorder="1" applyAlignment="1">
      <alignment horizontal="center" vertical="center" wrapText="1"/>
    </xf>
    <xf numFmtId="0" fontId="4" fillId="22" borderId="49" xfId="0" applyFont="1" applyFill="1" applyBorder="1" applyAlignment="1">
      <alignment horizontal="center" vertical="center" wrapText="1"/>
    </xf>
    <xf numFmtId="168" fontId="4" fillId="22" borderId="49" xfId="0" applyNumberFormat="1" applyFont="1" applyFill="1" applyBorder="1" applyAlignment="1">
      <alignment horizontal="center" vertical="center" wrapText="1"/>
    </xf>
    <xf numFmtId="9" fontId="4" fillId="22" borderId="49" xfId="2" applyFont="1" applyFill="1" applyBorder="1" applyAlignment="1">
      <alignment horizontal="center" vertical="center" wrapText="1"/>
    </xf>
    <xf numFmtId="0" fontId="4" fillId="22" borderId="49" xfId="2" applyNumberFormat="1" applyFont="1" applyFill="1" applyBorder="1" applyAlignment="1">
      <alignment horizontal="center" vertical="center" wrapText="1"/>
    </xf>
    <xf numFmtId="179" fontId="4" fillId="22" borderId="49" xfId="0" applyNumberFormat="1" applyFont="1" applyFill="1" applyBorder="1" applyAlignment="1">
      <alignment horizontal="center" vertical="center" wrapText="1"/>
    </xf>
    <xf numFmtId="179" fontId="4" fillId="22" borderId="48" xfId="0" applyNumberFormat="1" applyFont="1" applyFill="1" applyBorder="1" applyAlignment="1">
      <alignment horizontal="center" vertical="center" wrapText="1"/>
    </xf>
    <xf numFmtId="176" fontId="6" fillId="0" borderId="40" xfId="0" applyNumberFormat="1" applyFont="1" applyBorder="1" applyAlignment="1">
      <alignment horizontal="center" vertical="center" wrapText="1"/>
    </xf>
    <xf numFmtId="178" fontId="6" fillId="0" borderId="40" xfId="0" applyNumberFormat="1" applyFont="1" applyBorder="1" applyAlignment="1">
      <alignment horizontal="center" vertical="center" wrapText="1"/>
    </xf>
    <xf numFmtId="0" fontId="4" fillId="22" borderId="86" xfId="0" applyFont="1" applyFill="1" applyBorder="1" applyAlignment="1">
      <alignment horizontal="center" vertical="center" wrapText="1"/>
    </xf>
    <xf numFmtId="0" fontId="4" fillId="22" borderId="79" xfId="0" applyFont="1" applyFill="1" applyBorder="1" applyAlignment="1">
      <alignment horizontal="center" vertical="center" wrapText="1"/>
    </xf>
    <xf numFmtId="168" fontId="6" fillId="21" borderId="87" xfId="0" applyNumberFormat="1" applyFont="1" applyFill="1" applyBorder="1" applyAlignment="1">
      <alignment horizontal="center" vertical="top"/>
    </xf>
    <xf numFmtId="168" fontId="6" fillId="0" borderId="87" xfId="0" applyNumberFormat="1" applyFont="1" applyBorder="1" applyAlignment="1">
      <alignment horizontal="center" vertical="top"/>
    </xf>
    <xf numFmtId="181" fontId="0" fillId="21" borderId="87" xfId="0" applyNumberFormat="1" applyFill="1" applyBorder="1" applyAlignment="1">
      <alignment horizontal="center" vertical="top"/>
    </xf>
    <xf numFmtId="181" fontId="0" fillId="0" borderId="87" xfId="0" applyNumberFormat="1" applyBorder="1" applyAlignment="1">
      <alignment horizontal="center" vertical="top"/>
    </xf>
    <xf numFmtId="178" fontId="0" fillId="0" borderId="87" xfId="0" applyNumberFormat="1" applyBorder="1" applyAlignment="1">
      <alignment horizontal="center" vertical="top"/>
    </xf>
    <xf numFmtId="168" fontId="0" fillId="0" borderId="87" xfId="0" applyNumberFormat="1" applyBorder="1" applyAlignment="1">
      <alignment horizontal="center" vertical="top"/>
    </xf>
    <xf numFmtId="3" fontId="0" fillId="0" borderId="87" xfId="0" applyNumberFormat="1" applyBorder="1" applyAlignment="1">
      <alignment horizontal="center" vertical="top"/>
    </xf>
    <xf numFmtId="0" fontId="6" fillId="0" borderId="87" xfId="0" applyFont="1" applyBorder="1" applyAlignment="1">
      <alignment horizontal="center" vertical="top" wrapText="1"/>
    </xf>
    <xf numFmtId="168" fontId="4" fillId="35" borderId="10" xfId="0" applyNumberFormat="1" applyFont="1" applyFill="1" applyBorder="1"/>
    <xf numFmtId="1" fontId="0" fillId="8" borderId="0" xfId="0" applyNumberFormat="1" applyFill="1"/>
    <xf numFmtId="0" fontId="0" fillId="8" borderId="0" xfId="0" applyFill="1" applyAlignment="1">
      <alignment horizontal="right"/>
    </xf>
    <xf numFmtId="0" fontId="17" fillId="8" borderId="0" xfId="0" applyFont="1" applyFill="1" applyProtection="1">
      <protection locked="0"/>
    </xf>
    <xf numFmtId="0" fontId="8" fillId="8" borderId="0" xfId="0" applyFont="1" applyFill="1" applyAlignment="1" applyProtection="1">
      <alignment horizontal="left" indent="1"/>
      <protection locked="0"/>
    </xf>
    <xf numFmtId="0" fontId="8" fillId="8" borderId="0" xfId="0" applyFont="1" applyFill="1" applyAlignment="1" applyProtection="1">
      <alignment horizontal="left" vertical="top" wrapText="1" indent="1"/>
      <protection locked="0"/>
    </xf>
    <xf numFmtId="14" fontId="8" fillId="8" borderId="0" xfId="0" applyNumberFormat="1" applyFont="1" applyFill="1" applyAlignment="1" applyProtection="1">
      <alignment horizontal="left" vertical="center" indent="1"/>
      <protection locked="0"/>
    </xf>
    <xf numFmtId="0" fontId="0" fillId="11" borderId="10" xfId="0" applyFill="1" applyBorder="1" applyAlignment="1">
      <alignment horizontal="right"/>
    </xf>
    <xf numFmtId="14" fontId="8" fillId="8" borderId="73" xfId="0" applyNumberFormat="1" applyFont="1" applyFill="1" applyBorder="1" applyAlignment="1" applyProtection="1">
      <alignment horizontal="left" vertical="center" indent="1"/>
      <protection locked="0"/>
    </xf>
    <xf numFmtId="173" fontId="8" fillId="8" borderId="89" xfId="0" applyNumberFormat="1" applyFont="1" applyFill="1" applyBorder="1" applyAlignment="1">
      <alignment horizontal="left" indent="1"/>
    </xf>
    <xf numFmtId="9" fontId="4" fillId="8" borderId="89" xfId="0" applyNumberFormat="1" applyFont="1" applyFill="1" applyBorder="1" applyAlignment="1">
      <alignment horizontal="left" indent="1"/>
    </xf>
    <xf numFmtId="0" fontId="8" fillId="8" borderId="73" xfId="0" applyFont="1" applyFill="1" applyBorder="1" applyAlignment="1" applyProtection="1">
      <alignment horizontal="left" vertical="top" wrapText="1" indent="1"/>
      <protection locked="0"/>
    </xf>
    <xf numFmtId="0" fontId="8" fillId="8" borderId="89" xfId="0" applyFont="1" applyFill="1" applyBorder="1" applyAlignment="1" applyProtection="1">
      <alignment horizontal="left" vertical="top" wrapText="1" indent="1"/>
      <protection locked="0"/>
    </xf>
    <xf numFmtId="0" fontId="8" fillId="8" borderId="89" xfId="0" applyFont="1" applyFill="1" applyBorder="1" applyAlignment="1" applyProtection="1">
      <alignment horizontal="left" indent="1"/>
      <protection locked="0"/>
    </xf>
    <xf numFmtId="9" fontId="8" fillId="8" borderId="89" xfId="0" applyNumberFormat="1" applyFont="1" applyFill="1" applyBorder="1" applyAlignment="1" applyProtection="1">
      <alignment horizontal="left" indent="1"/>
      <protection locked="0"/>
    </xf>
    <xf numFmtId="166" fontId="18" fillId="8" borderId="89" xfId="0" applyNumberFormat="1" applyFont="1" applyFill="1" applyBorder="1" applyAlignment="1" applyProtection="1">
      <alignment horizontal="left" indent="1"/>
      <protection locked="0"/>
    </xf>
    <xf numFmtId="166" fontId="8" fillId="8" borderId="89" xfId="0" applyNumberFormat="1" applyFont="1" applyFill="1" applyBorder="1" applyAlignment="1" applyProtection="1">
      <alignment horizontal="left" indent="1"/>
      <protection locked="0"/>
    </xf>
    <xf numFmtId="0" fontId="0" fillId="10" borderId="11" xfId="0" applyFill="1" applyBorder="1" applyAlignment="1">
      <alignment horizontal="right"/>
    </xf>
    <xf numFmtId="0" fontId="0" fillId="10" borderId="10" xfId="0" applyFill="1" applyBorder="1" applyAlignment="1">
      <alignment horizontal="right"/>
    </xf>
    <xf numFmtId="0" fontId="0" fillId="10" borderId="9" xfId="0" applyFill="1" applyBorder="1"/>
    <xf numFmtId="0" fontId="0" fillId="8" borderId="26" xfId="0" applyFill="1" applyBorder="1" applyAlignment="1">
      <alignment horizontal="right"/>
    </xf>
    <xf numFmtId="0" fontId="0" fillId="8" borderId="24" xfId="0" applyFill="1" applyBorder="1" applyAlignment="1">
      <alignment horizontal="right"/>
    </xf>
    <xf numFmtId="168" fontId="0" fillId="8" borderId="34" xfId="0" applyNumberFormat="1" applyFill="1" applyBorder="1"/>
    <xf numFmtId="0" fontId="18" fillId="8" borderId="89" xfId="0" applyFont="1" applyFill="1" applyBorder="1" applyAlignment="1" applyProtection="1">
      <alignment vertical="center"/>
      <protection locked="0"/>
    </xf>
    <xf numFmtId="0" fontId="3" fillId="14" borderId="0" xfId="4" applyAlignment="1">
      <alignment horizontal="left"/>
    </xf>
    <xf numFmtId="0" fontId="3" fillId="14" borderId="0" xfId="4" applyAlignment="1"/>
    <xf numFmtId="9" fontId="3" fillId="14" borderId="0" xfId="4" applyNumberFormat="1" applyAlignment="1"/>
    <xf numFmtId="0" fontId="3" fillId="14" borderId="3" xfId="4" applyBorder="1" applyAlignment="1">
      <alignment horizontal="center" vertical="center" wrapText="1"/>
    </xf>
    <xf numFmtId="0" fontId="3" fillId="14" borderId="3" xfId="4" applyBorder="1" applyAlignment="1">
      <alignment horizontal="center" vertical="center"/>
    </xf>
    <xf numFmtId="0" fontId="6" fillId="3" borderId="0" xfId="0" applyFont="1" applyFill="1" applyAlignment="1">
      <alignment horizontal="right" vertical="top" wrapText="1"/>
    </xf>
    <xf numFmtId="0" fontId="3" fillId="14" borderId="20" xfId="4" applyBorder="1" applyAlignment="1">
      <alignment horizontal="left"/>
    </xf>
    <xf numFmtId="0" fontId="3" fillId="14" borderId="8" xfId="4" applyBorder="1" applyAlignment="1">
      <alignment horizontal="center"/>
    </xf>
    <xf numFmtId="0" fontId="3" fillId="14" borderId="8" xfId="4" applyBorder="1" applyAlignment="1">
      <alignment horizontal="right"/>
    </xf>
    <xf numFmtId="0" fontId="3" fillId="14" borderId="19" xfId="4" applyBorder="1" applyAlignment="1">
      <alignment horizontal="center"/>
    </xf>
    <xf numFmtId="0" fontId="3" fillId="14" borderId="10" xfId="4" applyBorder="1" applyAlignment="1">
      <alignment horizontal="right"/>
    </xf>
    <xf numFmtId="168" fontId="18" fillId="8" borderId="88" xfId="0" applyNumberFormat="1" applyFont="1" applyFill="1" applyBorder="1" applyAlignment="1" applyProtection="1">
      <alignment vertical="center"/>
      <protection locked="0"/>
    </xf>
    <xf numFmtId="0" fontId="18" fillId="8" borderId="31" xfId="0" applyFont="1" applyFill="1" applyBorder="1" applyAlignment="1" applyProtection="1">
      <alignment vertical="center"/>
      <protection locked="0"/>
    </xf>
    <xf numFmtId="168" fontId="18" fillId="8" borderId="30" xfId="0" applyNumberFormat="1" applyFont="1" applyFill="1" applyBorder="1" applyAlignment="1" applyProtection="1">
      <alignment vertical="center"/>
      <protection locked="0"/>
    </xf>
    <xf numFmtId="0" fontId="0" fillId="11" borderId="11" xfId="0" applyFill="1" applyBorder="1" applyAlignment="1">
      <alignment horizontal="left"/>
    </xf>
    <xf numFmtId="0" fontId="18" fillId="8" borderId="42" xfId="0" applyFont="1" applyFill="1" applyBorder="1" applyAlignment="1" applyProtection="1">
      <alignment horizontal="left" vertical="center" indent="1"/>
      <protection locked="0"/>
    </xf>
    <xf numFmtId="0" fontId="18" fillId="8" borderId="32" xfId="0" applyFont="1" applyFill="1" applyBorder="1" applyAlignment="1" applyProtection="1">
      <alignment horizontal="left" vertical="center" indent="1"/>
      <protection locked="0"/>
    </xf>
    <xf numFmtId="168" fontId="8" fillId="8" borderId="89" xfId="0" applyNumberFormat="1" applyFont="1" applyFill="1" applyBorder="1" applyAlignment="1" applyProtection="1">
      <alignment horizontal="right" vertical="top"/>
      <protection locked="0"/>
    </xf>
    <xf numFmtId="168" fontId="18" fillId="8" borderId="89" xfId="0" applyNumberFormat="1" applyFont="1" applyFill="1" applyBorder="1" applyAlignment="1" applyProtection="1">
      <alignment horizontal="right" vertical="top"/>
      <protection locked="0"/>
    </xf>
    <xf numFmtId="168" fontId="18" fillId="8" borderId="31" xfId="0" applyNumberFormat="1" applyFont="1" applyFill="1" applyBorder="1" applyAlignment="1" applyProtection="1">
      <alignment horizontal="right" vertical="top"/>
      <protection locked="0"/>
    </xf>
    <xf numFmtId="168" fontId="4" fillId="12" borderId="0" xfId="0" applyNumberFormat="1" applyFont="1" applyFill="1" applyAlignment="1">
      <alignment horizontal="right"/>
    </xf>
    <xf numFmtId="168" fontId="0" fillId="8" borderId="24" xfId="0" applyNumberFormat="1" applyFill="1" applyBorder="1" applyAlignment="1">
      <alignment horizontal="right"/>
    </xf>
    <xf numFmtId="0" fontId="18" fillId="8" borderId="37" xfId="0" applyFont="1" applyFill="1" applyBorder="1" applyAlignment="1" applyProtection="1">
      <alignment horizontal="left" vertical="center" indent="1"/>
      <protection locked="0"/>
    </xf>
    <xf numFmtId="0" fontId="18" fillId="8" borderId="36" xfId="0" applyFont="1" applyFill="1" applyBorder="1" applyAlignment="1" applyProtection="1">
      <alignment vertical="center"/>
      <protection locked="0"/>
    </xf>
    <xf numFmtId="168" fontId="18" fillId="8" borderId="36" xfId="0" applyNumberFormat="1" applyFont="1" applyFill="1" applyBorder="1" applyAlignment="1" applyProtection="1">
      <alignment horizontal="right" vertical="top"/>
      <protection locked="0"/>
    </xf>
    <xf numFmtId="168" fontId="18" fillId="8" borderId="35" xfId="0" applyNumberFormat="1" applyFont="1" applyFill="1" applyBorder="1" applyAlignment="1" applyProtection="1">
      <alignment vertical="center"/>
      <protection locked="0"/>
    </xf>
    <xf numFmtId="0" fontId="18" fillId="8" borderId="37" xfId="0" applyFont="1" applyFill="1" applyBorder="1" applyAlignment="1" applyProtection="1">
      <alignment horizontal="left" vertical="top" wrapText="1" indent="1"/>
      <protection locked="0"/>
    </xf>
    <xf numFmtId="0" fontId="18" fillId="8" borderId="36" xfId="0" applyFont="1" applyFill="1" applyBorder="1" applyAlignment="1" applyProtection="1">
      <alignment horizontal="left" vertical="top" wrapText="1"/>
      <protection locked="0"/>
    </xf>
    <xf numFmtId="0" fontId="18" fillId="8" borderId="32" xfId="0" applyFont="1" applyFill="1" applyBorder="1" applyAlignment="1" applyProtection="1">
      <alignment horizontal="left" vertical="center" wrapText="1" indent="1"/>
      <protection locked="0"/>
    </xf>
    <xf numFmtId="168" fontId="18" fillId="8" borderId="31" xfId="0" applyNumberFormat="1" applyFont="1" applyFill="1" applyBorder="1" applyAlignment="1" applyProtection="1">
      <alignment vertical="top"/>
      <protection locked="0"/>
    </xf>
    <xf numFmtId="9" fontId="19" fillId="8" borderId="30" xfId="0" applyNumberFormat="1" applyFont="1" applyFill="1" applyBorder="1" applyAlignment="1">
      <alignment horizontal="left" wrapText="1" indent="1"/>
    </xf>
    <xf numFmtId="0" fontId="8" fillId="8" borderId="42" xfId="0" applyFont="1" applyFill="1" applyBorder="1" applyAlignment="1" applyProtection="1">
      <alignment horizontal="left" vertical="center" indent="1"/>
      <protection locked="0"/>
    </xf>
    <xf numFmtId="9" fontId="32" fillId="8" borderId="88" xfId="0" applyNumberFormat="1" applyFont="1" applyFill="1" applyBorder="1" applyAlignment="1">
      <alignment horizontal="left" wrapText="1" indent="1"/>
    </xf>
    <xf numFmtId="168" fontId="4" fillId="8" borderId="0" xfId="0" applyNumberFormat="1" applyFont="1" applyFill="1" applyAlignment="1">
      <alignment horizontal="right"/>
    </xf>
    <xf numFmtId="0" fontId="4" fillId="11" borderId="10" xfId="0" applyFont="1" applyFill="1" applyBorder="1" applyAlignment="1">
      <alignment horizontal="right"/>
    </xf>
    <xf numFmtId="0" fontId="4" fillId="11" borderId="9" xfId="0" applyFont="1" applyFill="1" applyBorder="1" applyAlignment="1">
      <alignment horizontal="right"/>
    </xf>
    <xf numFmtId="168" fontId="4" fillId="8" borderId="12" xfId="0" applyNumberFormat="1" applyFont="1" applyFill="1" applyBorder="1" applyAlignment="1">
      <alignment horizontal="right"/>
    </xf>
    <xf numFmtId="173" fontId="18" fillId="8" borderId="0" xfId="0" applyNumberFormat="1" applyFont="1" applyFill="1" applyAlignment="1">
      <alignment horizontal="right"/>
    </xf>
    <xf numFmtId="0" fontId="22" fillId="8" borderId="0" xfId="0" applyFont="1" applyFill="1" applyAlignment="1">
      <alignment horizontal="left" wrapText="1"/>
    </xf>
    <xf numFmtId="172" fontId="4" fillId="8" borderId="0" xfId="0" applyNumberFormat="1" applyFont="1" applyFill="1" applyAlignment="1">
      <alignment horizontal="right"/>
    </xf>
    <xf numFmtId="0" fontId="3" fillId="38" borderId="11" xfId="5" applyBorder="1" applyAlignment="1">
      <alignment horizontal="left" vertical="top" wrapText="1" indent="1"/>
    </xf>
    <xf numFmtId="0" fontId="3" fillId="38" borderId="9" xfId="5" applyBorder="1" applyAlignment="1">
      <alignment horizontal="center" vertical="center"/>
    </xf>
    <xf numFmtId="0" fontId="3" fillId="14" borderId="11" xfId="4" applyBorder="1" applyAlignment="1" applyProtection="1">
      <alignment horizontal="left" vertical="center"/>
      <protection locked="0"/>
    </xf>
    <xf numFmtId="0" fontId="3" fillId="14" borderId="10" xfId="4" applyBorder="1" applyAlignment="1" applyProtection="1">
      <alignment horizontal="center" vertical="center" wrapText="1"/>
      <protection locked="0"/>
    </xf>
    <xf numFmtId="0" fontId="3" fillId="14" borderId="10" xfId="4" applyBorder="1" applyAlignment="1" applyProtection="1">
      <alignment vertical="center" wrapText="1"/>
      <protection locked="0"/>
    </xf>
    <xf numFmtId="0" fontId="3" fillId="14" borderId="10" xfId="4" applyBorder="1" applyAlignment="1"/>
    <xf numFmtId="9" fontId="3" fillId="14" borderId="10" xfId="4" applyNumberFormat="1" applyBorder="1" applyAlignment="1">
      <alignment vertical="center" wrapText="1"/>
    </xf>
    <xf numFmtId="0" fontId="3" fillId="14" borderId="10" xfId="4" applyNumberFormat="1" applyBorder="1" applyAlignment="1">
      <alignment vertical="center" wrapText="1"/>
    </xf>
    <xf numFmtId="0" fontId="3" fillId="14" borderId="10" xfId="4" applyBorder="1" applyAlignment="1">
      <alignment horizontal="left" vertical="center" wrapText="1"/>
    </xf>
    <xf numFmtId="0" fontId="3" fillId="14" borderId="9" xfId="4" applyBorder="1" applyAlignment="1">
      <alignment horizontal="left" vertical="center" wrapText="1"/>
    </xf>
    <xf numFmtId="0" fontId="3" fillId="14" borderId="81" xfId="4" quotePrefix="1" applyBorder="1" applyAlignment="1">
      <alignment horizontal="center" vertical="center" wrapText="1"/>
    </xf>
    <xf numFmtId="0" fontId="3" fillId="14" borderId="83" xfId="4" applyBorder="1" applyAlignment="1">
      <alignment horizontal="center" vertical="center"/>
    </xf>
    <xf numFmtId="0" fontId="3" fillId="14" borderId="11" xfId="4" applyBorder="1" applyAlignment="1">
      <alignment horizontal="left"/>
    </xf>
    <xf numFmtId="0" fontId="3" fillId="14" borderId="25" xfId="4" applyBorder="1" applyAlignment="1">
      <alignment horizontal="left"/>
    </xf>
    <xf numFmtId="1" fontId="3" fillId="38" borderId="5" xfId="5" applyNumberFormat="1" applyBorder="1" applyAlignment="1">
      <alignment horizontal="center"/>
    </xf>
    <xf numFmtId="0" fontId="3" fillId="38" borderId="5" xfId="5" applyBorder="1" applyAlignment="1"/>
    <xf numFmtId="0" fontId="3" fillId="38" borderId="15" xfId="5" applyBorder="1" applyAlignment="1">
      <alignment horizontal="center"/>
    </xf>
    <xf numFmtId="0" fontId="3" fillId="38" borderId="5" xfId="5" applyBorder="1" applyAlignment="1">
      <alignment horizontal="center"/>
    </xf>
    <xf numFmtId="0" fontId="3" fillId="38" borderId="14" xfId="5" applyBorder="1" applyAlignment="1"/>
    <xf numFmtId="168" fontId="3" fillId="38" borderId="5" xfId="5" applyNumberFormat="1" applyBorder="1" applyAlignment="1"/>
    <xf numFmtId="168" fontId="3" fillId="38" borderId="5" xfId="5" applyNumberFormat="1" applyBorder="1" applyAlignment="1">
      <alignment horizontal="center"/>
    </xf>
    <xf numFmtId="168" fontId="3" fillId="38" borderId="14" xfId="5" applyNumberFormat="1" applyBorder="1" applyAlignment="1"/>
    <xf numFmtId="16" fontId="24" fillId="14" borderId="0" xfId="4" applyNumberFormat="1" applyFont="1" applyAlignment="1">
      <alignment horizontal="center" wrapText="1"/>
    </xf>
    <xf numFmtId="3" fontId="6" fillId="0" borderId="50" xfId="0" applyNumberFormat="1" applyFont="1" applyBorder="1" applyAlignment="1">
      <alignment horizontal="center" vertical="center" wrapText="1"/>
    </xf>
    <xf numFmtId="0" fontId="25" fillId="0" borderId="90" xfId="0" applyFont="1" applyBorder="1" applyAlignment="1">
      <alignment horizontal="center" vertical="center" wrapText="1"/>
    </xf>
    <xf numFmtId="168" fontId="4" fillId="22" borderId="11" xfId="0" applyNumberFormat="1" applyFont="1" applyFill="1" applyBorder="1" applyAlignment="1">
      <alignment horizontal="center" vertical="center" wrapText="1"/>
    </xf>
    <xf numFmtId="168" fontId="4" fillId="22" borderId="78" xfId="0" applyNumberFormat="1" applyFont="1" applyFill="1" applyBorder="1" applyAlignment="1">
      <alignment horizontal="center" vertical="center" wrapText="1"/>
    </xf>
    <xf numFmtId="168" fontId="4" fillId="22" borderId="86" xfId="0" applyNumberFormat="1" applyFont="1" applyFill="1" applyBorder="1" applyAlignment="1">
      <alignment horizontal="center" vertical="center" wrapText="1"/>
    </xf>
    <xf numFmtId="168" fontId="4" fillId="22" borderId="79" xfId="0" applyNumberFormat="1" applyFont="1" applyFill="1" applyBorder="1" applyAlignment="1">
      <alignment horizontal="center" vertical="center" wrapText="1"/>
    </xf>
    <xf numFmtId="168" fontId="4" fillId="22" borderId="74" xfId="0" applyNumberFormat="1" applyFont="1" applyFill="1" applyBorder="1" applyAlignment="1">
      <alignment horizontal="center" vertical="center" wrapText="1"/>
    </xf>
    <xf numFmtId="168" fontId="4" fillId="22" borderId="10" xfId="0" applyNumberFormat="1" applyFont="1" applyFill="1" applyBorder="1" applyAlignment="1">
      <alignment horizontal="center" vertical="center" wrapText="1"/>
    </xf>
    <xf numFmtId="0" fontId="6" fillId="0" borderId="69" xfId="0" applyFont="1" applyBorder="1" applyAlignment="1">
      <alignment horizontal="center" wrapText="1"/>
    </xf>
    <xf numFmtId="0" fontId="6" fillId="0" borderId="68" xfId="0" applyFont="1" applyBorder="1" applyAlignment="1">
      <alignment horizontal="center" wrapText="1"/>
    </xf>
    <xf numFmtId="0" fontId="4" fillId="0" borderId="68" xfId="0" applyFont="1" applyBorder="1" applyAlignment="1">
      <alignment horizontal="center" vertical="center" wrapText="1"/>
    </xf>
    <xf numFmtId="6" fontId="6" fillId="0" borderId="69" xfId="0" applyNumberFormat="1" applyFont="1" applyBorder="1" applyAlignment="1">
      <alignment horizontal="center" vertical="center"/>
    </xf>
    <xf numFmtId="6" fontId="6" fillId="0" borderId="68" xfId="0" applyNumberFormat="1" applyFont="1" applyBorder="1" applyAlignment="1">
      <alignment horizontal="center" vertical="center"/>
    </xf>
    <xf numFmtId="6" fontId="6" fillId="0" borderId="92" xfId="0" applyNumberFormat="1" applyFont="1" applyBorder="1" applyAlignment="1">
      <alignment horizontal="center" vertical="center"/>
    </xf>
    <xf numFmtId="173" fontId="6" fillId="0" borderId="69" xfId="0" applyNumberFormat="1" applyFont="1" applyBorder="1" applyAlignment="1">
      <alignment horizontal="center" vertical="center"/>
    </xf>
    <xf numFmtId="173" fontId="6" fillId="0" borderId="68" xfId="0" applyNumberFormat="1" applyFont="1" applyBorder="1" applyAlignment="1">
      <alignment horizontal="center" vertical="center"/>
    </xf>
    <xf numFmtId="173" fontId="6" fillId="0" borderId="92" xfId="0" applyNumberFormat="1" applyFont="1" applyBorder="1" applyAlignment="1">
      <alignment horizontal="center" vertical="center"/>
    </xf>
    <xf numFmtId="0" fontId="4" fillId="0" borderId="92" xfId="0" applyFont="1" applyBorder="1" applyAlignment="1">
      <alignment horizontal="center" vertical="center" wrapText="1"/>
    </xf>
    <xf numFmtId="0" fontId="4" fillId="0" borderId="93" xfId="0" applyFont="1" applyBorder="1" applyAlignment="1">
      <alignment horizontal="center" vertical="center" wrapText="1"/>
    </xf>
    <xf numFmtId="0" fontId="4" fillId="0" borderId="77"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69" xfId="0" applyFont="1" applyBorder="1" applyAlignment="1">
      <alignment horizontal="center" vertical="center" wrapText="1"/>
    </xf>
    <xf numFmtId="168" fontId="8" fillId="11" borderId="10" xfId="0" applyNumberFormat="1" applyFont="1" applyFill="1" applyBorder="1" applyAlignment="1" applyProtection="1">
      <alignment horizontal="right"/>
      <protection locked="0"/>
    </xf>
    <xf numFmtId="168" fontId="4" fillId="11" borderId="9" xfId="0" applyNumberFormat="1" applyFont="1" applyFill="1" applyBorder="1" applyAlignment="1">
      <alignment horizontal="right"/>
    </xf>
    <xf numFmtId="168" fontId="6" fillId="4" borderId="0" xfId="0" applyNumberFormat="1" applyFont="1" applyFill="1" applyAlignment="1">
      <alignment horizontal="center"/>
    </xf>
    <xf numFmtId="0" fontId="4" fillId="0" borderId="31" xfId="0" applyFont="1" applyBorder="1" applyAlignment="1">
      <alignment horizontal="center" vertical="center"/>
    </xf>
    <xf numFmtId="175" fontId="0" fillId="0" borderId="0" xfId="2" applyNumberFormat="1" applyFont="1"/>
    <xf numFmtId="174" fontId="0" fillId="0" borderId="0" xfId="0" applyNumberFormat="1"/>
    <xf numFmtId="0" fontId="8" fillId="0" borderId="31" xfId="0" applyFont="1" applyBorder="1"/>
    <xf numFmtId="168" fontId="8" fillId="0" borderId="31" xfId="0" applyNumberFormat="1" applyFont="1" applyBorder="1"/>
    <xf numFmtId="191" fontId="0" fillId="0" borderId="0" xfId="0" applyNumberFormat="1"/>
    <xf numFmtId="168" fontId="18" fillId="8" borderId="5" xfId="0" applyNumberFormat="1" applyFont="1" applyFill="1" applyBorder="1" applyAlignment="1" applyProtection="1">
      <alignment horizontal="right" vertical="top"/>
      <protection locked="0"/>
    </xf>
    <xf numFmtId="168" fontId="18" fillId="13" borderId="5" xfId="0" applyNumberFormat="1" applyFont="1" applyFill="1" applyBorder="1" applyAlignment="1" applyProtection="1">
      <alignment horizontal="right" vertical="top"/>
      <protection locked="0"/>
    </xf>
    <xf numFmtId="9" fontId="8" fillId="3" borderId="18" xfId="0" applyNumberFormat="1" applyFont="1" applyFill="1" applyBorder="1" applyAlignment="1" applyProtection="1">
      <alignment horizontal="right" vertical="top"/>
      <protection locked="0"/>
    </xf>
    <xf numFmtId="168" fontId="0" fillId="3" borderId="17" xfId="0" applyNumberFormat="1" applyFill="1" applyBorder="1" applyAlignment="1">
      <alignment horizontal="right" vertical="top"/>
    </xf>
    <xf numFmtId="168" fontId="0" fillId="3" borderId="16" xfId="0" applyNumberFormat="1" applyFill="1" applyBorder="1" applyAlignment="1">
      <alignment horizontal="right" vertical="top"/>
    </xf>
    <xf numFmtId="0" fontId="3" fillId="38" borderId="0" xfId="5" applyBorder="1" applyAlignment="1">
      <alignment horizontal="left" vertical="center"/>
    </xf>
    <xf numFmtId="0" fontId="3" fillId="38" borderId="0" xfId="5" applyBorder="1" applyAlignment="1">
      <alignment horizontal="center" vertical="center"/>
    </xf>
    <xf numFmtId="0" fontId="6" fillId="0" borderId="0" xfId="0" applyFont="1" applyAlignment="1">
      <alignment horizontal="center"/>
    </xf>
    <xf numFmtId="0" fontId="4" fillId="0" borderId="0" xfId="0" applyFont="1"/>
    <xf numFmtId="0" fontId="0" fillId="0" borderId="0" xfId="0" quotePrefix="1"/>
    <xf numFmtId="176" fontId="6" fillId="0" borderId="0" xfId="0" applyNumberFormat="1" applyFont="1" applyAlignment="1">
      <alignment horizontal="right"/>
    </xf>
    <xf numFmtId="181" fontId="6" fillId="0" borderId="0" xfId="0" applyNumberFormat="1" applyFont="1" applyAlignment="1">
      <alignment horizontal="right"/>
    </xf>
    <xf numFmtId="181" fontId="6" fillId="0" borderId="34" xfId="0" applyNumberFormat="1" applyFont="1" applyBorder="1"/>
    <xf numFmtId="0" fontId="3" fillId="38" borderId="11" xfId="5" applyBorder="1" applyAlignment="1">
      <alignment horizontal="center" vertical="center"/>
    </xf>
    <xf numFmtId="0" fontId="3" fillId="38" borderId="10" xfId="5" applyBorder="1" applyAlignment="1">
      <alignment horizontal="center" vertical="center"/>
    </xf>
    <xf numFmtId="0" fontId="8" fillId="37" borderId="43" xfId="0" applyFont="1" applyFill="1" applyBorder="1" applyAlignment="1">
      <alignment horizontal="center" vertical="top" wrapText="1"/>
    </xf>
    <xf numFmtId="168" fontId="0" fillId="37" borderId="43" xfId="1" applyNumberFormat="1" applyFont="1" applyFill="1" applyBorder="1" applyAlignment="1">
      <alignment horizontal="center" vertical="center" wrapText="1"/>
    </xf>
    <xf numFmtId="181" fontId="0" fillId="37" borderId="43" xfId="1" applyNumberFormat="1" applyFont="1" applyFill="1" applyBorder="1" applyAlignment="1">
      <alignment horizontal="center" vertical="center" wrapText="1"/>
    </xf>
    <xf numFmtId="0" fontId="6" fillId="37" borderId="0" xfId="0" applyFont="1" applyFill="1"/>
    <xf numFmtId="168" fontId="6" fillId="37" borderId="87" xfId="0" applyNumberFormat="1" applyFont="1" applyFill="1" applyBorder="1" applyAlignment="1">
      <alignment horizontal="center" vertical="top"/>
    </xf>
    <xf numFmtId="181" fontId="0" fillId="37" borderId="87" xfId="0" applyNumberFormat="1" applyFill="1" applyBorder="1" applyAlignment="1">
      <alignment horizontal="center" vertical="top"/>
    </xf>
    <xf numFmtId="178" fontId="0" fillId="37" borderId="87" xfId="0" applyNumberFormat="1" applyFill="1" applyBorder="1" applyAlignment="1">
      <alignment horizontal="center" vertical="top"/>
    </xf>
    <xf numFmtId="3" fontId="0" fillId="37" borderId="87" xfId="0" applyNumberFormat="1" applyFill="1" applyBorder="1" applyAlignment="1">
      <alignment horizontal="center" vertical="top"/>
    </xf>
    <xf numFmtId="0" fontId="6" fillId="37" borderId="87" xfId="0" applyFont="1" applyFill="1" applyBorder="1" applyAlignment="1">
      <alignment horizontal="center" vertical="top" wrapText="1"/>
    </xf>
    <xf numFmtId="0" fontId="0" fillId="37" borderId="0" xfId="0" applyFill="1"/>
    <xf numFmtId="1" fontId="0" fillId="13" borderId="94" xfId="0" applyNumberFormat="1" applyFill="1" applyBorder="1" applyAlignment="1">
      <alignment horizontal="center" vertical="center"/>
    </xf>
    <xf numFmtId="0" fontId="4" fillId="11" borderId="11" xfId="0" applyFont="1" applyFill="1" applyBorder="1" applyAlignment="1">
      <alignment horizontal="right"/>
    </xf>
    <xf numFmtId="0" fontId="4" fillId="10" borderId="26" xfId="0" applyFont="1" applyFill="1" applyBorder="1" applyAlignment="1">
      <alignment horizontal="right"/>
    </xf>
    <xf numFmtId="0" fontId="4" fillId="10" borderId="10" xfId="0" applyFont="1" applyFill="1" applyBorder="1" applyAlignment="1">
      <alignment horizontal="right"/>
    </xf>
    <xf numFmtId="0" fontId="4" fillId="11" borderId="11" xfId="0" applyFont="1" applyFill="1" applyBorder="1" applyAlignment="1">
      <alignment horizontal="left"/>
    </xf>
    <xf numFmtId="9" fontId="0" fillId="3" borderId="18" xfId="0" applyNumberFormat="1" applyFill="1" applyBorder="1" applyAlignment="1">
      <alignment horizontal="right"/>
    </xf>
    <xf numFmtId="10" fontId="0" fillId="3" borderId="13" xfId="0" applyNumberFormat="1" applyFill="1" applyBorder="1" applyAlignment="1">
      <alignment horizontal="right"/>
    </xf>
    <xf numFmtId="0" fontId="18" fillId="8" borderId="95" xfId="0" applyFont="1" applyFill="1" applyBorder="1" applyAlignment="1" applyProtection="1">
      <alignment horizontal="left" vertical="top" wrapText="1" indent="1"/>
      <protection locked="0"/>
    </xf>
    <xf numFmtId="0" fontId="18" fillId="8" borderId="5" xfId="0" applyFont="1" applyFill="1" applyBorder="1" applyAlignment="1" applyProtection="1">
      <alignment vertical="center"/>
      <protection locked="0"/>
    </xf>
    <xf numFmtId="168" fontId="18" fillId="8" borderId="41" xfId="0" applyNumberFormat="1" applyFont="1" applyFill="1" applyBorder="1" applyAlignment="1" applyProtection="1">
      <alignment vertical="center"/>
      <protection locked="0"/>
    </xf>
    <xf numFmtId="168" fontId="18" fillId="13" borderId="41" xfId="0" applyNumberFormat="1" applyFont="1" applyFill="1" applyBorder="1" applyAlignment="1" applyProtection="1">
      <alignment vertical="center"/>
      <protection locked="0"/>
    </xf>
    <xf numFmtId="0" fontId="18" fillId="8" borderId="96" xfId="0" applyFont="1" applyFill="1" applyBorder="1" applyAlignment="1" applyProtection="1">
      <alignment horizontal="left" vertical="top" wrapText="1" indent="1"/>
      <protection locked="0"/>
    </xf>
    <xf numFmtId="0" fontId="18" fillId="8" borderId="97" xfId="0" applyFont="1" applyFill="1" applyBorder="1" applyAlignment="1" applyProtection="1">
      <alignment vertical="center"/>
      <protection locked="0"/>
    </xf>
    <xf numFmtId="168" fontId="18" fillId="8" borderId="97" xfId="0" applyNumberFormat="1" applyFont="1" applyFill="1" applyBorder="1" applyAlignment="1" applyProtection="1">
      <alignment horizontal="right" vertical="top"/>
      <protection locked="0"/>
    </xf>
    <xf numFmtId="168" fontId="18" fillId="13" borderId="98" xfId="0" applyNumberFormat="1" applyFont="1" applyFill="1" applyBorder="1" applyAlignment="1" applyProtection="1">
      <alignment vertical="center"/>
      <protection locked="0"/>
    </xf>
    <xf numFmtId="0" fontId="6" fillId="0" borderId="99" xfId="0" applyFont="1" applyBorder="1" applyAlignment="1">
      <alignment horizontal="center" vertical="center"/>
    </xf>
    <xf numFmtId="176" fontId="6" fillId="0" borderId="99" xfId="0" applyNumberFormat="1" applyFont="1" applyBorder="1" applyAlignment="1">
      <alignment horizontal="center" vertical="center" wrapText="1"/>
    </xf>
    <xf numFmtId="10" fontId="6" fillId="0" borderId="99" xfId="0" applyNumberFormat="1" applyFont="1" applyBorder="1" applyAlignment="1">
      <alignment horizontal="center" vertical="center"/>
    </xf>
    <xf numFmtId="0" fontId="6" fillId="37" borderId="99" xfId="0" applyFont="1" applyFill="1" applyBorder="1" applyAlignment="1">
      <alignment horizontal="center" vertical="center"/>
    </xf>
    <xf numFmtId="176" fontId="6" fillId="37" borderId="99" xfId="0" applyNumberFormat="1" applyFont="1" applyFill="1" applyBorder="1" applyAlignment="1">
      <alignment horizontal="center" vertical="center" wrapText="1"/>
    </xf>
    <xf numFmtId="10" fontId="6" fillId="37" borderId="99" xfId="0" applyNumberFormat="1" applyFont="1" applyFill="1" applyBorder="1" applyAlignment="1">
      <alignment horizontal="center" vertical="center"/>
    </xf>
    <xf numFmtId="0" fontId="3" fillId="14" borderId="56" xfId="4" applyBorder="1" applyAlignment="1">
      <alignment horizontal="left" vertical="center" wrapText="1"/>
    </xf>
    <xf numFmtId="0" fontId="3" fillId="14" borderId="38" xfId="4" applyBorder="1" applyAlignment="1">
      <alignment horizontal="left" vertical="center" wrapText="1"/>
    </xf>
    <xf numFmtId="0" fontId="3" fillId="14" borderId="102" xfId="4" applyBorder="1" applyAlignment="1">
      <alignment horizontal="left" vertical="center" wrapText="1"/>
    </xf>
    <xf numFmtId="0" fontId="3" fillId="14" borderId="103" xfId="4" applyBorder="1" applyAlignment="1">
      <alignment horizontal="left" vertical="center" wrapText="1"/>
    </xf>
    <xf numFmtId="9" fontId="4" fillId="3" borderId="11" xfId="2" applyFont="1" applyFill="1" applyBorder="1" applyAlignment="1">
      <alignment horizontal="right"/>
    </xf>
    <xf numFmtId="0" fontId="8" fillId="31" borderId="0" xfId="0" applyFont="1" applyFill="1" applyAlignment="1">
      <alignment horizontal="left" indent="1"/>
    </xf>
    <xf numFmtId="0" fontId="6" fillId="8" borderId="81" xfId="0" applyFont="1" applyFill="1" applyBorder="1" applyAlignment="1">
      <alignment horizontal="center" vertical="top"/>
    </xf>
    <xf numFmtId="0" fontId="20" fillId="8" borderId="99" xfId="0" applyFont="1" applyFill="1" applyBorder="1" applyAlignment="1">
      <alignment horizontal="left" vertical="top" wrapText="1" indent="1"/>
    </xf>
    <xf numFmtId="0" fontId="4" fillId="0" borderId="99" xfId="0" applyFont="1" applyBorder="1" applyAlignment="1">
      <alignment horizontal="center" vertical="center" wrapText="1"/>
    </xf>
    <xf numFmtId="0" fontId="34" fillId="0" borderId="0" xfId="0" applyFont="1" applyAlignment="1">
      <alignment wrapText="1"/>
    </xf>
    <xf numFmtId="0" fontId="34" fillId="0" borderId="0" xfId="0" applyFont="1"/>
    <xf numFmtId="0" fontId="35" fillId="0" borderId="12" xfId="0" applyFont="1" applyBorder="1"/>
    <xf numFmtId="0" fontId="35" fillId="0" borderId="0" xfId="0" applyFont="1"/>
    <xf numFmtId="0" fontId="34" fillId="0" borderId="0" xfId="0" applyFont="1" applyAlignment="1">
      <alignment horizontal="center"/>
    </xf>
    <xf numFmtId="182" fontId="35" fillId="0" borderId="0" xfId="0" applyNumberFormat="1" applyFont="1" applyAlignment="1">
      <alignment horizontal="right"/>
    </xf>
    <xf numFmtId="182" fontId="35" fillId="8" borderId="0" xfId="0" applyNumberFormat="1" applyFont="1" applyFill="1" applyAlignment="1">
      <alignment horizontal="right"/>
    </xf>
    <xf numFmtId="1" fontId="35" fillId="0" borderId="12" xfId="0" applyNumberFormat="1" applyFont="1" applyBorder="1"/>
    <xf numFmtId="192" fontId="35" fillId="0" borderId="0" xfId="0" applyNumberFormat="1" applyFont="1" applyAlignment="1">
      <alignment horizontal="right"/>
    </xf>
    <xf numFmtId="0" fontId="3" fillId="14" borderId="83" xfId="4" applyBorder="1" applyAlignment="1">
      <alignment horizontal="center" vertical="center" wrapText="1"/>
    </xf>
    <xf numFmtId="9" fontId="6" fillId="0" borderId="99" xfId="0" applyNumberFormat="1" applyFont="1" applyBorder="1" applyAlignment="1">
      <alignment horizontal="center" vertical="center"/>
    </xf>
    <xf numFmtId="173" fontId="6" fillId="0" borderId="99" xfId="0" applyNumberFormat="1" applyFont="1" applyBorder="1" applyAlignment="1">
      <alignment horizontal="right" vertical="center" indent="1"/>
    </xf>
    <xf numFmtId="0" fontId="3" fillId="14" borderId="99" xfId="4" applyBorder="1" applyAlignment="1">
      <alignment horizontal="center" vertical="center" wrapText="1"/>
    </xf>
    <xf numFmtId="173" fontId="6" fillId="0" borderId="83" xfId="0" applyNumberFormat="1" applyFont="1" applyBorder="1" applyAlignment="1">
      <alignment horizontal="right" vertical="center" indent="1"/>
    </xf>
    <xf numFmtId="9" fontId="6" fillId="0" borderId="49" xfId="0" applyNumberFormat="1" applyFont="1" applyBorder="1" applyAlignment="1">
      <alignment horizontal="center" vertical="center"/>
    </xf>
    <xf numFmtId="173" fontId="6" fillId="0" borderId="48" xfId="0" applyNumberFormat="1" applyFont="1" applyBorder="1" applyAlignment="1">
      <alignment horizontal="right" vertical="center" indent="1"/>
    </xf>
    <xf numFmtId="0" fontId="35" fillId="0" borderId="24" xfId="0" applyFont="1" applyBorder="1"/>
    <xf numFmtId="0" fontId="35" fillId="0" borderId="34" xfId="0" applyFont="1" applyBorder="1"/>
    <xf numFmtId="168" fontId="6" fillId="0" borderId="99" xfId="0" applyNumberFormat="1" applyFont="1" applyBorder="1" applyAlignment="1">
      <alignment horizontal="right" vertical="center" indent="1"/>
    </xf>
    <xf numFmtId="168" fontId="6" fillId="0" borderId="83" xfId="0" applyNumberFormat="1" applyFont="1" applyBorder="1" applyAlignment="1">
      <alignment horizontal="right" vertical="center" indent="1"/>
    </xf>
    <xf numFmtId="168" fontId="6" fillId="0" borderId="48" xfId="0" applyNumberFormat="1" applyFont="1" applyBorder="1" applyAlignment="1">
      <alignment horizontal="right" vertical="center" indent="1"/>
    </xf>
    <xf numFmtId="9" fontId="6" fillId="0" borderId="8" xfId="0" applyNumberFormat="1" applyFont="1" applyBorder="1" applyAlignment="1">
      <alignment horizontal="center" vertical="center"/>
    </xf>
    <xf numFmtId="173" fontId="6" fillId="0" borderId="8" xfId="0" applyNumberFormat="1" applyFont="1" applyBorder="1" applyAlignment="1">
      <alignment horizontal="right" vertical="center" indent="1"/>
    </xf>
    <xf numFmtId="0" fontId="35" fillId="8" borderId="0" xfId="0" applyFont="1" applyFill="1"/>
    <xf numFmtId="0" fontId="34" fillId="8" borderId="0" xfId="0" applyFont="1" applyFill="1" applyAlignment="1">
      <alignment horizontal="center"/>
    </xf>
    <xf numFmtId="3" fontId="35" fillId="8" borderId="0" xfId="0" applyNumberFormat="1" applyFont="1" applyFill="1" applyAlignment="1">
      <alignment horizontal="right"/>
    </xf>
    <xf numFmtId="0" fontId="36" fillId="0" borderId="0" xfId="0" applyFont="1" applyAlignment="1">
      <alignment horizontal="center"/>
    </xf>
    <xf numFmtId="0" fontId="8" fillId="22" borderId="83" xfId="0" applyFont="1" applyFill="1" applyBorder="1" applyAlignment="1">
      <alignment horizontal="center" vertical="top" wrapText="1"/>
    </xf>
    <xf numFmtId="0" fontId="8" fillId="22" borderId="83" xfId="0" applyFont="1" applyFill="1" applyBorder="1" applyAlignment="1">
      <alignment horizontal="center" vertical="center" wrapText="1"/>
    </xf>
    <xf numFmtId="3" fontId="7" fillId="0" borderId="0" xfId="0" applyNumberFormat="1" applyFont="1"/>
    <xf numFmtId="4" fontId="7" fillId="0" borderId="0" xfId="0" applyNumberFormat="1" applyFont="1"/>
    <xf numFmtId="0" fontId="8" fillId="16" borderId="13" xfId="0" applyFont="1" applyFill="1" applyBorder="1" applyAlignment="1">
      <alignment horizontal="center"/>
    </xf>
    <xf numFmtId="0" fontId="8" fillId="16" borderId="12" xfId="0" applyFont="1" applyFill="1" applyBorder="1" applyAlignment="1">
      <alignment horizontal="center"/>
    </xf>
    <xf numFmtId="0" fontId="8" fillId="16" borderId="13" xfId="0" applyFont="1" applyFill="1" applyBorder="1"/>
    <xf numFmtId="0" fontId="8" fillId="16" borderId="12" xfId="0" applyFont="1" applyFill="1" applyBorder="1" applyAlignment="1">
      <alignment horizontal="center" vertical="center"/>
    </xf>
    <xf numFmtId="173" fontId="26" fillId="16" borderId="0" xfId="0" applyNumberFormat="1" applyFont="1" applyFill="1"/>
    <xf numFmtId="0" fontId="8" fillId="16" borderId="13" xfId="0" applyFont="1" applyFill="1" applyBorder="1" applyAlignment="1">
      <alignment horizontal="center" vertical="center"/>
    </xf>
    <xf numFmtId="173" fontId="0" fillId="16" borderId="0" xfId="0" applyNumberFormat="1" applyFill="1"/>
    <xf numFmtId="0" fontId="0" fillId="16" borderId="26" xfId="0" applyFill="1" applyBorder="1"/>
    <xf numFmtId="0" fontId="0" fillId="16" borderId="24" xfId="0" applyFill="1" applyBorder="1"/>
    <xf numFmtId="9" fontId="0" fillId="16" borderId="24" xfId="0" applyNumberFormat="1" applyFill="1" applyBorder="1" applyAlignment="1">
      <alignment horizontal="center"/>
    </xf>
    <xf numFmtId="0" fontId="0" fillId="16" borderId="34" xfId="0" applyFill="1" applyBorder="1"/>
    <xf numFmtId="0" fontId="8" fillId="16" borderId="26" xfId="0" applyFont="1" applyFill="1" applyBorder="1" applyAlignment="1">
      <alignment horizontal="center" vertical="center"/>
    </xf>
    <xf numFmtId="173" fontId="0" fillId="16" borderId="24" xfId="0" applyNumberFormat="1" applyFill="1" applyBorder="1"/>
    <xf numFmtId="0" fontId="8" fillId="16" borderId="24" xfId="0" applyFont="1" applyFill="1" applyBorder="1" applyAlignment="1">
      <alignment horizontal="center"/>
    </xf>
    <xf numFmtId="0" fontId="8" fillId="16" borderId="24" xfId="0" applyFont="1" applyFill="1" applyBorder="1" applyAlignment="1">
      <alignment horizontal="center" vertical="center"/>
    </xf>
    <xf numFmtId="0" fontId="8" fillId="16" borderId="34" xfId="0" applyFont="1" applyFill="1" applyBorder="1" applyAlignment="1">
      <alignment horizontal="center" vertical="center"/>
    </xf>
    <xf numFmtId="0" fontId="3" fillId="38" borderId="26" xfId="5" applyBorder="1" applyAlignment="1">
      <alignment horizontal="center" vertical="center"/>
    </xf>
    <xf numFmtId="0" fontId="4" fillId="22" borderId="102" xfId="0" applyFont="1" applyFill="1" applyBorder="1" applyAlignment="1">
      <alignment horizontal="center" vertical="center" wrapText="1"/>
    </xf>
    <xf numFmtId="0" fontId="4" fillId="33" borderId="106" xfId="0" applyFont="1" applyFill="1" applyBorder="1" applyAlignment="1">
      <alignment horizontal="center" vertical="center" wrapText="1"/>
    </xf>
    <xf numFmtId="0" fontId="6" fillId="0" borderId="99" xfId="0" applyFont="1" applyBorder="1" applyAlignment="1">
      <alignment horizontal="left" vertical="top" wrapText="1" indent="1"/>
    </xf>
    <xf numFmtId="0" fontId="20" fillId="0" borderId="99" xfId="0" applyFont="1" applyBorder="1" applyAlignment="1">
      <alignment horizontal="left" vertical="top" wrapText="1" indent="1"/>
    </xf>
    <xf numFmtId="0" fontId="20" fillId="0" borderId="99" xfId="0" applyFont="1" applyBorder="1" applyAlignment="1">
      <alignment horizontal="center" vertical="top" wrapText="1"/>
    </xf>
    <xf numFmtId="0" fontId="6" fillId="0" borderId="49" xfId="0" applyFont="1" applyBorder="1" applyAlignment="1">
      <alignment horizontal="left" vertical="top" wrapText="1" indent="1"/>
    </xf>
    <xf numFmtId="0" fontId="20" fillId="0" borderId="49" xfId="0" applyFont="1" applyBorder="1" applyAlignment="1">
      <alignment horizontal="left" vertical="top" wrapText="1" indent="1"/>
    </xf>
    <xf numFmtId="0" fontId="20" fillId="0" borderId="49" xfId="0" applyFont="1" applyBorder="1" applyAlignment="1">
      <alignment horizontal="center" vertical="top" wrapText="1"/>
    </xf>
    <xf numFmtId="190" fontId="4" fillId="22" borderId="102" xfId="0" applyNumberFormat="1" applyFont="1" applyFill="1" applyBorder="1" applyAlignment="1">
      <alignment horizontal="center" vertical="center" wrapText="1"/>
    </xf>
    <xf numFmtId="0" fontId="6" fillId="8" borderId="57" xfId="0" applyFont="1" applyFill="1" applyBorder="1" applyAlignment="1">
      <alignment horizontal="center" vertical="top"/>
    </xf>
    <xf numFmtId="0" fontId="6" fillId="0" borderId="56" xfId="0" applyFont="1" applyBorder="1" applyAlignment="1">
      <alignment horizontal="left" vertical="top" wrapText="1" indent="1"/>
    </xf>
    <xf numFmtId="0" fontId="20" fillId="8" borderId="56" xfId="0" applyFont="1" applyFill="1" applyBorder="1" applyAlignment="1">
      <alignment horizontal="left" vertical="top" wrapText="1" indent="1"/>
    </xf>
    <xf numFmtId="0" fontId="20" fillId="0" borderId="56" xfId="0" applyFont="1" applyBorder="1" applyAlignment="1">
      <alignment horizontal="left" vertical="top" wrapText="1" indent="1"/>
    </xf>
    <xf numFmtId="0" fontId="20" fillId="0" borderId="56" xfId="0" applyFont="1" applyBorder="1" applyAlignment="1">
      <alignment horizontal="center" vertical="top" wrapText="1"/>
    </xf>
    <xf numFmtId="0" fontId="4" fillId="0" borderId="56" xfId="0" applyFont="1" applyBorder="1" applyAlignment="1">
      <alignment horizontal="center" vertical="center" wrapText="1"/>
    </xf>
    <xf numFmtId="0" fontId="4" fillId="16" borderId="37" xfId="0" applyFont="1" applyFill="1" applyBorder="1" applyAlignment="1">
      <alignment horizontal="center" vertical="center"/>
    </xf>
    <xf numFmtId="0" fontId="4" fillId="15" borderId="95" xfId="0" applyFont="1" applyFill="1" applyBorder="1" applyAlignment="1">
      <alignment horizontal="center" vertical="center"/>
    </xf>
    <xf numFmtId="0" fontId="4" fillId="16" borderId="95" xfId="0" applyFont="1" applyFill="1" applyBorder="1" applyAlignment="1">
      <alignment horizontal="center" vertical="center"/>
    </xf>
    <xf numFmtId="0" fontId="4" fillId="16" borderId="96" xfId="0" applyFont="1" applyFill="1" applyBorder="1" applyAlignment="1">
      <alignment horizontal="center" vertical="center"/>
    </xf>
    <xf numFmtId="0" fontId="4" fillId="15" borderId="96" xfId="0" applyFont="1" applyFill="1" applyBorder="1" applyAlignment="1">
      <alignment horizontal="center" vertical="center"/>
    </xf>
    <xf numFmtId="0" fontId="3" fillId="38" borderId="24" xfId="5" applyBorder="1" applyAlignment="1">
      <alignment horizontal="center" vertical="center" wrapText="1"/>
    </xf>
    <xf numFmtId="0" fontId="3" fillId="38" borderId="34" xfId="5" applyBorder="1" applyAlignment="1">
      <alignment horizontal="center" vertical="center" wrapText="1"/>
    </xf>
    <xf numFmtId="0" fontId="23" fillId="0" borderId="107" xfId="0" applyFont="1" applyBorder="1" applyAlignment="1">
      <alignment horizontal="center" vertical="center"/>
    </xf>
    <xf numFmtId="0" fontId="23" fillId="0" borderId="108" xfId="0" applyFont="1" applyBorder="1" applyAlignment="1">
      <alignment horizontal="center" vertical="center"/>
    </xf>
    <xf numFmtId="0" fontId="23" fillId="0" borderId="109" xfId="0" applyFont="1" applyBorder="1" applyAlignment="1">
      <alignment horizontal="center" vertical="center"/>
    </xf>
    <xf numFmtId="0" fontId="6" fillId="0" borderId="91" xfId="0" applyFont="1" applyBorder="1" applyAlignment="1">
      <alignment horizontal="left" vertical="top" wrapText="1"/>
    </xf>
    <xf numFmtId="0" fontId="0" fillId="0" borderId="0" xfId="0" applyAlignment="1">
      <alignment horizontal="left" vertical="top"/>
    </xf>
    <xf numFmtId="0" fontId="8" fillId="0" borderId="91" xfId="0" applyFont="1" applyBorder="1" applyAlignment="1">
      <alignment horizontal="center" vertical="top"/>
    </xf>
    <xf numFmtId="0" fontId="6" fillId="0" borderId="27" xfId="0" applyFont="1" applyBorder="1" applyAlignment="1">
      <alignment horizontal="left" vertical="top" wrapText="1"/>
    </xf>
    <xf numFmtId="0" fontId="6" fillId="0" borderId="73" xfId="0" applyFont="1" applyBorder="1" applyAlignment="1">
      <alignment horizontal="left" vertical="top" wrapText="1"/>
    </xf>
    <xf numFmtId="0" fontId="8" fillId="0" borderId="27" xfId="0" applyFont="1" applyBorder="1" applyAlignment="1">
      <alignment horizontal="center" vertical="top"/>
    </xf>
    <xf numFmtId="0" fontId="8" fillId="0" borderId="0" xfId="0" applyFont="1" applyAlignment="1">
      <alignment horizontal="left" vertical="top" wrapText="1"/>
    </xf>
    <xf numFmtId="0" fontId="6" fillId="0" borderId="91" xfId="0" applyFont="1" applyBorder="1" applyAlignment="1">
      <alignment horizontal="left" vertical="top" wrapText="1" indent="1"/>
    </xf>
    <xf numFmtId="0" fontId="0" fillId="0" borderId="0" xfId="0" applyAlignment="1">
      <alignment vertical="center"/>
    </xf>
    <xf numFmtId="9" fontId="18" fillId="28" borderId="99" xfId="2" applyFont="1" applyFill="1" applyBorder="1" applyAlignment="1">
      <alignment horizontal="left" indent="1"/>
    </xf>
    <xf numFmtId="1" fontId="3" fillId="14" borderId="37" xfId="4" applyNumberFormat="1" applyBorder="1" applyAlignment="1">
      <alignment horizontal="center"/>
    </xf>
    <xf numFmtId="0" fontId="3" fillId="14" borderId="36" xfId="4" applyBorder="1" applyAlignment="1">
      <alignment horizontal="center"/>
    </xf>
    <xf numFmtId="171" fontId="3" fillId="14" borderId="37" xfId="4" applyNumberFormat="1" applyBorder="1" applyAlignment="1">
      <alignment horizontal="center" wrapText="1"/>
    </xf>
    <xf numFmtId="170" fontId="3" fillId="14" borderId="36" xfId="4" applyNumberFormat="1" applyBorder="1" applyAlignment="1">
      <alignment horizontal="center" wrapText="1"/>
    </xf>
    <xf numFmtId="169" fontId="3" fillId="14" borderId="35" xfId="4" applyNumberFormat="1" applyBorder="1" applyAlignment="1">
      <alignment horizontal="center" wrapText="1"/>
    </xf>
    <xf numFmtId="0" fontId="6" fillId="4" borderId="91" xfId="0" applyFont="1" applyFill="1" applyBorder="1" applyAlignment="1">
      <alignment horizontal="center" vertical="top" wrapText="1"/>
    </xf>
    <xf numFmtId="165" fontId="6" fillId="0" borderId="91" xfId="0" applyNumberFormat="1" applyFont="1" applyBorder="1" applyAlignment="1">
      <alignment horizontal="center" vertical="top" wrapText="1"/>
    </xf>
    <xf numFmtId="6" fontId="0" fillId="16" borderId="8" xfId="0" applyNumberFormat="1" applyFill="1" applyBorder="1"/>
    <xf numFmtId="0" fontId="21" fillId="16" borderId="26" xfId="0" applyFont="1" applyFill="1" applyBorder="1" applyAlignment="1">
      <alignment horizontal="left" vertical="top"/>
    </xf>
    <xf numFmtId="168" fontId="8" fillId="0" borderId="97" xfId="0" applyNumberFormat="1" applyFont="1" applyBorder="1"/>
    <xf numFmtId="0" fontId="8" fillId="0" borderId="97" xfId="0" applyFont="1" applyBorder="1"/>
    <xf numFmtId="168" fontId="3" fillId="38" borderId="0" xfId="5" applyNumberFormat="1" applyBorder="1" applyAlignment="1">
      <alignment horizontal="right" vertical="center"/>
    </xf>
    <xf numFmtId="0" fontId="4" fillId="0" borderId="97" xfId="0" applyFont="1" applyBorder="1" applyAlignment="1">
      <alignment horizontal="center" vertical="center"/>
    </xf>
    <xf numFmtId="0" fontId="0" fillId="4" borderId="99" xfId="0" applyFill="1" applyBorder="1" applyAlignment="1">
      <alignment horizontal="center" vertical="top"/>
    </xf>
    <xf numFmtId="0" fontId="4" fillId="4" borderId="99" xfId="0" applyFont="1" applyFill="1" applyBorder="1" applyAlignment="1">
      <alignment horizontal="center" vertical="top" wrapText="1"/>
    </xf>
    <xf numFmtId="0" fontId="4" fillId="4" borderId="99" xfId="0" applyFont="1" applyFill="1" applyBorder="1" applyAlignment="1">
      <alignment vertical="top" wrapText="1"/>
    </xf>
    <xf numFmtId="0" fontId="0" fillId="4" borderId="99" xfId="0" applyFill="1" applyBorder="1" applyAlignment="1">
      <alignment horizontal="center"/>
    </xf>
    <xf numFmtId="0" fontId="4" fillId="4" borderId="99" xfId="0" applyFont="1" applyFill="1" applyBorder="1" applyAlignment="1">
      <alignment horizontal="center" wrapText="1"/>
    </xf>
    <xf numFmtId="0" fontId="3" fillId="14" borderId="57" xfId="4" applyBorder="1" applyAlignment="1">
      <alignment horizontal="center" vertical="center" wrapText="1"/>
    </xf>
    <xf numFmtId="0" fontId="3" fillId="14" borderId="56" xfId="4" applyBorder="1" applyAlignment="1">
      <alignment horizontal="center" vertical="center" wrapText="1"/>
    </xf>
    <xf numFmtId="0" fontId="3" fillId="14" borderId="38" xfId="4" applyBorder="1" applyAlignment="1">
      <alignment horizontal="center" vertical="center" wrapText="1"/>
    </xf>
    <xf numFmtId="0" fontId="3" fillId="14" borderId="81" xfId="4" applyBorder="1" applyAlignment="1">
      <alignment horizontal="center" vertical="center" wrapText="1"/>
    </xf>
    <xf numFmtId="0" fontId="0" fillId="4" borderId="81" xfId="0" applyFill="1" applyBorder="1" applyAlignment="1">
      <alignment horizontal="center" vertical="top"/>
    </xf>
    <xf numFmtId="0" fontId="4" fillId="4" borderId="81" xfId="0" applyFont="1" applyFill="1" applyBorder="1" applyAlignment="1">
      <alignment vertical="top" wrapText="1"/>
    </xf>
    <xf numFmtId="0" fontId="0" fillId="4" borderId="81" xfId="0" applyFill="1" applyBorder="1" applyAlignment="1">
      <alignment horizontal="center"/>
    </xf>
    <xf numFmtId="0" fontId="0" fillId="4" borderId="83" xfId="0" applyFill="1" applyBorder="1" applyAlignment="1">
      <alignment horizontal="center"/>
    </xf>
    <xf numFmtId="168" fontId="0" fillId="8" borderId="73" xfId="0" applyNumberFormat="1" applyFill="1" applyBorder="1"/>
    <xf numFmtId="168" fontId="0" fillId="3" borderId="73" xfId="0" applyNumberFormat="1" applyFill="1" applyBorder="1"/>
    <xf numFmtId="168" fontId="0" fillId="8" borderId="91" xfId="0" applyNumberFormat="1" applyFill="1" applyBorder="1"/>
    <xf numFmtId="9" fontId="0" fillId="3" borderId="95" xfId="0" applyNumberFormat="1" applyFill="1" applyBorder="1" applyAlignment="1">
      <alignment horizontal="right"/>
    </xf>
    <xf numFmtId="168" fontId="0" fillId="3" borderId="91" xfId="0" applyNumberFormat="1" applyFill="1" applyBorder="1"/>
    <xf numFmtId="168" fontId="0" fillId="3" borderId="88" xfId="0" applyNumberFormat="1" applyFill="1" applyBorder="1"/>
    <xf numFmtId="168" fontId="0" fillId="8" borderId="0" xfId="0" applyNumberFormat="1" applyFill="1"/>
    <xf numFmtId="168" fontId="13" fillId="3" borderId="5" xfId="0" applyNumberFormat="1" applyFont="1" applyFill="1" applyBorder="1" applyAlignment="1" applyProtection="1">
      <alignment horizontal="right" vertical="top"/>
      <protection locked="0"/>
    </xf>
    <xf numFmtId="168" fontId="13" fillId="3" borderId="14" xfId="0" applyNumberFormat="1" applyFont="1" applyFill="1" applyBorder="1" applyAlignment="1" applyProtection="1">
      <alignment horizontal="right" vertical="top"/>
      <protection locked="0"/>
    </xf>
    <xf numFmtId="181" fontId="0" fillId="2" borderId="55" xfId="0" applyNumberFormat="1" applyFill="1" applyBorder="1" applyAlignment="1">
      <alignment horizontal="center" vertical="center"/>
    </xf>
    <xf numFmtId="181" fontId="0" fillId="0" borderId="46" xfId="0" applyNumberFormat="1" applyBorder="1" applyAlignment="1">
      <alignment horizontal="center" vertical="center"/>
    </xf>
    <xf numFmtId="181" fontId="0" fillId="2" borderId="46" xfId="0" applyNumberFormat="1" applyFill="1" applyBorder="1" applyAlignment="1">
      <alignment horizontal="center" vertical="center"/>
    </xf>
    <xf numFmtId="181" fontId="0" fillId="2" borderId="47" xfId="0" applyNumberFormat="1" applyFill="1" applyBorder="1" applyAlignment="1">
      <alignment horizontal="center" vertical="center"/>
    </xf>
    <xf numFmtId="0" fontId="3" fillId="0" borderId="0" xfId="0" applyFont="1" applyAlignment="1">
      <alignment horizontal="center" vertical="center"/>
    </xf>
    <xf numFmtId="192" fontId="5" fillId="0" borderId="0" xfId="0" applyNumberFormat="1" applyFont="1" applyAlignment="1">
      <alignment horizontal="right"/>
    </xf>
    <xf numFmtId="168" fontId="5" fillId="8" borderId="0" xfId="0" applyNumberFormat="1" applyFont="1" applyFill="1" applyAlignment="1">
      <alignment horizontal="right" indent="1"/>
    </xf>
    <xf numFmtId="0" fontId="3" fillId="23" borderId="55" xfId="0" applyFont="1" applyFill="1" applyBorder="1" applyAlignment="1">
      <alignment horizontal="center" vertical="center"/>
    </xf>
    <xf numFmtId="0" fontId="0" fillId="2" borderId="55" xfId="0" applyFill="1" applyBorder="1" applyAlignment="1">
      <alignment horizontal="center" vertical="center"/>
    </xf>
    <xf numFmtId="0" fontId="0" fillId="0" borderId="46" xfId="0" applyBorder="1" applyAlignment="1">
      <alignment horizontal="center" vertical="center"/>
    </xf>
    <xf numFmtId="0" fontId="0" fillId="2" borderId="46" xfId="0" applyFill="1" applyBorder="1" applyAlignment="1">
      <alignment horizontal="center" vertical="center"/>
    </xf>
    <xf numFmtId="0" fontId="0" fillId="2" borderId="47" xfId="0" applyFill="1" applyBorder="1" applyAlignment="1">
      <alignment horizontal="center" vertical="center"/>
    </xf>
    <xf numFmtId="0" fontId="37" fillId="0" borderId="0" xfId="7"/>
    <xf numFmtId="10" fontId="6" fillId="16" borderId="99" xfId="0" applyNumberFormat="1" applyFont="1" applyFill="1" applyBorder="1" applyAlignment="1">
      <alignment horizontal="center" vertical="center" wrapText="1"/>
    </xf>
    <xf numFmtId="14" fontId="8" fillId="8" borderId="73" xfId="0" applyNumberFormat="1" applyFont="1" applyFill="1" applyBorder="1" applyAlignment="1" applyProtection="1">
      <alignment horizontal="right" vertical="center"/>
      <protection locked="0"/>
    </xf>
    <xf numFmtId="173" fontId="8" fillId="8" borderId="73" xfId="0" applyNumberFormat="1" applyFont="1" applyFill="1" applyBorder="1" applyAlignment="1">
      <alignment horizontal="right"/>
    </xf>
    <xf numFmtId="9" fontId="8" fillId="8" borderId="89" xfId="0" applyNumberFormat="1" applyFont="1" applyFill="1" applyBorder="1" applyAlignment="1">
      <alignment horizontal="right"/>
    </xf>
    <xf numFmtId="173" fontId="8" fillId="8" borderId="89" xfId="0" applyNumberFormat="1" applyFont="1" applyFill="1" applyBorder="1" applyAlignment="1">
      <alignment horizontal="right"/>
    </xf>
    <xf numFmtId="166" fontId="8" fillId="8" borderId="89" xfId="0" applyNumberFormat="1" applyFont="1" applyFill="1" applyBorder="1" applyAlignment="1" applyProtection="1">
      <alignment horizontal="right"/>
      <protection locked="0"/>
    </xf>
    <xf numFmtId="166" fontId="18" fillId="18" borderId="89" xfId="3" applyNumberFormat="1" applyFont="1" applyBorder="1" applyAlignment="1" applyProtection="1">
      <alignment horizontal="right"/>
      <protection locked="0"/>
    </xf>
    <xf numFmtId="166" fontId="18" fillId="18" borderId="73" xfId="3" applyNumberFormat="1" applyFont="1" applyBorder="1" applyAlignment="1" applyProtection="1">
      <alignment horizontal="right"/>
      <protection locked="0"/>
    </xf>
    <xf numFmtId="0" fontId="18" fillId="8" borderId="17" xfId="0" applyFont="1" applyFill="1" applyBorder="1" applyAlignment="1" applyProtection="1">
      <alignment vertical="center" wrapText="1"/>
      <protection locked="0"/>
    </xf>
    <xf numFmtId="168" fontId="18" fillId="8" borderId="17" xfId="0" applyNumberFormat="1" applyFont="1" applyFill="1" applyBorder="1" applyAlignment="1" applyProtection="1">
      <alignment vertical="center"/>
      <protection locked="0"/>
    </xf>
    <xf numFmtId="9" fontId="18" fillId="3" borderId="15" xfId="0" applyNumberFormat="1" applyFont="1" applyFill="1" applyBorder="1" applyAlignment="1" applyProtection="1">
      <alignment horizontal="right" vertical="center"/>
      <protection locked="0"/>
    </xf>
    <xf numFmtId="168" fontId="18" fillId="8" borderId="17" xfId="0" applyNumberFormat="1" applyFont="1" applyFill="1" applyBorder="1" applyAlignment="1" applyProtection="1">
      <alignment horizontal="right" vertical="top"/>
      <protection locked="0"/>
    </xf>
    <xf numFmtId="0" fontId="18" fillId="8" borderId="17" xfId="0" applyFont="1" applyFill="1" applyBorder="1" applyAlignment="1" applyProtection="1">
      <alignment horizontal="left" vertical="top" wrapText="1"/>
      <protection locked="0"/>
    </xf>
    <xf numFmtId="0" fontId="18" fillId="8" borderId="5" xfId="0" applyFont="1" applyFill="1" applyBorder="1" applyAlignment="1" applyProtection="1">
      <alignment horizontal="left" vertical="top" wrapText="1"/>
      <protection locked="0"/>
    </xf>
    <xf numFmtId="0" fontId="38" fillId="0" borderId="5" xfId="0" applyFont="1" applyBorder="1" applyAlignment="1" applyProtection="1">
      <alignment horizontal="left" vertical="top" wrapText="1"/>
      <protection locked="0"/>
    </xf>
    <xf numFmtId="0" fontId="18" fillId="0" borderId="5" xfId="0" applyFont="1" applyBorder="1" applyAlignment="1" applyProtection="1">
      <alignment horizontal="left" vertical="top" wrapText="1"/>
      <protection locked="0"/>
    </xf>
    <xf numFmtId="0" fontId="8" fillId="0" borderId="5" xfId="0" applyFont="1" applyBorder="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49" fontId="8" fillId="13" borderId="21" xfId="0" applyNumberFormat="1" applyFont="1" applyFill="1" applyBorder="1" applyAlignment="1">
      <alignment horizontal="left" vertical="center"/>
    </xf>
    <xf numFmtId="0" fontId="18" fillId="8" borderId="99" xfId="0" applyFont="1" applyFill="1" applyBorder="1" applyAlignment="1">
      <alignment horizontal="left" vertical="top" wrapText="1" indent="1"/>
    </xf>
    <xf numFmtId="0" fontId="18" fillId="8" borderId="99" xfId="0" applyFont="1" applyFill="1" applyBorder="1" applyAlignment="1">
      <alignment horizontal="left" vertical="center" wrapText="1" indent="1"/>
    </xf>
    <xf numFmtId="0" fontId="18" fillId="8" borderId="3" xfId="0" applyFont="1" applyFill="1" applyBorder="1" applyAlignment="1">
      <alignment horizontal="left" vertical="center" wrapText="1" indent="1"/>
    </xf>
    <xf numFmtId="166" fontId="18" fillId="8" borderId="3" xfId="0" applyNumberFormat="1" applyFont="1" applyFill="1" applyBorder="1" applyAlignment="1">
      <alignment horizontal="left" vertical="center" wrapText="1" indent="1"/>
    </xf>
    <xf numFmtId="17" fontId="18" fillId="8" borderId="3" xfId="0" applyNumberFormat="1" applyFont="1" applyFill="1" applyBorder="1" applyAlignment="1">
      <alignment horizontal="left" vertical="top" wrapText="1" indent="1"/>
    </xf>
    <xf numFmtId="0" fontId="18" fillId="8" borderId="81" xfId="0" applyFont="1" applyFill="1" applyBorder="1" applyAlignment="1">
      <alignment horizontal="center" vertical="top"/>
    </xf>
    <xf numFmtId="0" fontId="18" fillId="8" borderId="99" xfId="0" applyFont="1" applyFill="1" applyBorder="1" applyAlignment="1">
      <alignment horizontal="center" vertical="top"/>
    </xf>
    <xf numFmtId="0" fontId="18" fillId="8" borderId="99" xfId="0" applyFont="1" applyFill="1" applyBorder="1" applyAlignment="1">
      <alignment horizontal="center" vertical="top" wrapText="1"/>
    </xf>
    <xf numFmtId="0" fontId="18" fillId="0" borderId="99" xfId="0" applyFont="1" applyBorder="1" applyAlignment="1">
      <alignment horizontal="center" vertical="top"/>
    </xf>
    <xf numFmtId="0" fontId="18" fillId="0" borderId="99" xfId="0" applyFont="1" applyBorder="1" applyAlignment="1">
      <alignment horizontal="left" vertical="top" wrapText="1"/>
    </xf>
    <xf numFmtId="0" fontId="18" fillId="8" borderId="99" xfId="0" applyFont="1" applyFill="1" applyBorder="1" applyAlignment="1">
      <alignment horizontal="left" vertical="top"/>
    </xf>
    <xf numFmtId="49" fontId="18" fillId="0" borderId="99" xfId="0" applyNumberFormat="1" applyFont="1" applyBorder="1" applyAlignment="1">
      <alignment horizontal="left"/>
    </xf>
    <xf numFmtId="0" fontId="18" fillId="0" borderId="99" xfId="0" applyFont="1" applyBorder="1" applyAlignment="1">
      <alignment horizontal="left"/>
    </xf>
    <xf numFmtId="0" fontId="18" fillId="8" borderId="99" xfId="0" applyFont="1" applyFill="1" applyBorder="1" applyAlignment="1">
      <alignment horizontal="left"/>
    </xf>
    <xf numFmtId="0" fontId="18" fillId="8" borderId="83" xfId="0" applyFont="1" applyFill="1" applyBorder="1"/>
    <xf numFmtId="0" fontId="18" fillId="8" borderId="83" xfId="0" applyFont="1" applyFill="1" applyBorder="1" applyAlignment="1">
      <alignment horizontal="left" indent="3"/>
    </xf>
    <xf numFmtId="0" fontId="18" fillId="8" borderId="83" xfId="0" applyFont="1" applyFill="1" applyBorder="1" applyAlignment="1">
      <alignment horizontal="left"/>
    </xf>
    <xf numFmtId="0" fontId="39" fillId="8" borderId="83" xfId="0" applyFont="1" applyFill="1" applyBorder="1"/>
    <xf numFmtId="0" fontId="39" fillId="8" borderId="83" xfId="0" applyFont="1" applyFill="1" applyBorder="1" applyAlignment="1">
      <alignment horizontal="left"/>
    </xf>
    <xf numFmtId="0" fontId="18" fillId="2" borderId="2" xfId="0" applyFont="1" applyFill="1" applyBorder="1" applyAlignment="1">
      <alignment horizontal="left" vertical="center" wrapText="1" indent="1"/>
    </xf>
    <xf numFmtId="0" fontId="18" fillId="0" borderId="0" xfId="0" applyFont="1" applyAlignment="1">
      <alignment horizontal="center" vertical="top" wrapText="1"/>
    </xf>
    <xf numFmtId="0" fontId="18" fillId="0" borderId="0" xfId="0" applyFont="1" applyAlignment="1">
      <alignment horizontal="left" vertical="top" wrapText="1" indent="1"/>
    </xf>
    <xf numFmtId="177" fontId="18" fillId="15" borderId="3" xfId="0" applyNumberFormat="1" applyFont="1" applyFill="1" applyBorder="1" applyAlignment="1" applyProtection="1">
      <alignment horizontal="center"/>
      <protection locked="0"/>
    </xf>
    <xf numFmtId="177" fontId="8" fillId="15" borderId="3" xfId="0" applyNumberFormat="1" applyFont="1" applyFill="1" applyBorder="1" applyAlignment="1" applyProtection="1">
      <alignment horizontal="center" vertical="center"/>
      <protection locked="0"/>
    </xf>
    <xf numFmtId="9" fontId="18" fillId="39" borderId="36" xfId="0" applyNumberFormat="1" applyFont="1" applyFill="1" applyBorder="1" applyAlignment="1">
      <alignment horizontal="center" vertical="center"/>
    </xf>
    <xf numFmtId="9" fontId="18" fillId="39" borderId="35" xfId="0" applyNumberFormat="1" applyFont="1" applyFill="1" applyBorder="1" applyAlignment="1">
      <alignment horizontal="center" vertical="center"/>
    </xf>
    <xf numFmtId="9" fontId="18" fillId="0" borderId="91" xfId="0" applyNumberFormat="1" applyFont="1" applyBorder="1" applyAlignment="1">
      <alignment horizontal="center" vertical="center"/>
    </xf>
    <xf numFmtId="9" fontId="18" fillId="19" borderId="88" xfId="0" applyNumberFormat="1" applyFont="1" applyFill="1" applyBorder="1" applyAlignment="1">
      <alignment horizontal="center" vertical="center"/>
    </xf>
    <xf numFmtId="9" fontId="18" fillId="39" borderId="91" xfId="0" applyNumberFormat="1" applyFont="1" applyFill="1" applyBorder="1" applyAlignment="1">
      <alignment horizontal="center" vertical="center"/>
    </xf>
    <xf numFmtId="9" fontId="18" fillId="39" borderId="88" xfId="0" applyNumberFormat="1" applyFont="1" applyFill="1" applyBorder="1" applyAlignment="1">
      <alignment horizontal="center" vertical="center"/>
    </xf>
    <xf numFmtId="9" fontId="18" fillId="19" borderId="91" xfId="0" applyNumberFormat="1" applyFont="1" applyFill="1" applyBorder="1" applyAlignment="1">
      <alignment horizontal="center" vertical="center"/>
    </xf>
    <xf numFmtId="10" fontId="18" fillId="39" borderId="36" xfId="0" applyNumberFormat="1" applyFont="1" applyFill="1" applyBorder="1" applyAlignment="1">
      <alignment horizontal="center" vertical="center"/>
    </xf>
    <xf numFmtId="10" fontId="18" fillId="39" borderId="35" xfId="0" applyNumberFormat="1" applyFont="1" applyFill="1" applyBorder="1" applyAlignment="1">
      <alignment horizontal="center" vertical="center"/>
    </xf>
    <xf numFmtId="10" fontId="18" fillId="0" borderId="91" xfId="0" applyNumberFormat="1" applyFont="1" applyBorder="1" applyAlignment="1">
      <alignment horizontal="center" vertical="center"/>
    </xf>
    <xf numFmtId="10" fontId="18" fillId="0" borderId="88" xfId="0" applyNumberFormat="1" applyFont="1" applyBorder="1" applyAlignment="1">
      <alignment horizontal="center" vertical="center"/>
    </xf>
    <xf numFmtId="10" fontId="18" fillId="39" borderId="91" xfId="0" applyNumberFormat="1" applyFont="1" applyFill="1" applyBorder="1" applyAlignment="1">
      <alignment horizontal="center" vertical="center"/>
    </xf>
    <xf numFmtId="10" fontId="18" fillId="39" borderId="88" xfId="0" applyNumberFormat="1" applyFont="1" applyFill="1" applyBorder="1" applyAlignment="1">
      <alignment horizontal="center" vertical="center"/>
    </xf>
    <xf numFmtId="10" fontId="18" fillId="39" borderId="97" xfId="0" applyNumberFormat="1" applyFont="1" applyFill="1" applyBorder="1" applyAlignment="1">
      <alignment horizontal="center" vertical="center"/>
    </xf>
    <xf numFmtId="10" fontId="18" fillId="39" borderId="98" xfId="0" applyNumberFormat="1" applyFont="1" applyFill="1" applyBorder="1" applyAlignment="1">
      <alignment horizontal="center" vertical="center"/>
    </xf>
    <xf numFmtId="10" fontId="8" fillId="39" borderId="37" xfId="0" applyNumberFormat="1" applyFont="1" applyFill="1" applyBorder="1" applyAlignment="1">
      <alignment horizontal="center" vertical="center"/>
    </xf>
    <xf numFmtId="10" fontId="8" fillId="39" borderId="35" xfId="0" applyNumberFormat="1" applyFont="1" applyFill="1" applyBorder="1" applyAlignment="1">
      <alignment horizontal="center" vertical="center"/>
    </xf>
    <xf numFmtId="10" fontId="8" fillId="39" borderId="36" xfId="0" applyNumberFormat="1" applyFont="1" applyFill="1" applyBorder="1" applyAlignment="1">
      <alignment horizontal="center" vertical="center"/>
    </xf>
    <xf numFmtId="10" fontId="8" fillId="0" borderId="95" xfId="0" applyNumberFormat="1" applyFont="1" applyBorder="1" applyAlignment="1">
      <alignment horizontal="center" vertical="center"/>
    </xf>
    <xf numFmtId="10" fontId="8" fillId="0" borderId="88" xfId="0" applyNumberFormat="1" applyFont="1" applyBorder="1" applyAlignment="1">
      <alignment horizontal="center" vertical="center"/>
    </xf>
    <xf numFmtId="10" fontId="8" fillId="0" borderId="91" xfId="0" applyNumberFormat="1" applyFont="1" applyBorder="1" applyAlignment="1">
      <alignment horizontal="center" vertical="center"/>
    </xf>
    <xf numFmtId="10" fontId="8" fillId="39" borderId="95" xfId="0" applyNumberFormat="1" applyFont="1" applyFill="1" applyBorder="1" applyAlignment="1">
      <alignment horizontal="center" vertical="center"/>
    </xf>
    <xf numFmtId="10" fontId="8" fillId="39" borderId="88" xfId="0" applyNumberFormat="1" applyFont="1" applyFill="1" applyBorder="1" applyAlignment="1">
      <alignment horizontal="center" vertical="center"/>
    </xf>
    <xf numFmtId="10" fontId="8" fillId="39" borderId="91" xfId="0" applyNumberFormat="1" applyFont="1" applyFill="1" applyBorder="1" applyAlignment="1">
      <alignment horizontal="center" vertical="center"/>
    </xf>
    <xf numFmtId="10" fontId="8" fillId="39" borderId="96" xfId="0" applyNumberFormat="1" applyFont="1" applyFill="1" applyBorder="1" applyAlignment="1">
      <alignment horizontal="center" vertical="center"/>
    </xf>
    <xf numFmtId="10" fontId="8" fillId="39" borderId="98" xfId="0" applyNumberFormat="1" applyFont="1" applyFill="1" applyBorder="1" applyAlignment="1">
      <alignment horizontal="center" vertical="center"/>
    </xf>
    <xf numFmtId="10" fontId="8" fillId="39" borderId="97" xfId="0" applyNumberFormat="1" applyFont="1" applyFill="1" applyBorder="1" applyAlignment="1">
      <alignment horizontal="center" vertical="center"/>
    </xf>
    <xf numFmtId="168" fontId="8" fillId="39" borderId="37" xfId="0" applyNumberFormat="1" applyFont="1" applyFill="1" applyBorder="1" applyAlignment="1">
      <alignment horizontal="center" vertical="center"/>
    </xf>
    <xf numFmtId="168" fontId="8" fillId="39" borderId="35" xfId="0" applyNumberFormat="1" applyFont="1" applyFill="1" applyBorder="1" applyAlignment="1">
      <alignment horizontal="center" vertical="center"/>
    </xf>
    <xf numFmtId="178" fontId="8" fillId="39" borderId="36" xfId="0" applyNumberFormat="1" applyFont="1" applyFill="1" applyBorder="1" applyAlignment="1">
      <alignment horizontal="center" vertical="center"/>
    </xf>
    <xf numFmtId="178" fontId="8" fillId="39" borderId="35" xfId="0" applyNumberFormat="1" applyFont="1" applyFill="1" applyBorder="1" applyAlignment="1">
      <alignment horizontal="center" vertical="center"/>
    </xf>
    <xf numFmtId="168" fontId="8" fillId="0" borderId="95" xfId="0" applyNumberFormat="1" applyFont="1" applyBorder="1" applyAlignment="1">
      <alignment horizontal="center" vertical="center"/>
    </xf>
    <xf numFmtId="168" fontId="8" fillId="0" borderId="88" xfId="0" applyNumberFormat="1" applyFont="1" applyBorder="1" applyAlignment="1">
      <alignment horizontal="center" vertical="center"/>
    </xf>
    <xf numFmtId="178" fontId="8" fillId="0" borderId="91" xfId="0" applyNumberFormat="1" applyFont="1" applyBorder="1" applyAlignment="1">
      <alignment horizontal="center" vertical="center"/>
    </xf>
    <xf numFmtId="178" fontId="8" fillId="0" borderId="88" xfId="0" applyNumberFormat="1" applyFont="1" applyBorder="1" applyAlignment="1">
      <alignment horizontal="center" vertical="center"/>
    </xf>
    <xf numFmtId="168" fontId="8" fillId="39" borderId="95" xfId="0" applyNumberFormat="1" applyFont="1" applyFill="1" applyBorder="1" applyAlignment="1">
      <alignment horizontal="center" vertical="center"/>
    </xf>
    <xf numFmtId="168" fontId="8" fillId="39" borderId="88" xfId="0" applyNumberFormat="1" applyFont="1" applyFill="1" applyBorder="1" applyAlignment="1">
      <alignment horizontal="center" vertical="center"/>
    </xf>
    <xf numFmtId="178" fontId="8" fillId="39" borderId="91" xfId="0" applyNumberFormat="1" applyFont="1" applyFill="1" applyBorder="1" applyAlignment="1">
      <alignment horizontal="center" vertical="center"/>
    </xf>
    <xf numFmtId="178" fontId="8" fillId="39" borderId="88" xfId="0" applyNumberFormat="1" applyFont="1" applyFill="1" applyBorder="1" applyAlignment="1">
      <alignment horizontal="center" vertical="center"/>
    </xf>
    <xf numFmtId="168" fontId="8" fillId="39" borderId="96" xfId="0" applyNumberFormat="1" applyFont="1" applyFill="1" applyBorder="1" applyAlignment="1">
      <alignment horizontal="center" vertical="center"/>
    </xf>
    <xf numFmtId="168" fontId="8" fillId="39" borderId="98" xfId="0" applyNumberFormat="1" applyFont="1" applyFill="1" applyBorder="1" applyAlignment="1">
      <alignment horizontal="center" vertical="center"/>
    </xf>
    <xf numFmtId="178" fontId="8" fillId="39" borderId="97" xfId="0" applyNumberFormat="1" applyFont="1" applyFill="1" applyBorder="1" applyAlignment="1">
      <alignment horizontal="center" vertical="center"/>
    </xf>
    <xf numFmtId="178" fontId="8" fillId="39" borderId="98" xfId="0" applyNumberFormat="1" applyFont="1" applyFill="1" applyBorder="1" applyAlignment="1">
      <alignment horizontal="center" vertical="center"/>
    </xf>
    <xf numFmtId="0" fontId="38" fillId="0" borderId="43" xfId="0" applyFont="1" applyBorder="1" applyAlignment="1">
      <alignment horizontal="center" vertical="top" wrapText="1"/>
    </xf>
    <xf numFmtId="0" fontId="38" fillId="0" borderId="43" xfId="0" applyFont="1" applyBorder="1" applyAlignment="1">
      <alignment horizontal="center" vertical="center" wrapText="1"/>
    </xf>
    <xf numFmtId="0" fontId="38" fillId="0" borderId="43" xfId="0" applyFont="1" applyBorder="1" applyAlignment="1">
      <alignment horizontal="left" vertical="top" wrapText="1" indent="1"/>
    </xf>
    <xf numFmtId="0" fontId="38" fillId="37" borderId="43" xfId="0" applyFont="1" applyFill="1" applyBorder="1" applyAlignment="1">
      <alignment horizontal="center" vertical="top" wrapText="1"/>
    </xf>
    <xf numFmtId="0" fontId="38" fillId="0" borderId="40" xfId="0" applyFont="1" applyBorder="1" applyAlignment="1">
      <alignment horizontal="center" vertical="center" wrapText="1"/>
    </xf>
    <xf numFmtId="168" fontId="38" fillId="0" borderId="43" xfId="1" applyNumberFormat="1" applyFont="1" applyFill="1" applyBorder="1" applyAlignment="1">
      <alignment horizontal="center" vertical="center" wrapText="1"/>
    </xf>
    <xf numFmtId="181" fontId="38" fillId="0" borderId="43" xfId="1" applyNumberFormat="1" applyFont="1" applyFill="1" applyBorder="1" applyAlignment="1">
      <alignment horizontal="center" vertical="center" wrapText="1"/>
    </xf>
    <xf numFmtId="168" fontId="38" fillId="8" borderId="43" xfId="1" applyNumberFormat="1" applyFont="1" applyFill="1" applyBorder="1" applyAlignment="1">
      <alignment horizontal="center" vertical="center" wrapText="1"/>
    </xf>
    <xf numFmtId="9" fontId="38" fillId="0" borderId="43" xfId="2" applyFont="1" applyFill="1" applyBorder="1" applyAlignment="1">
      <alignment horizontal="center" vertical="center" wrapText="1"/>
    </xf>
    <xf numFmtId="0" fontId="38" fillId="0" borderId="43" xfId="2" applyNumberFormat="1" applyFont="1" applyFill="1" applyBorder="1" applyAlignment="1">
      <alignment horizontal="center" vertical="center" wrapText="1"/>
    </xf>
    <xf numFmtId="0" fontId="38" fillId="37" borderId="43" xfId="2" applyNumberFormat="1" applyFont="1" applyFill="1" applyBorder="1" applyAlignment="1">
      <alignment horizontal="center" vertical="center" wrapText="1"/>
    </xf>
    <xf numFmtId="0" fontId="4" fillId="0" borderId="81" xfId="0" applyFont="1" applyBorder="1" applyAlignment="1">
      <alignment horizontal="center" vertical="center" wrapText="1"/>
    </xf>
    <xf numFmtId="0" fontId="4" fillId="22" borderId="99" xfId="0" applyFont="1" applyFill="1" applyBorder="1" applyAlignment="1">
      <alignment horizontal="center" vertical="center" wrapText="1"/>
    </xf>
    <xf numFmtId="0" fontId="4" fillId="22" borderId="81" xfId="0" applyFont="1" applyFill="1" applyBorder="1" applyAlignment="1">
      <alignment horizontal="center" vertical="center" wrapText="1"/>
    </xf>
    <xf numFmtId="0" fontId="4" fillId="22" borderId="83" xfId="0" applyFont="1" applyFill="1" applyBorder="1" applyAlignment="1">
      <alignment horizontal="center" vertical="center" wrapText="1"/>
    </xf>
    <xf numFmtId="0" fontId="18" fillId="18" borderId="99" xfId="3" applyFont="1" applyBorder="1" applyAlignment="1">
      <alignment horizontal="center" vertical="center"/>
    </xf>
    <xf numFmtId="0" fontId="18" fillId="18" borderId="76" xfId="3" applyFont="1" applyBorder="1" applyAlignment="1">
      <alignment horizontal="center" vertical="center"/>
    </xf>
    <xf numFmtId="0" fontId="6" fillId="0" borderId="83" xfId="0" applyFont="1" applyBorder="1" applyAlignment="1">
      <alignment horizontal="center" vertical="center"/>
    </xf>
    <xf numFmtId="0" fontId="6" fillId="0" borderId="49" xfId="0" applyFont="1" applyBorder="1" applyAlignment="1">
      <alignment horizontal="center" vertical="center"/>
    </xf>
    <xf numFmtId="0" fontId="6" fillId="0" borderId="48" xfId="0" applyFont="1" applyBorder="1" applyAlignment="1">
      <alignment horizontal="center" vertical="center"/>
    </xf>
    <xf numFmtId="0" fontId="40" fillId="0" borderId="0" xfId="0" applyFont="1" applyAlignment="1">
      <alignment horizontal="left" vertical="top"/>
    </xf>
    <xf numFmtId="0" fontId="21" fillId="16" borderId="8" xfId="0" applyFont="1" applyFill="1" applyBorder="1" applyAlignment="1">
      <alignment horizontal="center" vertical="top"/>
    </xf>
    <xf numFmtId="0" fontId="0" fillId="18" borderId="20" xfId="3" applyFont="1" applyBorder="1" applyAlignment="1">
      <alignment horizontal="center"/>
    </xf>
    <xf numFmtId="175" fontId="1" fillId="16" borderId="19" xfId="2" applyNumberFormat="1" applyFont="1" applyFill="1" applyBorder="1" applyAlignment="1">
      <alignment horizontal="center"/>
    </xf>
    <xf numFmtId="6" fontId="0" fillId="16" borderId="24" xfId="0" applyNumberFormat="1" applyFill="1" applyBorder="1"/>
    <xf numFmtId="0" fontId="21" fillId="16" borderId="24" xfId="0" applyFont="1" applyFill="1" applyBorder="1" applyAlignment="1">
      <alignment horizontal="center" vertical="top"/>
    </xf>
    <xf numFmtId="175" fontId="1" fillId="16" borderId="34" xfId="2" applyNumberFormat="1" applyFont="1" applyFill="1" applyBorder="1" applyAlignment="1">
      <alignment horizontal="center"/>
    </xf>
    <xf numFmtId="191" fontId="0" fillId="0" borderId="91" xfId="0" applyNumberFormat="1" applyBorder="1"/>
    <xf numFmtId="0" fontId="0" fillId="0" borderId="91" xfId="0" applyBorder="1"/>
    <xf numFmtId="3" fontId="0" fillId="0" borderId="91" xfId="0" applyNumberFormat="1" applyBorder="1"/>
    <xf numFmtId="174" fontId="0" fillId="0" borderId="91" xfId="0" applyNumberFormat="1" applyBorder="1"/>
    <xf numFmtId="168" fontId="0" fillId="0" borderId="91" xfId="0" applyNumberFormat="1" applyBorder="1"/>
    <xf numFmtId="175" fontId="0" fillId="0" borderId="91" xfId="2" applyNumberFormat="1" applyFont="1" applyBorder="1"/>
    <xf numFmtId="0" fontId="0" fillId="0" borderId="91" xfId="0" applyBorder="1" applyAlignment="1">
      <alignment horizontal="center"/>
    </xf>
    <xf numFmtId="175" fontId="0" fillId="0" borderId="0" xfId="2" applyNumberFormat="1" applyFont="1" applyBorder="1"/>
    <xf numFmtId="168" fontId="41" fillId="4" borderId="0" xfId="0" applyNumberFormat="1" applyFont="1" applyFill="1" applyAlignment="1">
      <alignment horizontal="center"/>
    </xf>
    <xf numFmtId="180" fontId="41" fillId="4" borderId="0" xfId="0" applyNumberFormat="1" applyFont="1" applyFill="1" applyAlignment="1">
      <alignment horizontal="center"/>
    </xf>
    <xf numFmtId="0" fontId="0" fillId="0" borderId="0" xfId="0" applyAlignment="1">
      <alignment horizontal="right"/>
    </xf>
    <xf numFmtId="168" fontId="18" fillId="18" borderId="26" xfId="3" applyNumberFormat="1" applyFont="1" applyBorder="1" applyAlignment="1">
      <alignment horizontal="center" vertical="top"/>
    </xf>
    <xf numFmtId="178" fontId="18" fillId="18" borderId="34" xfId="3" applyNumberFormat="1" applyFont="1" applyBorder="1" applyAlignment="1">
      <alignment horizontal="center" vertical="top"/>
    </xf>
    <xf numFmtId="0" fontId="8" fillId="8" borderId="11" xfId="0" applyFont="1" applyFill="1" applyBorder="1" applyAlignment="1">
      <alignment horizontal="center"/>
    </xf>
    <xf numFmtId="0" fontId="8" fillId="8" borderId="9" xfId="0" applyFont="1" applyFill="1" applyBorder="1" applyAlignment="1">
      <alignment horizontal="center"/>
    </xf>
    <xf numFmtId="168" fontId="6" fillId="8" borderId="26" xfId="0" applyNumberFormat="1" applyFont="1" applyFill="1" applyBorder="1" applyAlignment="1">
      <alignment horizontal="center" vertical="top"/>
    </xf>
    <xf numFmtId="178" fontId="6" fillId="8" borderId="34" xfId="0" applyNumberFormat="1" applyFont="1" applyFill="1" applyBorder="1" applyAlignment="1">
      <alignment horizontal="center" vertical="top"/>
    </xf>
    <xf numFmtId="168" fontId="4" fillId="40" borderId="49" xfId="0" applyNumberFormat="1" applyFont="1" applyFill="1" applyBorder="1" applyAlignment="1">
      <alignment horizontal="center" vertical="center" wrapText="1"/>
    </xf>
    <xf numFmtId="9" fontId="4" fillId="40" borderId="49" xfId="2" applyFont="1" applyFill="1" applyBorder="1" applyAlignment="1">
      <alignment horizontal="center" vertical="center" wrapText="1"/>
    </xf>
    <xf numFmtId="168" fontId="0" fillId="41" borderId="43" xfId="2" applyNumberFormat="1" applyFont="1" applyFill="1" applyBorder="1" applyAlignment="1">
      <alignment horizontal="center" vertical="center" wrapText="1"/>
    </xf>
    <xf numFmtId="168" fontId="4" fillId="42" borderId="49" xfId="0" applyNumberFormat="1" applyFont="1" applyFill="1" applyBorder="1" applyAlignment="1">
      <alignment horizontal="center" vertical="center" wrapText="1"/>
    </xf>
    <xf numFmtId="180" fontId="4" fillId="42" borderId="49" xfId="0" applyNumberFormat="1" applyFont="1" applyFill="1" applyBorder="1" applyAlignment="1">
      <alignment horizontal="center" vertical="center" wrapText="1"/>
    </xf>
    <xf numFmtId="181" fontId="0" fillId="41" borderId="43" xfId="2" applyNumberFormat="1" applyFont="1" applyFill="1" applyBorder="1" applyAlignment="1">
      <alignment horizontal="center" vertical="center" wrapText="1"/>
    </xf>
    <xf numFmtId="9" fontId="6" fillId="3" borderId="0" xfId="2" applyFont="1" applyFill="1" applyAlignment="1">
      <alignment horizontal="left" vertical="center" indent="1"/>
    </xf>
    <xf numFmtId="168" fontId="6" fillId="22" borderId="18" xfId="0" applyNumberFormat="1" applyFont="1" applyFill="1" applyBorder="1" applyAlignment="1">
      <alignment horizontal="center" wrapText="1"/>
    </xf>
    <xf numFmtId="168" fontId="6" fillId="22" borderId="95" xfId="0" applyNumberFormat="1" applyFont="1" applyFill="1" applyBorder="1" applyAlignment="1">
      <alignment horizontal="center" wrapText="1"/>
    </xf>
    <xf numFmtId="168" fontId="6" fillId="22" borderId="112" xfId="0" applyNumberFormat="1" applyFont="1" applyFill="1" applyBorder="1" applyAlignment="1">
      <alignment horizontal="center" wrapText="1"/>
    </xf>
    <xf numFmtId="173" fontId="6" fillId="22" borderId="18" xfId="0" applyNumberFormat="1" applyFont="1" applyFill="1" applyBorder="1" applyAlignment="1">
      <alignment horizontal="center" vertical="center" wrapText="1"/>
    </xf>
    <xf numFmtId="173" fontId="6" fillId="22" borderId="95" xfId="0" applyNumberFormat="1" applyFont="1" applyFill="1" applyBorder="1" applyAlignment="1">
      <alignment horizontal="center" vertical="center" wrapText="1"/>
    </xf>
    <xf numFmtId="173" fontId="6" fillId="22" borderId="112" xfId="0" applyNumberFormat="1" applyFont="1" applyFill="1" applyBorder="1" applyAlignment="1">
      <alignment horizontal="center" vertical="center" wrapText="1"/>
    </xf>
    <xf numFmtId="168" fontId="6" fillId="0" borderId="91" xfId="0" applyNumberFormat="1" applyFont="1" applyBorder="1" applyAlignment="1">
      <alignment horizontal="center" vertical="top"/>
    </xf>
    <xf numFmtId="181" fontId="0" fillId="0" borderId="91" xfId="0" applyNumberFormat="1" applyBorder="1" applyAlignment="1">
      <alignment horizontal="center" vertical="top"/>
    </xf>
    <xf numFmtId="181" fontId="0" fillId="37" borderId="91" xfId="0" applyNumberFormat="1" applyFill="1" applyBorder="1" applyAlignment="1">
      <alignment horizontal="center" vertical="top"/>
    </xf>
    <xf numFmtId="168" fontId="0" fillId="0" borderId="91" xfId="0" applyNumberFormat="1" applyBorder="1" applyAlignment="1">
      <alignment horizontal="center" vertical="top"/>
    </xf>
    <xf numFmtId="178" fontId="0" fillId="0" borderId="91" xfId="0" applyNumberFormat="1" applyBorder="1" applyAlignment="1">
      <alignment horizontal="center" vertical="top"/>
    </xf>
    <xf numFmtId="9" fontId="8" fillId="0" borderId="88" xfId="0" applyNumberFormat="1" applyFont="1" applyBorder="1" applyAlignment="1">
      <alignment horizontal="center" wrapText="1"/>
    </xf>
    <xf numFmtId="9" fontId="6" fillId="0" borderId="51" xfId="0" applyNumberFormat="1" applyFont="1" applyBorder="1" applyAlignment="1">
      <alignment horizontal="center"/>
    </xf>
    <xf numFmtId="168" fontId="6" fillId="0" borderId="51" xfId="0" applyNumberFormat="1" applyFont="1" applyBorder="1" applyAlignment="1">
      <alignment horizontal="center" wrapText="1"/>
    </xf>
    <xf numFmtId="168" fontId="6" fillId="22" borderId="96" xfId="0" applyNumberFormat="1" applyFont="1" applyFill="1" applyBorder="1" applyAlignment="1">
      <alignment horizontal="center" wrapText="1"/>
    </xf>
    <xf numFmtId="168" fontId="6" fillId="26" borderId="26" xfId="0" applyNumberFormat="1" applyFont="1" applyFill="1" applyBorder="1" applyAlignment="1">
      <alignment horizontal="center" wrapText="1"/>
    </xf>
    <xf numFmtId="168" fontId="8" fillId="0" borderId="51" xfId="0" applyNumberFormat="1" applyFont="1" applyBorder="1" applyAlignment="1">
      <alignment horizontal="center" wrapText="1"/>
    </xf>
    <xf numFmtId="9" fontId="8" fillId="0" borderId="98" xfId="0" applyNumberFormat="1" applyFont="1" applyBorder="1" applyAlignment="1">
      <alignment horizontal="center" wrapText="1"/>
    </xf>
    <xf numFmtId="173" fontId="6" fillId="0" borderId="51" xfId="0" applyNumberFormat="1" applyFont="1" applyBorder="1" applyAlignment="1">
      <alignment horizontal="center" vertical="center" wrapText="1"/>
    </xf>
    <xf numFmtId="173" fontId="6" fillId="22" borderId="96" xfId="0" applyNumberFormat="1" applyFont="1" applyFill="1" applyBorder="1" applyAlignment="1">
      <alignment horizontal="center" vertical="center" wrapText="1"/>
    </xf>
    <xf numFmtId="173" fontId="6" fillId="26" borderId="26" xfId="0" applyNumberFormat="1" applyFont="1" applyFill="1" applyBorder="1" applyAlignment="1">
      <alignment horizontal="center" vertical="center" wrapText="1"/>
    </xf>
    <xf numFmtId="173" fontId="8" fillId="0" borderId="51" xfId="0" applyNumberFormat="1" applyFont="1" applyBorder="1" applyAlignment="1">
      <alignment horizontal="center" vertical="center" wrapText="1"/>
    </xf>
    <xf numFmtId="9" fontId="8" fillId="0" borderId="34" xfId="0" applyNumberFormat="1" applyFont="1" applyBorder="1" applyAlignment="1">
      <alignment horizontal="center" vertical="center" wrapText="1"/>
    </xf>
    <xf numFmtId="10" fontId="0" fillId="0" borderId="0" xfId="0" applyNumberFormat="1"/>
    <xf numFmtId="9" fontId="6" fillId="0" borderId="99" xfId="2" applyFont="1" applyBorder="1" applyAlignment="1">
      <alignment horizontal="center" vertical="center"/>
    </xf>
    <xf numFmtId="9" fontId="6" fillId="0" borderId="49" xfId="2" applyFont="1" applyBorder="1" applyAlignment="1">
      <alignment horizontal="center" vertical="center"/>
    </xf>
    <xf numFmtId="9" fontId="6" fillId="0" borderId="81" xfId="2" applyFont="1" applyBorder="1" applyAlignment="1">
      <alignment horizontal="center" vertical="center"/>
    </xf>
    <xf numFmtId="9" fontId="6" fillId="0" borderId="50" xfId="2" applyFont="1" applyBorder="1" applyAlignment="1">
      <alignment horizontal="center" vertical="center"/>
    </xf>
    <xf numFmtId="0" fontId="6" fillId="0" borderId="0" xfId="0" applyFont="1" applyAlignment="1">
      <alignment horizontal="center" vertical="top" wrapText="1"/>
    </xf>
    <xf numFmtId="0" fontId="3" fillId="38" borderId="24" xfId="5" applyBorder="1" applyAlignment="1">
      <alignment horizontal="centerContinuous"/>
    </xf>
    <xf numFmtId="9" fontId="5" fillId="8" borderId="0" xfId="3" applyNumberFormat="1" applyFont="1" applyFill="1" applyBorder="1" applyAlignment="1">
      <alignment horizontal="center"/>
    </xf>
    <xf numFmtId="9" fontId="18" fillId="18" borderId="76" xfId="2" applyFont="1" applyFill="1" applyBorder="1" applyAlignment="1">
      <alignment horizontal="right" vertical="center"/>
    </xf>
    <xf numFmtId="0" fontId="4" fillId="44" borderId="86" xfId="0" applyFont="1" applyFill="1" applyBorder="1" applyAlignment="1">
      <alignment horizontal="center" vertical="center" wrapText="1"/>
    </xf>
    <xf numFmtId="0" fontId="4" fillId="45" borderId="86" xfId="0" applyFont="1" applyFill="1" applyBorder="1" applyAlignment="1">
      <alignment horizontal="center" vertical="center" wrapText="1"/>
    </xf>
    <xf numFmtId="0" fontId="0" fillId="0" borderId="91" xfId="0" applyBorder="1" applyAlignment="1">
      <alignment horizontal="left" vertical="top"/>
    </xf>
    <xf numFmtId="0" fontId="0" fillId="0" borderId="91" xfId="0" applyBorder="1" applyAlignment="1">
      <alignment horizontal="left" vertical="top" wrapText="1"/>
    </xf>
    <xf numFmtId="0" fontId="43" fillId="4" borderId="0" xfId="0" applyFont="1" applyFill="1" applyAlignment="1">
      <alignment horizontal="left" vertical="top" wrapText="1" indent="1"/>
    </xf>
    <xf numFmtId="0" fontId="7" fillId="0" borderId="0" xfId="0" applyFont="1" applyAlignment="1">
      <alignment horizontal="center"/>
    </xf>
    <xf numFmtId="0" fontId="7" fillId="0" borderId="73" xfId="0" applyFont="1" applyBorder="1" applyAlignment="1">
      <alignment horizontal="center"/>
    </xf>
    <xf numFmtId="0" fontId="8" fillId="0" borderId="27" xfId="0" applyFont="1" applyBorder="1" applyAlignment="1">
      <alignment horizontal="center" vertical="top"/>
    </xf>
    <xf numFmtId="0" fontId="8" fillId="0" borderId="0" xfId="0" applyFont="1" applyAlignment="1">
      <alignment horizontal="center" vertical="top"/>
    </xf>
    <xf numFmtId="0" fontId="8" fillId="0" borderId="91" xfId="0" applyFont="1" applyBorder="1" applyAlignment="1">
      <alignment horizontal="center" vertical="top"/>
    </xf>
    <xf numFmtId="0" fontId="9" fillId="3" borderId="0" xfId="0" applyFont="1" applyFill="1" applyAlignment="1">
      <alignment horizontal="left" vertical="center" indent="1"/>
    </xf>
    <xf numFmtId="0" fontId="11" fillId="3" borderId="0" xfId="0" applyFont="1" applyFill="1" applyAlignment="1">
      <alignment horizontal="center"/>
    </xf>
    <xf numFmtId="0" fontId="8" fillId="5" borderId="6" xfId="0" applyFont="1" applyFill="1" applyBorder="1" applyAlignment="1">
      <alignment horizontal="center" vertical="center" wrapText="1"/>
    </xf>
    <xf numFmtId="0" fontId="8" fillId="5" borderId="91"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6" borderId="6" xfId="0" applyFont="1" applyFill="1" applyBorder="1" applyAlignment="1">
      <alignment horizontal="center" vertical="center" wrapText="1"/>
    </xf>
    <xf numFmtId="0" fontId="8" fillId="6" borderId="91"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1" fillId="8" borderId="0" xfId="0" applyFont="1" applyFill="1" applyAlignment="1">
      <alignment horizontal="center" vertical="center"/>
    </xf>
    <xf numFmtId="0" fontId="8" fillId="8" borderId="0" xfId="0" applyFont="1" applyFill="1" applyAlignment="1" applyProtection="1">
      <alignment horizontal="left"/>
      <protection locked="0"/>
    </xf>
    <xf numFmtId="0" fontId="3" fillId="14" borderId="0" xfId="0" applyFont="1" applyFill="1" applyAlignment="1">
      <alignment horizontal="center" vertical="center" wrapText="1"/>
    </xf>
    <xf numFmtId="0" fontId="3" fillId="14" borderId="22" xfId="0" applyFont="1" applyFill="1" applyBorder="1" applyAlignment="1">
      <alignment horizontal="center" vertical="center" wrapText="1"/>
    </xf>
    <xf numFmtId="0" fontId="3" fillId="14" borderId="11" xfId="4" applyBorder="1" applyAlignment="1">
      <alignment horizontal="center" vertical="center" wrapText="1"/>
    </xf>
    <xf numFmtId="0" fontId="3" fillId="14" borderId="10" xfId="4" applyBorder="1" applyAlignment="1">
      <alignment horizontal="center" vertical="center" wrapText="1"/>
    </xf>
    <xf numFmtId="0" fontId="3" fillId="14" borderId="9" xfId="4" applyBorder="1" applyAlignment="1">
      <alignment horizontal="center" vertical="center" wrapText="1"/>
    </xf>
    <xf numFmtId="0" fontId="3" fillId="38" borderId="45" xfId="5" applyBorder="1" applyAlignment="1">
      <alignment horizontal="center" vertical="center" wrapText="1"/>
    </xf>
    <xf numFmtId="0" fontId="3" fillId="38" borderId="54" xfId="5" applyBorder="1" applyAlignment="1">
      <alignment horizontal="center" vertical="center" wrapText="1"/>
    </xf>
    <xf numFmtId="0" fontId="3" fillId="38" borderId="51" xfId="5" applyBorder="1" applyAlignment="1">
      <alignment horizontal="center" vertical="center" wrapText="1"/>
    </xf>
    <xf numFmtId="0" fontId="3" fillId="38" borderId="45" xfId="5" applyBorder="1" applyAlignment="1">
      <alignment horizontal="center" vertical="center"/>
    </xf>
    <xf numFmtId="0" fontId="3" fillId="38" borderId="54" xfId="5" applyBorder="1" applyAlignment="1">
      <alignment horizontal="center" vertical="center"/>
    </xf>
    <xf numFmtId="0" fontId="3" fillId="38" borderId="51" xfId="5" applyBorder="1" applyAlignment="1">
      <alignment horizontal="center" vertical="center"/>
    </xf>
    <xf numFmtId="0" fontId="24" fillId="38" borderId="0" xfId="5" applyFont="1" applyAlignment="1">
      <alignment horizontal="center" vertical="center"/>
    </xf>
    <xf numFmtId="0" fontId="24" fillId="17" borderId="0" xfId="0" applyFont="1" applyFill="1" applyAlignment="1">
      <alignment horizontal="center" vertical="center"/>
    </xf>
    <xf numFmtId="0" fontId="11" fillId="8" borderId="0" xfId="0" applyFont="1" applyFill="1" applyAlignment="1">
      <alignment horizontal="center" vertical="top"/>
    </xf>
    <xf numFmtId="0" fontId="6" fillId="15" borderId="13" xfId="0" applyFont="1" applyFill="1" applyBorder="1" applyAlignment="1">
      <alignment horizontal="left" vertical="top" wrapText="1" indent="1"/>
    </xf>
    <xf numFmtId="0" fontId="6" fillId="15" borderId="0" xfId="0" applyFont="1" applyFill="1" applyAlignment="1">
      <alignment horizontal="left" vertical="top" wrapText="1" indent="1"/>
    </xf>
    <xf numFmtId="0" fontId="6" fillId="15" borderId="12" xfId="0" applyFont="1" applyFill="1" applyBorder="1" applyAlignment="1">
      <alignment horizontal="left" vertical="top" wrapText="1" indent="1"/>
    </xf>
    <xf numFmtId="0" fontId="6" fillId="0" borderId="0" xfId="0" applyFont="1" applyAlignment="1">
      <alignment horizontal="center" vertical="center"/>
    </xf>
    <xf numFmtId="0" fontId="6" fillId="0" borderId="12" xfId="0" applyFont="1" applyBorder="1" applyAlignment="1">
      <alignment horizontal="center" vertical="center"/>
    </xf>
    <xf numFmtId="9" fontId="3" fillId="38" borderId="78" xfId="5" applyNumberFormat="1" applyBorder="1" applyAlignment="1">
      <alignment horizontal="center" vertical="center"/>
    </xf>
    <xf numFmtId="9" fontId="3" fillId="38" borderId="86" xfId="5" applyNumberFormat="1" applyBorder="1" applyAlignment="1">
      <alignment horizontal="center" vertical="center"/>
    </xf>
    <xf numFmtId="9" fontId="3" fillId="38" borderId="79" xfId="5" applyNumberFormat="1" applyBorder="1" applyAlignment="1">
      <alignment horizontal="center" vertical="center"/>
    </xf>
    <xf numFmtId="0" fontId="6" fillId="0" borderId="8" xfId="0" applyFont="1" applyBorder="1" applyAlignment="1">
      <alignment horizontal="center" vertical="center"/>
    </xf>
    <xf numFmtId="0" fontId="6" fillId="0" borderId="19" xfId="0" applyFont="1" applyBorder="1" applyAlignment="1">
      <alignment horizontal="center" vertical="center"/>
    </xf>
    <xf numFmtId="9" fontId="33" fillId="19" borderId="97" xfId="0" applyNumberFormat="1" applyFont="1" applyFill="1" applyBorder="1" applyAlignment="1">
      <alignment horizontal="center" vertical="center"/>
    </xf>
    <xf numFmtId="9" fontId="33" fillId="19" borderId="98" xfId="0" applyNumberFormat="1" applyFont="1" applyFill="1" applyBorder="1" applyAlignment="1">
      <alignment horizontal="center" vertical="center"/>
    </xf>
    <xf numFmtId="0" fontId="6" fillId="15" borderId="26" xfId="0" applyFont="1" applyFill="1" applyBorder="1" applyAlignment="1">
      <alignment horizontal="left" vertical="top" wrapText="1" indent="1"/>
    </xf>
    <xf numFmtId="0" fontId="6" fillId="15" borderId="24" xfId="0" applyFont="1" applyFill="1" applyBorder="1" applyAlignment="1">
      <alignment horizontal="left" vertical="top" wrapText="1" indent="1"/>
    </xf>
    <xf numFmtId="0" fontId="6" fillId="15" borderId="34" xfId="0" applyFont="1" applyFill="1" applyBorder="1" applyAlignment="1">
      <alignment horizontal="left" vertical="top" wrapText="1" indent="1"/>
    </xf>
    <xf numFmtId="0" fontId="12" fillId="15" borderId="20" xfId="0" applyFont="1" applyFill="1" applyBorder="1" applyAlignment="1">
      <alignment horizontal="center" vertical="center" wrapText="1"/>
    </xf>
    <xf numFmtId="0" fontId="12" fillId="15" borderId="8" xfId="0" applyFont="1" applyFill="1" applyBorder="1" applyAlignment="1">
      <alignment horizontal="center" vertical="center" wrapText="1"/>
    </xf>
    <xf numFmtId="0" fontId="12" fillId="15" borderId="19" xfId="0" applyFont="1" applyFill="1" applyBorder="1" applyAlignment="1">
      <alignment horizontal="center" vertical="center" wrapText="1"/>
    </xf>
    <xf numFmtId="0" fontId="12" fillId="15" borderId="13" xfId="0" applyFont="1" applyFill="1" applyBorder="1" applyAlignment="1">
      <alignment horizontal="center" vertical="center" wrapText="1"/>
    </xf>
    <xf numFmtId="0" fontId="12" fillId="15" borderId="0" xfId="0" applyFont="1" applyFill="1" applyAlignment="1">
      <alignment horizontal="center" vertical="center" wrapText="1"/>
    </xf>
    <xf numFmtId="0" fontId="12" fillId="15" borderId="12" xfId="0" applyFont="1" applyFill="1" applyBorder="1" applyAlignment="1">
      <alignment horizontal="center" vertical="center" wrapText="1"/>
    </xf>
    <xf numFmtId="0" fontId="12" fillId="15" borderId="26" xfId="0" applyFont="1" applyFill="1" applyBorder="1" applyAlignment="1">
      <alignment horizontal="center" vertical="center" wrapText="1"/>
    </xf>
    <xf numFmtId="0" fontId="12" fillId="15" borderId="24" xfId="0" applyFont="1" applyFill="1" applyBorder="1" applyAlignment="1">
      <alignment horizontal="center" vertical="center" wrapText="1"/>
    </xf>
    <xf numFmtId="0" fontId="12" fillId="15" borderId="34" xfId="0" applyFont="1" applyFill="1" applyBorder="1" applyAlignment="1">
      <alignment horizontal="center" vertical="center" wrapText="1"/>
    </xf>
    <xf numFmtId="0" fontId="3" fillId="38" borderId="11" xfId="5" applyBorder="1" applyAlignment="1">
      <alignment horizontal="center" vertical="center" wrapText="1"/>
    </xf>
    <xf numFmtId="0" fontId="3" fillId="38" borderId="10" xfId="5" applyBorder="1" applyAlignment="1">
      <alignment horizontal="center" vertical="center" wrapText="1"/>
    </xf>
    <xf numFmtId="0" fontId="3" fillId="38" borderId="9" xfId="5" applyBorder="1" applyAlignment="1">
      <alignment horizontal="center" vertical="center" wrapText="1"/>
    </xf>
    <xf numFmtId="0" fontId="6" fillId="15" borderId="13" xfId="0" applyFont="1" applyFill="1" applyBorder="1" applyAlignment="1">
      <alignment horizontal="left" vertical="center" wrapText="1" indent="1"/>
    </xf>
    <xf numFmtId="0" fontId="6" fillId="15" borderId="0" xfId="0" applyFont="1" applyFill="1" applyAlignment="1">
      <alignment horizontal="left" vertical="center" wrapText="1" indent="1"/>
    </xf>
    <xf numFmtId="0" fontId="6" fillId="15" borderId="12" xfId="0" applyFont="1" applyFill="1" applyBorder="1" applyAlignment="1">
      <alignment horizontal="left" vertical="center" wrapText="1" indent="1"/>
    </xf>
    <xf numFmtId="0" fontId="6" fillId="15" borderId="26" xfId="0" applyFont="1" applyFill="1" applyBorder="1" applyAlignment="1">
      <alignment horizontal="left" vertical="center" wrapText="1" indent="1"/>
    </xf>
    <xf numFmtId="0" fontId="6" fillId="15" borderId="24" xfId="0" applyFont="1" applyFill="1" applyBorder="1" applyAlignment="1">
      <alignment horizontal="left" vertical="center" wrapText="1" indent="1"/>
    </xf>
    <xf numFmtId="0" fontId="6" fillId="15" borderId="34" xfId="0" applyFont="1" applyFill="1" applyBorder="1" applyAlignment="1">
      <alignment horizontal="left" vertical="center" wrapText="1" indent="1"/>
    </xf>
    <xf numFmtId="9" fontId="6" fillId="0" borderId="0" xfId="2" applyFont="1" applyBorder="1" applyAlignment="1">
      <alignment horizontal="center" vertical="center"/>
    </xf>
    <xf numFmtId="9" fontId="6" fillId="0" borderId="12" xfId="2" applyFont="1" applyBorder="1" applyAlignment="1">
      <alignment horizontal="center" vertical="center"/>
    </xf>
    <xf numFmtId="0" fontId="11" fillId="0" borderId="17" xfId="0" applyFont="1" applyBorder="1" applyAlignment="1">
      <alignment horizontal="center" vertical="center"/>
    </xf>
    <xf numFmtId="0" fontId="24" fillId="14" borderId="29" xfId="4" applyFont="1" applyBorder="1" applyAlignment="1">
      <alignment horizontal="center" vertical="center"/>
    </xf>
    <xf numFmtId="0" fontId="10" fillId="15" borderId="82" xfId="0" applyFont="1" applyFill="1" applyBorder="1" applyAlignment="1">
      <alignment horizontal="center" vertical="center" wrapText="1"/>
    </xf>
    <xf numFmtId="0" fontId="10" fillId="15" borderId="44" xfId="0" applyFont="1" applyFill="1" applyBorder="1" applyAlignment="1">
      <alignment horizontal="center" vertical="center" wrapText="1"/>
    </xf>
    <xf numFmtId="0" fontId="3" fillId="38" borderId="20" xfId="5" applyBorder="1" applyAlignment="1">
      <alignment horizontal="center" vertical="center"/>
    </xf>
    <xf numFmtId="0" fontId="3" fillId="38" borderId="26" xfId="5" applyBorder="1" applyAlignment="1">
      <alignment horizontal="center" vertical="center"/>
    </xf>
    <xf numFmtId="9" fontId="3" fillId="38" borderId="8" xfId="5" applyNumberFormat="1" applyBorder="1" applyAlignment="1">
      <alignment horizontal="center" vertical="center" wrapText="1"/>
    </xf>
    <xf numFmtId="9" fontId="3" fillId="38" borderId="24" xfId="5" applyNumberFormat="1" applyBorder="1" applyAlignment="1">
      <alignment horizontal="center" vertical="center" wrapText="1"/>
    </xf>
    <xf numFmtId="9" fontId="3" fillId="38" borderId="19" xfId="5" applyNumberFormat="1" applyBorder="1" applyAlignment="1">
      <alignment horizontal="center" vertical="center" wrapText="1"/>
    </xf>
    <xf numFmtId="9" fontId="3" fillId="38" borderId="34" xfId="5" applyNumberFormat="1" applyBorder="1" applyAlignment="1">
      <alignment horizontal="center" vertical="center" wrapText="1"/>
    </xf>
    <xf numFmtId="0" fontId="10" fillId="15" borderId="39" xfId="0" applyFont="1" applyFill="1" applyBorder="1" applyAlignment="1">
      <alignment horizontal="center" vertical="center"/>
    </xf>
    <xf numFmtId="0" fontId="4" fillId="0" borderId="37"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5" xfId="0" applyFont="1" applyBorder="1" applyAlignment="1">
      <alignment horizontal="center" vertical="center" wrapText="1"/>
    </xf>
    <xf numFmtId="0" fontId="24" fillId="14" borderId="11" xfId="4" applyFont="1" applyBorder="1" applyAlignment="1">
      <alignment horizontal="center" vertical="center"/>
    </xf>
    <xf numFmtId="0" fontId="24" fillId="14" borderId="10" xfId="4" applyFont="1" applyBorder="1" applyAlignment="1">
      <alignment horizontal="center" vertical="center"/>
    </xf>
    <xf numFmtId="0" fontId="24" fillId="14" borderId="9" xfId="4" applyFont="1" applyBorder="1" applyAlignment="1">
      <alignment horizontal="center" vertical="center"/>
    </xf>
    <xf numFmtId="0" fontId="3" fillId="38" borderId="11" xfId="5" applyBorder="1" applyAlignment="1">
      <alignment horizontal="center" vertical="center"/>
    </xf>
    <xf numFmtId="0" fontId="3" fillId="38" borderId="9" xfId="5" applyBorder="1" applyAlignment="1">
      <alignment horizontal="center" vertical="center"/>
    </xf>
    <xf numFmtId="0" fontId="3" fillId="38" borderId="10" xfId="5" applyBorder="1" applyAlignment="1">
      <alignment horizontal="center" vertical="center"/>
    </xf>
    <xf numFmtId="0" fontId="3" fillId="38" borderId="19" xfId="5" applyBorder="1" applyAlignment="1">
      <alignment horizontal="center" vertical="center"/>
    </xf>
    <xf numFmtId="0" fontId="3" fillId="38" borderId="8" xfId="5" applyBorder="1" applyAlignment="1">
      <alignment horizontal="center" vertical="center"/>
    </xf>
    <xf numFmtId="0" fontId="6" fillId="0" borderId="24" xfId="0" applyFont="1" applyBorder="1" applyAlignment="1">
      <alignment horizontal="center" vertical="center"/>
    </xf>
    <xf numFmtId="0" fontId="6" fillId="0" borderId="34" xfId="0" applyFont="1" applyBorder="1" applyAlignment="1">
      <alignment horizontal="center" vertical="center"/>
    </xf>
    <xf numFmtId="9" fontId="6" fillId="0" borderId="24" xfId="2" applyFont="1" applyBorder="1" applyAlignment="1">
      <alignment horizontal="center" vertical="center"/>
    </xf>
    <xf numFmtId="9" fontId="6" fillId="0" borderId="34" xfId="2" applyFont="1" applyBorder="1" applyAlignment="1">
      <alignment horizontal="center" vertical="center"/>
    </xf>
    <xf numFmtId="0" fontId="3" fillId="38" borderId="10" xfId="5" applyBorder="1" applyAlignment="1">
      <alignment horizontal="center" vertical="top" wrapText="1"/>
    </xf>
    <xf numFmtId="0" fontId="3" fillId="38" borderId="9" xfId="5" applyBorder="1" applyAlignment="1">
      <alignment horizontal="center" vertical="top" wrapText="1"/>
    </xf>
    <xf numFmtId="0" fontId="12" fillId="0" borderId="20" xfId="0" applyFont="1" applyBorder="1" applyAlignment="1">
      <alignment horizontal="left" vertical="top" wrapText="1" indent="1"/>
    </xf>
    <xf numFmtId="0" fontId="12" fillId="0" borderId="8" xfId="0" applyFont="1" applyBorder="1" applyAlignment="1">
      <alignment horizontal="left" vertical="top" wrapText="1" indent="1"/>
    </xf>
    <xf numFmtId="0" fontId="12" fillId="0" borderId="19" xfId="0" applyFont="1" applyBorder="1" applyAlignment="1">
      <alignment horizontal="left" vertical="top" wrapText="1" indent="1"/>
    </xf>
    <xf numFmtId="0" fontId="12" fillId="0" borderId="26" xfId="0" applyFont="1" applyBorder="1" applyAlignment="1">
      <alignment horizontal="left" vertical="top" wrapText="1" indent="1"/>
    </xf>
    <xf numFmtId="0" fontId="12" fillId="0" borderId="24" xfId="0" applyFont="1" applyBorder="1" applyAlignment="1">
      <alignment horizontal="left" vertical="top" wrapText="1" indent="1"/>
    </xf>
    <xf numFmtId="0" fontId="12" fillId="0" borderId="34" xfId="0" applyFont="1" applyBorder="1" applyAlignment="1">
      <alignment horizontal="left" vertical="top" wrapText="1" indent="1"/>
    </xf>
    <xf numFmtId="0" fontId="8" fillId="4" borderId="24" xfId="0" applyFont="1" applyFill="1" applyBorder="1" applyAlignment="1">
      <alignment horizontal="center"/>
    </xf>
    <xf numFmtId="0" fontId="8" fillId="8" borderId="11" xfId="0" applyFont="1" applyFill="1" applyBorder="1" applyAlignment="1">
      <alignment horizontal="center"/>
    </xf>
    <xf numFmtId="0" fontId="8" fillId="8" borderId="9" xfId="0" applyFont="1" applyFill="1" applyBorder="1" applyAlignment="1">
      <alignment horizontal="center"/>
    </xf>
    <xf numFmtId="0" fontId="3" fillId="38" borderId="24" xfId="5" applyBorder="1" applyAlignment="1">
      <alignment horizontal="center"/>
    </xf>
    <xf numFmtId="0" fontId="3" fillId="38" borderId="101" xfId="5" applyBorder="1" applyAlignment="1">
      <alignment horizontal="center"/>
    </xf>
    <xf numFmtId="0" fontId="3" fillId="38" borderId="100" xfId="5" applyBorder="1" applyAlignment="1">
      <alignment horizontal="center"/>
    </xf>
    <xf numFmtId="168" fontId="3" fillId="14" borderId="10" xfId="4" applyNumberFormat="1" applyBorder="1" applyAlignment="1">
      <alignment horizontal="center" vertical="center" wrapText="1"/>
    </xf>
    <xf numFmtId="168" fontId="3" fillId="38" borderId="40" xfId="5" applyNumberFormat="1" applyBorder="1" applyAlignment="1">
      <alignment horizontal="center" vertical="center" wrapText="1"/>
    </xf>
    <xf numFmtId="168" fontId="3" fillId="14" borderId="10" xfId="4" applyNumberFormat="1" applyBorder="1" applyAlignment="1">
      <alignment horizontal="center" vertical="center"/>
    </xf>
    <xf numFmtId="180" fontId="3" fillId="14" borderId="10" xfId="4" applyNumberFormat="1" applyBorder="1" applyAlignment="1">
      <alignment horizontal="center" vertical="center" wrapText="1"/>
    </xf>
    <xf numFmtId="168" fontId="6" fillId="8" borderId="40" xfId="0" applyNumberFormat="1" applyFont="1" applyFill="1" applyBorder="1" applyAlignment="1">
      <alignment horizontal="center"/>
    </xf>
    <xf numFmtId="168" fontId="6" fillId="8" borderId="61" xfId="0" applyNumberFormat="1" applyFont="1" applyFill="1" applyBorder="1" applyAlignment="1">
      <alignment horizontal="center"/>
    </xf>
    <xf numFmtId="0" fontId="3" fillId="38" borderId="40" xfId="5" applyBorder="1" applyAlignment="1">
      <alignment horizontal="center" vertical="center" wrapText="1"/>
    </xf>
    <xf numFmtId="0" fontId="3" fillId="23" borderId="58" xfId="0" applyFont="1" applyFill="1" applyBorder="1" applyAlignment="1">
      <alignment horizontal="center" vertical="center" wrapText="1"/>
    </xf>
    <xf numFmtId="180" fontId="3" fillId="38" borderId="40" xfId="5" applyNumberFormat="1" applyBorder="1" applyAlignment="1">
      <alignment horizontal="center" vertical="center"/>
    </xf>
    <xf numFmtId="0" fontId="3" fillId="38" borderId="40" xfId="5" applyBorder="1" applyAlignment="1">
      <alignment horizontal="center" vertical="center"/>
    </xf>
    <xf numFmtId="168" fontId="3" fillId="38" borderId="40" xfId="5" applyNumberFormat="1" applyBorder="1" applyAlignment="1">
      <alignment horizontal="center" vertical="center"/>
    </xf>
    <xf numFmtId="0" fontId="3" fillId="38" borderId="40" xfId="5" applyBorder="1" applyAlignment="1"/>
    <xf numFmtId="0" fontId="3" fillId="38" borderId="40" xfId="5" applyNumberFormat="1" applyBorder="1" applyAlignment="1">
      <alignment horizontal="center" vertical="center" wrapText="1"/>
    </xf>
    <xf numFmtId="0" fontId="3" fillId="38" borderId="61" xfId="5" applyBorder="1" applyAlignment="1">
      <alignment horizontal="center" vertical="center"/>
    </xf>
    <xf numFmtId="179" fontId="6" fillId="8" borderId="49" xfId="0" applyNumberFormat="1" applyFont="1" applyFill="1" applyBorder="1" applyAlignment="1">
      <alignment horizontal="center"/>
    </xf>
    <xf numFmtId="179" fontId="6" fillId="8" borderId="48" xfId="0" applyNumberFormat="1" applyFont="1" applyFill="1" applyBorder="1" applyAlignment="1">
      <alignment horizontal="center"/>
    </xf>
    <xf numFmtId="179" fontId="6" fillId="8" borderId="59" xfId="0" applyNumberFormat="1" applyFont="1" applyFill="1" applyBorder="1" applyAlignment="1">
      <alignment horizontal="center"/>
    </xf>
    <xf numFmtId="166" fontId="3" fillId="38" borderId="77" xfId="5" applyNumberFormat="1" applyBorder="1" applyAlignment="1">
      <alignment horizontal="left"/>
    </xf>
    <xf numFmtId="166" fontId="3" fillId="38" borderId="40" xfId="5" applyNumberFormat="1" applyBorder="1" applyAlignment="1">
      <alignment horizontal="left"/>
    </xf>
    <xf numFmtId="9" fontId="8" fillId="8" borderId="111" xfId="0" applyNumberFormat="1" applyFont="1" applyFill="1" applyBorder="1" applyAlignment="1">
      <alignment horizontal="center" vertical="center"/>
    </xf>
    <xf numFmtId="9" fontId="8" fillId="8" borderId="110" xfId="0" applyNumberFormat="1" applyFont="1" applyFill="1" applyBorder="1" applyAlignment="1">
      <alignment horizontal="center" vertical="center"/>
    </xf>
    <xf numFmtId="9" fontId="8" fillId="8" borderId="70" xfId="0" applyNumberFormat="1" applyFont="1" applyFill="1" applyBorder="1" applyAlignment="1">
      <alignment horizontal="center" vertical="center"/>
    </xf>
    <xf numFmtId="0" fontId="8" fillId="8" borderId="45" xfId="0" applyFont="1" applyFill="1" applyBorder="1" applyAlignment="1">
      <alignment horizontal="right" vertical="center" indent="1"/>
    </xf>
    <xf numFmtId="0" fontId="8" fillId="8" borderId="51" xfId="0" applyFont="1" applyFill="1" applyBorder="1" applyAlignment="1">
      <alignment horizontal="right" vertical="center" indent="1"/>
    </xf>
    <xf numFmtId="0" fontId="8" fillId="8" borderId="67" xfId="0" applyFont="1" applyFill="1" applyBorder="1" applyAlignment="1">
      <alignment horizontal="right" vertical="center" indent="1"/>
    </xf>
    <xf numFmtId="0" fontId="8" fillId="8" borderId="63" xfId="0" applyFont="1" applyFill="1" applyBorder="1" applyAlignment="1">
      <alignment horizontal="right" vertical="center" indent="1"/>
    </xf>
    <xf numFmtId="0" fontId="8" fillId="8" borderId="60" xfId="0" applyFont="1" applyFill="1" applyBorder="1" applyAlignment="1">
      <alignment horizontal="right" vertical="center" indent="1"/>
    </xf>
    <xf numFmtId="0" fontId="8" fillId="8" borderId="54" xfId="0" applyFont="1" applyFill="1" applyBorder="1" applyAlignment="1">
      <alignment horizontal="right" vertical="center" indent="1"/>
    </xf>
    <xf numFmtId="9" fontId="8" fillId="8" borderId="66" xfId="0" applyNumberFormat="1" applyFont="1" applyFill="1" applyBorder="1" applyAlignment="1">
      <alignment horizontal="center" vertical="center"/>
    </xf>
    <xf numFmtId="9" fontId="8" fillId="8" borderId="65" xfId="0" applyNumberFormat="1" applyFont="1" applyFill="1" applyBorder="1" applyAlignment="1">
      <alignment horizontal="center" vertical="center"/>
    </xf>
    <xf numFmtId="9" fontId="8" fillId="8" borderId="64" xfId="0" applyNumberFormat="1" applyFont="1" applyFill="1" applyBorder="1" applyAlignment="1">
      <alignment horizontal="center" vertical="center"/>
    </xf>
    <xf numFmtId="168" fontId="6" fillId="8" borderId="62" xfId="0" applyNumberFormat="1" applyFont="1" applyFill="1" applyBorder="1" applyAlignment="1">
      <alignment horizontal="center"/>
    </xf>
    <xf numFmtId="0" fontId="8" fillId="0" borderId="45" xfId="0" applyFont="1" applyBorder="1" applyAlignment="1">
      <alignment horizontal="center" vertical="center" textRotation="90" wrapText="1"/>
    </xf>
    <xf numFmtId="0" fontId="8" fillId="0" borderId="54" xfId="0" applyFont="1" applyBorder="1" applyAlignment="1">
      <alignment horizontal="center" vertical="center" textRotation="90" wrapText="1"/>
    </xf>
    <xf numFmtId="0" fontId="8" fillId="0" borderId="51" xfId="0" applyFont="1" applyBorder="1" applyAlignment="1">
      <alignment horizontal="center" vertical="center" textRotation="90" wrapText="1"/>
    </xf>
    <xf numFmtId="185" fontId="3" fillId="14" borderId="10" xfId="4" applyNumberFormat="1" applyBorder="1" applyAlignment="1">
      <alignment horizontal="center"/>
    </xf>
    <xf numFmtId="185" fontId="3" fillId="14" borderId="9" xfId="4" applyNumberFormat="1" applyBorder="1" applyAlignment="1">
      <alignment horizontal="center"/>
    </xf>
    <xf numFmtId="184" fontId="3" fillId="14" borderId="10" xfId="4" applyNumberFormat="1" applyBorder="1" applyAlignment="1">
      <alignment horizontal="center"/>
    </xf>
    <xf numFmtId="184" fontId="3" fillId="14" borderId="9" xfId="4" applyNumberFormat="1" applyBorder="1" applyAlignment="1">
      <alignment horizontal="center"/>
    </xf>
    <xf numFmtId="173" fontId="8" fillId="0" borderId="74" xfId="0" applyNumberFormat="1" applyFont="1" applyBorder="1" applyAlignment="1">
      <alignment horizontal="center" vertical="center"/>
    </xf>
    <xf numFmtId="173" fontId="8" fillId="0" borderId="9" xfId="0" applyNumberFormat="1" applyFont="1" applyBorder="1" applyAlignment="1">
      <alignment horizontal="center" vertical="center"/>
    </xf>
    <xf numFmtId="0" fontId="8" fillId="0" borderId="0" xfId="0" applyFont="1" applyAlignment="1">
      <alignment horizontal="center" wrapText="1"/>
    </xf>
    <xf numFmtId="9" fontId="8" fillId="7" borderId="20" xfId="0" applyNumberFormat="1" applyFont="1" applyFill="1" applyBorder="1" applyAlignment="1">
      <alignment horizontal="right"/>
    </xf>
    <xf numFmtId="9" fontId="8" fillId="7" borderId="8" xfId="0" applyNumberFormat="1" applyFont="1" applyFill="1" applyBorder="1" applyAlignment="1">
      <alignment horizontal="right"/>
    </xf>
    <xf numFmtId="9" fontId="8" fillId="7" borderId="13" xfId="0" applyNumberFormat="1" applyFont="1" applyFill="1" applyBorder="1" applyAlignment="1">
      <alignment horizontal="right"/>
    </xf>
    <xf numFmtId="9" fontId="8" fillId="7" borderId="0" xfId="0" applyNumberFormat="1" applyFont="1" applyFill="1" applyAlignment="1">
      <alignment horizontal="right"/>
    </xf>
    <xf numFmtId="0" fontId="24" fillId="38" borderId="11" xfId="5" applyFont="1" applyBorder="1" applyAlignment="1">
      <alignment horizontal="center" vertical="center"/>
    </xf>
    <xf numFmtId="0" fontId="24" fillId="38" borderId="10" xfId="5" applyFont="1" applyBorder="1" applyAlignment="1">
      <alignment horizontal="center" vertical="center"/>
    </xf>
    <xf numFmtId="0" fontId="24" fillId="38" borderId="9" xfId="5" applyFont="1" applyBorder="1" applyAlignment="1">
      <alignment horizontal="center" vertical="center"/>
    </xf>
    <xf numFmtId="0" fontId="24" fillId="38" borderId="11" xfId="5" quotePrefix="1" applyFont="1" applyBorder="1" applyAlignment="1">
      <alignment horizontal="center" vertical="center"/>
    </xf>
    <xf numFmtId="0" fontId="24" fillId="38" borderId="10" xfId="5" quotePrefix="1" applyFont="1" applyBorder="1" applyAlignment="1">
      <alignment horizontal="center" vertical="center"/>
    </xf>
    <xf numFmtId="0" fontId="24" fillId="38" borderId="9" xfId="5" quotePrefix="1" applyFont="1" applyBorder="1" applyAlignment="1">
      <alignment horizontal="center" vertical="center"/>
    </xf>
    <xf numFmtId="168" fontId="8" fillId="0" borderId="74" xfId="0" applyNumberFormat="1" applyFont="1" applyBorder="1" applyAlignment="1">
      <alignment horizontal="center" vertical="center"/>
    </xf>
    <xf numFmtId="168" fontId="8" fillId="0" borderId="9" xfId="0" applyNumberFormat="1" applyFont="1" applyBorder="1" applyAlignment="1">
      <alignment horizontal="center" vertical="center"/>
    </xf>
    <xf numFmtId="0" fontId="3" fillId="14" borderId="11" xfId="4" applyBorder="1" applyAlignment="1">
      <alignment horizontal="left"/>
    </xf>
    <xf numFmtId="0" fontId="3" fillId="14" borderId="10" xfId="4" applyBorder="1" applyAlignment="1">
      <alignment horizontal="left"/>
    </xf>
    <xf numFmtId="186" fontId="8" fillId="29" borderId="20" xfId="0" applyNumberFormat="1" applyFont="1" applyFill="1" applyBorder="1" applyAlignment="1">
      <alignment horizontal="right"/>
    </xf>
    <xf numFmtId="186" fontId="8" fillId="29" borderId="8" xfId="0" applyNumberFormat="1" applyFont="1" applyFill="1" applyBorder="1" applyAlignment="1">
      <alignment horizontal="right"/>
    </xf>
    <xf numFmtId="173" fontId="8" fillId="43" borderId="74" xfId="0" applyNumberFormat="1" applyFont="1" applyFill="1" applyBorder="1" applyAlignment="1">
      <alignment horizontal="center" vertical="center"/>
    </xf>
    <xf numFmtId="173" fontId="8" fillId="43" borderId="9" xfId="0" applyNumberFormat="1" applyFont="1" applyFill="1" applyBorder="1" applyAlignment="1">
      <alignment horizontal="center" vertical="center"/>
    </xf>
    <xf numFmtId="0" fontId="7" fillId="16" borderId="0" xfId="0" applyFont="1" applyFill="1" applyAlignment="1">
      <alignment horizontal="center"/>
    </xf>
    <xf numFmtId="0" fontId="8" fillId="34" borderId="0" xfId="0" applyFont="1" applyFill="1" applyAlignment="1">
      <alignment vertical="top" wrapText="1"/>
    </xf>
    <xf numFmtId="0" fontId="8" fillId="0" borderId="24" xfId="0" applyFont="1" applyBorder="1" applyAlignment="1">
      <alignment horizontal="center" vertical="center"/>
    </xf>
    <xf numFmtId="9" fontId="3" fillId="14" borderId="11" xfId="4" applyNumberFormat="1" applyBorder="1" applyAlignment="1">
      <alignment horizontal="center" vertical="center" wrapText="1"/>
    </xf>
    <xf numFmtId="9" fontId="3" fillId="14" borderId="104" xfId="4" applyNumberFormat="1" applyBorder="1" applyAlignment="1">
      <alignment horizontal="center" vertical="center" wrapText="1"/>
    </xf>
    <xf numFmtId="9" fontId="3" fillId="14" borderId="20" xfId="4" applyNumberFormat="1" applyBorder="1" applyAlignment="1">
      <alignment horizontal="center" vertical="center" wrapText="1"/>
    </xf>
    <xf numFmtId="9" fontId="3" fillId="14" borderId="105" xfId="4" applyNumberFormat="1" applyBorder="1" applyAlignment="1">
      <alignment horizontal="center" vertical="center" wrapText="1"/>
    </xf>
    <xf numFmtId="9" fontId="8" fillId="29" borderId="13" xfId="0" applyNumberFormat="1" applyFont="1" applyFill="1" applyBorder="1" applyAlignment="1">
      <alignment horizontal="right"/>
    </xf>
    <xf numFmtId="9" fontId="8" fillId="29" borderId="0" xfId="0" applyNumberFormat="1" applyFont="1" applyFill="1" applyAlignment="1">
      <alignment horizontal="right"/>
    </xf>
    <xf numFmtId="187" fontId="8" fillId="29" borderId="26" xfId="0" applyNumberFormat="1" applyFont="1" applyFill="1" applyBorder="1" applyAlignment="1">
      <alignment horizontal="right"/>
    </xf>
    <xf numFmtId="187" fontId="8" fillId="29" borderId="24" xfId="0" applyNumberFormat="1" applyFont="1" applyFill="1" applyBorder="1" applyAlignment="1">
      <alignment horizontal="right"/>
    </xf>
    <xf numFmtId="188" fontId="8" fillId="7" borderId="13" xfId="0" applyNumberFormat="1" applyFont="1" applyFill="1" applyBorder="1" applyAlignment="1">
      <alignment horizontal="right"/>
    </xf>
    <xf numFmtId="188" fontId="8" fillId="7" borderId="0" xfId="0" applyNumberFormat="1" applyFont="1" applyFill="1" applyAlignment="1">
      <alignment horizontal="right"/>
    </xf>
    <xf numFmtId="189" fontId="8" fillId="7" borderId="26" xfId="0" applyNumberFormat="1" applyFont="1" applyFill="1" applyBorder="1" applyAlignment="1">
      <alignment horizontal="right"/>
    </xf>
    <xf numFmtId="189" fontId="8" fillId="7" borderId="24" xfId="0" applyNumberFormat="1" applyFont="1" applyFill="1" applyBorder="1" applyAlignment="1">
      <alignment horizontal="right"/>
    </xf>
    <xf numFmtId="193" fontId="8" fillId="29" borderId="26" xfId="0" applyNumberFormat="1" applyFont="1" applyFill="1" applyBorder="1" applyAlignment="1">
      <alignment horizontal="right"/>
    </xf>
    <xf numFmtId="193" fontId="8" fillId="29" borderId="24" xfId="0" applyNumberFormat="1" applyFont="1" applyFill="1" applyBorder="1" applyAlignment="1">
      <alignment horizontal="right"/>
    </xf>
    <xf numFmtId="168" fontId="8" fillId="29" borderId="36" xfId="0" applyNumberFormat="1" applyFont="1" applyFill="1" applyBorder="1" applyAlignment="1">
      <alignment horizontal="center"/>
    </xf>
    <xf numFmtId="0" fontId="0" fillId="0" borderId="35" xfId="0" applyBorder="1" applyAlignment="1">
      <alignment horizontal="center"/>
    </xf>
    <xf numFmtId="193" fontId="8" fillId="43" borderId="26" xfId="0" applyNumberFormat="1" applyFont="1" applyFill="1" applyBorder="1" applyAlignment="1">
      <alignment horizontal="right"/>
    </xf>
    <xf numFmtId="193" fontId="8" fillId="43" borderId="24" xfId="0" applyNumberFormat="1" applyFont="1" applyFill="1" applyBorder="1" applyAlignment="1">
      <alignment horizontal="right"/>
    </xf>
    <xf numFmtId="0" fontId="31" fillId="0" borderId="0" xfId="0" applyFont="1" applyAlignment="1">
      <alignment horizontal="center"/>
    </xf>
    <xf numFmtId="184" fontId="3" fillId="14" borderId="36" xfId="4" applyNumberFormat="1" applyBorder="1" applyAlignment="1">
      <alignment horizontal="center"/>
    </xf>
    <xf numFmtId="184" fontId="3" fillId="14" borderId="35" xfId="4" applyNumberFormat="1" applyBorder="1" applyAlignment="1">
      <alignment horizontal="center"/>
    </xf>
    <xf numFmtId="0" fontId="24" fillId="38" borderId="37" xfId="5" quotePrefix="1" applyFont="1" applyBorder="1" applyAlignment="1">
      <alignment horizontal="center" vertical="center"/>
    </xf>
    <xf numFmtId="0" fontId="24" fillId="38" borderId="36" xfId="5" applyFont="1" applyBorder="1" applyAlignment="1">
      <alignment horizontal="center" vertical="center"/>
    </xf>
    <xf numFmtId="0" fontId="24" fillId="38" borderId="35" xfId="5" applyFont="1" applyBorder="1" applyAlignment="1">
      <alignment horizontal="center" vertical="center"/>
    </xf>
    <xf numFmtId="9" fontId="8" fillId="27" borderId="20" xfId="0" applyNumberFormat="1" applyFont="1" applyFill="1" applyBorder="1" applyAlignment="1">
      <alignment horizontal="right"/>
    </xf>
    <xf numFmtId="9" fontId="8" fillId="27" borderId="8" xfId="0" applyNumberFormat="1" applyFont="1" applyFill="1" applyBorder="1" applyAlignment="1">
      <alignment horizontal="right"/>
    </xf>
    <xf numFmtId="9" fontId="8" fillId="27" borderId="13" xfId="0" applyNumberFormat="1" applyFont="1" applyFill="1" applyBorder="1" applyAlignment="1">
      <alignment horizontal="right"/>
    </xf>
    <xf numFmtId="9" fontId="8" fillId="27" borderId="0" xfId="0" applyNumberFormat="1" applyFont="1" applyFill="1" applyAlignment="1">
      <alignment horizontal="right"/>
    </xf>
    <xf numFmtId="187" fontId="8" fillId="27" borderId="26" xfId="0" applyNumberFormat="1" applyFont="1" applyFill="1" applyBorder="1" applyAlignment="1">
      <alignment horizontal="right"/>
    </xf>
    <xf numFmtId="187" fontId="8" fillId="27" borderId="24" xfId="0" applyNumberFormat="1" applyFont="1" applyFill="1" applyBorder="1" applyAlignment="1">
      <alignment horizontal="right"/>
    </xf>
    <xf numFmtId="0" fontId="8" fillId="29" borderId="11" xfId="0" quotePrefix="1" applyFont="1" applyFill="1" applyBorder="1" applyAlignment="1">
      <alignment horizontal="center" vertical="center"/>
    </xf>
    <xf numFmtId="0" fontId="8" fillId="29" borderId="10" xfId="0" quotePrefix="1" applyFont="1" applyFill="1" applyBorder="1" applyAlignment="1">
      <alignment horizontal="center" vertical="center"/>
    </xf>
    <xf numFmtId="0" fontId="8" fillId="29" borderId="9" xfId="0" quotePrefix="1" applyFont="1" applyFill="1" applyBorder="1" applyAlignment="1">
      <alignment horizontal="center" vertical="center"/>
    </xf>
    <xf numFmtId="0" fontId="8" fillId="30" borderId="11" xfId="0" quotePrefix="1" applyFont="1" applyFill="1" applyBorder="1" applyAlignment="1">
      <alignment horizontal="center" vertical="center"/>
    </xf>
    <xf numFmtId="0" fontId="8" fillId="30" borderId="10" xfId="0" quotePrefix="1" applyFont="1" applyFill="1" applyBorder="1" applyAlignment="1">
      <alignment horizontal="center" vertical="center"/>
    </xf>
    <xf numFmtId="0" fontId="8" fillId="30" borderId="9" xfId="0" quotePrefix="1" applyFont="1" applyFill="1" applyBorder="1" applyAlignment="1">
      <alignment horizontal="center" vertical="center"/>
    </xf>
    <xf numFmtId="0" fontId="20" fillId="8" borderId="99" xfId="0" applyFont="1" applyFill="1" applyBorder="1" applyAlignment="1">
      <alignment horizontal="left" vertical="top" wrapText="1"/>
    </xf>
    <xf numFmtId="0" fontId="20" fillId="8" borderId="83" xfId="0" applyFont="1" applyFill="1" applyBorder="1" applyAlignment="1">
      <alignment horizontal="left" vertical="top" wrapText="1"/>
    </xf>
    <xf numFmtId="0" fontId="20" fillId="8" borderId="49" xfId="0" applyFont="1" applyFill="1" applyBorder="1" applyAlignment="1">
      <alignment horizontal="left" vertical="top" wrapText="1"/>
    </xf>
    <xf numFmtId="0" fontId="20" fillId="8" borderId="48" xfId="0" applyFont="1" applyFill="1" applyBorder="1" applyAlignment="1">
      <alignment horizontal="left" vertical="top" wrapText="1"/>
    </xf>
    <xf numFmtId="0" fontId="20" fillId="8" borderId="56" xfId="0" applyFont="1" applyFill="1" applyBorder="1" applyAlignment="1">
      <alignment horizontal="left" vertical="top" wrapText="1"/>
    </xf>
    <xf numFmtId="0" fontId="20" fillId="8" borderId="38" xfId="0" applyFont="1" applyFill="1" applyBorder="1" applyAlignment="1">
      <alignment horizontal="left" vertical="top" wrapText="1"/>
    </xf>
    <xf numFmtId="0" fontId="8" fillId="31" borderId="73" xfId="0" applyFont="1" applyFill="1" applyBorder="1" applyAlignment="1">
      <alignment horizontal="left" indent="1"/>
    </xf>
    <xf numFmtId="9" fontId="8" fillId="29" borderId="12" xfId="0" applyNumberFormat="1" applyFont="1" applyFill="1" applyBorder="1" applyAlignment="1">
      <alignment horizontal="center" vertical="center"/>
    </xf>
    <xf numFmtId="9" fontId="8" fillId="29" borderId="34" xfId="0" applyNumberFormat="1" applyFont="1" applyFill="1" applyBorder="1" applyAlignment="1">
      <alignment horizontal="center" vertical="center"/>
    </xf>
    <xf numFmtId="0" fontId="8" fillId="33" borderId="11" xfId="0" applyFont="1" applyFill="1" applyBorder="1" applyAlignment="1">
      <alignment horizontal="center"/>
    </xf>
    <xf numFmtId="0" fontId="8" fillId="33" borderId="9" xfId="0" applyFont="1" applyFill="1" applyBorder="1" applyAlignment="1">
      <alignment horizontal="center"/>
    </xf>
    <xf numFmtId="0" fontId="8" fillId="33" borderId="20" xfId="0" applyFont="1" applyFill="1" applyBorder="1" applyAlignment="1">
      <alignment horizontal="center" vertical="center" wrapText="1"/>
    </xf>
    <xf numFmtId="0" fontId="8" fillId="33" borderId="8" xfId="0" applyFont="1" applyFill="1" applyBorder="1" applyAlignment="1">
      <alignment horizontal="center" vertical="center" wrapText="1"/>
    </xf>
    <xf numFmtId="0" fontId="8" fillId="33" borderId="19" xfId="0" applyFont="1" applyFill="1" applyBorder="1" applyAlignment="1">
      <alignment horizontal="center" vertical="center" wrapText="1"/>
    </xf>
    <xf numFmtId="0" fontId="8" fillId="33" borderId="13" xfId="0" applyFont="1" applyFill="1" applyBorder="1" applyAlignment="1">
      <alignment horizontal="center" vertical="center" wrapText="1"/>
    </xf>
    <xf numFmtId="0" fontId="8" fillId="33" borderId="0" xfId="0" applyFont="1" applyFill="1" applyAlignment="1">
      <alignment horizontal="center" vertical="center" wrapText="1"/>
    </xf>
    <xf numFmtId="0" fontId="8" fillId="33" borderId="12" xfId="0" applyFont="1" applyFill="1" applyBorder="1" applyAlignment="1">
      <alignment horizontal="center" vertical="center" wrapText="1"/>
    </xf>
    <xf numFmtId="185" fontId="3" fillId="14" borderId="10" xfId="4" applyNumberFormat="1" applyBorder="1" applyAlignment="1">
      <alignment horizontal="center" vertical="center"/>
    </xf>
    <xf numFmtId="185" fontId="3" fillId="14" borderId="9" xfId="4" applyNumberFormat="1" applyBorder="1" applyAlignment="1">
      <alignment horizontal="center" vertical="center"/>
    </xf>
    <xf numFmtId="0" fontId="8" fillId="33" borderId="20" xfId="0" applyFont="1" applyFill="1" applyBorder="1" applyAlignment="1">
      <alignment horizontal="center" vertical="center"/>
    </xf>
    <xf numFmtId="0" fontId="8" fillId="33" borderId="13" xfId="0" applyFont="1" applyFill="1" applyBorder="1" applyAlignment="1">
      <alignment horizontal="center" vertical="center"/>
    </xf>
    <xf numFmtId="0" fontId="8" fillId="33" borderId="19" xfId="0" applyFont="1" applyFill="1" applyBorder="1" applyAlignment="1">
      <alignment horizontal="center" vertical="center"/>
    </xf>
    <xf numFmtId="0" fontId="8" fillId="33" borderId="12" xfId="0" applyFont="1" applyFill="1" applyBorder="1" applyAlignment="1">
      <alignment horizontal="center" vertical="center"/>
    </xf>
    <xf numFmtId="9" fontId="4" fillId="33" borderId="20" xfId="2" applyFont="1" applyFill="1" applyBorder="1" applyAlignment="1">
      <alignment horizontal="center" vertical="center" wrapText="1"/>
    </xf>
    <xf numFmtId="9" fontId="4" fillId="33" borderId="19" xfId="2" applyFont="1" applyFill="1" applyBorder="1" applyAlignment="1">
      <alignment horizontal="center" vertical="center" wrapText="1"/>
    </xf>
    <xf numFmtId="9" fontId="4" fillId="33" borderId="13" xfId="2" applyFont="1" applyFill="1" applyBorder="1" applyAlignment="1">
      <alignment horizontal="center" vertical="center" wrapText="1"/>
    </xf>
    <xf numFmtId="9" fontId="4" fillId="33" borderId="12" xfId="2" applyFont="1" applyFill="1" applyBorder="1" applyAlignment="1">
      <alignment horizontal="center" vertical="center" wrapText="1"/>
    </xf>
    <xf numFmtId="0" fontId="4" fillId="33" borderId="45" xfId="0" applyFont="1" applyFill="1" applyBorder="1" applyAlignment="1">
      <alignment horizontal="center" vertical="center" wrapText="1"/>
    </xf>
    <xf numFmtId="0" fontId="4" fillId="33" borderId="54" xfId="0" applyFont="1" applyFill="1" applyBorder="1" applyAlignment="1">
      <alignment horizontal="center" vertical="center" wrapText="1"/>
    </xf>
    <xf numFmtId="0" fontId="4" fillId="33" borderId="8" xfId="0" applyFont="1" applyFill="1" applyBorder="1" applyAlignment="1">
      <alignment horizontal="center" vertical="center" wrapText="1"/>
    </xf>
    <xf numFmtId="0" fontId="4" fillId="33" borderId="19" xfId="0" applyFont="1" applyFill="1" applyBorder="1" applyAlignment="1">
      <alignment horizontal="center" vertical="center" wrapText="1"/>
    </xf>
    <xf numFmtId="0" fontId="4" fillId="33" borderId="0" xfId="0" applyFont="1" applyFill="1" applyAlignment="1">
      <alignment horizontal="center" vertical="center" wrapText="1"/>
    </xf>
    <xf numFmtId="0" fontId="4" fillId="33" borderId="12" xfId="0" applyFont="1" applyFill="1" applyBorder="1" applyAlignment="1">
      <alignment horizontal="center" vertical="center" wrapText="1"/>
    </xf>
    <xf numFmtId="9" fontId="8" fillId="32" borderId="12" xfId="0" applyNumberFormat="1" applyFont="1" applyFill="1" applyBorder="1" applyAlignment="1">
      <alignment horizontal="center" vertical="center"/>
    </xf>
    <xf numFmtId="9" fontId="8" fillId="32" borderId="34" xfId="0" applyNumberFormat="1" applyFont="1" applyFill="1" applyBorder="1" applyAlignment="1">
      <alignment horizontal="center" vertical="center"/>
    </xf>
    <xf numFmtId="188" fontId="8" fillId="32" borderId="13" xfId="0" applyNumberFormat="1" applyFont="1" applyFill="1" applyBorder="1" applyAlignment="1">
      <alignment horizontal="right"/>
    </xf>
    <xf numFmtId="188" fontId="8" fillId="32" borderId="0" xfId="0" applyNumberFormat="1" applyFont="1" applyFill="1" applyAlignment="1">
      <alignment horizontal="right"/>
    </xf>
    <xf numFmtId="189" fontId="8" fillId="32" borderId="26" xfId="0" applyNumberFormat="1" applyFont="1" applyFill="1" applyBorder="1" applyAlignment="1">
      <alignment horizontal="right"/>
    </xf>
    <xf numFmtId="189" fontId="8" fillId="32" borderId="24" xfId="0" applyNumberFormat="1" applyFont="1" applyFill="1" applyBorder="1" applyAlignment="1">
      <alignment horizontal="right"/>
    </xf>
    <xf numFmtId="184" fontId="3" fillId="14" borderId="10" xfId="4" applyNumberFormat="1" applyBorder="1" applyAlignment="1">
      <alignment horizontal="center" vertical="center"/>
    </xf>
    <xf numFmtId="184" fontId="3" fillId="14" borderId="9" xfId="4" applyNumberFormat="1" applyBorder="1" applyAlignment="1">
      <alignment horizontal="center" vertical="center"/>
    </xf>
    <xf numFmtId="0" fontId="21" fillId="16" borderId="8" xfId="0" applyFont="1" applyFill="1" applyBorder="1" applyAlignment="1">
      <alignment horizontal="right" vertical="top"/>
    </xf>
    <xf numFmtId="0" fontId="21" fillId="16" borderId="24" xfId="0" applyFont="1" applyFill="1" applyBorder="1" applyAlignment="1">
      <alignment horizontal="right" vertical="top"/>
    </xf>
    <xf numFmtId="0" fontId="18" fillId="0" borderId="95" xfId="0" applyFont="1" applyBorder="1" applyAlignment="1">
      <alignment horizontal="left" vertical="center" wrapText="1"/>
    </xf>
    <xf numFmtId="0" fontId="18" fillId="0" borderId="91" xfId="0" applyFont="1" applyBorder="1" applyAlignment="1">
      <alignment horizontal="left" vertical="center" wrapText="1"/>
    </xf>
    <xf numFmtId="0" fontId="18" fillId="0" borderId="4" xfId="0" applyFont="1" applyBorder="1" applyAlignment="1">
      <alignment horizontal="left" vertical="center" wrapText="1"/>
    </xf>
    <xf numFmtId="0" fontId="6" fillId="0" borderId="95" xfId="0" applyFont="1" applyBorder="1" applyAlignment="1">
      <alignment horizontal="left" vertical="top" wrapText="1"/>
    </xf>
    <xf numFmtId="0" fontId="6" fillId="0" borderId="91" xfId="0" applyFont="1" applyBorder="1" applyAlignment="1">
      <alignment horizontal="left" vertical="top" wrapText="1"/>
    </xf>
    <xf numFmtId="0" fontId="6" fillId="0" borderId="4" xfId="0" applyFont="1" applyBorder="1" applyAlignment="1">
      <alignment horizontal="left" vertical="top" wrapText="1"/>
    </xf>
    <xf numFmtId="16" fontId="24" fillId="14" borderId="0" xfId="4" applyNumberFormat="1" applyFont="1" applyAlignment="1">
      <alignment horizontal="left" wrapText="1"/>
    </xf>
    <xf numFmtId="0" fontId="3" fillId="38" borderId="20" xfId="5" applyBorder="1" applyAlignment="1">
      <alignment horizontal="center"/>
    </xf>
    <xf numFmtId="0" fontId="3" fillId="38" borderId="8" xfId="5" applyBorder="1" applyAlignment="1">
      <alignment horizontal="center"/>
    </xf>
    <xf numFmtId="0" fontId="3" fillId="38" borderId="19" xfId="5" applyBorder="1" applyAlignment="1">
      <alignment horizontal="center"/>
    </xf>
  </cellXfs>
  <cellStyles count="10">
    <cellStyle name="Currency" xfId="1" builtinId="4"/>
    <cellStyle name="DLS-Heading1" xfId="4" xr:uid="{00000000-0005-0000-0000-000001000000}"/>
    <cellStyle name="DLS-USACE Greay" xfId="6" xr:uid="{00000000-0005-0000-0000-000002000000}"/>
    <cellStyle name="DLS-USACE Red" xfId="5" xr:uid="{00000000-0005-0000-0000-000003000000}"/>
    <cellStyle name="Hyperlink" xfId="7" builtinId="8"/>
    <cellStyle name="Input" xfId="3" builtinId="20" customBuiltin="1"/>
    <cellStyle name="Normal" xfId="0" builtinId="0"/>
    <cellStyle name="Normal 4" xfId="8" xr:uid="{00000000-0005-0000-0000-000007000000}"/>
    <cellStyle name="Percent" xfId="2" builtinId="5"/>
    <cellStyle name="Percent 3" xfId="9" xr:uid="{00000000-0005-0000-0000-000009000000}"/>
  </cellStyles>
  <dxfs count="75">
    <dxf>
      <fill>
        <gradientFill degree="90">
          <stop position="0">
            <color rgb="FFF84657"/>
          </stop>
          <stop position="1">
            <color rgb="FFFFFF00"/>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patternFill patternType="lightUp"/>
      </fill>
    </dxf>
    <dxf>
      <fill>
        <gradientFill degree="90">
          <stop position="0">
            <color rgb="FFF84657"/>
          </stop>
          <stop position="1">
            <color rgb="FFFFFF00"/>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patternFill patternType="lightUp"/>
      </fill>
    </dxf>
    <dxf>
      <font>
        <b/>
        <i val="0"/>
        <color auto="1"/>
      </font>
      <fill>
        <patternFill>
          <bgColor rgb="FFFFFFCC"/>
        </patternFill>
      </fill>
    </dxf>
    <dxf>
      <font>
        <b/>
        <i val="0"/>
        <color auto="1"/>
      </font>
      <fill>
        <patternFill>
          <bgColor rgb="FFFFFFCC"/>
        </pattern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gradientFill degree="90">
          <stop position="0">
            <color rgb="FFF84657"/>
          </stop>
          <stop position="1">
            <color rgb="FFFFFF00"/>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gradientFill degree="90">
          <stop position="0">
            <color rgb="FFF84657"/>
          </stop>
          <stop position="1">
            <color rgb="FFFFFF00"/>
          </stop>
        </gradientFill>
      </fill>
    </dxf>
    <dxf>
      <font>
        <b/>
        <i val="0"/>
      </font>
      <fill>
        <patternFill>
          <bgColor rgb="FFFFFF00"/>
        </patternFill>
      </fill>
    </dxf>
    <dxf>
      <font>
        <b/>
        <i val="0"/>
        <color rgb="FFFF0000"/>
      </font>
      <fill>
        <patternFill>
          <bgColor theme="1"/>
        </pattern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EB8B7"/>
          </stop>
          <stop position="1">
            <color rgb="FFF84657"/>
          </stop>
        </gradientFill>
      </fill>
    </dxf>
    <dxf>
      <fill>
        <gradientFill degree="90">
          <stop position="0">
            <color rgb="FFFFFFCC"/>
          </stop>
          <stop position="1">
            <color rgb="FFEBFC10"/>
          </stop>
        </gradientFill>
      </fill>
    </dxf>
    <dxf>
      <fill>
        <gradientFill degree="90">
          <stop position="0">
            <color rgb="FFEEB8B7"/>
          </stop>
          <stop position="1">
            <color rgb="FFF84657"/>
          </stop>
        </gradientFill>
      </fill>
    </dxf>
    <dxf>
      <fill>
        <gradientFill degree="90">
          <stop position="0">
            <color rgb="FFEBF1DE"/>
          </stop>
          <stop position="1">
            <color rgb="FFC4D79B"/>
          </stop>
        </gradientFill>
      </fill>
    </dxf>
    <dxf>
      <fill>
        <gradientFill degree="90">
          <stop position="0">
            <color rgb="FFF84657"/>
          </stop>
          <stop position="1">
            <color rgb="FFFFFF00"/>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gradientFill degree="90">
          <stop position="0">
            <color rgb="FFF84657"/>
          </stop>
          <stop position="1">
            <color rgb="FFFFFF00"/>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EB8B7"/>
          </stop>
          <stop position="1">
            <color rgb="FFF84657"/>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ill>
        <gradientFill degree="90">
          <stop position="0">
            <color rgb="FFF84657"/>
          </stop>
          <stop position="1">
            <color rgb="FFFFFF00"/>
          </stop>
        </gradientFill>
      </fill>
    </dxf>
    <dxf>
      <fill>
        <gradientFill degree="90">
          <stop position="0">
            <color rgb="FFF84657"/>
          </stop>
          <stop position="1">
            <color rgb="FFFFFF00"/>
          </stop>
        </gradientFill>
      </fill>
    </dxf>
    <dxf>
      <fill>
        <gradientFill degree="90">
          <stop position="0">
            <color rgb="FFEBF1DE"/>
          </stop>
          <stop position="1">
            <color rgb="FFC4D79B"/>
          </stop>
        </gradientFill>
      </fill>
    </dxf>
    <dxf>
      <fill>
        <gradientFill degree="90">
          <stop position="0">
            <color rgb="FFFFFFCC"/>
          </stop>
          <stop position="1">
            <color rgb="FFEBFC10"/>
          </stop>
        </gradientFill>
      </fill>
    </dxf>
    <dxf>
      <fill>
        <gradientFill degree="90">
          <stop position="0">
            <color rgb="FFE6B8B7"/>
          </stop>
          <stop position="1">
            <color rgb="FFF84657"/>
          </stop>
        </gradientFill>
      </fill>
    </dxf>
    <dxf>
      <font>
        <b/>
        <i val="0"/>
        <strike val="0"/>
        <condense val="0"/>
        <extend val="0"/>
        <outline val="0"/>
        <shadow val="0"/>
        <u val="none"/>
        <vertAlign val="baseline"/>
        <sz val="11"/>
        <color rgb="FF0000FF"/>
        <name val="Calibri"/>
        <scheme val="minor"/>
      </font>
      <numFmt numFmtId="0" formatCode="General"/>
      <fill>
        <patternFill patternType="none">
          <fgColor indexed="64"/>
          <bgColor indexed="65"/>
        </patternFill>
      </fill>
      <alignment horizontal="left" vertical="top" textRotation="0" wrapText="1" indent="1" justifyLastLine="0" shrinkToFit="0" readingOrder="0"/>
      <protection locked="0" hidden="0"/>
    </dxf>
    <dxf>
      <font>
        <b/>
        <i val="0"/>
        <strike val="0"/>
        <condense val="0"/>
        <extend val="0"/>
        <outline val="0"/>
        <shadow val="0"/>
        <u val="none"/>
        <vertAlign val="baseline"/>
        <sz val="11"/>
        <color rgb="FF0000FF"/>
        <name val="Calibri"/>
        <scheme val="minor"/>
      </font>
      <numFmt numFmtId="0" formatCode="General"/>
      <fill>
        <patternFill patternType="none">
          <fgColor indexed="64"/>
          <bgColor indexed="65"/>
        </patternFill>
      </fill>
      <alignment horizontal="center" vertical="top" textRotation="0" wrapText="1" indent="0" justifyLastLine="0" shrinkToFit="0" readingOrder="0"/>
      <protection locked="0" hidden="0"/>
    </dxf>
    <dxf>
      <font>
        <b/>
        <i val="0"/>
        <strike val="0"/>
        <condense val="0"/>
        <extend val="0"/>
        <outline val="0"/>
        <shadow val="0"/>
        <u val="none"/>
        <vertAlign val="baseline"/>
        <sz val="11"/>
        <color rgb="FF0000FF"/>
        <name val="Calibri"/>
        <scheme val="minor"/>
      </font>
      <numFmt numFmtId="0" formatCode="General"/>
      <fill>
        <patternFill patternType="none">
          <fgColor indexed="64"/>
          <bgColor indexed="65"/>
        </patternFill>
      </fill>
      <alignment horizontal="left" vertical="top" textRotation="0" wrapText="1" indent="1" justifyLastLine="0" shrinkToFit="0" readingOrder="0"/>
      <protection locked="0" hidden="0"/>
    </dxf>
    <dxf>
      <font>
        <b/>
        <i val="0"/>
        <strike val="0"/>
        <condense val="0"/>
        <extend val="0"/>
        <outline val="0"/>
        <shadow val="0"/>
        <u val="none"/>
        <vertAlign val="baseline"/>
        <sz val="11"/>
        <color rgb="FF0000FF"/>
        <name val="Calibri"/>
        <scheme val="minor"/>
      </font>
      <numFmt numFmtId="0" formatCode="General"/>
      <fill>
        <patternFill patternType="none">
          <fgColor indexed="64"/>
          <bgColor indexed="65"/>
        </patternFill>
      </fill>
      <alignment horizontal="center" vertical="top" textRotation="0" wrapText="1" indent="0" justifyLastLine="0" shrinkToFit="0" readingOrder="0"/>
      <protection locked="0" hidden="0"/>
    </dxf>
    <dxf>
      <border diagonalUp="0" diagonalDown="0">
        <left style="medium">
          <color indexed="64"/>
        </left>
        <right style="medium">
          <color indexed="64"/>
        </right>
        <top style="medium">
          <color indexed="64"/>
        </top>
        <bottom style="medium">
          <color indexed="64"/>
        </bottom>
      </border>
    </dxf>
    <dxf>
      <font>
        <b/>
        <strike val="0"/>
        <outline val="0"/>
        <shadow val="0"/>
        <u val="none"/>
        <vertAlign val="baseline"/>
        <sz val="11"/>
        <color rgb="FF0000FF"/>
        <name val="Calibri"/>
        <scheme val="minor"/>
      </font>
      <numFmt numFmtId="0" formatCode="General"/>
    </dxf>
    <dxf>
      <border outline="0">
        <bottom style="thin">
          <color indexed="9"/>
        </bottom>
      </border>
    </dxf>
    <dxf>
      <font>
        <b/>
        <i val="0"/>
        <strike val="0"/>
        <condense val="0"/>
        <extend val="0"/>
        <outline val="0"/>
        <shadow val="0"/>
        <u val="none"/>
        <vertAlign val="baseline"/>
        <sz val="11"/>
        <color indexed="9"/>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9"/>
        </left>
        <right style="thin">
          <color indexed="9"/>
        </right>
        <top/>
        <bottom/>
      </border>
    </dxf>
    <dxf>
      <font>
        <b/>
        <strike val="0"/>
        <outline val="0"/>
        <shadow val="0"/>
        <u val="none"/>
        <vertAlign val="baseline"/>
        <sz val="11"/>
        <color rgb="FF0000FF"/>
        <name val="Calibri"/>
        <scheme val="minor"/>
      </font>
      <numFmt numFmtId="0" formatCode="General"/>
      <fill>
        <patternFill patternType="none">
          <fgColor indexed="64"/>
          <bgColor indexed="65"/>
        </patternFill>
      </fill>
      <alignment horizontal="left" vertical="top" textRotation="0" wrapText="1" indent="1" justifyLastLine="0" shrinkToFit="0" readingOrder="0"/>
      <protection locked="0" hidden="0"/>
    </dxf>
    <dxf>
      <font>
        <b/>
        <i val="0"/>
        <strike val="0"/>
        <condense val="0"/>
        <extend val="0"/>
        <outline val="0"/>
        <shadow val="0"/>
        <u val="none"/>
        <vertAlign val="baseline"/>
        <sz val="11"/>
        <color rgb="FF0000FF"/>
        <name val="Calibri"/>
        <scheme val="minor"/>
      </font>
      <numFmt numFmtId="0" formatCode="General"/>
      <fill>
        <patternFill patternType="none">
          <fgColor indexed="64"/>
          <bgColor indexed="65"/>
        </patternFill>
      </fill>
      <alignment horizontal="center" vertical="top" textRotation="0" wrapText="1" indent="0" justifyLastLine="0" shrinkToFit="0" readingOrder="0"/>
      <protection locked="0" hidden="0"/>
    </dxf>
    <dxf>
      <font>
        <b/>
        <strike val="0"/>
        <outline val="0"/>
        <shadow val="0"/>
        <u val="none"/>
        <vertAlign val="baseline"/>
        <sz val="11"/>
        <color rgb="FF0000FF"/>
        <name val="Calibri"/>
        <scheme val="minor"/>
      </font>
      <numFmt numFmtId="0" formatCode="General"/>
      <fill>
        <patternFill patternType="none">
          <fgColor indexed="64"/>
          <bgColor indexed="65"/>
        </patternFill>
      </fill>
      <alignment horizontal="left" vertical="top" textRotation="0" wrapText="1" indent="1" justifyLastLine="0" shrinkToFit="0" readingOrder="0"/>
      <protection locked="0" hidden="0"/>
    </dxf>
    <dxf>
      <font>
        <b/>
        <strike val="0"/>
        <outline val="0"/>
        <shadow val="0"/>
        <u val="none"/>
        <vertAlign val="baseline"/>
        <sz val="11"/>
        <color rgb="FF0000FF"/>
        <name val="Calibri"/>
        <scheme val="minor"/>
      </font>
      <numFmt numFmtId="0" formatCode="General"/>
      <fill>
        <patternFill patternType="none">
          <fgColor indexed="64"/>
          <bgColor indexed="65"/>
        </patternFill>
      </fill>
      <alignment horizontal="center" vertical="top" textRotation="0" wrapText="1" indent="0" justifyLastLine="0" shrinkToFit="0" readingOrder="0"/>
      <protection locked="0" hidden="0"/>
    </dxf>
    <dxf>
      <border diagonalUp="0" diagonalDown="0">
        <left style="medium">
          <color indexed="64"/>
        </left>
        <right style="medium">
          <color indexed="64"/>
        </right>
        <top style="medium">
          <color indexed="64"/>
        </top>
        <bottom style="medium">
          <color indexed="64"/>
        </bottom>
      </border>
    </dxf>
    <dxf>
      <font>
        <b/>
        <strike val="0"/>
        <outline val="0"/>
        <shadow val="0"/>
        <u val="none"/>
        <vertAlign val="baseline"/>
        <sz val="11"/>
        <color rgb="FF0000FF"/>
        <name val="Calibri"/>
        <scheme val="minor"/>
      </font>
      <numFmt numFmtId="0" formatCode="General"/>
      <alignment vertical="center" textRotation="0" indent="0" justifyLastLine="0" shrinkToFit="0" readingOrder="0"/>
    </dxf>
    <dxf>
      <border outline="0">
        <bottom style="thin">
          <color indexed="9"/>
        </bottom>
      </border>
    </dxf>
    <dxf>
      <font>
        <b/>
        <i val="0"/>
        <strike val="0"/>
        <condense val="0"/>
        <extend val="0"/>
        <outline val="0"/>
        <shadow val="0"/>
        <u val="none"/>
        <vertAlign val="baseline"/>
        <sz val="11"/>
        <color indexed="9"/>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9"/>
        </left>
        <right style="thin">
          <color indexed="9"/>
        </right>
        <top/>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1"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border>
    </dxf>
    <dxf>
      <border outline="0">
        <bottom style="thin">
          <color indexed="64"/>
        </bottom>
      </border>
    </dxf>
    <dxf>
      <font>
        <strike val="0"/>
        <outline val="0"/>
        <shadow val="0"/>
        <u val="none"/>
        <vertAlign val="baseline"/>
        <sz val="16"/>
        <color indexed="9"/>
        <name val="Calibri"/>
        <scheme val="minor"/>
      </font>
      <numFmt numFmtId="0" formatCode="Genera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Calibri"/>
        <scheme val="minor"/>
      </font>
      <alignment horizontal="center" vertical="top" textRotation="0" wrapText="0" indent="0" justifyLastLine="0" shrinkToFit="0" readingOrder="0"/>
    </dxf>
    <dxf>
      <font>
        <strike val="0"/>
        <outline val="0"/>
        <shadow val="0"/>
        <u val="none"/>
        <vertAlign val="baseline"/>
        <sz val="11"/>
        <name val="Calibri"/>
        <scheme val="minor"/>
      </font>
      <alignment horizontal="left" vertical="top" textRotation="0" wrapText="1" indent="0" justifyLastLine="0" shrinkToFit="0" readingOrder="0"/>
    </dxf>
    <dxf>
      <font>
        <strike val="0"/>
        <outline val="0"/>
        <shadow val="0"/>
        <u val="none"/>
        <vertAlign val="baseline"/>
        <sz val="11"/>
        <name val="Calibri"/>
        <scheme val="minor"/>
      </font>
      <numFmt numFmtId="19" formatCode="m/d/yyyy"/>
      <alignment horizontal="center" vertical="top" textRotation="0" wrapText="0" indent="0" justifyLastLine="0" shrinkToFit="0" readingOrder="0"/>
    </dxf>
    <dxf>
      <font>
        <strike val="0"/>
        <outline val="0"/>
        <shadow val="0"/>
        <u val="none"/>
        <vertAlign val="baseline"/>
        <sz val="11"/>
        <name val="Calibri"/>
        <scheme val="minor"/>
      </font>
      <numFmt numFmtId="164" formatCode="000"/>
      <alignment horizontal="center" vertical="top" textRotation="0" wrapText="0" indent="0" justifyLastLine="0" shrinkToFit="0" readingOrder="0"/>
    </dxf>
    <dxf>
      <font>
        <strike val="0"/>
        <outline val="0"/>
        <shadow val="0"/>
        <u val="none"/>
        <vertAlign val="baseline"/>
        <sz val="11"/>
        <name val="Calibri"/>
        <scheme val="minor"/>
      </font>
    </dxf>
    <dxf>
      <font>
        <b val="0"/>
        <i val="0"/>
        <strike val="0"/>
        <condense val="0"/>
        <extend val="0"/>
        <outline val="0"/>
        <shadow val="0"/>
        <u val="none"/>
        <vertAlign val="baseline"/>
        <sz val="11"/>
        <color theme="0"/>
        <name val="Calibri"/>
        <scheme val="minor"/>
      </font>
      <alignment horizontal="center" vertical="bottom" textRotation="0" wrapText="0" indent="0" justifyLastLine="0" shrinkToFit="0" readingOrder="0"/>
    </dxf>
  </dxfs>
  <tableStyles count="0" defaultTableStyle="TableStyleMedium2" defaultPivotStyle="PivotStyleLight16"/>
  <colors>
    <mruColors>
      <color rgb="FF0000FF"/>
      <color rgb="FFFFFFCC"/>
      <color rgb="FFED2939"/>
      <color rgb="FFE6B8B7"/>
      <color rgb="FFA29791"/>
      <color rgb="FFC4D79B"/>
      <color rgb="FFEBFBDE"/>
      <color rgb="FFEBF1DE"/>
      <color rgb="FFFFFF00"/>
      <color rgb="FFF846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ustomXml" Target="../customXml/item1.xml"/></Relationships>
</file>

<file path=xl/charts/_rels/chart10.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8.xml"/><Relationship Id="rId1" Type="http://schemas.microsoft.com/office/2011/relationships/chartStyle" Target="style8.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4.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7.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mn-lt"/>
                <a:ea typeface="Arial"/>
                <a:cs typeface="Arial"/>
              </a:defRPr>
            </a:pPr>
            <a:r>
              <a:rPr lang="en-US" sz="1400">
                <a:latin typeface="+mn-lt"/>
              </a:rPr>
              <a:t>Cost Contingency </a:t>
            </a:r>
          </a:p>
        </c:rich>
      </c:tx>
      <c:layout>
        <c:manualLayout>
          <c:xMode val="edge"/>
          <c:yMode val="edge"/>
          <c:x val="0.41084543126834738"/>
          <c:y val="2.9906534176537467E-2"/>
        </c:manualLayout>
      </c:layout>
      <c:overlay val="0"/>
      <c:spPr>
        <a:noFill/>
        <a:ln w="25400">
          <a:noFill/>
        </a:ln>
      </c:spPr>
    </c:title>
    <c:autoTitleDeleted val="0"/>
    <c:plotArea>
      <c:layout>
        <c:manualLayout>
          <c:layoutTarget val="inner"/>
          <c:xMode val="edge"/>
          <c:yMode val="edge"/>
          <c:x val="0.18225255176436278"/>
          <c:y val="0.24143580682473478"/>
          <c:w val="0.806404636920385"/>
          <c:h val="0.62529042869733176"/>
        </c:manualLayout>
      </c:layout>
      <c:scatterChart>
        <c:scatterStyle val="lineMarker"/>
        <c:varyColors val="0"/>
        <c:ser>
          <c:idx val="1"/>
          <c:order val="0"/>
          <c:tx>
            <c:strRef>
              <c:f>'I-Project Contingency'!$C$20</c:f>
              <c:strCache>
                <c:ptCount val="1"/>
                <c:pt idx="0">
                  <c:v>Base Estimate</c:v>
                </c:pt>
              </c:strCache>
            </c:strRef>
          </c:tx>
          <c:spPr>
            <a:ln w="38100">
              <a:solidFill>
                <a:schemeClr val="tx1"/>
              </a:solidFill>
              <a:prstDash val="solid"/>
            </a:ln>
            <a:effectLst>
              <a:outerShdw blurRad="50800" dist="38100" dir="2700000" algn="tl" rotWithShape="0">
                <a:prstClr val="black">
                  <a:alpha val="40000"/>
                </a:prstClr>
              </a:outerShdw>
            </a:effectLst>
          </c:spPr>
          <c:marker>
            <c:symbol val="none"/>
          </c:marker>
          <c:xVal>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'I-Project Contingency'!$G$23:$G$33</c:f>
              <c:numCache>
                <c:formatCode>"$"#,##0</c:formatCode>
                <c:ptCount val="11"/>
                <c:pt idx="0">
                  <c:v>9000000</c:v>
                </c:pt>
                <c:pt idx="1">
                  <c:v>9000000</c:v>
                </c:pt>
                <c:pt idx="2">
                  <c:v>9000000</c:v>
                </c:pt>
                <c:pt idx="3">
                  <c:v>9000000</c:v>
                </c:pt>
                <c:pt idx="4">
                  <c:v>9000000</c:v>
                </c:pt>
                <c:pt idx="5">
                  <c:v>9000000</c:v>
                </c:pt>
                <c:pt idx="6">
                  <c:v>9000000</c:v>
                </c:pt>
                <c:pt idx="7">
                  <c:v>9000000</c:v>
                </c:pt>
                <c:pt idx="8">
                  <c:v>9000000</c:v>
                </c:pt>
                <c:pt idx="9">
                  <c:v>9000000</c:v>
                </c:pt>
                <c:pt idx="10">
                  <c:v>9000000</c:v>
                </c:pt>
              </c:numCache>
            </c:numRef>
          </c:yVal>
          <c:smooth val="0"/>
          <c:extLst>
            <c:ext xmlns:c16="http://schemas.microsoft.com/office/drawing/2014/chart" uri="{C3380CC4-5D6E-409C-BE32-E72D297353CC}">
              <c16:uniqueId val="{00000000-FFE7-4700-B4B4-BAEE7F570C69}"/>
            </c:ext>
          </c:extLst>
        </c:ser>
        <c:ser>
          <c:idx val="0"/>
          <c:order val="1"/>
          <c:tx>
            <c:v>Contingency</c:v>
          </c:tx>
          <c:spPr>
            <a:ln w="28575"/>
            <a:effectLst>
              <a:outerShdw blurRad="50800" dist="38100" dir="2700000" algn="tl" rotWithShape="0">
                <a:prstClr val="black">
                  <a:alpha val="40000"/>
                </a:prstClr>
              </a:outerShdw>
            </a:effectLst>
          </c:spPr>
          <c:marker>
            <c:symbol val="none"/>
          </c:marker>
          <c:dPt>
            <c:idx val="8"/>
            <c:bubble3D val="0"/>
            <c:extLst>
              <c:ext xmlns:c16="http://schemas.microsoft.com/office/drawing/2014/chart" uri="{C3380CC4-5D6E-409C-BE32-E72D297353CC}">
                <c16:uniqueId val="{00000002-FFE7-4700-B4B4-BAEE7F570C69}"/>
              </c:ext>
            </c:extLst>
          </c:dPt>
          <c:dPt>
            <c:idx val="16"/>
            <c:bubble3D val="0"/>
            <c:extLst>
              <c:ext xmlns:c16="http://schemas.microsoft.com/office/drawing/2014/chart" uri="{C3380CC4-5D6E-409C-BE32-E72D297353CC}">
                <c16:uniqueId val="{00000003-FFE7-4700-B4B4-BAEE7F570C69}"/>
              </c:ext>
            </c:extLst>
          </c:dPt>
          <c:dLbls>
            <c:dLbl>
              <c:idx val="0"/>
              <c:tx>
                <c:rich>
                  <a:bodyPr/>
                  <a:lstStyle/>
                  <a:p>
                    <a:fld id="{C4C89A92-AFB7-4DF1-B283-2C2E570C7A62}"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FFE7-4700-B4B4-BAEE7F570C69}"/>
                </c:ext>
              </c:extLst>
            </c:dLbl>
            <c:dLbl>
              <c:idx val="1"/>
              <c:tx>
                <c:rich>
                  <a:bodyPr/>
                  <a:lstStyle/>
                  <a:p>
                    <a:fld id="{764F81A6-3750-4217-B7AA-AC76A2839767}"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FFE7-4700-B4B4-BAEE7F570C69}"/>
                </c:ext>
              </c:extLst>
            </c:dLbl>
            <c:dLbl>
              <c:idx val="2"/>
              <c:tx>
                <c:rich>
                  <a:bodyPr/>
                  <a:lstStyle/>
                  <a:p>
                    <a:fld id="{A31544AF-1F3B-43DD-B974-45FCA613191E}"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FFE7-4700-B4B4-BAEE7F570C69}"/>
                </c:ext>
              </c:extLst>
            </c:dLbl>
            <c:dLbl>
              <c:idx val="3"/>
              <c:tx>
                <c:rich>
                  <a:bodyPr/>
                  <a:lstStyle/>
                  <a:p>
                    <a:fld id="{95F955BA-28B2-43AB-ABC2-8928EEE4C445}"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FFE7-4700-B4B4-BAEE7F570C69}"/>
                </c:ext>
              </c:extLst>
            </c:dLbl>
            <c:dLbl>
              <c:idx val="4"/>
              <c:tx>
                <c:rich>
                  <a:bodyPr/>
                  <a:lstStyle/>
                  <a:p>
                    <a:fld id="{C910746F-4968-4D02-A9A6-982DD83C2FB4}"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FFE7-4700-B4B4-BAEE7F570C69}"/>
                </c:ext>
              </c:extLst>
            </c:dLbl>
            <c:dLbl>
              <c:idx val="5"/>
              <c:tx>
                <c:rich>
                  <a:bodyPr/>
                  <a:lstStyle/>
                  <a:p>
                    <a:fld id="{574424B5-F551-4AA7-84A3-FC6B6183F903}"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FFE7-4700-B4B4-BAEE7F570C69}"/>
                </c:ext>
              </c:extLst>
            </c:dLbl>
            <c:dLbl>
              <c:idx val="6"/>
              <c:tx>
                <c:rich>
                  <a:bodyPr/>
                  <a:lstStyle/>
                  <a:p>
                    <a:fld id="{0CDB4618-07EF-4FA3-8B4C-DEB521144D23}"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FFE7-4700-B4B4-BAEE7F570C69}"/>
                </c:ext>
              </c:extLst>
            </c:dLbl>
            <c:dLbl>
              <c:idx val="7"/>
              <c:tx>
                <c:rich>
                  <a:bodyPr/>
                  <a:lstStyle/>
                  <a:p>
                    <a:fld id="{571DA375-B0FC-49E6-AA18-50F6E0619560}"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FFE7-4700-B4B4-BAEE7F570C69}"/>
                </c:ext>
              </c:extLst>
            </c:dLbl>
            <c:dLbl>
              <c:idx val="8"/>
              <c:tx>
                <c:rich>
                  <a:bodyPr/>
                  <a:lstStyle/>
                  <a:p>
                    <a:fld id="{FD081124-DE5B-41E6-89D5-D67F07CED40C}"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FFE7-4700-B4B4-BAEE7F570C69}"/>
                </c:ext>
              </c:extLst>
            </c:dLbl>
            <c:dLbl>
              <c:idx val="9"/>
              <c:tx>
                <c:rich>
                  <a:bodyPr/>
                  <a:lstStyle/>
                  <a:p>
                    <a:fld id="{96172507-6CB8-42BB-8DCD-5E4977D994B1}"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FFE7-4700-B4B4-BAEE7F570C69}"/>
                </c:ext>
              </c:extLst>
            </c:dLbl>
            <c:dLbl>
              <c:idx val="10"/>
              <c:tx>
                <c:rich>
                  <a:bodyPr/>
                  <a:lstStyle/>
                  <a:p>
                    <a:fld id="{ADF8ACC0-9720-43FC-AA81-938012FA836D}"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FFE7-4700-B4B4-BAEE7F570C69}"/>
                </c:ext>
              </c:extLst>
            </c:dLbl>
            <c:numFmt formatCode="0%" sourceLinked="0"/>
            <c:spPr>
              <a:solidFill>
                <a:sysClr val="window" lastClr="FFFFFF"/>
              </a:solidFill>
              <a:ln>
                <a:solidFill>
                  <a:sysClr val="windowText" lastClr="000000"/>
                </a:solidFill>
              </a:ln>
              <a:effectLst/>
            </c:spPr>
            <c:txPr>
              <a:bodyPr wrap="square" lIns="38100" tIns="19050" rIns="38100" bIns="19050" anchor="ctr">
                <a:spAutoFit/>
              </a:bodyPr>
              <a:lstStyle/>
              <a:p>
                <a:pPr>
                  <a:defRPr sz="900" b="1">
                    <a:latin typeface="+mn-lt"/>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'I-Project Contingency'!$F$23:$F$33</c:f>
              <c:numCache>
                <c:formatCode>"$"#,##0</c:formatCode>
                <c:ptCount val="11"/>
                <c:pt idx="0">
                  <c:v>8730000</c:v>
                </c:pt>
                <c:pt idx="1">
                  <c:v>9270000</c:v>
                </c:pt>
                <c:pt idx="2">
                  <c:v>9540000</c:v>
                </c:pt>
                <c:pt idx="3">
                  <c:v>9900000</c:v>
                </c:pt>
                <c:pt idx="4">
                  <c:v>10350000</c:v>
                </c:pt>
                <c:pt idx="5">
                  <c:v>10710000</c:v>
                </c:pt>
                <c:pt idx="6">
                  <c:v>11250000</c:v>
                </c:pt>
                <c:pt idx="7">
                  <c:v>11790000</c:v>
                </c:pt>
                <c:pt idx="8">
                  <c:v>12330000</c:v>
                </c:pt>
                <c:pt idx="9">
                  <c:v>13230000</c:v>
                </c:pt>
                <c:pt idx="10">
                  <c:v>15030000</c:v>
                </c:pt>
              </c:numCache>
            </c:numRef>
          </c:yVal>
          <c:smooth val="0"/>
          <c:extLst>
            <c:ext xmlns:c15="http://schemas.microsoft.com/office/drawing/2012/chart" uri="{02D57815-91ED-43cb-92C2-25804820EDAC}">
              <c15:datalabelsRange>
                <c15:f>'I-Project Contingency'!$E$23:$E$33</c15:f>
                <c15:dlblRangeCache>
                  <c:ptCount val="11"/>
                  <c:pt idx="0">
                    <c:v>-3%</c:v>
                  </c:pt>
                  <c:pt idx="1">
                    <c:v>3%</c:v>
                  </c:pt>
                  <c:pt idx="2">
                    <c:v>6%</c:v>
                  </c:pt>
                  <c:pt idx="3">
                    <c:v>10%</c:v>
                  </c:pt>
                  <c:pt idx="4">
                    <c:v>15%</c:v>
                  </c:pt>
                  <c:pt idx="5">
                    <c:v>19%</c:v>
                  </c:pt>
                  <c:pt idx="6">
                    <c:v>25%</c:v>
                  </c:pt>
                  <c:pt idx="7">
                    <c:v>31%</c:v>
                  </c:pt>
                  <c:pt idx="8">
                    <c:v>37%</c:v>
                  </c:pt>
                  <c:pt idx="9">
                    <c:v>47%</c:v>
                  </c:pt>
                  <c:pt idx="10">
                    <c:v>67%</c:v>
                  </c:pt>
                </c15:dlblRangeCache>
              </c15:datalabelsRange>
            </c:ext>
            <c:ext xmlns:c16="http://schemas.microsoft.com/office/drawing/2014/chart" uri="{C3380CC4-5D6E-409C-BE32-E72D297353CC}">
              <c16:uniqueId val="{0000000E-FFE7-4700-B4B4-BAEE7F570C69}"/>
            </c:ext>
          </c:extLst>
        </c:ser>
        <c:dLbls>
          <c:showLegendKey val="0"/>
          <c:showVal val="0"/>
          <c:showCatName val="0"/>
          <c:showSerName val="0"/>
          <c:showPercent val="0"/>
          <c:showBubbleSize val="0"/>
        </c:dLbls>
        <c:axId val="771897392"/>
        <c:axId val="771889944"/>
      </c:scatterChart>
      <c:valAx>
        <c:axId val="771897392"/>
        <c:scaling>
          <c:orientation val="minMax"/>
          <c:max val="1"/>
        </c:scaling>
        <c:delete val="0"/>
        <c:axPos val="t"/>
        <c:majorGridlines>
          <c:spPr>
            <a:ln w="3175">
              <a:solidFill>
                <a:srgbClr val="808080"/>
              </a:solidFill>
              <a:prstDash val="solid"/>
            </a:ln>
          </c:spPr>
        </c:majorGridlines>
        <c:title>
          <c:tx>
            <c:rich>
              <a:bodyPr/>
              <a:lstStyle/>
              <a:p>
                <a:pPr>
                  <a:defRPr sz="1100" b="1" i="0" u="none" strike="noStrike" baseline="0">
                    <a:solidFill>
                      <a:srgbClr val="000000"/>
                    </a:solidFill>
                    <a:latin typeface="+mn-lt"/>
                    <a:ea typeface="Arial"/>
                    <a:cs typeface="Arial"/>
                  </a:defRPr>
                </a:pPr>
                <a:r>
                  <a:rPr lang="en-US" sz="1100">
                    <a:latin typeface="+mn-lt"/>
                  </a:rPr>
                  <a:t>Confidence Levels</a:t>
                </a:r>
              </a:p>
            </c:rich>
          </c:tx>
          <c:layout>
            <c:manualLayout>
              <c:xMode val="edge"/>
              <c:yMode val="edge"/>
              <c:x val="0.42266557070423538"/>
              <c:y val="0.89126279077685744"/>
            </c:manualLayout>
          </c:layout>
          <c:overlay val="0"/>
          <c:spPr>
            <a:noFill/>
            <a:ln w="25400">
              <a:noFill/>
            </a:ln>
          </c:spPr>
        </c:title>
        <c:numFmt formatCode="0%" sourceLinked="1"/>
        <c:majorTickMark val="none"/>
        <c:minorTickMark val="none"/>
        <c:tickLblPos val="high"/>
        <c:spPr>
          <a:ln w="3175">
            <a:solidFill>
              <a:srgbClr val="000000"/>
            </a:solidFill>
            <a:prstDash val="solid"/>
          </a:ln>
        </c:spPr>
        <c:txPr>
          <a:bodyPr rot="-5400000" vert="horz"/>
          <a:lstStyle/>
          <a:p>
            <a:pPr>
              <a:defRPr sz="1000" b="1" i="0" u="none" strike="noStrike" baseline="0">
                <a:solidFill>
                  <a:srgbClr val="000000"/>
                </a:solidFill>
                <a:latin typeface="+mn-lt"/>
                <a:ea typeface="Arial"/>
                <a:cs typeface="Arial"/>
              </a:defRPr>
            </a:pPr>
            <a:endParaRPr lang="en-US"/>
          </a:p>
        </c:txPr>
        <c:crossAx val="771889944"/>
        <c:crosses val="max"/>
        <c:crossBetween val="midCat"/>
      </c:valAx>
      <c:valAx>
        <c:axId val="771889944"/>
        <c:scaling>
          <c:orientation val="minMax"/>
        </c:scaling>
        <c:delete val="0"/>
        <c:axPos val="l"/>
        <c:majorGridlines/>
        <c:title>
          <c:tx>
            <c:rich>
              <a:bodyPr/>
              <a:lstStyle/>
              <a:p>
                <a:pPr>
                  <a:defRPr sz="1100" b="1" i="0" u="none" strike="noStrike" baseline="0">
                    <a:solidFill>
                      <a:srgbClr val="000000"/>
                    </a:solidFill>
                    <a:latin typeface="+mn-lt"/>
                    <a:ea typeface="Arial"/>
                    <a:cs typeface="Arial"/>
                  </a:defRPr>
                </a:pPr>
                <a:r>
                  <a:rPr lang="en-US" sz="1100">
                    <a:latin typeface="+mn-lt"/>
                  </a:rPr>
                  <a:t>Cost</a:t>
                </a:r>
              </a:p>
            </c:rich>
          </c:tx>
          <c:layout>
            <c:manualLayout>
              <c:xMode val="edge"/>
              <c:yMode val="edge"/>
              <c:x val="2.8933005082079983E-2"/>
              <c:y val="0.49939008538804641"/>
            </c:manualLayout>
          </c:layout>
          <c:overlay val="0"/>
          <c:spPr>
            <a:noFill/>
            <a:ln w="25400">
              <a:noFill/>
            </a:ln>
          </c:spPr>
        </c:title>
        <c:numFmt formatCode="&quot;$&quot;#,##0.0,,\ &quot;M&quot;" sourceLinked="0"/>
        <c:majorTickMark val="out"/>
        <c:minorTickMark val="none"/>
        <c:tickLblPos val="nextTo"/>
        <c:spPr>
          <a:ln w="3175">
            <a:solidFill>
              <a:srgbClr val="000000"/>
            </a:solidFill>
            <a:prstDash val="solid"/>
          </a:ln>
        </c:spPr>
        <c:txPr>
          <a:bodyPr rot="0" vert="horz" anchor="ctr" anchorCtr="1"/>
          <a:lstStyle/>
          <a:p>
            <a:pPr>
              <a:defRPr sz="1000" b="1" i="0" u="none" strike="noStrike" baseline="0">
                <a:solidFill>
                  <a:srgbClr val="000000"/>
                </a:solidFill>
                <a:latin typeface="+mn-lt"/>
                <a:ea typeface="Arial"/>
                <a:cs typeface="Arial"/>
              </a:defRPr>
            </a:pPr>
            <a:endParaRPr lang="en-US"/>
          </a:p>
        </c:txPr>
        <c:crossAx val="771897392"/>
        <c:crosses val="autoZero"/>
        <c:crossBetween val="midCat"/>
      </c:valAx>
    </c:plotArea>
    <c:legend>
      <c:legendPos val="r"/>
      <c:layout>
        <c:manualLayout>
          <c:xMode val="edge"/>
          <c:yMode val="edge"/>
          <c:x val="0.67253102872197268"/>
          <c:y val="0.87741274635309263"/>
          <c:w val="0.16730289191938658"/>
          <c:h val="0.12158623893647182"/>
        </c:manualLayout>
      </c:layout>
      <c:overlay val="1"/>
      <c:txPr>
        <a:bodyPr/>
        <a:lstStyle/>
        <a:p>
          <a:pPr>
            <a:defRPr sz="1000" b="1">
              <a:latin typeface="+mn-lt"/>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57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verticalDpi="4"/>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solidFill>
                <a:latin typeface="+mn-lt"/>
                <a:ea typeface="+mn-ea"/>
                <a:cs typeface="+mn-cs"/>
              </a:defRPr>
            </a:pPr>
            <a:r>
              <a:rPr lang="en-US">
                <a:solidFill>
                  <a:schemeClr val="tx1"/>
                </a:solidFill>
              </a:rPr>
              <a:t>Top Schedule Risks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solidFill>
              <a:latin typeface="+mn-lt"/>
              <a:ea typeface="+mn-ea"/>
              <a:cs typeface="+mn-cs"/>
            </a:defRPr>
          </a:pPr>
          <a:endParaRPr lang="en-US"/>
        </a:p>
      </c:txPr>
    </c:title>
    <c:autoTitleDeleted val="0"/>
    <c:plotArea>
      <c:layout/>
      <c:barChart>
        <c:barDir val="bar"/>
        <c:grouping val="clustered"/>
        <c:varyColors val="0"/>
        <c:ser>
          <c:idx val="1"/>
          <c:order val="0"/>
          <c:tx>
            <c:strRef>
              <c:f>'J-Sensitivity Charts'!$X$38</c:f>
              <c:strCache>
                <c:ptCount val="1"/>
                <c:pt idx="0">
                  <c:v>ROM Schedule Risk @ 90%</c:v>
                </c:pt>
              </c:strCache>
            </c:strRef>
          </c:tx>
          <c:spPr>
            <a:solidFill>
              <a:schemeClr val="accent4"/>
            </a:solidFill>
            <a:ln>
              <a:noFill/>
            </a:ln>
            <a:effectLst>
              <a:outerShdw blurRad="57150" dist="19050" dir="5400000" algn="ctr" rotWithShape="0">
                <a:srgbClr val="000000">
                  <a:alpha val="63000"/>
                </a:srgbClr>
              </a:outerShdw>
            </a:effectLst>
          </c:spPr>
          <c:invertIfNegative val="0"/>
          <c:cat>
            <c:strRef>
              <c:f>'J-Sensitivity Charts'!$S$39:$S$49</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Charts'!$X$39:$X$49</c:f>
              <c:numCache>
                <c:formatCode>0.00\ "MO"</c:formatCode>
                <c:ptCount val="11"/>
                <c:pt idx="0">
                  <c:v>7.6729927007299272</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438B-45B7-AF9C-2A449D41E316}"/>
            </c:ext>
          </c:extLst>
        </c:ser>
        <c:ser>
          <c:idx val="0"/>
          <c:order val="1"/>
          <c:tx>
            <c:strRef>
              <c:f>'J-Sensitivity Charts'!$W$38</c:f>
              <c:strCache>
                <c:ptCount val="1"/>
                <c:pt idx="0">
                  <c:v>ROM Schedule Risk @ 85%</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strRef>
              <c:f>'J-Sensitivity Charts'!$S$39:$S$49</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Charts'!$W$39:$W$49</c:f>
              <c:numCache>
                <c:formatCode>0.00\ "MO"</c:formatCode>
                <c:ptCount val="11"/>
                <c:pt idx="0">
                  <c:v>6.9536496350364976</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438B-45B7-AF9C-2A449D41E316}"/>
            </c:ext>
          </c:extLst>
        </c:ser>
        <c:ser>
          <c:idx val="2"/>
          <c:order val="2"/>
          <c:tx>
            <c:strRef>
              <c:f>'J-Sensitivity Charts'!$V$38</c:f>
              <c:strCache>
                <c:ptCount val="1"/>
                <c:pt idx="0">
                  <c:v>ROM Schedule Risk @ 50%</c:v>
                </c:pt>
              </c:strCache>
            </c:strRef>
          </c:tx>
          <c:spPr>
            <a:solidFill>
              <a:srgbClr val="FF0000"/>
            </a:solidFill>
            <a:ln>
              <a:noFill/>
            </a:ln>
            <a:effectLst>
              <a:outerShdw blurRad="57150" dist="19050" dir="5400000" algn="ctr" rotWithShape="0">
                <a:srgbClr val="000000">
                  <a:alpha val="63000"/>
                </a:srgbClr>
              </a:outerShdw>
            </a:effectLst>
          </c:spPr>
          <c:invertIfNegative val="0"/>
          <c:cat>
            <c:strRef>
              <c:f>'J-Sensitivity Charts'!$S$39:$S$49</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Charts'!$V$39:$V$49</c:f>
              <c:numCache>
                <c:formatCode>0.00\ "MO"</c:formatCode>
                <c:ptCount val="11"/>
                <c:pt idx="0">
                  <c:v>3.1171532846715331</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438B-45B7-AF9C-2A449D41E316}"/>
            </c:ext>
          </c:extLst>
        </c:ser>
        <c:dLbls>
          <c:showLegendKey val="0"/>
          <c:showVal val="0"/>
          <c:showCatName val="0"/>
          <c:showSerName val="0"/>
          <c:showPercent val="0"/>
          <c:showBubbleSize val="0"/>
        </c:dLbls>
        <c:gapWidth val="115"/>
        <c:overlap val="-20"/>
        <c:axId val="1301294288"/>
        <c:axId val="1301296256"/>
      </c:barChart>
      <c:catAx>
        <c:axId val="1301294288"/>
        <c:scaling>
          <c:orientation val="maxMin"/>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301296256"/>
        <c:crosses val="autoZero"/>
        <c:auto val="1"/>
        <c:lblAlgn val="ctr"/>
        <c:lblOffset val="100"/>
        <c:noMultiLvlLbl val="0"/>
      </c:catAx>
      <c:valAx>
        <c:axId val="1301296256"/>
        <c:scaling>
          <c:orientation val="minMax"/>
        </c:scaling>
        <c:delete val="0"/>
        <c:axPos val="t"/>
        <c:majorGridlines>
          <c:spPr>
            <a:ln w="9525" cap="flat" cmpd="sng" algn="ctr">
              <a:solidFill>
                <a:schemeClr val="tx1">
                  <a:alpha val="25000"/>
                </a:schemeClr>
              </a:solidFill>
              <a:round/>
            </a:ln>
            <a:effectLst/>
          </c:spPr>
        </c:majorGridlines>
        <c:numFmt formatCode="0\ &quot;MO&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301294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tx1"/>
                </a:solidFill>
                <a:effectLst>
                  <a:outerShdw blurRad="50800" dist="38100" dir="5400000" algn="t" rotWithShape="0">
                    <a:prstClr val="black">
                      <a:alpha val="40000"/>
                    </a:prstClr>
                  </a:outerShdw>
                </a:effectLst>
                <a:latin typeface="+mn-lt"/>
                <a:ea typeface="+mn-ea"/>
                <a:cs typeface="+mn-cs"/>
              </a:defRPr>
            </a:pPr>
            <a:r>
              <a:rPr lang="en-US">
                <a:solidFill>
                  <a:schemeClr val="tx1"/>
                </a:solidFill>
              </a:rPr>
              <a:t>Schedule Contingency </a:t>
            </a:r>
          </a:p>
        </c:rich>
      </c:tx>
      <c:layout>
        <c:manualLayout>
          <c:xMode val="edge"/>
          <c:yMode val="edge"/>
          <c:x val="0.41084543126834738"/>
          <c:y val="2.9906534176537467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tx1"/>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0.177523304271514"/>
          <c:y val="0.18708603093456724"/>
          <c:w val="0.80910541871073494"/>
          <c:h val="0.67569091132751113"/>
        </c:manualLayout>
      </c:layout>
      <c:barChart>
        <c:barDir val="col"/>
        <c:grouping val="stacked"/>
        <c:varyColors val="0"/>
        <c:ser>
          <c:idx val="1"/>
          <c:order val="0"/>
          <c:tx>
            <c:strRef>
              <c:f>'I-Project Contingency'!$C$41:$D$41</c:f>
              <c:strCache>
                <c:ptCount val="1"/>
                <c:pt idx="0">
                  <c:v>Base Schedule Duration</c:v>
                </c:pt>
              </c:strCache>
            </c:strRef>
          </c:tx>
          <c:spPr>
            <a:solidFill>
              <a:schemeClr val="accent1">
                <a:alpha val="75000"/>
              </a:schemeClr>
            </a:solidFill>
            <a:ln>
              <a:solidFill>
                <a:schemeClr val="tx1"/>
              </a:solidFill>
            </a:ln>
            <a:effectLst>
              <a:glow rad="63500">
                <a:schemeClr val="accent3">
                  <a:alpha val="25000"/>
                </a:schemeClr>
              </a:glow>
            </a:effectLst>
          </c:spPr>
          <c:invertIfNegative val="0"/>
          <c:cat>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'I-Project Contingency'!$G$44:$G$54</c:f>
              <c:numCache>
                <c:formatCode>#,##0.0\ "MO"</c:formatCode>
                <c:ptCount val="11"/>
                <c:pt idx="0">
                  <c:v>23.978102189781023</c:v>
                </c:pt>
                <c:pt idx="1">
                  <c:v>23.978102189781023</c:v>
                </c:pt>
                <c:pt idx="2">
                  <c:v>23.978102189781023</c:v>
                </c:pt>
                <c:pt idx="3">
                  <c:v>23.978102189781023</c:v>
                </c:pt>
                <c:pt idx="4">
                  <c:v>23.978102189781023</c:v>
                </c:pt>
                <c:pt idx="5">
                  <c:v>23.978102189781023</c:v>
                </c:pt>
                <c:pt idx="6">
                  <c:v>23.978102189781023</c:v>
                </c:pt>
                <c:pt idx="7">
                  <c:v>23.978102189781023</c:v>
                </c:pt>
                <c:pt idx="8">
                  <c:v>23.978102189781023</c:v>
                </c:pt>
                <c:pt idx="9">
                  <c:v>23.978102189781023</c:v>
                </c:pt>
                <c:pt idx="10">
                  <c:v>23.978102189781023</c:v>
                </c:pt>
              </c:numCache>
            </c:numRef>
          </c:val>
          <c:extLst>
            <c:ext xmlns:c16="http://schemas.microsoft.com/office/drawing/2014/chart" uri="{C3380CC4-5D6E-409C-BE32-E72D297353CC}">
              <c16:uniqueId val="{00000000-B276-40E4-99F2-EDED0CF8A98A}"/>
            </c:ext>
          </c:extLst>
        </c:ser>
        <c:ser>
          <c:idx val="0"/>
          <c:order val="1"/>
          <c:tx>
            <c:v>Contingency</c:v>
          </c:tx>
          <c:spPr>
            <a:solidFill>
              <a:srgbClr val="FF0000">
                <a:alpha val="75000"/>
              </a:srgbClr>
            </a:solidFill>
            <a:ln>
              <a:solidFill>
                <a:schemeClr val="tx1"/>
              </a:solidFill>
            </a:ln>
            <a:effectLst>
              <a:glow rad="63500">
                <a:schemeClr val="accent3">
                  <a:alpha val="25000"/>
                </a:schemeClr>
              </a:glow>
            </a:effectLst>
          </c:spPr>
          <c:invertIfNegative val="0"/>
          <c:dPt>
            <c:idx val="16"/>
            <c:invertIfNegative val="0"/>
            <c:bubble3D val="0"/>
            <c:extLst>
              <c:ext xmlns:c16="http://schemas.microsoft.com/office/drawing/2014/chart" uri="{C3380CC4-5D6E-409C-BE32-E72D297353CC}">
                <c16:uniqueId val="{00000001-B276-40E4-99F2-EDED0CF8A98A}"/>
              </c:ext>
            </c:extLst>
          </c:dPt>
          <c:dLbls>
            <c:numFmt formatCode="0.0\ &quot;MO&quot;" sourceLinked="0"/>
            <c:spPr>
              <a:solidFill>
                <a:sysClr val="window" lastClr="FFFFFF"/>
              </a:solidFill>
              <a:ln>
                <a:solidFill>
                  <a:sysClr val="windowText" lastClr="000000"/>
                </a:solid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'I-Project Contingency'!$D$44:$D$54</c:f>
              <c:numCache>
                <c:formatCode>0.0\ "Months"</c:formatCode>
                <c:ptCount val="11"/>
                <c:pt idx="0">
                  <c:v>-1.1989051094890513</c:v>
                </c:pt>
                <c:pt idx="1">
                  <c:v>0.23978102189781023</c:v>
                </c:pt>
                <c:pt idx="2">
                  <c:v>0.9591240875912409</c:v>
                </c:pt>
                <c:pt idx="3">
                  <c:v>1.6784671532846713</c:v>
                </c:pt>
                <c:pt idx="4">
                  <c:v>2.3978102189781021</c:v>
                </c:pt>
                <c:pt idx="5">
                  <c:v>3.1171532846715331</c:v>
                </c:pt>
                <c:pt idx="6">
                  <c:v>4.0762773722627745</c:v>
                </c:pt>
                <c:pt idx="7">
                  <c:v>5.0354014598540155</c:v>
                </c:pt>
                <c:pt idx="8">
                  <c:v>6.2343065693430662</c:v>
                </c:pt>
                <c:pt idx="9">
                  <c:v>7.6729927007299272</c:v>
                </c:pt>
                <c:pt idx="10">
                  <c:v>11.269708029197082</c:v>
                </c:pt>
              </c:numCache>
            </c:numRef>
          </c:val>
          <c:extLst>
            <c:ext xmlns:c16="http://schemas.microsoft.com/office/drawing/2014/chart" uri="{C3380CC4-5D6E-409C-BE32-E72D297353CC}">
              <c16:uniqueId val="{00000002-B276-40E4-99F2-EDED0CF8A98A}"/>
            </c:ext>
          </c:extLst>
        </c:ser>
        <c:dLbls>
          <c:showLegendKey val="0"/>
          <c:showVal val="0"/>
          <c:showCatName val="0"/>
          <c:showSerName val="0"/>
          <c:showPercent val="0"/>
          <c:showBubbleSize val="0"/>
        </c:dLbls>
        <c:gapWidth val="150"/>
        <c:overlap val="100"/>
        <c:axId val="771890336"/>
        <c:axId val="771891120"/>
      </c:barChart>
      <c:catAx>
        <c:axId val="771890336"/>
        <c:scaling>
          <c:orientation val="minMax"/>
        </c:scaling>
        <c:delete val="0"/>
        <c:axPos val="t"/>
        <c:title>
          <c:tx>
            <c:rich>
              <a:bodyPr rot="0" spcFirstLastPara="1" vertOverflow="ellipsis" vert="horz" wrap="square" anchor="ctr" anchorCtr="1"/>
              <a:lstStyle/>
              <a:p>
                <a:pPr>
                  <a:defRPr sz="1100" b="1" i="0" u="none" strike="noStrike" kern="1200" cap="all" baseline="0">
                    <a:solidFill>
                      <a:schemeClr val="tx1"/>
                    </a:solidFill>
                    <a:latin typeface="+mn-lt"/>
                    <a:ea typeface="+mn-ea"/>
                    <a:cs typeface="+mn-cs"/>
                  </a:defRPr>
                </a:pPr>
                <a:r>
                  <a:rPr lang="en-US" sz="1100">
                    <a:solidFill>
                      <a:schemeClr val="tx1"/>
                    </a:solidFill>
                  </a:rPr>
                  <a:t>Confidence Levels</a:t>
                </a:r>
              </a:p>
            </c:rich>
          </c:tx>
          <c:layout>
            <c:manualLayout>
              <c:xMode val="edge"/>
              <c:yMode val="edge"/>
              <c:x val="0.50161290693926419"/>
              <c:y val="0.88292935258092731"/>
            </c:manualLayout>
          </c:layout>
          <c:overlay val="0"/>
          <c:spPr>
            <a:noFill/>
            <a:ln>
              <a:noFill/>
            </a:ln>
            <a:effectLst/>
          </c:spPr>
          <c:txPr>
            <a:bodyPr rot="0" spcFirstLastPara="1" vertOverflow="ellipsis" vert="horz" wrap="square" anchor="ctr" anchorCtr="1"/>
            <a:lstStyle/>
            <a:p>
              <a:pPr>
                <a:defRPr sz="1100" b="1" i="0" u="none" strike="noStrike" kern="1200" cap="all" baseline="0">
                  <a:solidFill>
                    <a:schemeClr val="tx1"/>
                  </a:solidFill>
                  <a:latin typeface="+mn-lt"/>
                  <a:ea typeface="+mn-ea"/>
                  <a:cs typeface="+mn-cs"/>
                </a:defRPr>
              </a:pPr>
              <a:endParaRPr lang="en-US"/>
            </a:p>
          </c:txPr>
        </c:title>
        <c:numFmt formatCode="0%" sourceLinked="1"/>
        <c:majorTickMark val="none"/>
        <c:minorTickMark val="none"/>
        <c:tickLblPos val="nextTo"/>
        <c:spPr>
          <a:noFill/>
          <a:ln w="12700" cap="flat" cmpd="sng" algn="ctr">
            <a:solidFill>
              <a:schemeClr val="lt1">
                <a:lumMod val="95000"/>
                <a:alpha val="54000"/>
              </a:schemeClr>
            </a:solidFill>
            <a:round/>
          </a:ln>
          <a:effectLst/>
        </c:spPr>
        <c:txPr>
          <a:bodyPr rot="-5400000" spcFirstLastPara="1" vertOverflow="ellipsis" wrap="square" anchor="ctr" anchorCtr="1"/>
          <a:lstStyle/>
          <a:p>
            <a:pPr>
              <a:defRPr sz="1000" b="1" i="0" u="none" strike="noStrike" kern="1200" baseline="0">
                <a:solidFill>
                  <a:schemeClr val="tx1"/>
                </a:solidFill>
                <a:latin typeface="+mn-lt"/>
                <a:ea typeface="+mn-ea"/>
                <a:cs typeface="+mn-cs"/>
              </a:defRPr>
            </a:pPr>
            <a:endParaRPr lang="en-US"/>
          </a:p>
        </c:txPr>
        <c:crossAx val="771891120"/>
        <c:crosses val="max"/>
        <c:auto val="1"/>
        <c:lblAlgn val="ctr"/>
        <c:lblOffset val="100"/>
        <c:tickLblSkip val="1"/>
        <c:tickMarkSkip val="1"/>
        <c:noMultiLvlLbl val="0"/>
      </c:catAx>
      <c:valAx>
        <c:axId val="771891120"/>
        <c:scaling>
          <c:orientation val="minMax"/>
        </c:scaling>
        <c:delete val="0"/>
        <c:axPos val="l"/>
        <c:majorGridlines>
          <c:spPr>
            <a:ln w="9525" cap="flat" cmpd="sng" algn="ctr">
              <a:solidFill>
                <a:schemeClr val="tx1">
                  <a:alpha val="25000"/>
                </a:schemeClr>
              </a:solidFill>
              <a:round/>
            </a:ln>
            <a:effectLst/>
          </c:spPr>
        </c:majorGridlines>
        <c:title>
          <c:tx>
            <c:rich>
              <a:bodyPr rot="-5400000" spcFirstLastPara="1" vertOverflow="ellipsis" vert="horz" wrap="square" anchor="ctr" anchorCtr="1"/>
              <a:lstStyle/>
              <a:p>
                <a:pPr>
                  <a:defRPr sz="1100" b="1" i="0" u="none" strike="noStrike" kern="1200" cap="all" baseline="0">
                    <a:solidFill>
                      <a:schemeClr val="tx1"/>
                    </a:solidFill>
                    <a:latin typeface="+mn-lt"/>
                    <a:ea typeface="+mn-ea"/>
                    <a:cs typeface="+mn-cs"/>
                  </a:defRPr>
                </a:pPr>
                <a:r>
                  <a:rPr lang="en-US" sz="1100">
                    <a:solidFill>
                      <a:schemeClr val="tx1"/>
                    </a:solidFill>
                  </a:rPr>
                  <a:t>SCHEDULE</a:t>
                </a:r>
              </a:p>
            </c:rich>
          </c:tx>
          <c:layout>
            <c:manualLayout>
              <c:xMode val="edge"/>
              <c:yMode val="edge"/>
              <c:x val="2.8933005082079983E-2"/>
              <c:y val="0.49939008538804641"/>
            </c:manualLayout>
          </c:layout>
          <c:overlay val="0"/>
          <c:spPr>
            <a:noFill/>
            <a:ln>
              <a:noFill/>
            </a:ln>
            <a:effectLst/>
          </c:spPr>
          <c:txPr>
            <a:bodyPr rot="-5400000" spcFirstLastPara="1" vertOverflow="ellipsis" vert="horz" wrap="square" anchor="ctr" anchorCtr="1"/>
            <a:lstStyle/>
            <a:p>
              <a:pPr>
                <a:defRPr sz="1100" b="1" i="0" u="none" strike="noStrike" kern="1200" cap="all" baseline="0">
                  <a:solidFill>
                    <a:schemeClr val="tx1"/>
                  </a:solidFill>
                  <a:latin typeface="+mn-lt"/>
                  <a:ea typeface="+mn-ea"/>
                  <a:cs typeface="+mn-cs"/>
                </a:defRPr>
              </a:pPr>
              <a:endParaRPr lang="en-US"/>
            </a:p>
          </c:txPr>
        </c:title>
        <c:numFmt formatCode="#,##0\ &quot;MO&quot;" sourceLinked="0"/>
        <c:majorTickMark val="none"/>
        <c:minorTickMark val="none"/>
        <c:tickLblPos val="nextTo"/>
        <c:spPr>
          <a:noFill/>
          <a:ln>
            <a:noFill/>
          </a:ln>
          <a:effectLst/>
        </c:spPr>
        <c:txPr>
          <a:bodyPr rot="0" spcFirstLastPara="1" vertOverflow="ellipsis" wrap="square" anchor="ctr" anchorCtr="1"/>
          <a:lstStyle/>
          <a:p>
            <a:pPr>
              <a:defRPr sz="1000" b="1" i="0" u="none" strike="noStrike" kern="1200" baseline="0">
                <a:solidFill>
                  <a:schemeClr val="tx1"/>
                </a:solidFill>
                <a:latin typeface="+mn-lt"/>
                <a:ea typeface="+mn-ea"/>
                <a:cs typeface="+mn-cs"/>
              </a:defRPr>
            </a:pPr>
            <a:endParaRPr lang="en-US"/>
          </a:p>
        </c:txPr>
        <c:crossAx val="771890336"/>
        <c:crosses val="autoZero"/>
        <c:crossBetween val="between"/>
      </c:valAx>
      <c:spPr>
        <a:noFill/>
        <a:ln>
          <a:noFill/>
        </a:ln>
        <a:effectLst/>
      </c:spPr>
    </c:plotArea>
    <c:legend>
      <c:legendPos val="b"/>
      <c:layout>
        <c:manualLayout>
          <c:xMode val="edge"/>
          <c:yMode val="edge"/>
          <c:x val="0.37451191038233683"/>
          <c:y val="0.94013642899404382"/>
          <c:w val="0.40594695399917119"/>
          <c:h val="5.9863571005956184E-2"/>
        </c:manualLayout>
      </c:layout>
      <c:overlay val="0"/>
      <c:spPr>
        <a:noFill/>
        <a:ln>
          <a:noFill/>
        </a:ln>
        <a:effectLst/>
      </c:spPr>
      <c:txPr>
        <a:bodyPr rot="0" spcFirstLastPara="1" vertOverflow="ellipsis" vert="horz" wrap="square" anchor="ctr" anchorCtr="1"/>
        <a:lstStyle/>
        <a:p>
          <a:pPr>
            <a:defRPr sz="11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a:noFill/>
    </a:ln>
    <a:effectLst>
      <a:outerShdw blurRad="50800" dist="38100" algn="l" rotWithShape="0">
        <a:prstClr val="black">
          <a:alpha val="40000"/>
        </a:prstClr>
      </a:outerShdw>
    </a:effectLst>
  </c:spPr>
  <c:txPr>
    <a:bodyPr/>
    <a:lstStyle/>
    <a:p>
      <a:pPr>
        <a:defRPr/>
      </a:pPr>
      <a:endParaRPr lang="en-US"/>
    </a:p>
  </c:txPr>
  <c:printSettings>
    <c:headerFooter alignWithMargins="0"/>
    <c:pageMargins b="1" l="0.75000000000001465" r="0.75000000000001465" t="1" header="0.5" footer="0.5"/>
    <c:pageSetup orientation="landscape" verticalDpi="4"/>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mn-lt"/>
                <a:ea typeface="Arial"/>
                <a:cs typeface="Arial"/>
              </a:defRPr>
            </a:pPr>
            <a:r>
              <a:rPr lang="en-US" sz="1400">
                <a:latin typeface="+mn-lt"/>
              </a:rPr>
              <a:t>Schedule Contingency</a:t>
            </a:r>
            <a:endParaRPr lang="en-US" sz="1400" baseline="0">
              <a:latin typeface="+mn-lt"/>
            </a:endParaRPr>
          </a:p>
        </c:rich>
      </c:tx>
      <c:layout>
        <c:manualLayout>
          <c:xMode val="edge"/>
          <c:yMode val="edge"/>
          <c:x val="0.37625468691413572"/>
          <c:y val="2.4803149606299209E-2"/>
        </c:manualLayout>
      </c:layout>
      <c:overlay val="0"/>
      <c:spPr>
        <a:noFill/>
        <a:ln w="25400">
          <a:noFill/>
        </a:ln>
      </c:spPr>
    </c:title>
    <c:autoTitleDeleted val="0"/>
    <c:plotArea>
      <c:layout>
        <c:manualLayout>
          <c:layoutTarget val="inner"/>
          <c:xMode val="edge"/>
          <c:yMode val="edge"/>
          <c:x val="0.18376446029603671"/>
          <c:y val="0.23468597675290589"/>
          <c:w val="0.79789724849881216"/>
          <c:h val="0.63204005749281345"/>
        </c:manualLayout>
      </c:layout>
      <c:scatterChart>
        <c:scatterStyle val="lineMarker"/>
        <c:varyColors val="0"/>
        <c:ser>
          <c:idx val="1"/>
          <c:order val="0"/>
          <c:tx>
            <c:strRef>
              <c:f>'I-Project Contingency'!$C$41</c:f>
              <c:strCache>
                <c:ptCount val="1"/>
                <c:pt idx="0">
                  <c:v>Base Schedule Duration</c:v>
                </c:pt>
              </c:strCache>
            </c:strRef>
          </c:tx>
          <c:spPr>
            <a:ln w="38100">
              <a:solidFill>
                <a:schemeClr val="tx1"/>
              </a:solidFill>
              <a:prstDash val="solid"/>
            </a:ln>
            <a:effectLst>
              <a:outerShdw blurRad="50800" dist="38100" dir="2700000" algn="tl" rotWithShape="0">
                <a:prstClr val="black">
                  <a:alpha val="40000"/>
                </a:prstClr>
              </a:outerShdw>
            </a:effectLst>
          </c:spPr>
          <c:marker>
            <c:symbol val="none"/>
          </c:marker>
          <c:dPt>
            <c:idx val="16"/>
            <c:bubble3D val="0"/>
            <c:extLst>
              <c:ext xmlns:c16="http://schemas.microsoft.com/office/drawing/2014/chart" uri="{C3380CC4-5D6E-409C-BE32-E72D297353CC}">
                <c16:uniqueId val="{00000001-338C-48BE-A7D0-C3E70C65AC57}"/>
              </c:ext>
            </c:extLst>
          </c:dPt>
          <c:xVal>
            <c:numRef>
              <c:f>'I-Project Contingency'!$C$44:$C$54</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'I-Project Contingency'!$G$44:$G$54</c:f>
              <c:numCache>
                <c:formatCode>#,##0.0\ "MO"</c:formatCode>
                <c:ptCount val="11"/>
                <c:pt idx="0">
                  <c:v>23.978102189781023</c:v>
                </c:pt>
                <c:pt idx="1">
                  <c:v>23.978102189781023</c:v>
                </c:pt>
                <c:pt idx="2">
                  <c:v>23.978102189781023</c:v>
                </c:pt>
                <c:pt idx="3">
                  <c:v>23.978102189781023</c:v>
                </c:pt>
                <c:pt idx="4">
                  <c:v>23.978102189781023</c:v>
                </c:pt>
                <c:pt idx="5">
                  <c:v>23.978102189781023</c:v>
                </c:pt>
                <c:pt idx="6">
                  <c:v>23.978102189781023</c:v>
                </c:pt>
                <c:pt idx="7">
                  <c:v>23.978102189781023</c:v>
                </c:pt>
                <c:pt idx="8">
                  <c:v>23.978102189781023</c:v>
                </c:pt>
                <c:pt idx="9">
                  <c:v>23.978102189781023</c:v>
                </c:pt>
                <c:pt idx="10">
                  <c:v>23.978102189781023</c:v>
                </c:pt>
              </c:numCache>
            </c:numRef>
          </c:yVal>
          <c:smooth val="0"/>
          <c:extLst>
            <c:ext xmlns:c16="http://schemas.microsoft.com/office/drawing/2014/chart" uri="{C3380CC4-5D6E-409C-BE32-E72D297353CC}">
              <c16:uniqueId val="{00000002-338C-48BE-A7D0-C3E70C65AC57}"/>
            </c:ext>
          </c:extLst>
        </c:ser>
        <c:ser>
          <c:idx val="0"/>
          <c:order val="1"/>
          <c:tx>
            <c:v>Contingency</c:v>
          </c:tx>
          <c:spPr>
            <a:ln w="28575"/>
            <a:effectLst>
              <a:outerShdw blurRad="50800" dist="38100" dir="2700000" algn="tl" rotWithShape="0">
                <a:prstClr val="black">
                  <a:alpha val="40000"/>
                </a:prstClr>
              </a:outerShdw>
            </a:effectLst>
          </c:spPr>
          <c:marker>
            <c:symbol val="none"/>
          </c:marker>
          <c:dPt>
            <c:idx val="8"/>
            <c:bubble3D val="0"/>
            <c:extLst>
              <c:ext xmlns:c16="http://schemas.microsoft.com/office/drawing/2014/chart" uri="{C3380CC4-5D6E-409C-BE32-E72D297353CC}">
                <c16:uniqueId val="{00000004-338C-48BE-A7D0-C3E70C65AC57}"/>
              </c:ext>
            </c:extLst>
          </c:dPt>
          <c:dPt>
            <c:idx val="16"/>
            <c:bubble3D val="0"/>
            <c:extLst>
              <c:ext xmlns:c16="http://schemas.microsoft.com/office/drawing/2014/chart" uri="{C3380CC4-5D6E-409C-BE32-E72D297353CC}">
                <c16:uniqueId val="{00000005-338C-48BE-A7D0-C3E70C65AC57}"/>
              </c:ext>
            </c:extLst>
          </c:dPt>
          <c:dLbls>
            <c:dLbl>
              <c:idx val="0"/>
              <c:tx>
                <c:rich>
                  <a:bodyPr/>
                  <a:lstStyle/>
                  <a:p>
                    <a:fld id="{270E2A17-C69A-4A74-9D24-7E2788F0FFBD}"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338C-48BE-A7D0-C3E70C65AC57}"/>
                </c:ext>
              </c:extLst>
            </c:dLbl>
            <c:dLbl>
              <c:idx val="1"/>
              <c:tx>
                <c:rich>
                  <a:bodyPr/>
                  <a:lstStyle/>
                  <a:p>
                    <a:fld id="{92C0EB5D-5BC5-4C7E-83FE-A302F8CD4F57}"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338C-48BE-A7D0-C3E70C65AC57}"/>
                </c:ext>
              </c:extLst>
            </c:dLbl>
            <c:dLbl>
              <c:idx val="2"/>
              <c:tx>
                <c:rich>
                  <a:bodyPr/>
                  <a:lstStyle/>
                  <a:p>
                    <a:fld id="{DBD785C5-B92C-4863-AF2C-F165A51D49C9}"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338C-48BE-A7D0-C3E70C65AC57}"/>
                </c:ext>
              </c:extLst>
            </c:dLbl>
            <c:dLbl>
              <c:idx val="3"/>
              <c:tx>
                <c:rich>
                  <a:bodyPr/>
                  <a:lstStyle/>
                  <a:p>
                    <a:fld id="{5B1FD4B2-4E82-42B2-9A9B-6F71F9CF09B6}"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338C-48BE-A7D0-C3E70C65AC57}"/>
                </c:ext>
              </c:extLst>
            </c:dLbl>
            <c:dLbl>
              <c:idx val="4"/>
              <c:tx>
                <c:rich>
                  <a:bodyPr/>
                  <a:lstStyle/>
                  <a:p>
                    <a:fld id="{7D91FE50-B54F-48B2-8482-457080115B33}"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338C-48BE-A7D0-C3E70C65AC57}"/>
                </c:ext>
              </c:extLst>
            </c:dLbl>
            <c:dLbl>
              <c:idx val="5"/>
              <c:tx>
                <c:rich>
                  <a:bodyPr/>
                  <a:lstStyle/>
                  <a:p>
                    <a:fld id="{C109D422-74E9-49FE-92D8-160A40822453}"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338C-48BE-A7D0-C3E70C65AC57}"/>
                </c:ext>
              </c:extLst>
            </c:dLbl>
            <c:dLbl>
              <c:idx val="6"/>
              <c:tx>
                <c:rich>
                  <a:bodyPr/>
                  <a:lstStyle/>
                  <a:p>
                    <a:fld id="{FCF89C6B-7755-4A21-B3D9-CF7D8C8DF0FF}"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338C-48BE-A7D0-C3E70C65AC57}"/>
                </c:ext>
              </c:extLst>
            </c:dLbl>
            <c:dLbl>
              <c:idx val="7"/>
              <c:tx>
                <c:rich>
                  <a:bodyPr/>
                  <a:lstStyle/>
                  <a:p>
                    <a:fld id="{73D98DC5-EA17-4DBD-8DEC-06FA40CC7D82}"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338C-48BE-A7D0-C3E70C65AC57}"/>
                </c:ext>
              </c:extLst>
            </c:dLbl>
            <c:dLbl>
              <c:idx val="8"/>
              <c:tx>
                <c:rich>
                  <a:bodyPr/>
                  <a:lstStyle/>
                  <a:p>
                    <a:fld id="{AE0C8D89-0AF9-400A-8B94-BBE992EF8F24}"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338C-48BE-A7D0-C3E70C65AC57}"/>
                </c:ext>
              </c:extLst>
            </c:dLbl>
            <c:dLbl>
              <c:idx val="9"/>
              <c:tx>
                <c:rich>
                  <a:bodyPr/>
                  <a:lstStyle/>
                  <a:p>
                    <a:fld id="{4E14F4C5-675B-4F27-B0E0-0FB8686DA1CC}"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338C-48BE-A7D0-C3E70C65AC57}"/>
                </c:ext>
              </c:extLst>
            </c:dLbl>
            <c:dLbl>
              <c:idx val="10"/>
              <c:tx>
                <c:rich>
                  <a:bodyPr/>
                  <a:lstStyle/>
                  <a:p>
                    <a:fld id="{CBA05409-3665-4184-BC13-E66D0096FA23}"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338C-48BE-A7D0-C3E70C65AC57}"/>
                </c:ext>
              </c:extLst>
            </c:dLbl>
            <c:spPr>
              <a:solidFill>
                <a:schemeClr val="bg1"/>
              </a:solidFill>
              <a:ln>
                <a:solidFill>
                  <a:schemeClr val="tx1"/>
                </a:solidFill>
              </a:ln>
              <a:effectLst/>
            </c:spPr>
            <c:txPr>
              <a:bodyPr wrap="square" lIns="38100" tIns="19050" rIns="38100" bIns="19050" anchor="ctr">
                <a:spAutoFit/>
              </a:bodyPr>
              <a:lstStyle/>
              <a:p>
                <a:pPr>
                  <a:defRPr sz="900" b="1">
                    <a:latin typeface="+mn-lt"/>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'I-Project Contingency'!$C$44:$C$54</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'I-Project Contingency'!$F$44:$F$54</c:f>
              <c:numCache>
                <c:formatCode>0.0\ "Months"</c:formatCode>
                <c:ptCount val="11"/>
                <c:pt idx="0">
                  <c:v>22.779197080291972</c:v>
                </c:pt>
                <c:pt idx="1">
                  <c:v>24.217883211678831</c:v>
                </c:pt>
                <c:pt idx="2">
                  <c:v>24.937226277372265</c:v>
                </c:pt>
                <c:pt idx="3">
                  <c:v>25.656569343065694</c:v>
                </c:pt>
                <c:pt idx="4">
                  <c:v>26.375912408759124</c:v>
                </c:pt>
                <c:pt idx="5">
                  <c:v>27.095255474452557</c:v>
                </c:pt>
                <c:pt idx="6">
                  <c:v>28.054379562043799</c:v>
                </c:pt>
                <c:pt idx="7">
                  <c:v>29.013503649635037</c:v>
                </c:pt>
                <c:pt idx="8">
                  <c:v>30.212408759124088</c:v>
                </c:pt>
                <c:pt idx="9">
                  <c:v>31.651094890510951</c:v>
                </c:pt>
                <c:pt idx="10">
                  <c:v>35.247810218978103</c:v>
                </c:pt>
              </c:numCache>
            </c:numRef>
          </c:yVal>
          <c:smooth val="0"/>
          <c:extLst>
            <c:ext xmlns:c15="http://schemas.microsoft.com/office/drawing/2012/chart" uri="{02D57815-91ED-43cb-92C2-25804820EDAC}">
              <c15:datalabelsRange>
                <c15:f>'I-Project Contingency'!$E$44:$E$54</c15:f>
                <c15:dlblRangeCache>
                  <c:ptCount val="11"/>
                  <c:pt idx="0">
                    <c:v>-5%</c:v>
                  </c:pt>
                  <c:pt idx="1">
                    <c:v>1%</c:v>
                  </c:pt>
                  <c:pt idx="2">
                    <c:v>4%</c:v>
                  </c:pt>
                  <c:pt idx="3">
                    <c:v>7%</c:v>
                  </c:pt>
                  <c:pt idx="4">
                    <c:v>10%</c:v>
                  </c:pt>
                  <c:pt idx="5">
                    <c:v>13%</c:v>
                  </c:pt>
                  <c:pt idx="6">
                    <c:v>17%</c:v>
                  </c:pt>
                  <c:pt idx="7">
                    <c:v>21%</c:v>
                  </c:pt>
                  <c:pt idx="8">
                    <c:v>26%</c:v>
                  </c:pt>
                  <c:pt idx="9">
                    <c:v>32%</c:v>
                  </c:pt>
                  <c:pt idx="10">
                    <c:v>47%</c:v>
                  </c:pt>
                </c15:dlblRangeCache>
              </c15:datalabelsRange>
            </c:ext>
            <c:ext xmlns:c16="http://schemas.microsoft.com/office/drawing/2014/chart" uri="{C3380CC4-5D6E-409C-BE32-E72D297353CC}">
              <c16:uniqueId val="{00000010-338C-48BE-A7D0-C3E70C65AC57}"/>
            </c:ext>
          </c:extLst>
        </c:ser>
        <c:dLbls>
          <c:showLegendKey val="0"/>
          <c:showVal val="0"/>
          <c:showCatName val="0"/>
          <c:showSerName val="0"/>
          <c:showPercent val="0"/>
          <c:showBubbleSize val="0"/>
        </c:dLbls>
        <c:axId val="771882888"/>
        <c:axId val="771884848"/>
      </c:scatterChart>
      <c:valAx>
        <c:axId val="771882888"/>
        <c:scaling>
          <c:orientation val="minMax"/>
          <c:max val="1"/>
        </c:scaling>
        <c:delete val="0"/>
        <c:axPos val="b"/>
        <c:majorGridlines>
          <c:spPr>
            <a:ln w="3175">
              <a:solidFill>
                <a:srgbClr val="808080"/>
              </a:solidFill>
              <a:prstDash val="solid"/>
            </a:ln>
          </c:spPr>
        </c:majorGridlines>
        <c:title>
          <c:tx>
            <c:rich>
              <a:bodyPr/>
              <a:lstStyle/>
              <a:p>
                <a:pPr>
                  <a:defRPr sz="1100" b="1">
                    <a:latin typeface="+mn-lt"/>
                  </a:defRPr>
                </a:pPr>
                <a:r>
                  <a:rPr lang="en-US" sz="1100" b="1">
                    <a:latin typeface="+mn-lt"/>
                  </a:rPr>
                  <a:t>Confidence Levels</a:t>
                </a:r>
              </a:p>
            </c:rich>
          </c:tx>
          <c:layout>
            <c:manualLayout>
              <c:xMode val="edge"/>
              <c:yMode val="edge"/>
              <c:x val="0.48349784401949758"/>
              <c:y val="0.89103155074365703"/>
            </c:manualLayout>
          </c:layout>
          <c:overlay val="0"/>
        </c:title>
        <c:numFmt formatCode="0%" sourceLinked="1"/>
        <c:majorTickMark val="out"/>
        <c:minorTickMark val="none"/>
        <c:tickLblPos val="high"/>
        <c:spPr>
          <a:solidFill>
            <a:sysClr val="window" lastClr="FFFFFF"/>
          </a:solidFill>
          <a:ln w="3175">
            <a:solidFill>
              <a:sysClr val="windowText" lastClr="000000"/>
            </a:solidFill>
            <a:prstDash val="solid"/>
          </a:ln>
          <a:effectLst/>
        </c:spPr>
        <c:txPr>
          <a:bodyPr rot="-5400000" vert="horz"/>
          <a:lstStyle/>
          <a:p>
            <a:pPr>
              <a:defRPr sz="1050" b="1" i="0" u="none" strike="noStrike" baseline="0">
                <a:ln>
                  <a:noFill/>
                </a:ln>
                <a:solidFill>
                  <a:sysClr val="windowText" lastClr="000000"/>
                </a:solidFill>
                <a:latin typeface="+mn-lt"/>
                <a:ea typeface="Arial"/>
                <a:cs typeface="Arial"/>
              </a:defRPr>
            </a:pPr>
            <a:endParaRPr lang="en-US"/>
          </a:p>
        </c:txPr>
        <c:crossAx val="771884848"/>
        <c:crosses val="autoZero"/>
        <c:crossBetween val="midCat"/>
      </c:valAx>
      <c:valAx>
        <c:axId val="771884848"/>
        <c:scaling>
          <c:orientation val="minMax"/>
        </c:scaling>
        <c:delete val="0"/>
        <c:axPos val="l"/>
        <c:majorGridlines/>
        <c:title>
          <c:tx>
            <c:rich>
              <a:bodyPr/>
              <a:lstStyle/>
              <a:p>
                <a:pPr>
                  <a:defRPr sz="1100" b="1" i="0" u="none" strike="noStrike" baseline="0">
                    <a:solidFill>
                      <a:srgbClr val="000000"/>
                    </a:solidFill>
                    <a:latin typeface="+mn-lt"/>
                    <a:ea typeface="Arial"/>
                    <a:cs typeface="Arial"/>
                  </a:defRPr>
                </a:pPr>
                <a:r>
                  <a:rPr lang="en-US" sz="1100">
                    <a:latin typeface="+mn-lt"/>
                  </a:rPr>
                  <a:t>Schedule</a:t>
                </a:r>
              </a:p>
            </c:rich>
          </c:tx>
          <c:layout>
            <c:manualLayout>
              <c:xMode val="edge"/>
              <c:yMode val="edge"/>
              <c:x val="2.8933057376638493E-2"/>
              <c:y val="0.465070669904602"/>
            </c:manualLayout>
          </c:layout>
          <c:overlay val="0"/>
          <c:spPr>
            <a:noFill/>
            <a:ln w="25400">
              <a:noFill/>
            </a:ln>
          </c:spPr>
        </c:title>
        <c:numFmt formatCode="0\ &quot;Months&quot;" sourceLinked="0"/>
        <c:majorTickMark val="out"/>
        <c:minorTickMark val="none"/>
        <c:tickLblPos val="nextTo"/>
        <c:spPr>
          <a:ln w="3175">
            <a:solidFill>
              <a:srgbClr val="000000"/>
            </a:solidFill>
            <a:prstDash val="solid"/>
          </a:ln>
        </c:spPr>
        <c:txPr>
          <a:bodyPr rot="0" vert="horz"/>
          <a:lstStyle/>
          <a:p>
            <a:pPr>
              <a:defRPr sz="1100" b="1" i="0" u="none" strike="noStrike" baseline="0">
                <a:solidFill>
                  <a:srgbClr val="000000"/>
                </a:solidFill>
                <a:latin typeface="+mn-lt"/>
                <a:ea typeface="Arial"/>
                <a:cs typeface="Arial"/>
              </a:defRPr>
            </a:pPr>
            <a:endParaRPr lang="en-US"/>
          </a:p>
        </c:txPr>
        <c:crossAx val="771882888"/>
        <c:crosses val="autoZero"/>
        <c:crossBetween val="midCat"/>
      </c:valAx>
      <c:spPr>
        <a:noFill/>
        <a:ln w="12700">
          <a:solidFill>
            <a:srgbClr val="808080"/>
          </a:solidFill>
          <a:prstDash val="solid"/>
        </a:ln>
      </c:spPr>
    </c:plotArea>
    <c:legend>
      <c:legendPos val="r"/>
      <c:layout>
        <c:manualLayout>
          <c:xMode val="edge"/>
          <c:yMode val="edge"/>
          <c:x val="0.71247778459977873"/>
          <c:y val="0.87850693329206142"/>
          <c:w val="0.24373422152290741"/>
          <c:h val="0.12149302891908829"/>
        </c:manualLayout>
      </c:layout>
      <c:overlay val="0"/>
      <c:txPr>
        <a:bodyPr/>
        <a:lstStyle/>
        <a:p>
          <a:pPr>
            <a:defRPr sz="1000" b="1">
              <a:latin typeface="+mn-lt"/>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57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verticalDpi="4"/>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400" b="1" i="0" u="none" strike="noStrike" baseline="0">
                <a:solidFill>
                  <a:srgbClr val="000000"/>
                </a:solidFill>
                <a:latin typeface="+mn-lt"/>
                <a:ea typeface="Arial"/>
                <a:cs typeface="Arial"/>
              </a:defRPr>
            </a:pPr>
            <a:r>
              <a:rPr lang="en-US" sz="1400">
                <a:latin typeface="+mn-lt"/>
              </a:rPr>
              <a:t>Cost Contingency </a:t>
            </a:r>
          </a:p>
        </c:rich>
      </c:tx>
      <c:layout>
        <c:manualLayout>
          <c:xMode val="edge"/>
          <c:yMode val="edge"/>
          <c:x val="0.41084543126834738"/>
          <c:y val="2.9906534176537467E-2"/>
        </c:manualLayout>
      </c:layout>
      <c:overlay val="0"/>
      <c:spPr>
        <a:noFill/>
        <a:ln w="25400">
          <a:noFill/>
        </a:ln>
      </c:spPr>
    </c:title>
    <c:autoTitleDeleted val="0"/>
    <c:plotArea>
      <c:layout>
        <c:manualLayout>
          <c:layoutTarget val="inner"/>
          <c:xMode val="edge"/>
          <c:yMode val="edge"/>
          <c:x val="0.18123578302712162"/>
          <c:y val="0.24659073865766779"/>
          <c:w val="0.8054017206182561"/>
          <c:h val="0.62013529558805147"/>
        </c:manualLayout>
      </c:layout>
      <c:scatterChart>
        <c:scatterStyle val="lineMarker"/>
        <c:varyColors val="0"/>
        <c:ser>
          <c:idx val="1"/>
          <c:order val="0"/>
          <c:tx>
            <c:strRef>
              <c:f>'I-Project Contingency'!$C$20</c:f>
              <c:strCache>
                <c:ptCount val="1"/>
                <c:pt idx="0">
                  <c:v>Base Estimate</c:v>
                </c:pt>
              </c:strCache>
            </c:strRef>
          </c:tx>
          <c:spPr>
            <a:ln w="38100">
              <a:solidFill>
                <a:schemeClr val="tx1"/>
              </a:solidFill>
              <a:prstDash val="solid"/>
            </a:ln>
            <a:effectLst>
              <a:outerShdw blurRad="50800" dist="38100" dir="2700000" algn="tl" rotWithShape="0">
                <a:prstClr val="black">
                  <a:alpha val="40000"/>
                </a:prstClr>
              </a:outerShdw>
            </a:effectLst>
          </c:spPr>
          <c:marker>
            <c:symbol val="none"/>
          </c:marker>
          <c:xVal>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'I-Project Contingency'!$G$23:$G$33</c:f>
              <c:numCache>
                <c:formatCode>"$"#,##0</c:formatCode>
                <c:ptCount val="11"/>
                <c:pt idx="0">
                  <c:v>9000000</c:v>
                </c:pt>
                <c:pt idx="1">
                  <c:v>9000000</c:v>
                </c:pt>
                <c:pt idx="2">
                  <c:v>9000000</c:v>
                </c:pt>
                <c:pt idx="3">
                  <c:v>9000000</c:v>
                </c:pt>
                <c:pt idx="4">
                  <c:v>9000000</c:v>
                </c:pt>
                <c:pt idx="5">
                  <c:v>9000000</c:v>
                </c:pt>
                <c:pt idx="6">
                  <c:v>9000000</c:v>
                </c:pt>
                <c:pt idx="7">
                  <c:v>9000000</c:v>
                </c:pt>
                <c:pt idx="8">
                  <c:v>9000000</c:v>
                </c:pt>
                <c:pt idx="9">
                  <c:v>9000000</c:v>
                </c:pt>
                <c:pt idx="10">
                  <c:v>9000000</c:v>
                </c:pt>
              </c:numCache>
            </c:numRef>
          </c:yVal>
          <c:smooth val="0"/>
          <c:extLst>
            <c:ext xmlns:c16="http://schemas.microsoft.com/office/drawing/2014/chart" uri="{C3380CC4-5D6E-409C-BE32-E72D297353CC}">
              <c16:uniqueId val="{00000000-38B0-4319-B175-5880D9DF0325}"/>
            </c:ext>
          </c:extLst>
        </c:ser>
        <c:ser>
          <c:idx val="0"/>
          <c:order val="1"/>
          <c:tx>
            <c:v>Contingency</c:v>
          </c:tx>
          <c:spPr>
            <a:effectLst>
              <a:outerShdw blurRad="50800" dist="38100" dir="2700000" algn="tl" rotWithShape="0">
                <a:prstClr val="black">
                  <a:alpha val="40000"/>
                </a:prstClr>
              </a:outerShdw>
            </a:effectLst>
          </c:spPr>
          <c:marker>
            <c:symbol val="none"/>
          </c:marker>
          <c:dPt>
            <c:idx val="8"/>
            <c:bubble3D val="0"/>
            <c:extLst>
              <c:ext xmlns:c16="http://schemas.microsoft.com/office/drawing/2014/chart" uri="{C3380CC4-5D6E-409C-BE32-E72D297353CC}">
                <c16:uniqueId val="{00000002-38B0-4319-B175-5880D9DF0325}"/>
              </c:ext>
            </c:extLst>
          </c:dPt>
          <c:dPt>
            <c:idx val="16"/>
            <c:bubble3D val="0"/>
            <c:extLst>
              <c:ext xmlns:c16="http://schemas.microsoft.com/office/drawing/2014/chart" uri="{C3380CC4-5D6E-409C-BE32-E72D297353CC}">
                <c16:uniqueId val="{00000003-38B0-4319-B175-5880D9DF0325}"/>
              </c:ext>
            </c:extLst>
          </c:dPt>
          <c:dLbls>
            <c:dLbl>
              <c:idx val="0"/>
              <c:tx>
                <c:rich>
                  <a:bodyPr/>
                  <a:lstStyle/>
                  <a:p>
                    <a:fld id="{811A9A54-A2BD-4F4F-91E4-3D8A707C4B72}"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38B0-4319-B175-5880D9DF0325}"/>
                </c:ext>
              </c:extLst>
            </c:dLbl>
            <c:dLbl>
              <c:idx val="1"/>
              <c:tx>
                <c:rich>
                  <a:bodyPr/>
                  <a:lstStyle/>
                  <a:p>
                    <a:fld id="{215DAADD-7B19-42A9-8334-4A4291A8F5CA}"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38B0-4319-B175-5880D9DF0325}"/>
                </c:ext>
              </c:extLst>
            </c:dLbl>
            <c:dLbl>
              <c:idx val="2"/>
              <c:tx>
                <c:rich>
                  <a:bodyPr/>
                  <a:lstStyle/>
                  <a:p>
                    <a:fld id="{E5C42D5E-EA25-45BD-8C9D-2688E76333A9}"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38B0-4319-B175-5880D9DF0325}"/>
                </c:ext>
              </c:extLst>
            </c:dLbl>
            <c:dLbl>
              <c:idx val="3"/>
              <c:tx>
                <c:rich>
                  <a:bodyPr/>
                  <a:lstStyle/>
                  <a:p>
                    <a:fld id="{72E0BD0F-BD50-44BF-9E22-89AAB8BC3DFF}"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38B0-4319-B175-5880D9DF0325}"/>
                </c:ext>
              </c:extLst>
            </c:dLbl>
            <c:dLbl>
              <c:idx val="4"/>
              <c:tx>
                <c:rich>
                  <a:bodyPr/>
                  <a:lstStyle/>
                  <a:p>
                    <a:fld id="{0CB73507-F193-4107-9F1D-16C3E9CB504D}"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38B0-4319-B175-5880D9DF0325}"/>
                </c:ext>
              </c:extLst>
            </c:dLbl>
            <c:dLbl>
              <c:idx val="5"/>
              <c:tx>
                <c:rich>
                  <a:bodyPr/>
                  <a:lstStyle/>
                  <a:p>
                    <a:fld id="{6AF661BA-AE87-4679-832D-91B871F18FB8}"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38B0-4319-B175-5880D9DF0325}"/>
                </c:ext>
              </c:extLst>
            </c:dLbl>
            <c:dLbl>
              <c:idx val="6"/>
              <c:tx>
                <c:rich>
                  <a:bodyPr/>
                  <a:lstStyle/>
                  <a:p>
                    <a:fld id="{9E30A335-4C31-40AB-843A-A6F53E20A8C1}"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38B0-4319-B175-5880D9DF0325}"/>
                </c:ext>
              </c:extLst>
            </c:dLbl>
            <c:dLbl>
              <c:idx val="7"/>
              <c:tx>
                <c:rich>
                  <a:bodyPr/>
                  <a:lstStyle/>
                  <a:p>
                    <a:fld id="{AF5E1FC2-24CE-4CE1-993E-9EACCF24AA68}"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38B0-4319-B175-5880D9DF0325}"/>
                </c:ext>
              </c:extLst>
            </c:dLbl>
            <c:dLbl>
              <c:idx val="8"/>
              <c:tx>
                <c:rich>
                  <a:bodyPr/>
                  <a:lstStyle/>
                  <a:p>
                    <a:fld id="{A17E5D43-7EB8-4950-98C7-BBA319D5CBFE}"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38B0-4319-B175-5880D9DF0325}"/>
                </c:ext>
              </c:extLst>
            </c:dLbl>
            <c:dLbl>
              <c:idx val="9"/>
              <c:tx>
                <c:rich>
                  <a:bodyPr/>
                  <a:lstStyle/>
                  <a:p>
                    <a:fld id="{976ACC10-7F77-4E9F-997A-3EEB1ABD8758}"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38B0-4319-B175-5880D9DF0325}"/>
                </c:ext>
              </c:extLst>
            </c:dLbl>
            <c:dLbl>
              <c:idx val="10"/>
              <c:tx>
                <c:rich>
                  <a:bodyPr/>
                  <a:lstStyle/>
                  <a:p>
                    <a:fld id="{AAD903EF-4818-41D3-953A-E51A73AA014A}"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38B0-4319-B175-5880D9DF0325}"/>
                </c:ext>
              </c:extLst>
            </c:dLbl>
            <c:spPr>
              <a:solidFill>
                <a:sysClr val="window" lastClr="FFFFFF"/>
              </a:solidFill>
              <a:ln>
                <a:solidFill>
                  <a:sysClr val="windowText" lastClr="000000"/>
                </a:solidFill>
              </a:ln>
              <a:effectLst/>
            </c:spPr>
            <c:txPr>
              <a:bodyPr wrap="square" lIns="38100" tIns="19050" rIns="38100" bIns="19050" anchor="ctr">
                <a:spAutoFit/>
              </a:bodyPr>
              <a:lstStyle/>
              <a:p>
                <a:pPr>
                  <a:defRPr sz="800" b="1"/>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'I-Project Contingency'!$F$23:$F$33</c:f>
              <c:numCache>
                <c:formatCode>"$"#,##0</c:formatCode>
                <c:ptCount val="11"/>
                <c:pt idx="0">
                  <c:v>8730000</c:v>
                </c:pt>
                <c:pt idx="1">
                  <c:v>9270000</c:v>
                </c:pt>
                <c:pt idx="2">
                  <c:v>9540000</c:v>
                </c:pt>
                <c:pt idx="3">
                  <c:v>9900000</c:v>
                </c:pt>
                <c:pt idx="4">
                  <c:v>10350000</c:v>
                </c:pt>
                <c:pt idx="5">
                  <c:v>10710000</c:v>
                </c:pt>
                <c:pt idx="6">
                  <c:v>11250000</c:v>
                </c:pt>
                <c:pt idx="7">
                  <c:v>11790000</c:v>
                </c:pt>
                <c:pt idx="8">
                  <c:v>12330000</c:v>
                </c:pt>
                <c:pt idx="9">
                  <c:v>13230000</c:v>
                </c:pt>
                <c:pt idx="10">
                  <c:v>15030000</c:v>
                </c:pt>
              </c:numCache>
            </c:numRef>
          </c:yVal>
          <c:smooth val="0"/>
          <c:extLst>
            <c:ext xmlns:c15="http://schemas.microsoft.com/office/drawing/2012/chart" uri="{02D57815-91ED-43cb-92C2-25804820EDAC}">
              <c15:datalabelsRange>
                <c15:f>'I-Project Contingency'!$E$23:$E$33</c15:f>
                <c15:dlblRangeCache>
                  <c:ptCount val="11"/>
                  <c:pt idx="0">
                    <c:v>-3%</c:v>
                  </c:pt>
                  <c:pt idx="1">
                    <c:v>3%</c:v>
                  </c:pt>
                  <c:pt idx="2">
                    <c:v>6%</c:v>
                  </c:pt>
                  <c:pt idx="3">
                    <c:v>10%</c:v>
                  </c:pt>
                  <c:pt idx="4">
                    <c:v>15%</c:v>
                  </c:pt>
                  <c:pt idx="5">
                    <c:v>19%</c:v>
                  </c:pt>
                  <c:pt idx="6">
                    <c:v>25%</c:v>
                  </c:pt>
                  <c:pt idx="7">
                    <c:v>31%</c:v>
                  </c:pt>
                  <c:pt idx="8">
                    <c:v>37%</c:v>
                  </c:pt>
                  <c:pt idx="9">
                    <c:v>47%</c:v>
                  </c:pt>
                  <c:pt idx="10">
                    <c:v>67%</c:v>
                  </c:pt>
                </c15:dlblRangeCache>
              </c15:datalabelsRange>
            </c:ext>
            <c:ext xmlns:c16="http://schemas.microsoft.com/office/drawing/2014/chart" uri="{C3380CC4-5D6E-409C-BE32-E72D297353CC}">
              <c16:uniqueId val="{0000000E-38B0-4319-B175-5880D9DF0325}"/>
            </c:ext>
          </c:extLst>
        </c:ser>
        <c:ser>
          <c:idx val="2"/>
          <c:order val="2"/>
          <c:tx>
            <c:strRef>
              <c:f>'I-Project Contingency'!$L$22</c:f>
              <c:strCache>
                <c:ptCount val="1"/>
                <c:pt idx="0">
                  <c:v>Program Amount</c:v>
                </c:pt>
              </c:strCache>
            </c:strRef>
          </c:tx>
          <c:spPr>
            <a:ln>
              <a:solidFill>
                <a:srgbClr val="FF0000"/>
              </a:solidFill>
            </a:ln>
          </c:spPr>
          <c:marker>
            <c:symbol val="none"/>
          </c:marker>
          <c:xVal>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'I-Project Contingency'!$L$23:$L$33</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yVal>
          <c:smooth val="0"/>
          <c:extLst>
            <c:ext xmlns:c16="http://schemas.microsoft.com/office/drawing/2014/chart" uri="{C3380CC4-5D6E-409C-BE32-E72D297353CC}">
              <c16:uniqueId val="{0000000F-38B0-4319-B175-5880D9DF0325}"/>
            </c:ext>
          </c:extLst>
        </c:ser>
        <c:dLbls>
          <c:showLegendKey val="0"/>
          <c:showVal val="0"/>
          <c:showCatName val="0"/>
          <c:showSerName val="0"/>
          <c:showPercent val="0"/>
          <c:showBubbleSize val="0"/>
        </c:dLbls>
        <c:axId val="771897392"/>
        <c:axId val="771889944"/>
      </c:scatterChart>
      <c:valAx>
        <c:axId val="771897392"/>
        <c:scaling>
          <c:orientation val="minMax"/>
          <c:max val="1"/>
        </c:scaling>
        <c:delete val="0"/>
        <c:axPos val="t"/>
        <c:majorGridlines>
          <c:spPr>
            <a:ln w="3175">
              <a:solidFill>
                <a:srgbClr val="808080"/>
              </a:solidFill>
              <a:prstDash val="solid"/>
            </a:ln>
          </c:spPr>
        </c:majorGridlines>
        <c:title>
          <c:tx>
            <c:rich>
              <a:bodyPr/>
              <a:lstStyle/>
              <a:p>
                <a:pPr>
                  <a:defRPr sz="1100" b="1" i="0" u="none" strike="noStrike" baseline="0">
                    <a:solidFill>
                      <a:srgbClr val="000000"/>
                    </a:solidFill>
                    <a:latin typeface="+mn-lt"/>
                    <a:ea typeface="Arial"/>
                    <a:cs typeface="Arial"/>
                  </a:defRPr>
                </a:pPr>
                <a:r>
                  <a:rPr lang="en-US" sz="1100">
                    <a:latin typeface="+mn-lt"/>
                  </a:rPr>
                  <a:t>Confidence Levels</a:t>
                </a:r>
              </a:p>
            </c:rich>
          </c:tx>
          <c:layout>
            <c:manualLayout>
              <c:xMode val="edge"/>
              <c:yMode val="edge"/>
              <c:x val="0.42266557070423538"/>
              <c:y val="0.89126279077685744"/>
            </c:manualLayout>
          </c:layout>
          <c:overlay val="0"/>
          <c:spPr>
            <a:noFill/>
            <a:ln w="25400">
              <a:noFill/>
            </a:ln>
          </c:spPr>
        </c:title>
        <c:numFmt formatCode="0%" sourceLinked="1"/>
        <c:majorTickMark val="none"/>
        <c:minorTickMark val="none"/>
        <c:tickLblPos val="high"/>
        <c:spPr>
          <a:ln w="3175">
            <a:solidFill>
              <a:srgbClr val="000000"/>
            </a:solidFill>
            <a:prstDash val="solid"/>
          </a:ln>
        </c:spPr>
        <c:txPr>
          <a:bodyPr rot="-5400000" vert="horz"/>
          <a:lstStyle/>
          <a:p>
            <a:pPr>
              <a:defRPr sz="1100" b="1" i="0" u="none" strike="noStrike" baseline="0">
                <a:solidFill>
                  <a:srgbClr val="000000"/>
                </a:solidFill>
                <a:latin typeface="+mn-lt"/>
                <a:ea typeface="Arial"/>
                <a:cs typeface="Arial"/>
              </a:defRPr>
            </a:pPr>
            <a:endParaRPr lang="en-US"/>
          </a:p>
        </c:txPr>
        <c:crossAx val="771889944"/>
        <c:crosses val="max"/>
        <c:crossBetween val="midCat"/>
      </c:valAx>
      <c:valAx>
        <c:axId val="771889944"/>
        <c:scaling>
          <c:orientation val="minMax"/>
        </c:scaling>
        <c:delete val="0"/>
        <c:axPos val="l"/>
        <c:majorGridlines/>
        <c:title>
          <c:tx>
            <c:rich>
              <a:bodyPr/>
              <a:lstStyle/>
              <a:p>
                <a:pPr>
                  <a:defRPr sz="1100" b="1" i="0" u="none" strike="noStrike" baseline="0">
                    <a:solidFill>
                      <a:srgbClr val="000000"/>
                    </a:solidFill>
                    <a:latin typeface="+mn-lt"/>
                    <a:ea typeface="Arial"/>
                    <a:cs typeface="Arial"/>
                  </a:defRPr>
                </a:pPr>
                <a:r>
                  <a:rPr lang="en-US" sz="1100">
                    <a:latin typeface="+mn-lt"/>
                  </a:rPr>
                  <a:t>Cost</a:t>
                </a:r>
              </a:p>
            </c:rich>
          </c:tx>
          <c:layout>
            <c:manualLayout>
              <c:xMode val="edge"/>
              <c:yMode val="edge"/>
              <c:x val="2.8933005082079983E-2"/>
              <c:y val="0.49939008538804641"/>
            </c:manualLayout>
          </c:layout>
          <c:overlay val="0"/>
          <c:spPr>
            <a:noFill/>
            <a:ln w="25400">
              <a:noFill/>
            </a:ln>
          </c:spPr>
        </c:title>
        <c:numFmt formatCode="&quot;$&quot;#,##0.0,,\ &quot;M&quot;" sourceLinked="0"/>
        <c:majorTickMark val="out"/>
        <c:minorTickMark val="none"/>
        <c:tickLblPos val="nextTo"/>
        <c:spPr>
          <a:ln w="3175">
            <a:solidFill>
              <a:srgbClr val="000000"/>
            </a:solidFill>
            <a:prstDash val="solid"/>
          </a:ln>
        </c:spPr>
        <c:txPr>
          <a:bodyPr rot="0" vert="horz"/>
          <a:lstStyle/>
          <a:p>
            <a:pPr>
              <a:defRPr sz="1100" b="1" i="0" u="none" strike="noStrike" baseline="0">
                <a:solidFill>
                  <a:srgbClr val="000000"/>
                </a:solidFill>
                <a:latin typeface="+mn-lt"/>
                <a:ea typeface="Arial"/>
                <a:cs typeface="Arial"/>
              </a:defRPr>
            </a:pPr>
            <a:endParaRPr lang="en-US"/>
          </a:p>
        </c:txPr>
        <c:crossAx val="771897392"/>
        <c:crosses val="autoZero"/>
        <c:crossBetween val="midCat"/>
      </c:valAx>
    </c:plotArea>
    <c:legend>
      <c:legendPos val="r"/>
      <c:layout>
        <c:manualLayout>
          <c:xMode val="edge"/>
          <c:yMode val="edge"/>
          <c:x val="0.6280957548931233"/>
          <c:y val="0.87741274635309263"/>
          <c:w val="0.19337974448399428"/>
          <c:h val="0.1225874613774544"/>
        </c:manualLayout>
      </c:layout>
      <c:overlay val="1"/>
      <c:txPr>
        <a:bodyPr/>
        <a:lstStyle/>
        <a:p>
          <a:pPr>
            <a:defRPr sz="1000" b="1">
              <a:latin typeface="+mn-lt"/>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57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verticalDpi="4"/>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Top Cost Risks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1"/>
          <c:order val="0"/>
          <c:tx>
            <c:strRef>
              <c:f>'J-Sensitivity Charts'!$X$16</c:f>
              <c:strCache>
                <c:ptCount val="1"/>
                <c:pt idx="0">
                  <c:v>ROM Cost Risk @ 90%</c:v>
                </c:pt>
              </c:strCache>
            </c:strRef>
          </c:tx>
          <c:spPr>
            <a:solidFill>
              <a:schemeClr val="accent4"/>
            </a:solidFill>
            <a:ln>
              <a:noFill/>
            </a:ln>
            <a:effectLst>
              <a:outerShdw blurRad="57150" dist="19050" dir="5400000" algn="ctr" rotWithShape="0">
                <a:srgbClr val="000000">
                  <a:alpha val="63000"/>
                </a:srgbClr>
              </a:outerShdw>
            </a:effectLst>
          </c:spPr>
          <c:invertIfNegative val="0"/>
          <c:cat>
            <c:strRef>
              <c:f>'J-Sensitivity Charts'!$S$17:$S$27</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Charts'!$X$17:$X$27</c:f>
              <c:numCache>
                <c:formatCode>"$"#,##0.00,,\ "M"</c:formatCode>
                <c:ptCount val="11"/>
                <c:pt idx="0">
                  <c:v>4230000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E77B-4ABE-993D-61F848B74001}"/>
            </c:ext>
          </c:extLst>
        </c:ser>
        <c:ser>
          <c:idx val="0"/>
          <c:order val="1"/>
          <c:tx>
            <c:strRef>
              <c:f>'J-Sensitivity Charts'!$W$16</c:f>
              <c:strCache>
                <c:ptCount val="1"/>
                <c:pt idx="0">
                  <c:v>ROM Cost Risk @ 85%</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strRef>
              <c:f>'J-Sensitivity Charts'!$S$17:$S$27</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Charts'!$W$17:$W$27</c:f>
              <c:numCache>
                <c:formatCode>"$"#,##0.00,,\ "M"</c:formatCode>
                <c:ptCount val="11"/>
                <c:pt idx="0">
                  <c:v>3780000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E77B-4ABE-993D-61F848B74001}"/>
            </c:ext>
          </c:extLst>
        </c:ser>
        <c:ser>
          <c:idx val="2"/>
          <c:order val="2"/>
          <c:tx>
            <c:strRef>
              <c:f>'J-Sensitivity Charts'!$V$16</c:f>
              <c:strCache>
                <c:ptCount val="1"/>
                <c:pt idx="0">
                  <c:v>ROM Cost Risk @ 50%</c:v>
                </c:pt>
              </c:strCache>
            </c:strRef>
          </c:tx>
          <c:spPr>
            <a:solidFill>
              <a:srgbClr val="FF0000"/>
            </a:solidFill>
            <a:ln>
              <a:noFill/>
            </a:ln>
            <a:effectLst>
              <a:outerShdw blurRad="57150" dist="19050" dir="5400000" algn="ctr" rotWithShape="0">
                <a:srgbClr val="000000">
                  <a:alpha val="63000"/>
                </a:srgbClr>
              </a:outerShdw>
            </a:effectLst>
          </c:spPr>
          <c:invertIfNegative val="0"/>
          <c:errBars>
            <c:errBarType val="both"/>
            <c:errValType val="cust"/>
            <c:noEndCap val="1"/>
            <c:plus>
              <c:numLit>
                <c:formatCode>General</c:formatCode>
                <c:ptCount val="1"/>
                <c:pt idx="0">
                  <c:v>1</c:v>
                </c:pt>
              </c:numLit>
            </c:plus>
            <c:minus>
              <c:numLit>
                <c:formatCode>General</c:formatCode>
                <c:ptCount val="1"/>
                <c:pt idx="0">
                  <c:v>1</c:v>
                </c:pt>
              </c:numLit>
            </c:minus>
            <c:spPr>
              <a:noFill/>
              <a:ln w="9525" cap="flat" cmpd="sng" algn="ctr">
                <a:solidFill>
                  <a:schemeClr val="tx1">
                    <a:lumMod val="65000"/>
                    <a:lumOff val="35000"/>
                  </a:schemeClr>
                </a:solidFill>
                <a:round/>
              </a:ln>
              <a:effectLst/>
            </c:spPr>
          </c:errBars>
          <c:cat>
            <c:strRef>
              <c:f>'J-Sensitivity Charts'!$S$17:$S$27</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Charts'!$V$17:$V$27</c:f>
              <c:numCache>
                <c:formatCode>"$"#,##0.00,,\ "M"</c:formatCode>
                <c:ptCount val="11"/>
                <c:pt idx="0">
                  <c:v>1710000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E77B-4ABE-993D-61F848B74001}"/>
            </c:ext>
          </c:extLst>
        </c:ser>
        <c:dLbls>
          <c:showLegendKey val="0"/>
          <c:showVal val="0"/>
          <c:showCatName val="0"/>
          <c:showSerName val="0"/>
          <c:showPercent val="0"/>
          <c:showBubbleSize val="0"/>
        </c:dLbls>
        <c:gapWidth val="115"/>
        <c:overlap val="-20"/>
        <c:axId val="1301294288"/>
        <c:axId val="1301296256"/>
      </c:barChart>
      <c:catAx>
        <c:axId val="1301294288"/>
        <c:scaling>
          <c:orientation val="maxMin"/>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1296256"/>
        <c:crosses val="autoZero"/>
        <c:auto val="1"/>
        <c:lblAlgn val="ctr"/>
        <c:lblOffset val="100"/>
        <c:noMultiLvlLbl val="0"/>
      </c:catAx>
      <c:valAx>
        <c:axId val="1301296256"/>
        <c:scaling>
          <c:orientation val="minMax"/>
        </c:scaling>
        <c:delete val="0"/>
        <c:axPos val="t"/>
        <c:majorGridlines>
          <c:spPr>
            <a:ln w="9525" cap="flat" cmpd="sng" algn="ctr">
              <a:solidFill>
                <a:schemeClr val="tx1">
                  <a:lumMod val="15000"/>
                  <a:lumOff val="85000"/>
                </a:schemeClr>
              </a:solidFill>
              <a:round/>
            </a:ln>
            <a:effectLst/>
          </c:spPr>
        </c:majorGridlines>
        <c:numFmt formatCode="&quot;$&quot;#,##0,,\ &quot;M&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1294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Top Schedule Risks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1"/>
          <c:order val="0"/>
          <c:tx>
            <c:strRef>
              <c:f>'J-Sensitivity Charts'!$X$38</c:f>
              <c:strCache>
                <c:ptCount val="1"/>
                <c:pt idx="0">
                  <c:v>ROM Schedule Risk @ 90%</c:v>
                </c:pt>
              </c:strCache>
            </c:strRef>
          </c:tx>
          <c:spPr>
            <a:solidFill>
              <a:schemeClr val="accent4"/>
            </a:solidFill>
            <a:ln>
              <a:noFill/>
            </a:ln>
            <a:effectLst>
              <a:outerShdw blurRad="57150" dist="19050" dir="5400000" algn="ctr" rotWithShape="0">
                <a:srgbClr val="000000">
                  <a:alpha val="63000"/>
                </a:srgbClr>
              </a:outerShdw>
            </a:effectLst>
          </c:spPr>
          <c:invertIfNegative val="0"/>
          <c:cat>
            <c:strRef>
              <c:f>'J-Sensitivity Charts'!$S$39:$S$49</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Charts'!$X$39:$X$49</c:f>
              <c:numCache>
                <c:formatCode>0.00\ "MO"</c:formatCode>
                <c:ptCount val="11"/>
                <c:pt idx="0">
                  <c:v>7.6729927007299272</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065F-4598-8624-C03F304F98EE}"/>
            </c:ext>
          </c:extLst>
        </c:ser>
        <c:ser>
          <c:idx val="0"/>
          <c:order val="1"/>
          <c:tx>
            <c:strRef>
              <c:f>'J-Sensitivity Charts'!$W$38</c:f>
              <c:strCache>
                <c:ptCount val="1"/>
                <c:pt idx="0">
                  <c:v>ROM Schedule Risk @ 85%</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strRef>
              <c:f>'J-Sensitivity Charts'!$S$39:$S$49</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Charts'!$W$39:$W$49</c:f>
              <c:numCache>
                <c:formatCode>0.00\ "MO"</c:formatCode>
                <c:ptCount val="11"/>
                <c:pt idx="0">
                  <c:v>6.9536496350364976</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065F-4598-8624-C03F304F98EE}"/>
            </c:ext>
          </c:extLst>
        </c:ser>
        <c:ser>
          <c:idx val="2"/>
          <c:order val="2"/>
          <c:tx>
            <c:strRef>
              <c:f>'J-Sensitivity Charts'!$V$38</c:f>
              <c:strCache>
                <c:ptCount val="1"/>
                <c:pt idx="0">
                  <c:v>ROM Schedule Risk @ 50%</c:v>
                </c:pt>
              </c:strCache>
            </c:strRef>
          </c:tx>
          <c:spPr>
            <a:solidFill>
              <a:srgbClr val="FF0000"/>
            </a:solidFill>
            <a:ln>
              <a:noFill/>
            </a:ln>
            <a:effectLst>
              <a:outerShdw blurRad="57150" dist="19050" dir="5400000" algn="ctr" rotWithShape="0">
                <a:srgbClr val="000000">
                  <a:alpha val="63000"/>
                </a:srgbClr>
              </a:outerShdw>
            </a:effectLst>
          </c:spPr>
          <c:invertIfNegative val="0"/>
          <c:cat>
            <c:strRef>
              <c:f>'J-Sensitivity Charts'!$S$39:$S$49</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Charts'!$V$39:$V$49</c:f>
              <c:numCache>
                <c:formatCode>0.00\ "MO"</c:formatCode>
                <c:ptCount val="11"/>
                <c:pt idx="0">
                  <c:v>3.1171532846715331</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065F-4598-8624-C03F304F98EE}"/>
            </c:ext>
          </c:extLst>
        </c:ser>
        <c:dLbls>
          <c:showLegendKey val="0"/>
          <c:showVal val="0"/>
          <c:showCatName val="0"/>
          <c:showSerName val="0"/>
          <c:showPercent val="0"/>
          <c:showBubbleSize val="0"/>
        </c:dLbls>
        <c:gapWidth val="115"/>
        <c:overlap val="-20"/>
        <c:axId val="1301294288"/>
        <c:axId val="1301296256"/>
      </c:barChart>
      <c:catAx>
        <c:axId val="1301294288"/>
        <c:scaling>
          <c:orientation val="maxMin"/>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1296256"/>
        <c:crosses val="autoZero"/>
        <c:auto val="1"/>
        <c:lblAlgn val="ctr"/>
        <c:lblOffset val="100"/>
        <c:noMultiLvlLbl val="0"/>
      </c:catAx>
      <c:valAx>
        <c:axId val="1301296256"/>
        <c:scaling>
          <c:orientation val="minMax"/>
        </c:scaling>
        <c:delete val="0"/>
        <c:axPos val="t"/>
        <c:majorGridlines>
          <c:spPr>
            <a:ln w="9525" cap="flat" cmpd="sng" algn="ctr">
              <a:solidFill>
                <a:schemeClr val="tx1">
                  <a:lumMod val="15000"/>
                  <a:lumOff val="85000"/>
                </a:schemeClr>
              </a:solidFill>
              <a:round/>
            </a:ln>
            <a:effectLst/>
          </c:spPr>
        </c:majorGridlines>
        <c:numFmt formatCode="0\ &quot;MO&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1294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100" baseline="0">
                <a:solidFill>
                  <a:schemeClr val="tx1"/>
                </a:solidFill>
                <a:effectLst>
                  <a:outerShdw blurRad="50800" dist="38100" dir="5400000" algn="t" rotWithShape="0">
                    <a:prstClr val="black">
                      <a:alpha val="40000"/>
                    </a:prstClr>
                  </a:outerShdw>
                </a:effectLst>
                <a:latin typeface="+mn-lt"/>
                <a:ea typeface="+mn-ea"/>
                <a:cs typeface="+mn-cs"/>
              </a:defRPr>
            </a:pPr>
            <a:r>
              <a:rPr lang="en-US" sz="1400">
                <a:solidFill>
                  <a:schemeClr val="tx1"/>
                </a:solidFill>
              </a:rPr>
              <a:t>Top </a:t>
            </a:r>
            <a:r>
              <a:rPr lang="en-US" sz="1400" baseline="0">
                <a:solidFill>
                  <a:schemeClr val="tx1"/>
                </a:solidFill>
              </a:rPr>
              <a:t>Cost Risks</a:t>
            </a:r>
            <a:endParaRPr lang="en-US" sz="1400">
              <a:solidFill>
                <a:schemeClr val="tx1"/>
              </a:solidFill>
            </a:endParaRPr>
          </a:p>
        </c:rich>
      </c:tx>
      <c:overlay val="0"/>
      <c:spPr>
        <a:noFill/>
        <a:ln>
          <a:noFill/>
        </a:ln>
        <a:effectLst/>
      </c:spPr>
      <c:txPr>
        <a:bodyPr rot="0" spcFirstLastPara="1" vertOverflow="ellipsis" vert="horz" wrap="square" anchor="ctr" anchorCtr="1"/>
        <a:lstStyle/>
        <a:p>
          <a:pPr>
            <a:defRPr sz="1400" b="1" i="0" u="none" strike="noStrike" kern="1200" spc="100" baseline="0">
              <a:solidFill>
                <a:schemeClr val="tx1"/>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stockChart>
        <c:ser>
          <c:idx val="0"/>
          <c:order val="0"/>
          <c:tx>
            <c:strRef>
              <c:f>'J-Sensitivity Charts'!$T$16</c:f>
              <c:strCache>
                <c:ptCount val="1"/>
                <c:pt idx="0">
                  <c:v>Cost LV</c:v>
                </c:pt>
              </c:strCache>
            </c:strRef>
          </c:tx>
          <c:spPr>
            <a:ln w="25400" cap="rnd">
              <a:noFill/>
              <a:round/>
            </a:ln>
            <a:effectLst>
              <a:outerShdw blurRad="40000" dist="23000" dir="5400000" rotWithShape="0">
                <a:srgbClr val="000000">
                  <a:alpha val="35000"/>
                </a:srgbClr>
              </a:outerShdw>
            </a:effectLst>
          </c:spPr>
          <c:marker>
            <c:symbol val="none"/>
          </c:marker>
          <c:cat>
            <c:strRef>
              <c:f>'J-Sensitivity Charts'!$S$17:$S$26</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Charts'!$T$17:$T$26</c:f>
              <c:numCache>
                <c:formatCode>"$"#,##0.00,,\ "M"</c:formatCode>
                <c:ptCount val="10"/>
                <c:pt idx="0">
                  <c:v>-250000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0-CBC8-4417-9F92-43DC47BF905C}"/>
            </c:ext>
          </c:extLst>
        </c:ser>
        <c:ser>
          <c:idx val="1"/>
          <c:order val="1"/>
          <c:tx>
            <c:strRef>
              <c:f>'J-Sensitivity Charts'!$U$16</c:f>
              <c:strCache>
                <c:ptCount val="1"/>
                <c:pt idx="0">
                  <c:v>Cost HV</c:v>
                </c:pt>
              </c:strCache>
            </c:strRef>
          </c:tx>
          <c:spPr>
            <a:ln w="25400" cap="rnd">
              <a:noFill/>
              <a:round/>
            </a:ln>
            <a:effectLst>
              <a:outerShdw blurRad="40000" dist="23000" dir="5400000" rotWithShape="0">
                <a:srgbClr val="000000">
                  <a:alpha val="35000"/>
                </a:srgbClr>
              </a:outerShdw>
            </a:effectLst>
          </c:spPr>
          <c:marker>
            <c:symbol val="none"/>
          </c:marker>
          <c:cat>
            <c:strRef>
              <c:f>'J-Sensitivity Charts'!$S$17:$S$26</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Charts'!$U$17:$U$26</c:f>
              <c:numCache>
                <c:formatCode>"$"#,##0.00,,\ "M"</c:formatCode>
                <c:ptCount val="10"/>
                <c:pt idx="0">
                  <c:v>3300000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CBC8-4417-9F92-43DC47BF905C}"/>
            </c:ext>
          </c:extLst>
        </c:ser>
        <c:ser>
          <c:idx val="2"/>
          <c:order val="2"/>
          <c:tx>
            <c:strRef>
              <c:f>'J-Sensitivity Charts'!$V$16</c:f>
              <c:strCache>
                <c:ptCount val="1"/>
                <c:pt idx="0">
                  <c:v>ROM Cost Risk @ 50%</c:v>
                </c:pt>
              </c:strCache>
            </c:strRef>
          </c:tx>
          <c:spPr>
            <a:ln w="25400" cap="rnd">
              <a:noFill/>
              <a:round/>
            </a:ln>
            <a:effectLst>
              <a:outerShdw blurRad="40000" dist="23000" dir="5400000" rotWithShape="0">
                <a:srgbClr val="000000">
                  <a:alpha val="35000"/>
                </a:srgbClr>
              </a:outerShdw>
            </a:effectLst>
          </c:spPr>
          <c:marker>
            <c:symbol val="dash"/>
            <c:size val="10"/>
            <c:spPr>
              <a:solidFill>
                <a:schemeClr val="accent6">
                  <a:lumMod val="75000"/>
                </a:schemeClr>
              </a:solidFill>
              <a:ln w="9525">
                <a:no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cat>
            <c:strRef>
              <c:f>'J-Sensitivity Charts'!$S$17:$S$26</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Charts'!$V$17:$V$26</c:f>
              <c:numCache>
                <c:formatCode>"$"#,##0.00,,\ "M"</c:formatCode>
                <c:ptCount val="10"/>
                <c:pt idx="0">
                  <c:v>1710000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2-CBC8-4417-9F92-43DC47BF905C}"/>
            </c:ext>
          </c:extLst>
        </c:ser>
        <c:ser>
          <c:idx val="3"/>
          <c:order val="3"/>
          <c:tx>
            <c:strRef>
              <c:f>'J-Sensitivity Charts'!$W$16</c:f>
              <c:strCache>
                <c:ptCount val="1"/>
                <c:pt idx="0">
                  <c:v>ROM Cost Risk @ 85%</c:v>
                </c:pt>
              </c:strCache>
            </c:strRef>
          </c:tx>
          <c:spPr>
            <a:ln w="25400" cap="rnd">
              <a:noFill/>
              <a:round/>
            </a:ln>
            <a:effectLst>
              <a:outerShdw blurRad="40000" dist="23000" dir="5400000" rotWithShape="0">
                <a:srgbClr val="000000">
                  <a:alpha val="35000"/>
                </a:srgbClr>
              </a:outerShdw>
            </a:effectLst>
          </c:spPr>
          <c:marker>
            <c:symbol val="none"/>
          </c:marker>
          <c:val>
            <c:numRef>
              <c:f>'J-Sensitivity Charts'!$W$17:$W$26</c:f>
              <c:numCache>
                <c:formatCode>"$"#,##0.00,,\ "M"</c:formatCode>
                <c:ptCount val="10"/>
                <c:pt idx="0">
                  <c:v>3780000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3-CBC8-4417-9F92-43DC47BF905C}"/>
            </c:ext>
          </c:extLst>
        </c:ser>
        <c:ser>
          <c:idx val="4"/>
          <c:order val="4"/>
          <c:tx>
            <c:strRef>
              <c:f>'J-Sensitivity Charts'!$X$16</c:f>
              <c:strCache>
                <c:ptCount val="1"/>
                <c:pt idx="0">
                  <c:v>ROM Cost Risk @ 90%</c:v>
                </c:pt>
              </c:strCache>
            </c:strRef>
          </c:tx>
          <c:spPr>
            <a:ln w="25400" cap="rnd">
              <a:noFill/>
              <a:round/>
            </a:ln>
            <a:effectLst>
              <a:outerShdw blurRad="40000" dist="23000" dir="5400000" rotWithShape="0">
                <a:srgbClr val="000000">
                  <a:alpha val="35000"/>
                </a:srgbClr>
              </a:outerShdw>
            </a:effectLst>
          </c:spPr>
          <c:marker>
            <c:symbol val="dash"/>
            <c:size val="10"/>
            <c:spPr>
              <a:solidFill>
                <a:srgbClr val="FF0000"/>
              </a:solidFill>
              <a:ln w="9525">
                <a:no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val>
            <c:numRef>
              <c:f>'J-Sensitivity Charts'!$X$17:$X$26</c:f>
              <c:numCache>
                <c:formatCode>"$"#,##0.00,,\ "M"</c:formatCode>
                <c:ptCount val="10"/>
                <c:pt idx="0">
                  <c:v>4230000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4-CBC8-4417-9F92-43DC47BF905C}"/>
            </c:ext>
          </c:extLst>
        </c:ser>
        <c:dLbls>
          <c:showLegendKey val="0"/>
          <c:showVal val="0"/>
          <c:showCatName val="0"/>
          <c:showSerName val="0"/>
          <c:showPercent val="0"/>
          <c:showBubbleSize val="0"/>
        </c:dLbls>
        <c:hiLowLines>
          <c:spPr>
            <a:ln w="254000" cap="flat" cmpd="sng" algn="ctr">
              <a:gradFill flip="none" rotWithShape="1">
                <a:gsLst>
                  <a:gs pos="0">
                    <a:srgbClr val="FF0000"/>
                  </a:gs>
                  <a:gs pos="50000">
                    <a:schemeClr val="accent1"/>
                  </a:gs>
                  <a:gs pos="100000">
                    <a:schemeClr val="accent6">
                      <a:lumMod val="75000"/>
                    </a:schemeClr>
                  </a:gs>
                </a:gsLst>
                <a:lin ang="5400000" scaled="0"/>
                <a:tileRect/>
              </a:gradFill>
              <a:round/>
            </a:ln>
            <a:effectLst/>
          </c:spPr>
        </c:hiLowLines>
        <c:axId val="182128719"/>
        <c:axId val="182129703"/>
      </c:stockChart>
      <c:catAx>
        <c:axId val="182128719"/>
        <c:scaling>
          <c:orientation val="minMax"/>
        </c:scaling>
        <c:delete val="0"/>
        <c:axPos val="b"/>
        <c:numFmt formatCode="General" sourceLinked="1"/>
        <c:majorTickMark val="none"/>
        <c:minorTickMark val="none"/>
        <c:tickLblPos val="low"/>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82129703"/>
        <c:crosses val="autoZero"/>
        <c:auto val="1"/>
        <c:lblAlgn val="ctr"/>
        <c:lblOffset val="100"/>
        <c:noMultiLvlLbl val="0"/>
      </c:catAx>
      <c:valAx>
        <c:axId val="182129703"/>
        <c:scaling>
          <c:orientation val="minMax"/>
        </c:scaling>
        <c:delete val="0"/>
        <c:axPos val="l"/>
        <c:majorGridlines>
          <c:spPr>
            <a:ln w="9525" cap="flat" cmpd="sng" algn="ctr">
              <a:solidFill>
                <a:schemeClr val="tx1">
                  <a:alpha val="25000"/>
                </a:schemeClr>
              </a:solidFill>
              <a:round/>
            </a:ln>
            <a:effectLst/>
          </c:spPr>
        </c:majorGridlines>
        <c:numFmt formatCode="&quot;$&quot;#,##0.0,,\ &quot;M&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82128719"/>
        <c:crosses val="autoZero"/>
        <c:crossBetween val="between"/>
      </c:valAx>
      <c:spPr>
        <a:noFill/>
        <a:ln>
          <a:noFill/>
        </a:ln>
        <a:effectLst/>
      </c:spPr>
    </c:plotArea>
    <c:legend>
      <c:legendPos val="b"/>
      <c:legendEntry>
        <c:idx val="0"/>
        <c:delete val="1"/>
      </c:legendEntry>
      <c:legendEntry>
        <c:idx val="1"/>
        <c:delete val="1"/>
      </c:legendEntry>
      <c:overlay val="0"/>
      <c:spPr>
        <a:noFill/>
        <a:ln>
          <a:noFill/>
        </a:ln>
        <a:effectLst/>
      </c:spPr>
      <c:txPr>
        <a:bodyPr rot="0" spcFirstLastPara="1" vertOverflow="ellipsis" vert="horz" wrap="square" anchor="ctr" anchorCtr="1"/>
        <a:lstStyle/>
        <a:p>
          <a:pPr>
            <a:defRPr sz="11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a:noFill/>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100" baseline="0">
                <a:solidFill>
                  <a:schemeClr val="tx1"/>
                </a:solidFill>
                <a:effectLst>
                  <a:outerShdw blurRad="50800" dist="38100" dir="5400000" algn="t" rotWithShape="0">
                    <a:prstClr val="black">
                      <a:alpha val="40000"/>
                    </a:prstClr>
                  </a:outerShdw>
                </a:effectLst>
                <a:latin typeface="+mn-lt"/>
                <a:ea typeface="+mn-ea"/>
                <a:cs typeface="+mn-cs"/>
              </a:defRPr>
            </a:pPr>
            <a:r>
              <a:rPr lang="en-US" sz="1400">
                <a:solidFill>
                  <a:schemeClr val="tx1"/>
                </a:solidFill>
              </a:rPr>
              <a:t>Top </a:t>
            </a:r>
            <a:r>
              <a:rPr lang="en-US" sz="1400" baseline="0">
                <a:solidFill>
                  <a:schemeClr val="tx1"/>
                </a:solidFill>
              </a:rPr>
              <a:t>Schedule Risks</a:t>
            </a:r>
            <a:endParaRPr lang="en-US" sz="1400">
              <a:solidFill>
                <a:schemeClr val="tx1"/>
              </a:solidFill>
            </a:endParaRPr>
          </a:p>
        </c:rich>
      </c:tx>
      <c:overlay val="0"/>
      <c:spPr>
        <a:noFill/>
        <a:ln>
          <a:noFill/>
        </a:ln>
        <a:effectLst/>
      </c:spPr>
      <c:txPr>
        <a:bodyPr rot="0" spcFirstLastPara="1" vertOverflow="ellipsis" vert="horz" wrap="square" anchor="ctr" anchorCtr="1"/>
        <a:lstStyle/>
        <a:p>
          <a:pPr>
            <a:defRPr sz="1400" b="1" i="0" u="none" strike="noStrike" kern="1200" spc="100" baseline="0">
              <a:solidFill>
                <a:schemeClr val="tx1"/>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0.10192161526684167"/>
          <c:y val="6.8628472222222223E-2"/>
          <c:w val="0.88604276027996498"/>
          <c:h val="0.61306594488188981"/>
        </c:manualLayout>
      </c:layout>
      <c:stockChart>
        <c:ser>
          <c:idx val="0"/>
          <c:order val="0"/>
          <c:tx>
            <c:strRef>
              <c:f>'J-Sensitivity Charts'!$T$38</c:f>
              <c:strCache>
                <c:ptCount val="1"/>
                <c:pt idx="0">
                  <c:v>Schedule LV</c:v>
                </c:pt>
              </c:strCache>
            </c:strRef>
          </c:tx>
          <c:spPr>
            <a:ln w="25400" cap="rnd">
              <a:noFill/>
              <a:round/>
            </a:ln>
            <a:effectLst>
              <a:outerShdw blurRad="40000" dist="23000" dir="5400000" rotWithShape="0">
                <a:srgbClr val="000000">
                  <a:alpha val="35000"/>
                </a:srgbClr>
              </a:outerShdw>
            </a:effectLst>
          </c:spPr>
          <c:marker>
            <c:symbol val="none"/>
          </c:marker>
          <c:cat>
            <c:strRef>
              <c:f>'J-Sensitivity Charts'!$S$39:$S$48</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Charts'!$T$39:$T$48</c:f>
              <c:numCache>
                <c:formatCode>0.00\ "MO"</c:formatCode>
                <c:ptCount val="10"/>
                <c:pt idx="0">
                  <c:v>-1</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0-C4AD-4F54-B14F-1F28E30317CB}"/>
            </c:ext>
          </c:extLst>
        </c:ser>
        <c:ser>
          <c:idx val="1"/>
          <c:order val="1"/>
          <c:tx>
            <c:strRef>
              <c:f>'J-Sensitivity Charts'!$U$38</c:f>
              <c:strCache>
                <c:ptCount val="1"/>
                <c:pt idx="0">
                  <c:v>Schedule HV</c:v>
                </c:pt>
              </c:strCache>
            </c:strRef>
          </c:tx>
          <c:spPr>
            <a:ln w="25400" cap="rnd">
              <a:noFill/>
              <a:round/>
            </a:ln>
            <a:effectLst>
              <a:outerShdw blurRad="40000" dist="23000" dir="5400000" rotWithShape="0">
                <a:srgbClr val="000000">
                  <a:alpha val="35000"/>
                </a:srgbClr>
              </a:outerShdw>
            </a:effectLst>
          </c:spPr>
          <c:marker>
            <c:symbol val="none"/>
          </c:marker>
          <c:cat>
            <c:strRef>
              <c:f>'J-Sensitivity Charts'!$S$39:$S$48</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Charts'!$U$39:$U$48</c:f>
              <c:numCache>
                <c:formatCode>0.00\ "MO"</c:formatCode>
                <c:ptCount val="10"/>
                <c:pt idx="0">
                  <c:v>6</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C4AD-4F54-B14F-1F28E30317CB}"/>
            </c:ext>
          </c:extLst>
        </c:ser>
        <c:ser>
          <c:idx val="2"/>
          <c:order val="2"/>
          <c:tx>
            <c:strRef>
              <c:f>'J-Sensitivity Charts'!$V$38</c:f>
              <c:strCache>
                <c:ptCount val="1"/>
                <c:pt idx="0">
                  <c:v>ROM Schedule Risk @ 50%</c:v>
                </c:pt>
              </c:strCache>
            </c:strRef>
          </c:tx>
          <c:spPr>
            <a:ln w="25400" cap="rnd">
              <a:noFill/>
              <a:round/>
            </a:ln>
            <a:effectLst>
              <a:outerShdw blurRad="40000" dist="23000" dir="5400000" rotWithShape="0">
                <a:srgbClr val="000000">
                  <a:alpha val="35000"/>
                </a:srgbClr>
              </a:outerShdw>
            </a:effectLst>
          </c:spPr>
          <c:marker>
            <c:symbol val="dash"/>
            <c:size val="10"/>
            <c:spPr>
              <a:solidFill>
                <a:schemeClr val="accent6">
                  <a:lumMod val="75000"/>
                </a:schemeClr>
              </a:solidFill>
              <a:ln w="9525">
                <a:no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cat>
            <c:strRef>
              <c:f>'J-Sensitivity Charts'!$S$39:$S$48</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Charts'!$V$39:$V$48</c:f>
              <c:numCache>
                <c:formatCode>0.00\ "MO"</c:formatCode>
                <c:ptCount val="10"/>
                <c:pt idx="0">
                  <c:v>3.1171532846715331</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2-C4AD-4F54-B14F-1F28E30317CB}"/>
            </c:ext>
          </c:extLst>
        </c:ser>
        <c:ser>
          <c:idx val="3"/>
          <c:order val="3"/>
          <c:tx>
            <c:strRef>
              <c:f>'J-Sensitivity Charts'!$W$38</c:f>
              <c:strCache>
                <c:ptCount val="1"/>
                <c:pt idx="0">
                  <c:v>ROM Schedule Risk @ 85%</c:v>
                </c:pt>
              </c:strCache>
            </c:strRef>
          </c:tx>
          <c:spPr>
            <a:ln w="25400" cap="rnd">
              <a:noFill/>
              <a:round/>
            </a:ln>
            <a:effectLst>
              <a:outerShdw blurRad="40000" dist="23000" dir="5400000" rotWithShape="0">
                <a:srgbClr val="000000">
                  <a:alpha val="35000"/>
                </a:srgbClr>
              </a:outerShdw>
            </a:effectLst>
          </c:spPr>
          <c:marker>
            <c:symbol val="none"/>
          </c:marker>
          <c:cat>
            <c:strRef>
              <c:f>'J-Sensitivity Charts'!$S$39:$S$48</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Charts'!$W$39:$W$48</c:f>
              <c:numCache>
                <c:formatCode>0.00\ "MO"</c:formatCode>
                <c:ptCount val="10"/>
                <c:pt idx="0">
                  <c:v>6.9536496350364976</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3-C4AD-4F54-B14F-1F28E30317CB}"/>
            </c:ext>
          </c:extLst>
        </c:ser>
        <c:ser>
          <c:idx val="4"/>
          <c:order val="4"/>
          <c:tx>
            <c:strRef>
              <c:f>'J-Sensitivity Charts'!$X$38</c:f>
              <c:strCache>
                <c:ptCount val="1"/>
                <c:pt idx="0">
                  <c:v>ROM Schedule Risk @ 90%</c:v>
                </c:pt>
              </c:strCache>
            </c:strRef>
          </c:tx>
          <c:spPr>
            <a:ln w="25400" cap="rnd">
              <a:noFill/>
              <a:round/>
            </a:ln>
            <a:effectLst>
              <a:outerShdw blurRad="40000" dist="23000" dir="5400000" rotWithShape="0">
                <a:srgbClr val="000000">
                  <a:alpha val="35000"/>
                </a:srgbClr>
              </a:outerShdw>
            </a:effectLst>
          </c:spPr>
          <c:marker>
            <c:symbol val="dash"/>
            <c:size val="10"/>
            <c:spPr>
              <a:solidFill>
                <a:srgbClr val="FF0000"/>
              </a:solidFill>
              <a:ln w="9525">
                <a:no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cat>
            <c:strRef>
              <c:f>'J-Sensitivity Charts'!$S$39:$S$48</c:f>
              <c:strCache>
                <c:ptCount val="10"/>
                <c:pt idx="0">
                  <c:v>1 - PLEASE TYPE FIRST RISK OVER THE TOP OF THIS ONE</c:v>
                </c:pt>
                <c:pt idx="1">
                  <c:v>N/A</c:v>
                </c:pt>
                <c:pt idx="2">
                  <c:v>N/A</c:v>
                </c:pt>
                <c:pt idx="3">
                  <c:v>N/A</c:v>
                </c:pt>
                <c:pt idx="4">
                  <c:v>N/A</c:v>
                </c:pt>
                <c:pt idx="5">
                  <c:v>N/A</c:v>
                </c:pt>
                <c:pt idx="6">
                  <c:v>N/A</c:v>
                </c:pt>
                <c:pt idx="7">
                  <c:v>N/A</c:v>
                </c:pt>
                <c:pt idx="8">
                  <c:v>N/A</c:v>
                </c:pt>
                <c:pt idx="9">
                  <c:v>N/A</c:v>
                </c:pt>
              </c:strCache>
            </c:strRef>
          </c:cat>
          <c:val>
            <c:numRef>
              <c:f>'J-Sensitivity Charts'!$X$39:$X$48</c:f>
              <c:numCache>
                <c:formatCode>0.00\ "MO"</c:formatCode>
                <c:ptCount val="10"/>
                <c:pt idx="0">
                  <c:v>7.6729927007299272</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4-C4AD-4F54-B14F-1F28E30317CB}"/>
            </c:ext>
          </c:extLst>
        </c:ser>
        <c:dLbls>
          <c:showLegendKey val="0"/>
          <c:showVal val="0"/>
          <c:showCatName val="0"/>
          <c:showSerName val="0"/>
          <c:showPercent val="0"/>
          <c:showBubbleSize val="0"/>
        </c:dLbls>
        <c:hiLowLines>
          <c:spPr>
            <a:ln w="254000" cap="flat" cmpd="sng" algn="ctr">
              <a:gradFill flip="none" rotWithShape="1">
                <a:gsLst>
                  <a:gs pos="0">
                    <a:srgbClr val="FF0000"/>
                  </a:gs>
                  <a:gs pos="50000">
                    <a:schemeClr val="accent5">
                      <a:lumMod val="75000"/>
                    </a:schemeClr>
                  </a:gs>
                  <a:gs pos="100000">
                    <a:schemeClr val="accent6">
                      <a:lumMod val="75000"/>
                    </a:schemeClr>
                  </a:gs>
                </a:gsLst>
                <a:lin ang="5400000" scaled="1"/>
                <a:tileRect/>
              </a:gradFill>
              <a:round/>
            </a:ln>
            <a:effectLst/>
          </c:spPr>
        </c:hiLowLines>
        <c:axId val="182128719"/>
        <c:axId val="182129703"/>
      </c:stockChart>
      <c:catAx>
        <c:axId val="182128719"/>
        <c:scaling>
          <c:orientation val="minMax"/>
        </c:scaling>
        <c:delete val="0"/>
        <c:axPos val="b"/>
        <c:numFmt formatCode="General" sourceLinked="1"/>
        <c:majorTickMark val="none"/>
        <c:minorTickMark val="none"/>
        <c:tickLblPos val="low"/>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82129703"/>
        <c:crosses val="autoZero"/>
        <c:auto val="1"/>
        <c:lblAlgn val="ctr"/>
        <c:lblOffset val="100"/>
        <c:noMultiLvlLbl val="0"/>
      </c:catAx>
      <c:valAx>
        <c:axId val="182129703"/>
        <c:scaling>
          <c:orientation val="minMax"/>
        </c:scaling>
        <c:delete val="0"/>
        <c:axPos val="l"/>
        <c:majorGridlines>
          <c:spPr>
            <a:ln w="9525" cap="flat" cmpd="sng" algn="ctr">
              <a:solidFill>
                <a:schemeClr val="tx1">
                  <a:alpha val="25000"/>
                </a:schemeClr>
              </a:solidFill>
              <a:round/>
            </a:ln>
            <a:effectLst/>
          </c:spPr>
        </c:majorGridlines>
        <c:numFmt formatCode="0.0\ &quot;MO&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82128719"/>
        <c:crosses val="autoZero"/>
        <c:crossBetween val="between"/>
      </c:valAx>
      <c:spPr>
        <a:noFill/>
        <a:ln>
          <a:noFill/>
        </a:ln>
        <a:effectLst/>
      </c:spPr>
    </c:plotArea>
    <c:legend>
      <c:legendPos val="b"/>
      <c:legendEntry>
        <c:idx val="0"/>
        <c:delete val="1"/>
      </c:legendEntry>
      <c:legendEntry>
        <c:idx val="1"/>
        <c:delete val="1"/>
      </c:legendEntry>
      <c:overlay val="0"/>
      <c:spPr>
        <a:noFill/>
        <a:ln>
          <a:noFill/>
        </a:ln>
        <a:effectLst/>
      </c:spPr>
      <c:txPr>
        <a:bodyPr rot="0" spcFirstLastPara="1" vertOverflow="ellipsis" vert="horz" wrap="square" anchor="ctr" anchorCtr="1"/>
        <a:lstStyle/>
        <a:p>
          <a:pPr>
            <a:defRPr sz="11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a:noFill/>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tx1"/>
                </a:solidFill>
                <a:effectLst>
                  <a:outerShdw blurRad="50800" dist="38100" dir="5400000" algn="t" rotWithShape="0">
                    <a:prstClr val="black">
                      <a:alpha val="40000"/>
                    </a:prstClr>
                  </a:outerShdw>
                </a:effectLst>
                <a:latin typeface="+mn-lt"/>
                <a:ea typeface="+mn-ea"/>
                <a:cs typeface="+mn-cs"/>
              </a:defRPr>
            </a:pPr>
            <a:r>
              <a:rPr lang="en-US">
                <a:solidFill>
                  <a:schemeClr val="tx1"/>
                </a:solidFill>
              </a:rPr>
              <a:t>Cost Contingency </a:t>
            </a:r>
          </a:p>
        </c:rich>
      </c:tx>
      <c:layout>
        <c:manualLayout>
          <c:xMode val="edge"/>
          <c:yMode val="edge"/>
          <c:x val="0.41084543126834738"/>
          <c:y val="2.9906534176537467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tx1"/>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0.177523304271514"/>
          <c:y val="0.18708603093456724"/>
          <c:w val="0.80910541871073494"/>
          <c:h val="0.67569091132751113"/>
        </c:manualLayout>
      </c:layout>
      <c:barChart>
        <c:barDir val="col"/>
        <c:grouping val="stacked"/>
        <c:varyColors val="0"/>
        <c:ser>
          <c:idx val="1"/>
          <c:order val="0"/>
          <c:tx>
            <c:strRef>
              <c:f>'I-Project Contingency'!$C$20</c:f>
              <c:strCache>
                <c:ptCount val="1"/>
                <c:pt idx="0">
                  <c:v>Base Estimate</c:v>
                </c:pt>
              </c:strCache>
            </c:strRef>
          </c:tx>
          <c:spPr>
            <a:solidFill>
              <a:schemeClr val="accent1"/>
            </a:solidFill>
            <a:ln>
              <a:solidFill>
                <a:schemeClr val="tx1"/>
              </a:solidFill>
            </a:ln>
            <a:effectLst>
              <a:glow rad="63500">
                <a:schemeClr val="accent3">
                  <a:alpha val="25000"/>
                </a:schemeClr>
              </a:glow>
              <a:softEdge rad="0"/>
            </a:effectLst>
          </c:spPr>
          <c:invertIfNegative val="0"/>
          <c:cat>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'I-Project Contingency'!$G$23:$G$33</c:f>
              <c:numCache>
                <c:formatCode>"$"#,##0</c:formatCode>
                <c:ptCount val="11"/>
                <c:pt idx="0">
                  <c:v>9000000</c:v>
                </c:pt>
                <c:pt idx="1">
                  <c:v>9000000</c:v>
                </c:pt>
                <c:pt idx="2">
                  <c:v>9000000</c:v>
                </c:pt>
                <c:pt idx="3">
                  <c:v>9000000</c:v>
                </c:pt>
                <c:pt idx="4">
                  <c:v>9000000</c:v>
                </c:pt>
                <c:pt idx="5">
                  <c:v>9000000</c:v>
                </c:pt>
                <c:pt idx="6">
                  <c:v>9000000</c:v>
                </c:pt>
                <c:pt idx="7">
                  <c:v>9000000</c:v>
                </c:pt>
                <c:pt idx="8">
                  <c:v>9000000</c:v>
                </c:pt>
                <c:pt idx="9">
                  <c:v>9000000</c:v>
                </c:pt>
                <c:pt idx="10">
                  <c:v>9000000</c:v>
                </c:pt>
              </c:numCache>
            </c:numRef>
          </c:val>
          <c:extLst>
            <c:ext xmlns:c16="http://schemas.microsoft.com/office/drawing/2014/chart" uri="{C3380CC4-5D6E-409C-BE32-E72D297353CC}">
              <c16:uniqueId val="{00000000-8AA1-4334-9950-990AF96D1D79}"/>
            </c:ext>
          </c:extLst>
        </c:ser>
        <c:ser>
          <c:idx val="0"/>
          <c:order val="1"/>
          <c:tx>
            <c:v>Contingency</c:v>
          </c:tx>
          <c:spPr>
            <a:solidFill>
              <a:srgbClr val="FF0000"/>
            </a:solidFill>
            <a:ln>
              <a:solidFill>
                <a:schemeClr val="tx1"/>
              </a:solidFill>
            </a:ln>
            <a:effectLst>
              <a:glow rad="63500">
                <a:schemeClr val="accent3">
                  <a:alpha val="25000"/>
                </a:schemeClr>
              </a:glow>
            </a:effectLst>
          </c:spPr>
          <c:invertIfNegative val="0"/>
          <c:dPt>
            <c:idx val="16"/>
            <c:invertIfNegative val="0"/>
            <c:bubble3D val="0"/>
            <c:extLst>
              <c:ext xmlns:c16="http://schemas.microsoft.com/office/drawing/2014/chart" uri="{C3380CC4-5D6E-409C-BE32-E72D297353CC}">
                <c16:uniqueId val="{00000004-8AA1-4334-9950-990AF96D1D79}"/>
              </c:ext>
            </c:extLst>
          </c:dPt>
          <c:dLbls>
            <c:numFmt formatCode="&quot;$&quot;#,##0.0,,\ &quot;M&quot;" sourceLinked="0"/>
            <c:spPr>
              <a:solidFill>
                <a:schemeClr val="bg1"/>
              </a:solidFill>
              <a:ln>
                <a:solidFill>
                  <a:sysClr val="windowText" lastClr="000000"/>
                </a:solid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'I-Project Contingency'!$C$23:$C$33</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'I-Project Contingency'!$D$23:$D$33</c:f>
              <c:numCache>
                <c:formatCode>"$"#,##0</c:formatCode>
                <c:ptCount val="11"/>
                <c:pt idx="0">
                  <c:v>-270000</c:v>
                </c:pt>
                <c:pt idx="1">
                  <c:v>270000</c:v>
                </c:pt>
                <c:pt idx="2">
                  <c:v>540000</c:v>
                </c:pt>
                <c:pt idx="3">
                  <c:v>899999.99999999988</c:v>
                </c:pt>
                <c:pt idx="4">
                  <c:v>1350000.0000000002</c:v>
                </c:pt>
                <c:pt idx="5">
                  <c:v>1710000</c:v>
                </c:pt>
                <c:pt idx="6">
                  <c:v>2250000</c:v>
                </c:pt>
                <c:pt idx="7">
                  <c:v>2790000</c:v>
                </c:pt>
                <c:pt idx="8">
                  <c:v>3330000</c:v>
                </c:pt>
                <c:pt idx="9">
                  <c:v>4230000</c:v>
                </c:pt>
                <c:pt idx="10">
                  <c:v>6030000</c:v>
                </c:pt>
              </c:numCache>
            </c:numRef>
          </c:val>
          <c:extLst>
            <c:ext xmlns:c16="http://schemas.microsoft.com/office/drawing/2014/chart" uri="{C3380CC4-5D6E-409C-BE32-E72D297353CC}">
              <c16:uniqueId val="{00000005-8AA1-4334-9950-990AF96D1D79}"/>
            </c:ext>
          </c:extLst>
        </c:ser>
        <c:dLbls>
          <c:showLegendKey val="0"/>
          <c:showVal val="0"/>
          <c:showCatName val="0"/>
          <c:showSerName val="0"/>
          <c:showPercent val="0"/>
          <c:showBubbleSize val="0"/>
        </c:dLbls>
        <c:gapWidth val="150"/>
        <c:overlap val="100"/>
        <c:axId val="771890336"/>
        <c:axId val="771891120"/>
      </c:barChart>
      <c:catAx>
        <c:axId val="771890336"/>
        <c:scaling>
          <c:orientation val="minMax"/>
        </c:scaling>
        <c:delete val="0"/>
        <c:axPos val="t"/>
        <c:title>
          <c:tx>
            <c:rich>
              <a:bodyPr rot="0" spcFirstLastPara="1" vertOverflow="ellipsis" vert="horz" wrap="square" anchor="ctr" anchorCtr="1"/>
              <a:lstStyle/>
              <a:p>
                <a:pPr>
                  <a:defRPr sz="900" b="1" i="0" u="none" strike="noStrike" kern="1200" cap="all" baseline="0">
                    <a:solidFill>
                      <a:schemeClr val="tx1"/>
                    </a:solidFill>
                    <a:latin typeface="+mn-lt"/>
                    <a:ea typeface="+mn-ea"/>
                    <a:cs typeface="+mn-cs"/>
                  </a:defRPr>
                </a:pPr>
                <a:r>
                  <a:rPr lang="en-US">
                    <a:solidFill>
                      <a:schemeClr val="tx1"/>
                    </a:solidFill>
                  </a:rPr>
                  <a:t>Confidence Levels</a:t>
                </a:r>
              </a:p>
            </c:rich>
          </c:tx>
          <c:layout>
            <c:manualLayout>
              <c:xMode val="edge"/>
              <c:yMode val="edge"/>
              <c:x val="0.5045368835474513"/>
              <c:y val="0.88848490813648284"/>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tx1"/>
                  </a:solidFill>
                  <a:latin typeface="+mn-lt"/>
                  <a:ea typeface="+mn-ea"/>
                  <a:cs typeface="+mn-cs"/>
                </a:defRPr>
              </a:pPr>
              <a:endParaRPr lang="en-US"/>
            </a:p>
          </c:txPr>
        </c:title>
        <c:numFmt formatCode="0%" sourceLinked="1"/>
        <c:majorTickMark val="none"/>
        <c:minorTickMark val="none"/>
        <c:tickLblPos val="nextTo"/>
        <c:spPr>
          <a:noFill/>
          <a:ln w="12700" cap="flat" cmpd="sng" algn="ctr">
            <a:solidFill>
              <a:schemeClr val="lt1">
                <a:lumMod val="95000"/>
                <a:alpha val="54000"/>
              </a:schemeClr>
            </a:solidFill>
            <a:round/>
          </a:ln>
          <a:effectLst/>
        </c:spPr>
        <c:txPr>
          <a:bodyPr rot="-540000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771891120"/>
        <c:crosses val="max"/>
        <c:auto val="1"/>
        <c:lblAlgn val="ctr"/>
        <c:lblOffset val="100"/>
        <c:tickLblSkip val="1"/>
        <c:tickMarkSkip val="1"/>
        <c:noMultiLvlLbl val="0"/>
      </c:catAx>
      <c:valAx>
        <c:axId val="771891120"/>
        <c:scaling>
          <c:orientation val="minMax"/>
        </c:scaling>
        <c:delete val="0"/>
        <c:axPos val="l"/>
        <c:majorGridlines>
          <c:spPr>
            <a:ln w="9525" cap="flat" cmpd="sng" algn="ctr">
              <a:solidFill>
                <a:schemeClr val="tx1">
                  <a:alpha val="25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bg1">
                        <a:lumMod val="95000"/>
                      </a:schemeClr>
                    </a:solidFill>
                    <a:latin typeface="+mn-lt"/>
                    <a:ea typeface="+mn-ea"/>
                    <a:cs typeface="+mn-cs"/>
                  </a:defRPr>
                </a:pPr>
                <a:r>
                  <a:rPr lang="en-US"/>
                  <a:t>Cost</a:t>
                </a:r>
              </a:p>
            </c:rich>
          </c:tx>
          <c:layout>
            <c:manualLayout>
              <c:xMode val="edge"/>
              <c:yMode val="edge"/>
              <c:x val="2.8933005082079983E-2"/>
              <c:y val="0.49939008538804641"/>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bg1">
                      <a:lumMod val="95000"/>
                    </a:schemeClr>
                  </a:solidFill>
                  <a:latin typeface="+mn-lt"/>
                  <a:ea typeface="+mn-ea"/>
                  <a:cs typeface="+mn-cs"/>
                </a:defRPr>
              </a:pPr>
              <a:endParaRPr lang="en-US"/>
            </a:p>
          </c:txPr>
        </c:title>
        <c:numFmt formatCode="&quot;$&quot;#,##0.0,,\ &quot;M&quot;"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771890336"/>
        <c:crosses val="autoZero"/>
        <c:crossBetween val="between"/>
      </c:valAx>
      <c:spPr>
        <a:noFill/>
        <a:ln>
          <a:noFill/>
        </a:ln>
        <a:effectLst/>
      </c:spPr>
    </c:plotArea>
    <c:legend>
      <c:legendPos val="b"/>
      <c:layout>
        <c:manualLayout>
          <c:xMode val="edge"/>
          <c:yMode val="edge"/>
          <c:x val="0.45345927153842613"/>
          <c:y val="0.93735870516185482"/>
          <c:w val="0.25097617923532634"/>
          <c:h val="5.9863571005956184E-2"/>
        </c:manualLayout>
      </c:layout>
      <c:overlay val="0"/>
      <c:spPr>
        <a:noFill/>
        <a:ln>
          <a:noFill/>
        </a:ln>
        <a:effectLst/>
      </c:spPr>
      <c:txPr>
        <a:bodyPr rot="0" spcFirstLastPara="1" vertOverflow="ellipsis" vert="horz" wrap="square" anchor="ctr" anchorCtr="1"/>
        <a:lstStyle/>
        <a:p>
          <a:pPr>
            <a:defRPr sz="11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a:noFill/>
    </a:ln>
    <a:effectLst>
      <a:outerShdw blurRad="50800" dist="38100" algn="l" rotWithShape="0">
        <a:prstClr val="black">
          <a:alpha val="40000"/>
        </a:prstClr>
      </a:outerShdw>
    </a:effectLst>
  </c:spPr>
  <c:txPr>
    <a:bodyPr/>
    <a:lstStyle/>
    <a:p>
      <a:pPr>
        <a:defRPr>
          <a:solidFill>
            <a:schemeClr val="bg1">
              <a:lumMod val="95000"/>
            </a:schemeClr>
          </a:solidFill>
        </a:defRPr>
      </a:pPr>
      <a:endParaRPr lang="en-US"/>
    </a:p>
  </c:txPr>
  <c:printSettings>
    <c:headerFooter alignWithMargins="0"/>
    <c:pageMargins b="1" l="0.75000000000001465" r="0.75000000000001465" t="1" header="0.5" footer="0.5"/>
    <c:pageSetup orientation="landscape" verticalDpi="4"/>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solidFill>
                <a:latin typeface="+mn-lt"/>
                <a:ea typeface="+mn-ea"/>
                <a:cs typeface="+mn-cs"/>
              </a:defRPr>
            </a:pPr>
            <a:r>
              <a:rPr lang="en-US">
                <a:solidFill>
                  <a:schemeClr val="tx1"/>
                </a:solidFill>
              </a:rPr>
              <a:t>Top Cost Risks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solidFill>
              <a:latin typeface="+mn-lt"/>
              <a:ea typeface="+mn-ea"/>
              <a:cs typeface="+mn-cs"/>
            </a:defRPr>
          </a:pPr>
          <a:endParaRPr lang="en-US"/>
        </a:p>
      </c:txPr>
    </c:title>
    <c:autoTitleDeleted val="0"/>
    <c:plotArea>
      <c:layout/>
      <c:barChart>
        <c:barDir val="bar"/>
        <c:grouping val="clustered"/>
        <c:varyColors val="0"/>
        <c:ser>
          <c:idx val="1"/>
          <c:order val="0"/>
          <c:tx>
            <c:strRef>
              <c:f>'J-Sensitivity Charts'!$X$16</c:f>
              <c:strCache>
                <c:ptCount val="1"/>
                <c:pt idx="0">
                  <c:v>ROM Cost Risk @ 90%</c:v>
                </c:pt>
              </c:strCache>
            </c:strRef>
          </c:tx>
          <c:spPr>
            <a:solidFill>
              <a:schemeClr val="accent4"/>
            </a:solidFill>
            <a:ln>
              <a:noFill/>
            </a:ln>
            <a:effectLst>
              <a:outerShdw blurRad="57150" dist="19050" dir="5400000" algn="ctr" rotWithShape="0">
                <a:srgbClr val="000000">
                  <a:alpha val="63000"/>
                </a:srgbClr>
              </a:outerShdw>
            </a:effectLst>
          </c:spPr>
          <c:invertIfNegative val="0"/>
          <c:cat>
            <c:strRef>
              <c:f>'J-Sensitivity Charts'!$S$17:$S$27</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Charts'!$X$17:$X$27</c:f>
              <c:numCache>
                <c:formatCode>"$"#,##0.00,,\ "M"</c:formatCode>
                <c:ptCount val="11"/>
                <c:pt idx="0">
                  <c:v>4230000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87E7-4F5F-8979-B23EE1F9006B}"/>
            </c:ext>
          </c:extLst>
        </c:ser>
        <c:ser>
          <c:idx val="0"/>
          <c:order val="1"/>
          <c:tx>
            <c:strRef>
              <c:f>'J-Sensitivity Charts'!$W$16</c:f>
              <c:strCache>
                <c:ptCount val="1"/>
                <c:pt idx="0">
                  <c:v>ROM Cost Risk @ 85%</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strRef>
              <c:f>'J-Sensitivity Charts'!$S$17:$S$27</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Charts'!$W$17:$W$27</c:f>
              <c:numCache>
                <c:formatCode>"$"#,##0.00,,\ "M"</c:formatCode>
                <c:ptCount val="11"/>
                <c:pt idx="0">
                  <c:v>3780000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87E7-4F5F-8979-B23EE1F9006B}"/>
            </c:ext>
          </c:extLst>
        </c:ser>
        <c:ser>
          <c:idx val="2"/>
          <c:order val="2"/>
          <c:tx>
            <c:strRef>
              <c:f>'J-Sensitivity Charts'!$V$16</c:f>
              <c:strCache>
                <c:ptCount val="1"/>
                <c:pt idx="0">
                  <c:v>ROM Cost Risk @ 50%</c:v>
                </c:pt>
              </c:strCache>
            </c:strRef>
          </c:tx>
          <c:spPr>
            <a:solidFill>
              <a:srgbClr val="FF0000"/>
            </a:solidFill>
            <a:ln>
              <a:noFill/>
            </a:ln>
            <a:effectLst>
              <a:outerShdw blurRad="57150" dist="19050" dir="5400000" algn="ctr" rotWithShape="0">
                <a:srgbClr val="000000">
                  <a:alpha val="63000"/>
                </a:srgbClr>
              </a:outerShdw>
            </a:effectLst>
          </c:spPr>
          <c:invertIfNegative val="0"/>
          <c:errBars>
            <c:errBarType val="both"/>
            <c:errValType val="cust"/>
            <c:noEndCap val="1"/>
            <c:plus>
              <c:numLit>
                <c:formatCode>General</c:formatCode>
                <c:ptCount val="1"/>
                <c:pt idx="0">
                  <c:v>1</c:v>
                </c:pt>
              </c:numLit>
            </c:plus>
            <c:minus>
              <c:numLit>
                <c:formatCode>General</c:formatCode>
                <c:ptCount val="1"/>
                <c:pt idx="0">
                  <c:v>1</c:v>
                </c:pt>
              </c:numLit>
            </c:minus>
            <c:spPr>
              <a:noFill/>
              <a:ln w="9525" cap="flat" cmpd="sng" algn="ctr">
                <a:solidFill>
                  <a:schemeClr val="tx1">
                    <a:lumMod val="65000"/>
                    <a:lumOff val="35000"/>
                  </a:schemeClr>
                </a:solidFill>
                <a:round/>
              </a:ln>
              <a:effectLst/>
            </c:spPr>
          </c:errBars>
          <c:cat>
            <c:strRef>
              <c:f>'J-Sensitivity Charts'!$S$17:$S$27</c:f>
              <c:strCache>
                <c:ptCount val="11"/>
                <c:pt idx="0">
                  <c:v>1 - PLEASE TYPE FIRST RISK OVER THE TOP OF THIS ONE</c:v>
                </c:pt>
                <c:pt idx="1">
                  <c:v>N/A</c:v>
                </c:pt>
                <c:pt idx="2">
                  <c:v>N/A</c:v>
                </c:pt>
                <c:pt idx="3">
                  <c:v>N/A</c:v>
                </c:pt>
                <c:pt idx="4">
                  <c:v>N/A</c:v>
                </c:pt>
                <c:pt idx="5">
                  <c:v>N/A</c:v>
                </c:pt>
                <c:pt idx="6">
                  <c:v>N/A</c:v>
                </c:pt>
                <c:pt idx="7">
                  <c:v>N/A</c:v>
                </c:pt>
                <c:pt idx="8">
                  <c:v>N/A</c:v>
                </c:pt>
                <c:pt idx="9">
                  <c:v>N/A</c:v>
                </c:pt>
                <c:pt idx="10">
                  <c:v>Remaining Contingency</c:v>
                </c:pt>
              </c:strCache>
            </c:strRef>
          </c:cat>
          <c:val>
            <c:numRef>
              <c:f>'J-Sensitivity Charts'!$V$17:$V$27</c:f>
              <c:numCache>
                <c:formatCode>"$"#,##0.00,,\ "M"</c:formatCode>
                <c:ptCount val="11"/>
                <c:pt idx="0">
                  <c:v>1710000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87E7-4F5F-8979-B23EE1F9006B}"/>
            </c:ext>
          </c:extLst>
        </c:ser>
        <c:dLbls>
          <c:showLegendKey val="0"/>
          <c:showVal val="0"/>
          <c:showCatName val="0"/>
          <c:showSerName val="0"/>
          <c:showPercent val="0"/>
          <c:showBubbleSize val="0"/>
        </c:dLbls>
        <c:gapWidth val="115"/>
        <c:overlap val="-20"/>
        <c:axId val="1301294288"/>
        <c:axId val="1301296256"/>
      </c:barChart>
      <c:catAx>
        <c:axId val="1301294288"/>
        <c:scaling>
          <c:orientation val="maxMin"/>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301296256"/>
        <c:crosses val="autoZero"/>
        <c:auto val="1"/>
        <c:lblAlgn val="ctr"/>
        <c:lblOffset val="100"/>
        <c:noMultiLvlLbl val="0"/>
      </c:catAx>
      <c:valAx>
        <c:axId val="1301296256"/>
        <c:scaling>
          <c:orientation val="minMax"/>
        </c:scaling>
        <c:delete val="0"/>
        <c:axPos val="t"/>
        <c:majorGridlines>
          <c:spPr>
            <a:ln w="9525" cap="flat" cmpd="sng" algn="ctr">
              <a:solidFill>
                <a:schemeClr val="tx1">
                  <a:alpha val="25000"/>
                </a:schemeClr>
              </a:solidFill>
              <a:round/>
            </a:ln>
            <a:effectLst/>
          </c:spPr>
        </c:majorGridlines>
        <c:numFmt formatCode="&quot;$&quot;#,##0,,\ &quot;M&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1294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alpha val="2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2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gradFill>
        <a:gsLst>
          <a:gs pos="100000">
            <a:schemeClr val="dk1">
              <a:lumMod val="95000"/>
              <a:lumOff val="5000"/>
            </a:schemeClr>
          </a:gs>
          <a:gs pos="0">
            <a:schemeClr val="dk1">
              <a:lumMod val="75000"/>
              <a:lumOff val="25000"/>
            </a:schemeClr>
          </a:gs>
        </a:gsLst>
        <a:path path="circle">
          <a:fillToRect l="50000" t="50000" r="50000" b="50000"/>
        </a:path>
      </a:gradFill>
      <a:ln w="9525">
        <a:solidFill>
          <a:schemeClr val="dk1">
            <a:lumMod val="75000"/>
            <a:lumOff val="25000"/>
          </a:schemeClr>
        </a:solidFill>
      </a:ln>
    </cs:spPr>
  </cs:downBar>
  <cs:dropLine>
    <cs:lnRef idx="0"/>
    <cs:fillRef idx="0"/>
    <cs:effectRef idx="0"/>
    <cs:fontRef idx="minor">
      <a:schemeClr val="tx1"/>
    </cs:fontRef>
    <cs:spPr>
      <a:ln w="9525" cap="flat" cmpd="sng" algn="ctr">
        <a:solidFill>
          <a:schemeClr val="lt1"/>
        </a:solidFill>
        <a:round/>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cap="flat" cmpd="sng" algn="ctr">
        <a:solidFill>
          <a:schemeClr val="lt1"/>
        </a:solidFill>
        <a:round/>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gradFill>
        <a:gsLst>
          <a:gs pos="100000">
            <a:schemeClr val="lt1">
              <a:lumMod val="85000"/>
            </a:schemeClr>
          </a:gs>
          <a:gs pos="0">
            <a:schemeClr val="lt1"/>
          </a:gs>
        </a:gsLst>
        <a:path path="circle">
          <a:fillToRect l="50000" t="50000" r="50000" b="50000"/>
        </a:path>
      </a:gradFill>
      <a:ln w="9525" cap="flat" cmpd="sng" algn="ctr">
        <a:solidFill>
          <a:schemeClr val="lt1"/>
        </a:solidFill>
        <a:round/>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32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gradFill>
        <a:gsLst>
          <a:gs pos="100000">
            <a:schemeClr val="dk1">
              <a:lumMod val="95000"/>
              <a:lumOff val="5000"/>
            </a:schemeClr>
          </a:gs>
          <a:gs pos="0">
            <a:schemeClr val="dk1">
              <a:lumMod val="75000"/>
              <a:lumOff val="25000"/>
            </a:schemeClr>
          </a:gs>
        </a:gsLst>
        <a:path path="circle">
          <a:fillToRect l="50000" t="50000" r="50000" b="50000"/>
        </a:path>
      </a:gradFill>
      <a:ln w="9525">
        <a:solidFill>
          <a:schemeClr val="dk1">
            <a:lumMod val="75000"/>
            <a:lumOff val="25000"/>
          </a:schemeClr>
        </a:solidFill>
      </a:ln>
    </cs:spPr>
  </cs:downBar>
  <cs:dropLine>
    <cs:lnRef idx="0"/>
    <cs:fillRef idx="0"/>
    <cs:effectRef idx="0"/>
    <cs:fontRef idx="minor">
      <a:schemeClr val="tx1"/>
    </cs:fontRef>
    <cs:spPr>
      <a:ln w="9525" cap="flat" cmpd="sng" algn="ctr">
        <a:solidFill>
          <a:schemeClr val="lt1"/>
        </a:solidFill>
        <a:round/>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cap="flat" cmpd="sng" algn="ctr">
        <a:solidFill>
          <a:schemeClr val="lt1"/>
        </a:solidFill>
        <a:round/>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gradFill>
        <a:gsLst>
          <a:gs pos="100000">
            <a:schemeClr val="lt1">
              <a:lumMod val="85000"/>
            </a:schemeClr>
          </a:gs>
          <a:gs pos="0">
            <a:schemeClr val="lt1"/>
          </a:gs>
        </a:gsLst>
        <a:path path="circle">
          <a:fillToRect l="50000" t="50000" r="50000" b="50000"/>
        </a:path>
      </a:gradFill>
      <a:ln w="9525" cap="flat" cmpd="sng" algn="ctr">
        <a:solidFill>
          <a:schemeClr val="lt1"/>
        </a:solidFill>
        <a:round/>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7.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1.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1.png"/><Relationship Id="rId5" Type="http://schemas.openxmlformats.org/officeDocument/2006/relationships/chart" Target="../charts/chart7.xml"/><Relationship Id="rId4" Type="http://schemas.openxmlformats.org/officeDocument/2006/relationships/chart" Target="../charts/chart6.xml"/></Relationships>
</file>

<file path=xl/drawings/_rels/drawing9.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5</xdr:col>
      <xdr:colOff>78105</xdr:colOff>
      <xdr:row>9</xdr:row>
      <xdr:rowOff>30480</xdr:rowOff>
    </xdr:from>
    <xdr:to>
      <xdr:col>17</xdr:col>
      <xdr:colOff>508635</xdr:colOff>
      <xdr:row>15</xdr:row>
      <xdr:rowOff>419100</xdr:rowOff>
    </xdr:to>
    <xdr:sp macro="" textlink="">
      <xdr:nvSpPr>
        <xdr:cNvPr id="2" name="Rectangle 1" descr="40b7255e-4771-41a1-bdb8-a342ec882410">
          <a:extLst>
            <a:ext uri="{FF2B5EF4-FFF2-40B4-BE49-F238E27FC236}">
              <a16:creationId xmlns:a16="http://schemas.microsoft.com/office/drawing/2014/main" id="{C1B2D319-DC3C-4810-85BB-60EAAC19DE73}"/>
            </a:ext>
          </a:extLst>
        </xdr:cNvPr>
        <xdr:cNvSpPr/>
      </xdr:nvSpPr>
      <xdr:spPr>
        <a:xfrm>
          <a:off x="8444865" y="1844040"/>
          <a:ext cx="7745730" cy="5143500"/>
        </a:xfrm>
        <a:prstGeom prst="rect">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nchorCtr="0"/>
        <a:lstStyle/>
        <a:p>
          <a:r>
            <a:rPr lang="en-US" sz="1100" b="1" u="sng">
              <a:solidFill>
                <a:schemeClr val="lt1"/>
              </a:solidFill>
              <a:effectLst/>
              <a:latin typeface="+mn-lt"/>
              <a:ea typeface="+mn-ea"/>
              <a:cs typeface="+mn-cs"/>
            </a:rPr>
            <a:t>Detailed Overview of Changes since OCT 2022</a:t>
          </a:r>
        </a:p>
        <a:p>
          <a:r>
            <a:rPr lang="en-US" sz="1100" b="0" u="sng">
              <a:solidFill>
                <a:schemeClr val="lt1"/>
              </a:solidFill>
              <a:effectLst/>
              <a:latin typeface="+mn-lt"/>
              <a:ea typeface="+mn-ea"/>
              <a:cs typeface="+mn-cs"/>
            </a:rPr>
            <a:t>1 – Drop Down Lists</a:t>
          </a:r>
          <a:r>
            <a:rPr lang="en-US" sz="1100">
              <a:solidFill>
                <a:schemeClr val="lt1"/>
              </a:solidFill>
              <a:effectLst/>
              <a:latin typeface="+mn-lt"/>
              <a:ea typeface="+mn-ea"/>
              <a:cs typeface="+mn-cs"/>
            </a:rPr>
            <a:t> --- Put commonly used distributions at the top of the list and expanded on triangular ones since those typically vary.</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A – Quick Instructions:</a:t>
          </a:r>
          <a:r>
            <a:rPr lang="en-US" sz="1100">
              <a:solidFill>
                <a:schemeClr val="lt1"/>
              </a:solidFill>
              <a:effectLst/>
              <a:latin typeface="+mn-lt"/>
              <a:ea typeface="+mn-ea"/>
              <a:cs typeface="+mn-cs"/>
            </a:rPr>
            <a:t>  Updated per recent changes.</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D – Project Data:</a:t>
          </a:r>
          <a:r>
            <a:rPr lang="en-US" sz="1100">
              <a:solidFill>
                <a:schemeClr val="lt1"/>
              </a:solidFill>
              <a:effectLst/>
              <a:latin typeface="+mn-lt"/>
              <a:ea typeface="+mn-ea"/>
              <a:cs typeface="+mn-cs"/>
            </a:rPr>
            <a:t>  Confidence level selection of CSRA (50%, 80%, etc.) moved to this tab.</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H – Risk-Register Model:</a:t>
          </a:r>
          <a:r>
            <a:rPr lang="en-US" sz="1100">
              <a:solidFill>
                <a:schemeClr val="lt1"/>
              </a:solidFill>
              <a:effectLst/>
              <a:latin typeface="+mn-lt"/>
              <a:ea typeface="+mn-ea"/>
              <a:cs typeface="+mn-cs"/>
            </a:rPr>
            <a:t> </a:t>
          </a:r>
          <a:r>
            <a:rPr lang="en-US" sz="1100" baseline="0">
              <a:solidFill>
                <a:schemeClr val="lt1"/>
              </a:solidFill>
              <a:effectLst/>
              <a:latin typeface="+mn-lt"/>
              <a:ea typeface="+mn-ea"/>
              <a:cs typeface="+mn-cs"/>
            </a:rPr>
            <a:t> </a:t>
          </a:r>
          <a:r>
            <a:rPr lang="en-US" sz="1100">
              <a:solidFill>
                <a:schemeClr val="lt1"/>
              </a:solidFill>
              <a:effectLst/>
              <a:latin typeface="+mn-lt"/>
              <a:ea typeface="+mn-ea"/>
              <a:cs typeface="+mn-cs"/>
            </a:rPr>
            <a:t>Added three example risks with example models (demonstration purposes only).  Added in some common risks seen on projects for team consideration.  Added in cost risk modeling which sums the cost impacts &amp; cost from schedule impacts to in order to capture total cost impacts associated with a risk item (versus having to build a model for both).  Added some built-in QC columns to check impacts which sometimes change after further evaluation.  Built in some Crystal Ball (CB) forecasts for each risk item to determine ROM impact costs for each cost &amp; schedule risk item; this information is used to automatically develop the graphs that are replacing the CB sensitivity charts.  </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J – Sensitivity Charts:</a:t>
          </a:r>
          <a:r>
            <a:rPr lang="en-US" sz="1100" baseline="0">
              <a:solidFill>
                <a:schemeClr val="lt1"/>
              </a:solidFill>
              <a:effectLst/>
              <a:latin typeface="+mn-lt"/>
              <a:ea typeface="+mn-ea"/>
              <a:cs typeface="+mn-cs"/>
            </a:rPr>
            <a:t>  </a:t>
          </a:r>
          <a:r>
            <a:rPr lang="en-US" sz="1100">
              <a:solidFill>
                <a:schemeClr val="lt1"/>
              </a:solidFill>
              <a:effectLst/>
              <a:latin typeface="+mn-lt"/>
              <a:ea typeface="+mn-ea"/>
              <a:cs typeface="+mn-cs"/>
            </a:rPr>
            <a:t>Summary of the major cost &amp; schedule risk items along with a graphical representation of their potential range of impacts at the 50%, 80%, and 90% confidence levels.</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K – Risk Dashboard:</a:t>
          </a:r>
          <a:r>
            <a:rPr lang="en-US" sz="1100">
              <a:solidFill>
                <a:schemeClr val="lt1"/>
              </a:solidFill>
              <a:effectLst/>
              <a:latin typeface="+mn-lt"/>
              <a:ea typeface="+mn-ea"/>
              <a:cs typeface="+mn-cs"/>
            </a:rPr>
            <a:t>  Now broken out into two tabs (cost and schedule) in order to add more graphics to the top of the page.  Also added in responsibility/POC data to the summary.</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L – Charts for Report:</a:t>
          </a:r>
          <a:r>
            <a:rPr lang="en-US" sz="1100">
              <a:solidFill>
                <a:schemeClr val="lt1"/>
              </a:solidFill>
              <a:effectLst/>
              <a:latin typeface="+mn-lt"/>
              <a:ea typeface="+mn-ea"/>
              <a:cs typeface="+mn-cs"/>
            </a:rPr>
            <a:t>  Added to quickly copy and paste top risk items to the report.  Summaries are automatically generated.</a:t>
          </a:r>
        </a:p>
        <a:p>
          <a:endParaRPr lang="en-US" sz="1100">
            <a:solidFill>
              <a:schemeClr val="lt1"/>
            </a:solidFill>
            <a:effectLst/>
            <a:latin typeface="+mn-lt"/>
            <a:ea typeface="+mn-ea"/>
            <a:cs typeface="+mn-cs"/>
          </a:endParaRPr>
        </a:p>
        <a:p>
          <a:r>
            <a:rPr lang="en-US" sz="1100" b="1" u="sng">
              <a:solidFill>
                <a:schemeClr val="lt1"/>
              </a:solidFill>
              <a:effectLst/>
              <a:latin typeface="+mn-lt"/>
              <a:ea typeface="+mn-ea"/>
              <a:cs typeface="+mn-cs"/>
            </a:rPr>
            <a:t>Optional Sheets Added</a:t>
          </a:r>
        </a:p>
        <a:p>
          <a:r>
            <a:rPr lang="en-US" sz="1100" u="sng">
              <a:solidFill>
                <a:schemeClr val="lt1"/>
              </a:solidFill>
              <a:effectLst/>
              <a:latin typeface="+mn-lt"/>
              <a:ea typeface="+mn-ea"/>
              <a:cs typeface="+mn-cs"/>
            </a:rPr>
            <a:t>E1 – Estimate Summary:</a:t>
          </a:r>
          <a:r>
            <a:rPr lang="en-US" sz="1100">
              <a:solidFill>
                <a:schemeClr val="lt1"/>
              </a:solidFill>
              <a:effectLst/>
              <a:latin typeface="+mn-lt"/>
              <a:ea typeface="+mn-ea"/>
              <a:cs typeface="+mn-cs"/>
            </a:rPr>
            <a:t>  Used to help communicate/summarize the estimate with more details possibly for linking with the modeling.</a:t>
          </a:r>
        </a:p>
        <a:p>
          <a:endParaRPr lang="en-US" sz="1100">
            <a:solidFill>
              <a:schemeClr val="lt1"/>
            </a:solidFill>
            <a:effectLst/>
            <a:latin typeface="+mn-lt"/>
            <a:ea typeface="+mn-ea"/>
            <a:cs typeface="+mn-cs"/>
          </a:endParaRPr>
        </a:p>
        <a:p>
          <a:r>
            <a:rPr lang="en-US" sz="1100" u="sng">
              <a:solidFill>
                <a:schemeClr val="lt1"/>
              </a:solidFill>
              <a:effectLst/>
              <a:latin typeface="+mn-lt"/>
              <a:ea typeface="+mn-ea"/>
              <a:cs typeface="+mn-cs"/>
            </a:rPr>
            <a:t>REF Risk Detail Template:</a:t>
          </a:r>
          <a:r>
            <a:rPr lang="en-US" sz="1100" baseline="0">
              <a:solidFill>
                <a:schemeClr val="lt1"/>
              </a:solidFill>
              <a:effectLst/>
              <a:latin typeface="+mn-lt"/>
              <a:ea typeface="+mn-ea"/>
              <a:cs typeface="+mn-cs"/>
            </a:rPr>
            <a:t>  </a:t>
          </a:r>
          <a:r>
            <a:rPr lang="en-US" sz="1100">
              <a:solidFill>
                <a:schemeClr val="lt1"/>
              </a:solidFill>
              <a:effectLst/>
              <a:latin typeface="+mn-lt"/>
              <a:ea typeface="+mn-ea"/>
              <a:cs typeface="+mn-cs"/>
            </a:rPr>
            <a:t>Template that can be copied and pasted to help document complex risk items. </a:t>
          </a:r>
        </a:p>
      </xdr:txBody>
    </xdr:sp>
    <xdr:clientData fPrintsWithSheet="0"/>
  </xdr:twoCellAnchor>
</xdr:wsDr>
</file>

<file path=xl/drawings/drawing10.xml><?xml version="1.0" encoding="utf-8"?>
<c:userShapes xmlns:c="http://schemas.openxmlformats.org/drawingml/2006/chart">
  <cdr:relSizeAnchor xmlns:cdr="http://schemas.openxmlformats.org/drawingml/2006/chartDrawing">
    <cdr:from>
      <cdr:x>0.00903</cdr:x>
      <cdr:y>0.00996</cdr:y>
    </cdr:from>
    <cdr:to>
      <cdr:x>0.34114</cdr:x>
      <cdr:y>0.21725</cdr:y>
    </cdr:to>
    <cdr:sp macro="" textlink="">
      <cdr:nvSpPr>
        <cdr:cNvPr id="4098" name="Text Box 2"/>
        <cdr:cNvSpPr txBox="1">
          <a:spLocks xmlns:a="http://schemas.openxmlformats.org/drawingml/2006/main" noChangeArrowheads="1"/>
        </cdr:cNvSpPr>
      </cdr:nvSpPr>
      <cdr:spPr bwMode="auto">
        <a:xfrm xmlns:a="http://schemas.openxmlformats.org/drawingml/2006/main">
          <a:off x="50800" y="50800"/>
          <a:ext cx="628269" cy="37841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en-US"/>
        </a:p>
      </cdr:txBody>
    </cdr:sp>
  </cdr:relSizeAnchor>
</c:userShapes>
</file>

<file path=xl/drawings/drawing11.xml><?xml version="1.0" encoding="utf-8"?>
<xdr:wsDr xmlns:xdr="http://schemas.openxmlformats.org/drawingml/2006/spreadsheetDrawing" xmlns:a="http://schemas.openxmlformats.org/drawingml/2006/main">
  <xdr:twoCellAnchor>
    <xdr:from>
      <xdr:col>13</xdr:col>
      <xdr:colOff>57150</xdr:colOff>
      <xdr:row>38</xdr:row>
      <xdr:rowOff>171451</xdr:rowOff>
    </xdr:from>
    <xdr:to>
      <xdr:col>15</xdr:col>
      <xdr:colOff>87630</xdr:colOff>
      <xdr:row>48</xdr:row>
      <xdr:rowOff>152401</xdr:rowOff>
    </xdr:to>
    <xdr:sp macro="" textlink="">
      <xdr:nvSpPr>
        <xdr:cNvPr id="7" name="Right Brace 6" descr="f4a23b8a-1685-4e02-81c2-bab4f401d815">
          <a:extLst>
            <a:ext uri="{FF2B5EF4-FFF2-40B4-BE49-F238E27FC236}">
              <a16:creationId xmlns:a16="http://schemas.microsoft.com/office/drawing/2014/main" id="{2FE5EF13-1AC8-A54D-E0DF-1FEE5224008D}"/>
            </a:ext>
          </a:extLst>
        </xdr:cNvPr>
        <xdr:cNvSpPr/>
      </xdr:nvSpPr>
      <xdr:spPr>
        <a:xfrm>
          <a:off x="18329910" y="7105651"/>
          <a:ext cx="1249680" cy="4042410"/>
        </a:xfrm>
        <a:prstGeom prst="rightBrace">
          <a:avLst>
            <a:gd name="adj1" fmla="val 8333"/>
            <a:gd name="adj2" fmla="val 49413"/>
          </a:avLst>
        </a:prstGeom>
        <a:ln w="57150">
          <a:solidFill>
            <a:srgbClr val="C00000"/>
          </a:solidFill>
        </a:ln>
      </xdr:spPr>
      <xdr:style>
        <a:lnRef idx="3">
          <a:schemeClr val="accent2"/>
        </a:lnRef>
        <a:fillRef idx="0">
          <a:schemeClr val="accent2"/>
        </a:fillRef>
        <a:effectRef idx="2">
          <a:schemeClr val="accent2"/>
        </a:effectRef>
        <a:fontRef idx="minor">
          <a:schemeClr val="tx1"/>
        </a:fontRef>
      </xdr:style>
      <xdr:txBody>
        <a:bodyPr vertOverflow="clip" horzOverflow="clip" rtlCol="0" anchor="t"/>
        <a:lstStyle/>
        <a:p>
          <a:pPr algn="l"/>
          <a:endParaRPr lang="en-US" sz="1100"/>
        </a:p>
      </xdr:txBody>
    </xdr:sp>
    <xdr:clientData/>
  </xdr:twoCellAnchor>
  <xdr:twoCellAnchor editAs="oneCell">
    <xdr:from>
      <xdr:col>15</xdr:col>
      <xdr:colOff>197896</xdr:colOff>
      <xdr:row>41</xdr:row>
      <xdr:rowOff>33392</xdr:rowOff>
    </xdr:from>
    <xdr:to>
      <xdr:col>19</xdr:col>
      <xdr:colOff>502696</xdr:colOff>
      <xdr:row>45</xdr:row>
      <xdr:rowOff>93455</xdr:rowOff>
    </xdr:to>
    <xdr:sp macro="" textlink="">
      <xdr:nvSpPr>
        <xdr:cNvPr id="8" name="TextBox 7">
          <a:extLst>
            <a:ext uri="{FF2B5EF4-FFF2-40B4-BE49-F238E27FC236}">
              <a16:creationId xmlns:a16="http://schemas.microsoft.com/office/drawing/2014/main" id="{5553AC14-7D29-924C-7B0C-828668A3E901}"/>
            </a:ext>
          </a:extLst>
        </xdr:cNvPr>
        <xdr:cNvSpPr txBox="1"/>
      </xdr:nvSpPr>
      <xdr:spPr>
        <a:xfrm>
          <a:off x="19696131" y="7644427"/>
          <a:ext cx="2743200" cy="777240"/>
        </a:xfrm>
        <a:prstGeom prst="rect">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Resize</a:t>
          </a:r>
          <a:r>
            <a:rPr lang="en-US" sz="1100" b="1" baseline="0">
              <a:solidFill>
                <a:schemeClr val="lt1"/>
              </a:solidFill>
              <a:effectLst/>
              <a:latin typeface="+mn-lt"/>
              <a:ea typeface="+mn-ea"/>
              <a:cs typeface="+mn-cs"/>
            </a:rPr>
            <a:t> cells after inputting top risk items in cells M41:M50 in the 'J-Sensitivity Charts' tab.</a:t>
          </a:r>
          <a:endParaRPr lang="en-US">
            <a:effectLst/>
          </a:endParaRPr>
        </a:p>
      </xdr:txBody>
    </xdr:sp>
    <xdr:clientData/>
  </xdr:twoCellAnchor>
  <xdr:oneCellAnchor>
    <xdr:from>
      <xdr:col>5</xdr:col>
      <xdr:colOff>23756</xdr:colOff>
      <xdr:row>10</xdr:row>
      <xdr:rowOff>50800</xdr:rowOff>
    </xdr:from>
    <xdr:ext cx="8503920" cy="4754880"/>
    <xdr:graphicFrame macro="">
      <xdr:nvGraphicFramePr>
        <xdr:cNvPr id="9" name="Chart 8">
          <a:extLst>
            <a:ext uri="{FF2B5EF4-FFF2-40B4-BE49-F238E27FC236}">
              <a16:creationId xmlns:a16="http://schemas.microsoft.com/office/drawing/2014/main" id="{397759BA-4729-48B8-8BE4-37C49241CA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twoCellAnchor>
    <xdr:from>
      <xdr:col>1</xdr:col>
      <xdr:colOff>137160</xdr:colOff>
      <xdr:row>10</xdr:row>
      <xdr:rowOff>50800</xdr:rowOff>
    </xdr:from>
    <xdr:to>
      <xdr:col>4</xdr:col>
      <xdr:colOff>3856168</xdr:colOff>
      <xdr:row>35</xdr:row>
      <xdr:rowOff>50800</xdr:rowOff>
    </xdr:to>
    <xdr:graphicFrame macro="">
      <xdr:nvGraphicFramePr>
        <xdr:cNvPr id="10" name="Chart 4">
          <a:extLst>
            <a:ext uri="{FF2B5EF4-FFF2-40B4-BE49-F238E27FC236}">
              <a16:creationId xmlns:a16="http://schemas.microsoft.com/office/drawing/2014/main" id="{B9A3AE26-A78B-4F91-984B-DF0EEB241B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0.00903</cdr:x>
      <cdr:y>0.00996</cdr:y>
    </cdr:from>
    <cdr:to>
      <cdr:x>0.34114</cdr:x>
      <cdr:y>0.21725</cdr:y>
    </cdr:to>
    <cdr:sp macro="" textlink="">
      <cdr:nvSpPr>
        <cdr:cNvPr id="4098" name="Text Box 2"/>
        <cdr:cNvSpPr txBox="1">
          <a:spLocks xmlns:a="http://schemas.openxmlformats.org/drawingml/2006/main" noChangeArrowheads="1"/>
        </cdr:cNvSpPr>
      </cdr:nvSpPr>
      <cdr:spPr bwMode="auto">
        <a:xfrm xmlns:a="http://schemas.openxmlformats.org/drawingml/2006/main">
          <a:off x="50800" y="50800"/>
          <a:ext cx="628269" cy="37841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en-US"/>
        </a:p>
      </cdr:txBody>
    </cdr:sp>
  </cdr:relSizeAnchor>
</c:userShapes>
</file>

<file path=xl/drawings/drawing13.xml><?xml version="1.0" encoding="utf-8"?>
<xdr:wsDr xmlns:xdr="http://schemas.openxmlformats.org/drawingml/2006/spreadsheetDrawing" xmlns:a="http://schemas.openxmlformats.org/drawingml/2006/main">
  <xdr:oneCellAnchor>
    <xdr:from>
      <xdr:col>1</xdr:col>
      <xdr:colOff>487678</xdr:colOff>
      <xdr:row>20</xdr:row>
      <xdr:rowOff>175262</xdr:rowOff>
    </xdr:from>
    <xdr:ext cx="6812280" cy="1082039"/>
    <xdr:sp macro="" textlink="">
      <xdr:nvSpPr>
        <xdr:cNvPr id="2" name="Rectangle 1" descr="0d82dbe2-7621-410d-8e61-04baf1a5a3a3">
          <a:extLst>
            <a:ext uri="{FF2B5EF4-FFF2-40B4-BE49-F238E27FC236}">
              <a16:creationId xmlns:a16="http://schemas.microsoft.com/office/drawing/2014/main" id="{4E3BA4B6-354D-31D3-860F-8773AF250375}"/>
            </a:ext>
          </a:extLst>
        </xdr:cNvPr>
        <xdr:cNvSpPr/>
      </xdr:nvSpPr>
      <xdr:spPr>
        <a:xfrm rot="18900000">
          <a:off x="906778" y="3954782"/>
          <a:ext cx="6812280" cy="1082039"/>
        </a:xfrm>
        <a:prstGeom prst="rect">
          <a:avLst/>
        </a:prstGeom>
        <a:noFill/>
      </xdr:spPr>
      <xdr:txBody>
        <a:bodyPr wrap="none" lIns="91440" tIns="45720" rIns="91440" bIns="45720">
          <a:noAutofit/>
        </a:bodyPr>
        <a:lstStyle/>
        <a:p>
          <a:pPr algn="ctr"/>
          <a:r>
            <a:rPr lang="en-US" sz="5400" b="1" cap="none" spc="0">
              <a:ln w="22225">
                <a:solidFill>
                  <a:schemeClr val="accent2"/>
                </a:solidFill>
                <a:prstDash val="solid"/>
              </a:ln>
              <a:solidFill>
                <a:schemeClr val="accent2">
                  <a:lumMod val="40000"/>
                  <a:lumOff val="60000"/>
                </a:schemeClr>
              </a:solidFill>
              <a:effectLst/>
            </a:rPr>
            <a:t>Example</a:t>
          </a:r>
          <a:r>
            <a:rPr lang="en-US" sz="5400" b="1" cap="none" spc="0" baseline="0">
              <a:ln w="22225">
                <a:solidFill>
                  <a:schemeClr val="accent2"/>
                </a:solidFill>
                <a:prstDash val="solid"/>
              </a:ln>
              <a:solidFill>
                <a:schemeClr val="accent2">
                  <a:lumMod val="40000"/>
                  <a:lumOff val="60000"/>
                </a:schemeClr>
              </a:solidFill>
              <a:effectLst/>
            </a:rPr>
            <a:t> Base Estimate Summary</a:t>
          </a:r>
        </a:p>
        <a:p>
          <a:pPr algn="ctr"/>
          <a:r>
            <a:rPr lang="en-US" sz="5400" b="1" cap="none" spc="0" baseline="0">
              <a:ln w="22225">
                <a:solidFill>
                  <a:schemeClr val="accent2"/>
                </a:solidFill>
                <a:prstDash val="solid"/>
              </a:ln>
              <a:solidFill>
                <a:schemeClr val="accent2">
                  <a:lumMod val="40000"/>
                  <a:lumOff val="60000"/>
                </a:schemeClr>
              </a:solidFill>
              <a:effectLst/>
            </a:rPr>
            <a:t>for Civil Works</a:t>
          </a:r>
        </a:p>
      </xdr:txBody>
    </xdr:sp>
    <xdr:clientData/>
  </xdr:oneCellAnchor>
  <xdr:twoCellAnchor editAs="oneCell">
    <xdr:from>
      <xdr:col>7</xdr:col>
      <xdr:colOff>205740</xdr:colOff>
      <xdr:row>4</xdr:row>
      <xdr:rowOff>7620</xdr:rowOff>
    </xdr:from>
    <xdr:to>
      <xdr:col>15</xdr:col>
      <xdr:colOff>167640</xdr:colOff>
      <xdr:row>19</xdr:row>
      <xdr:rowOff>182880</xdr:rowOff>
    </xdr:to>
    <xdr:sp macro="" textlink="">
      <xdr:nvSpPr>
        <xdr:cNvPr id="3" name="Arrow: Left-Right 2" descr="7d47c87b-54fd-4efb-bb62-4a36e2562f74">
          <a:extLst>
            <a:ext uri="{FF2B5EF4-FFF2-40B4-BE49-F238E27FC236}">
              <a16:creationId xmlns:a16="http://schemas.microsoft.com/office/drawing/2014/main" id="{8B7FA395-2D96-43C7-BB4E-5EAB24DB8CAD}"/>
            </a:ext>
          </a:extLst>
        </xdr:cNvPr>
        <xdr:cNvSpPr/>
      </xdr:nvSpPr>
      <xdr:spPr>
        <a:xfrm>
          <a:off x="8191500" y="830580"/>
          <a:ext cx="5943600" cy="2941320"/>
        </a:xfrm>
        <a:prstGeom prst="leftRightArrow">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r>
            <a:rPr lang="en-US" sz="1100" b="1" u="sng">
              <a:solidFill>
                <a:schemeClr val="lt1"/>
              </a:solidFill>
              <a:effectLst/>
              <a:latin typeface="+mn-lt"/>
              <a:ea typeface="+mn-ea"/>
              <a:cs typeface="+mn-cs"/>
            </a:rPr>
            <a:t>Example</a:t>
          </a:r>
          <a:r>
            <a:rPr lang="en-US" sz="1100" b="1" u="sng" baseline="0">
              <a:solidFill>
                <a:schemeClr val="lt1"/>
              </a:solidFill>
              <a:effectLst/>
              <a:latin typeface="+mn-lt"/>
              <a:ea typeface="+mn-ea"/>
              <a:cs typeface="+mn-cs"/>
            </a:rPr>
            <a:t> Summary of Base Estimate</a:t>
          </a:r>
          <a:endParaRPr lang="en-US" u="sng">
            <a:effectLst/>
          </a:endParaRPr>
        </a:p>
        <a:p>
          <a:r>
            <a:rPr lang="en-US" sz="1100" b="1" baseline="0">
              <a:solidFill>
                <a:schemeClr val="lt1"/>
              </a:solidFill>
              <a:effectLst/>
              <a:latin typeface="+mn-lt"/>
              <a:ea typeface="+mn-ea"/>
              <a:cs typeface="+mn-cs"/>
            </a:rPr>
            <a:t>This worksheet doesn't have to be used but it is a recommended best practice to include a summary of the base estimate for documentation purposes which can then also be used to link for modeling purposes.  This can look many different ways but is also recommended to be included in the risk report appendix for documentation purposes.</a:t>
          </a:r>
          <a:endParaRPr lang="en-US">
            <a:effectLst/>
          </a:endParaRPr>
        </a:p>
      </xdr:txBody>
    </xdr:sp>
    <xdr:clientData/>
  </xdr:twoCellAnchor>
  <xdr:oneCellAnchor>
    <xdr:from>
      <xdr:col>17</xdr:col>
      <xdr:colOff>45720</xdr:colOff>
      <xdr:row>6</xdr:row>
      <xdr:rowOff>148592</xdr:rowOff>
    </xdr:from>
    <xdr:ext cx="6812280" cy="1082039"/>
    <xdr:sp macro="" textlink="">
      <xdr:nvSpPr>
        <xdr:cNvPr id="4" name="Rectangle 3" descr="0d82dbe2-7621-410d-8e61-04baf1a5a3a3">
          <a:extLst>
            <a:ext uri="{FF2B5EF4-FFF2-40B4-BE49-F238E27FC236}">
              <a16:creationId xmlns:a16="http://schemas.microsoft.com/office/drawing/2014/main" id="{DED5555E-3F24-4F2B-A054-3143ADC1915B}"/>
            </a:ext>
          </a:extLst>
        </xdr:cNvPr>
        <xdr:cNvSpPr/>
      </xdr:nvSpPr>
      <xdr:spPr>
        <a:xfrm rot="20700000">
          <a:off x="14226540" y="1337312"/>
          <a:ext cx="6812280" cy="1082039"/>
        </a:xfrm>
        <a:prstGeom prst="rect">
          <a:avLst/>
        </a:prstGeom>
        <a:noFill/>
      </xdr:spPr>
      <xdr:txBody>
        <a:bodyPr wrap="none" lIns="91440" tIns="45720" rIns="91440" bIns="45720">
          <a:noAutofit/>
        </a:bodyPr>
        <a:lstStyle/>
        <a:p>
          <a:pPr algn="ctr"/>
          <a:r>
            <a:rPr lang="en-US" sz="5400" b="1" cap="none" spc="0">
              <a:ln w="22225">
                <a:solidFill>
                  <a:schemeClr val="accent2"/>
                </a:solidFill>
                <a:prstDash val="solid"/>
              </a:ln>
              <a:solidFill>
                <a:schemeClr val="accent2">
                  <a:lumMod val="40000"/>
                  <a:lumOff val="60000"/>
                </a:schemeClr>
              </a:solidFill>
              <a:effectLst/>
            </a:rPr>
            <a:t>Example</a:t>
          </a:r>
          <a:r>
            <a:rPr lang="en-US" sz="5400" b="1" cap="none" spc="0" baseline="0">
              <a:ln w="22225">
                <a:solidFill>
                  <a:schemeClr val="accent2"/>
                </a:solidFill>
                <a:prstDash val="solid"/>
              </a:ln>
              <a:solidFill>
                <a:schemeClr val="accent2">
                  <a:lumMod val="40000"/>
                  <a:lumOff val="60000"/>
                </a:schemeClr>
              </a:solidFill>
              <a:effectLst/>
            </a:rPr>
            <a:t> Base Estimate Summary</a:t>
          </a:r>
        </a:p>
        <a:p>
          <a:pPr algn="ctr"/>
          <a:r>
            <a:rPr lang="en-US" sz="5400" b="1" cap="none" spc="0" baseline="0">
              <a:ln w="22225">
                <a:solidFill>
                  <a:schemeClr val="accent2"/>
                </a:solidFill>
                <a:prstDash val="solid"/>
              </a:ln>
              <a:solidFill>
                <a:schemeClr val="accent2">
                  <a:lumMod val="40000"/>
                  <a:lumOff val="60000"/>
                </a:schemeClr>
              </a:solidFill>
              <a:effectLst/>
            </a:rPr>
            <a:t>for MILCON</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14</xdr:col>
      <xdr:colOff>121920</xdr:colOff>
      <xdr:row>2</xdr:row>
      <xdr:rowOff>99060</xdr:rowOff>
    </xdr:from>
    <xdr:to>
      <xdr:col>16</xdr:col>
      <xdr:colOff>342900</xdr:colOff>
      <xdr:row>8</xdr:row>
      <xdr:rowOff>38100</xdr:rowOff>
    </xdr:to>
    <xdr:sp macro="" textlink="">
      <xdr:nvSpPr>
        <xdr:cNvPr id="2" name="Rectangle: Rounded Corners 1" descr="7d47c87b-54fd-4efb-bb62-4a36e2562f74">
          <a:extLst>
            <a:ext uri="{FF2B5EF4-FFF2-40B4-BE49-F238E27FC236}">
              <a16:creationId xmlns:a16="http://schemas.microsoft.com/office/drawing/2014/main" id="{1874B06F-5C24-4924-8EDA-A5C8F27EFF24}"/>
            </a:ext>
          </a:extLst>
        </xdr:cNvPr>
        <xdr:cNvSpPr/>
      </xdr:nvSpPr>
      <xdr:spPr>
        <a:xfrm>
          <a:off x="8141970" y="556260"/>
          <a:ext cx="3935730" cy="3368040"/>
        </a:xfrm>
        <a:prstGeom prst="roundRect">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algn="l"/>
          <a:r>
            <a:rPr lang="en-US" sz="1100" b="1" u="sng"/>
            <a:t>For questions, comments,</a:t>
          </a:r>
          <a:r>
            <a:rPr lang="en-US" sz="1100" b="1" u="sng" baseline="0"/>
            <a:t> or assistance, please contact the following:</a:t>
          </a:r>
          <a:endParaRPr lang="en-US" sz="1100" b="1" u="sng"/>
        </a:p>
        <a:p>
          <a:pPr algn="l"/>
          <a:endParaRPr lang="en-US" sz="1100" b="1" u="sng"/>
        </a:p>
        <a:p>
          <a:pPr algn="l"/>
          <a:r>
            <a:rPr lang="en-US" sz="1100" b="0" i="0" u="none" strike="noStrike">
              <a:solidFill>
                <a:schemeClr val="bg1"/>
              </a:solidFill>
              <a:effectLst/>
              <a:latin typeface="+mn-lt"/>
              <a:ea typeface="+mn-ea"/>
              <a:cs typeface="+mn-cs"/>
            </a:rPr>
            <a:t>USACE</a:t>
          </a:r>
          <a:r>
            <a:rPr lang="en-US">
              <a:solidFill>
                <a:schemeClr val="bg1"/>
              </a:solidFill>
            </a:rPr>
            <a:t> </a:t>
          </a:r>
          <a:r>
            <a:rPr lang="en-US" sz="1100" b="0" i="0" u="none" strike="noStrike">
              <a:solidFill>
                <a:schemeClr val="bg1"/>
              </a:solidFill>
              <a:effectLst/>
              <a:latin typeface="+mn-lt"/>
              <a:ea typeface="+mn-ea"/>
              <a:cs typeface="+mn-cs"/>
            </a:rPr>
            <a:t>Brandon Scott (NWW)</a:t>
          </a:r>
          <a:r>
            <a:rPr lang="en-US">
              <a:solidFill>
                <a:schemeClr val="bg1"/>
              </a:solidFill>
            </a:rPr>
            <a:t> </a:t>
          </a:r>
          <a:r>
            <a:rPr lang="en-US" sz="1100" b="0" i="0" u="sng" strike="noStrike">
              <a:solidFill>
                <a:schemeClr val="bg1"/>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brandon.d.scott@usace.army.mil</a:t>
          </a:r>
          <a:endParaRPr lang="en-US" sz="1100" b="0" i="0" u="none" strike="noStrike">
            <a:solidFill>
              <a:schemeClr val="bg1"/>
            </a:solidFill>
            <a:effectLst/>
            <a:latin typeface="+mn-lt"/>
            <a:ea typeface="+mn-ea"/>
            <a:cs typeface="+mn-cs"/>
          </a:endParaRPr>
        </a:p>
        <a:p>
          <a:pPr algn="l"/>
          <a:endParaRPr lang="en-US" sz="1100" b="0" i="0" u="none" strike="noStrike">
            <a:solidFill>
              <a:schemeClr val="bg1"/>
            </a:solidFill>
            <a:effectLst/>
            <a:latin typeface="+mn-lt"/>
            <a:ea typeface="+mn-ea"/>
            <a:cs typeface="+mn-cs"/>
          </a:endParaRPr>
        </a:p>
        <a:p>
          <a:pPr algn="l"/>
          <a:r>
            <a:rPr lang="en-US" sz="1100" b="0" i="0" u="none" strike="noStrike">
              <a:solidFill>
                <a:schemeClr val="bg1"/>
              </a:solidFill>
              <a:effectLst/>
              <a:latin typeface="+mn-lt"/>
              <a:ea typeface="+mn-ea"/>
              <a:cs typeface="+mn-cs"/>
            </a:rPr>
            <a:t>NAVFAC</a:t>
          </a:r>
          <a:r>
            <a:rPr lang="en-US">
              <a:solidFill>
                <a:schemeClr val="bg1"/>
              </a:solidFill>
            </a:rPr>
            <a:t> </a:t>
          </a:r>
          <a:r>
            <a:rPr lang="en-US" sz="1100" b="0" i="0" u="none" strike="noStrike">
              <a:solidFill>
                <a:schemeClr val="bg1"/>
              </a:solidFill>
              <a:effectLst/>
              <a:latin typeface="+mn-lt"/>
              <a:ea typeface="+mn-ea"/>
              <a:cs typeface="+mn-cs"/>
            </a:rPr>
            <a:t>Ashley Kennedy (NAVFAC Atlantic)</a:t>
          </a:r>
          <a:r>
            <a:rPr lang="en-US">
              <a:solidFill>
                <a:schemeClr val="bg1"/>
              </a:solidFill>
            </a:rPr>
            <a:t> </a:t>
          </a:r>
          <a:r>
            <a:rPr lang="en-US" sz="1100" b="0" i="0" u="sng" strike="noStrike">
              <a:solidFill>
                <a:schemeClr val="bg1"/>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ashley.l.kennedy5.civ@us.navy.mil</a:t>
          </a:r>
          <a:endParaRPr lang="en-US" sz="1100" b="0" i="0" u="none" strike="noStrike">
            <a:solidFill>
              <a:schemeClr val="bg1"/>
            </a:solidFill>
            <a:effectLst/>
            <a:latin typeface="+mn-lt"/>
            <a:ea typeface="+mn-ea"/>
            <a:cs typeface="+mn-cs"/>
          </a:endParaRPr>
        </a:p>
        <a:p>
          <a:pPr algn="l"/>
          <a:endParaRPr lang="en-US" sz="1100" b="0" i="0" u="none" strike="noStrike">
            <a:solidFill>
              <a:schemeClr val="bg1"/>
            </a:solidFill>
            <a:effectLst/>
            <a:latin typeface="+mn-lt"/>
            <a:ea typeface="+mn-ea"/>
            <a:cs typeface="+mn-cs"/>
          </a:endParaRPr>
        </a:p>
        <a:p>
          <a:pPr algn="l"/>
          <a:r>
            <a:rPr lang="en-US" sz="1100" b="0" i="0" u="none" strike="noStrike">
              <a:solidFill>
                <a:schemeClr val="bg1"/>
              </a:solidFill>
              <a:effectLst/>
              <a:latin typeface="+mn-lt"/>
              <a:ea typeface="+mn-ea"/>
              <a:cs typeface="+mn-cs"/>
            </a:rPr>
            <a:t>USAF</a:t>
          </a:r>
          <a:r>
            <a:rPr lang="en-US">
              <a:solidFill>
                <a:schemeClr val="bg1"/>
              </a:solidFill>
            </a:rPr>
            <a:t> </a:t>
          </a:r>
          <a:r>
            <a:rPr lang="en-US" sz="1100" b="0" i="0" u="none" strike="noStrike">
              <a:solidFill>
                <a:schemeClr val="bg1"/>
              </a:solidFill>
              <a:effectLst/>
              <a:latin typeface="+mn-lt"/>
              <a:ea typeface="+mn-ea"/>
              <a:cs typeface="+mn-cs"/>
            </a:rPr>
            <a:t>Dean Hammonds (AFSEC/COSC)</a:t>
          </a:r>
          <a:r>
            <a:rPr lang="en-US">
              <a:solidFill>
                <a:schemeClr val="bg1"/>
              </a:solidFill>
            </a:rPr>
            <a:t> </a:t>
          </a:r>
          <a:r>
            <a:rPr lang="en-US" sz="1100" b="0" i="0" u="sng" strike="noStrike">
              <a:solidFill>
                <a:schemeClr val="bg1"/>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dean.hammonds@us.af.mil</a:t>
          </a:r>
          <a:endParaRPr lang="en-US" sz="1100" b="0" i="0" u="none" strike="noStrike">
            <a:solidFill>
              <a:schemeClr val="bg1"/>
            </a:solidFill>
            <a:effectLst/>
            <a:latin typeface="+mn-lt"/>
            <a:ea typeface="+mn-ea"/>
            <a:cs typeface="+mn-cs"/>
          </a:endParaRPr>
        </a:p>
        <a:p>
          <a:pPr algn="l"/>
          <a:endParaRPr lang="en-US" sz="1100" b="0" i="0" u="none" strike="noStrike">
            <a:solidFill>
              <a:schemeClr val="bg1"/>
            </a:solidFill>
            <a:effectLst/>
            <a:latin typeface="+mn-lt"/>
            <a:ea typeface="+mn-ea"/>
            <a:cs typeface="+mn-cs"/>
          </a:endParaRPr>
        </a:p>
        <a:p>
          <a:pPr algn="l"/>
          <a:r>
            <a:rPr lang="en-US" sz="1100" b="0" i="0" u="none" strike="noStrike">
              <a:solidFill>
                <a:schemeClr val="bg1"/>
              </a:solidFill>
              <a:effectLst/>
              <a:latin typeface="+mn-lt"/>
              <a:ea typeface="+mn-ea"/>
              <a:cs typeface="+mn-cs"/>
            </a:rPr>
            <a:t>VA</a:t>
          </a:r>
          <a:r>
            <a:rPr lang="en-US">
              <a:solidFill>
                <a:schemeClr val="bg1"/>
              </a:solidFill>
            </a:rPr>
            <a:t> </a:t>
          </a:r>
          <a:r>
            <a:rPr lang="en-US" sz="1100" b="0" i="0" u="none" strike="noStrike">
              <a:solidFill>
                <a:schemeClr val="bg1"/>
              </a:solidFill>
              <a:effectLst/>
              <a:latin typeface="+mn-lt"/>
              <a:ea typeface="+mn-ea"/>
              <a:cs typeface="+mn-cs"/>
            </a:rPr>
            <a:t>Dustin Sawyers (CFM CES)</a:t>
          </a:r>
          <a:r>
            <a:rPr lang="en-US">
              <a:solidFill>
                <a:schemeClr val="bg1"/>
              </a:solidFill>
            </a:rPr>
            <a:t> </a:t>
          </a:r>
          <a:r>
            <a:rPr lang="en-US" sz="1100" b="0" i="0" u="sng" strike="noStrike">
              <a:solidFill>
                <a:schemeClr val="bg1"/>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dustin.l.sawyers@usace.army.mil</a:t>
          </a:r>
          <a:r>
            <a:rPr lang="en-US">
              <a:solidFill>
                <a:schemeClr val="bg1"/>
              </a:solidFill>
            </a:rPr>
            <a:t> </a:t>
          </a:r>
          <a:endParaRPr lang="en-US" sz="1100" b="0" u="none" baseline="0">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93345</xdr:colOff>
      <xdr:row>3</xdr:row>
      <xdr:rowOff>51435</xdr:rowOff>
    </xdr:from>
    <xdr:to>
      <xdr:col>9</xdr:col>
      <xdr:colOff>238125</xdr:colOff>
      <xdr:row>9</xdr:row>
      <xdr:rowOff>47625</xdr:rowOff>
    </xdr:to>
    <xdr:sp macro="" textlink="">
      <xdr:nvSpPr>
        <xdr:cNvPr id="5" name="Callout: Left Arrow 4" descr="1a855b05-10af-4859-b3bf-e6dd1af0703d">
          <a:extLst>
            <a:ext uri="{FF2B5EF4-FFF2-40B4-BE49-F238E27FC236}">
              <a16:creationId xmlns:a16="http://schemas.microsoft.com/office/drawing/2014/main" id="{8920521B-937A-469A-ADCA-BF8ED80B8B71}"/>
            </a:ext>
          </a:extLst>
        </xdr:cNvPr>
        <xdr:cNvSpPr/>
      </xdr:nvSpPr>
      <xdr:spPr>
        <a:xfrm>
          <a:off x="6865620" y="718185"/>
          <a:ext cx="3783330" cy="1005840"/>
        </a:xfrm>
        <a:prstGeom prst="leftArrowCallout">
          <a:avLst>
            <a:gd name="adj1" fmla="val 25000"/>
            <a:gd name="adj2" fmla="val 25000"/>
            <a:gd name="adj3" fmla="val 41339"/>
            <a:gd name="adj4" fmla="val 77635"/>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This</a:t>
          </a:r>
          <a:r>
            <a:rPr lang="en-US" sz="1100" b="1" baseline="0">
              <a:solidFill>
                <a:schemeClr val="lt1"/>
              </a:solidFill>
              <a:effectLst/>
              <a:latin typeface="+mn-lt"/>
              <a:ea typeface="+mn-ea"/>
              <a:cs typeface="+mn-cs"/>
            </a:rPr>
            <a:t> value sets the displayed confidence level on the I- Project Contingency tab and various other places... currently the accepted values are 50% for MILCON, 80% for Civil Works, and 85% for NAVFAC.</a:t>
          </a:r>
          <a:endParaRPr lang="en-US" sz="1100" b="1">
            <a:solidFill>
              <a:schemeClr val="lt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7</xdr:col>
      <xdr:colOff>32385</xdr:colOff>
      <xdr:row>49</xdr:row>
      <xdr:rowOff>108585</xdr:rowOff>
    </xdr:from>
    <xdr:to>
      <xdr:col>12</xdr:col>
      <xdr:colOff>453390</xdr:colOff>
      <xdr:row>53</xdr:row>
      <xdr:rowOff>89535</xdr:rowOff>
    </xdr:to>
    <xdr:sp macro="" textlink="">
      <xdr:nvSpPr>
        <xdr:cNvPr id="13" name="Callout: Left Arrow 12" descr="1a855b05-10af-4859-b3bf-e6dd1af0703d">
          <a:extLst>
            <a:ext uri="{FF2B5EF4-FFF2-40B4-BE49-F238E27FC236}">
              <a16:creationId xmlns:a16="http://schemas.microsoft.com/office/drawing/2014/main" id="{30DBFC93-E9CC-488E-A518-015B3E939766}"/>
            </a:ext>
          </a:extLst>
        </xdr:cNvPr>
        <xdr:cNvSpPr/>
      </xdr:nvSpPr>
      <xdr:spPr>
        <a:xfrm>
          <a:off x="12483465" y="9176385"/>
          <a:ext cx="3827145" cy="735330"/>
        </a:xfrm>
        <a:prstGeom prst="leftArrowCallout">
          <a:avLst>
            <a:gd name="adj1" fmla="val 25000"/>
            <a:gd name="adj2" fmla="val 25000"/>
            <a:gd name="adj3" fmla="val 41339"/>
            <a:gd name="adj4" fmla="val 77635"/>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If you want to use the cost</a:t>
          </a:r>
          <a:r>
            <a:rPr lang="en-US" sz="1100" b="1" baseline="0">
              <a:solidFill>
                <a:schemeClr val="lt1"/>
              </a:solidFill>
              <a:effectLst/>
              <a:latin typeface="+mn-lt"/>
              <a:ea typeface="+mn-ea"/>
              <a:cs typeface="+mn-cs"/>
            </a:rPr>
            <a:t> by confidence chart that plots the PROGRAMMED AMOUNT  on the PROJECT CONTINGENCY TAB - Enter the Programmed Amount here. </a:t>
          </a:r>
          <a:endParaRPr lang="en-US" sz="1100" b="1">
            <a:solidFill>
              <a:schemeClr val="lt1"/>
            </a:solidFill>
            <a:effectLst/>
            <a:latin typeface="+mn-lt"/>
            <a:ea typeface="+mn-ea"/>
            <a:cs typeface="+mn-cs"/>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editAs="oneCell">
    <xdr:from>
      <xdr:col>5</xdr:col>
      <xdr:colOff>233083</xdr:colOff>
      <xdr:row>15</xdr:row>
      <xdr:rowOff>1</xdr:rowOff>
    </xdr:from>
    <xdr:to>
      <xdr:col>7</xdr:col>
      <xdr:colOff>744967</xdr:colOff>
      <xdr:row>22</xdr:row>
      <xdr:rowOff>71719</xdr:rowOff>
    </xdr:to>
    <xdr:sp macro="" textlink="">
      <xdr:nvSpPr>
        <xdr:cNvPr id="10" name="Arrow: Left 9" descr="7d47c87b-54fd-4efb-bb62-4a36e2562f74">
          <a:extLst>
            <a:ext uri="{FF2B5EF4-FFF2-40B4-BE49-F238E27FC236}">
              <a16:creationId xmlns:a16="http://schemas.microsoft.com/office/drawing/2014/main" id="{52DC39CB-6567-4ABA-87E8-9D85DF855AB5}"/>
            </a:ext>
          </a:extLst>
        </xdr:cNvPr>
        <xdr:cNvSpPr/>
      </xdr:nvSpPr>
      <xdr:spPr>
        <a:xfrm>
          <a:off x="4401671" y="3370730"/>
          <a:ext cx="3093720" cy="1335742"/>
        </a:xfrm>
        <a:prstGeom prst="leftArrow">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algn="l"/>
          <a:r>
            <a:rPr lang="en-US" sz="1100" b="1"/>
            <a:t>Any changes to these assumptions will change the assumptions in the models.</a:t>
          </a:r>
        </a:p>
      </xdr:txBody>
    </xdr:sp>
    <xdr:clientData/>
  </xdr:twoCellAnchor>
  <xdr:twoCellAnchor editAs="oneCell">
    <xdr:from>
      <xdr:col>5</xdr:col>
      <xdr:colOff>251011</xdr:colOff>
      <xdr:row>35</xdr:row>
      <xdr:rowOff>134470</xdr:rowOff>
    </xdr:from>
    <xdr:to>
      <xdr:col>7</xdr:col>
      <xdr:colOff>762895</xdr:colOff>
      <xdr:row>42</xdr:row>
      <xdr:rowOff>8965</xdr:rowOff>
    </xdr:to>
    <xdr:sp macro="" textlink="">
      <xdr:nvSpPr>
        <xdr:cNvPr id="11" name="Arrow: Left 10" descr="7d47c87b-54fd-4efb-bb62-4a36e2562f74">
          <a:extLst>
            <a:ext uri="{FF2B5EF4-FFF2-40B4-BE49-F238E27FC236}">
              <a16:creationId xmlns:a16="http://schemas.microsoft.com/office/drawing/2014/main" id="{96D1B73E-B8C3-4402-B09B-7035B8004520}"/>
            </a:ext>
          </a:extLst>
        </xdr:cNvPr>
        <xdr:cNvSpPr/>
      </xdr:nvSpPr>
      <xdr:spPr>
        <a:xfrm>
          <a:off x="4419599" y="8364070"/>
          <a:ext cx="3093720" cy="1335742"/>
        </a:xfrm>
        <a:prstGeom prst="leftArrow">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algn="l"/>
          <a:r>
            <a:rPr lang="en-US" sz="1100" b="1"/>
            <a:t>Any changes to these assumptions will change the assumptions in the models.</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24</xdr:col>
      <xdr:colOff>0</xdr:colOff>
      <xdr:row>1</xdr:row>
      <xdr:rowOff>63500</xdr:rowOff>
    </xdr:from>
    <xdr:to>
      <xdr:col>27</xdr:col>
      <xdr:colOff>999914</xdr:colOff>
      <xdr:row>13</xdr:row>
      <xdr:rowOff>107128</xdr:rowOff>
    </xdr:to>
    <xdr:sp macro="" textlink="">
      <xdr:nvSpPr>
        <xdr:cNvPr id="3" name="Callout: Down Arrow 2" descr="ad715ed1-4606-402c-b63a-cc381bd8a56a">
          <a:extLst>
            <a:ext uri="{FF2B5EF4-FFF2-40B4-BE49-F238E27FC236}">
              <a16:creationId xmlns:a16="http://schemas.microsoft.com/office/drawing/2014/main" id="{7EC5E9C8-1135-4C80-9539-3CA0D58EE801}"/>
            </a:ext>
          </a:extLst>
        </xdr:cNvPr>
        <xdr:cNvSpPr/>
      </xdr:nvSpPr>
      <xdr:spPr>
        <a:xfrm>
          <a:off x="31882080" y="342900"/>
          <a:ext cx="3336714" cy="2431228"/>
        </a:xfrm>
        <a:prstGeom prst="downArrowCallout">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indent="0" algn="l"/>
          <a:r>
            <a:rPr lang="en-US" sz="1100" b="1" u="sng">
              <a:solidFill>
                <a:schemeClr val="lt1"/>
              </a:solidFill>
              <a:latin typeface="+mn-lt"/>
              <a:ea typeface="+mn-ea"/>
              <a:cs typeface="+mn-cs"/>
            </a:rPr>
            <a:t>TWO-STEP:</a:t>
          </a:r>
          <a:r>
            <a:rPr lang="en-US" sz="1100" b="1">
              <a:solidFill>
                <a:schemeClr val="lt1"/>
              </a:solidFill>
              <a:latin typeface="+mn-lt"/>
              <a:ea typeface="+mn-ea"/>
              <a:cs typeface="+mn-cs"/>
            </a:rPr>
            <a:t>  </a:t>
          </a:r>
          <a:r>
            <a:rPr lang="en-US" sz="1100" b="1">
              <a:solidFill>
                <a:schemeClr val="lt1"/>
              </a:solidFill>
              <a:effectLst/>
              <a:latin typeface="+mn-lt"/>
              <a:ea typeface="+mn-ea"/>
              <a:cs typeface="+mn-cs"/>
            </a:rPr>
            <a:t>Default is 100%.  If this is a significant event and a two-step is utilized, then define the probability of occurrence.</a:t>
          </a:r>
        </a:p>
        <a:p>
          <a:pPr marL="0" indent="0" algn="l"/>
          <a:endParaRPr lang="en-US" sz="1100" b="1">
            <a:solidFill>
              <a:schemeClr val="lt1"/>
            </a:solidFill>
            <a:effectLst/>
            <a:latin typeface="+mn-lt"/>
            <a:ea typeface="+mn-ea"/>
            <a:cs typeface="+mn-cs"/>
          </a:endParaRPr>
        </a:p>
        <a:p>
          <a:pPr marL="0" indent="0" algn="l"/>
          <a:r>
            <a:rPr lang="en-US" sz="1100" b="1" u="sng">
              <a:solidFill>
                <a:schemeClr val="lt1"/>
              </a:solidFill>
              <a:effectLst/>
              <a:latin typeface="+mn-lt"/>
              <a:ea typeface="+mn-ea"/>
              <a:cs typeface="+mn-cs"/>
            </a:rPr>
            <a:t>Event Prob:</a:t>
          </a:r>
          <a:r>
            <a:rPr lang="en-US" sz="1100" b="1" baseline="0">
              <a:solidFill>
                <a:schemeClr val="lt1"/>
              </a:solidFill>
              <a:effectLst/>
              <a:latin typeface="+mn-lt"/>
              <a:ea typeface="+mn-ea"/>
              <a:cs typeface="+mn-cs"/>
            </a:rPr>
            <a:t>  </a:t>
          </a:r>
          <a:r>
            <a:rPr lang="en-US" sz="1100" b="1">
              <a:solidFill>
                <a:schemeClr val="lt1"/>
              </a:solidFill>
              <a:effectLst/>
              <a:latin typeface="+mn-lt"/>
              <a:ea typeface="+mn-ea"/>
              <a:cs typeface="+mn-cs"/>
            </a:rPr>
            <a:t>Default is 1.  If this is a significant event and a two-step is utilized, then suggest use of "Yes/No" assumption curve or a binomial curve.</a:t>
          </a:r>
        </a:p>
        <a:p>
          <a:pPr marL="0" indent="0" algn="l"/>
          <a:endParaRPr lang="en-US" sz="1100" b="1">
            <a:solidFill>
              <a:schemeClr val="lt1"/>
            </a:solidFill>
            <a:latin typeface="+mn-lt"/>
            <a:ea typeface="+mn-ea"/>
            <a:cs typeface="+mn-cs"/>
          </a:endParaRPr>
        </a:p>
      </xdr:txBody>
    </xdr:sp>
    <xdr:clientData fPrintsWithSheet="0"/>
  </xdr:twoCellAnchor>
  <xdr:twoCellAnchor editAs="oneCell">
    <xdr:from>
      <xdr:col>29</xdr:col>
      <xdr:colOff>609600</xdr:colOff>
      <xdr:row>0</xdr:row>
      <xdr:rowOff>7620</xdr:rowOff>
    </xdr:from>
    <xdr:to>
      <xdr:col>33</xdr:col>
      <xdr:colOff>487680</xdr:colOff>
      <xdr:row>7</xdr:row>
      <xdr:rowOff>10160</xdr:rowOff>
    </xdr:to>
    <xdr:sp macro="" textlink="">
      <xdr:nvSpPr>
        <xdr:cNvPr id="2" name="Callout: Up Arrow 1" descr="3d13828b-352d-4eb2-ab37-6e753a36329e">
          <a:extLst>
            <a:ext uri="{FF2B5EF4-FFF2-40B4-BE49-F238E27FC236}">
              <a16:creationId xmlns:a16="http://schemas.microsoft.com/office/drawing/2014/main" id="{46238338-27E9-4B52-8034-4064D4DD17E5}"/>
            </a:ext>
          </a:extLst>
        </xdr:cNvPr>
        <xdr:cNvSpPr/>
      </xdr:nvSpPr>
      <xdr:spPr>
        <a:xfrm>
          <a:off x="35671760" y="7620"/>
          <a:ext cx="4226560" cy="1435100"/>
        </a:xfrm>
        <a:prstGeom prst="upArrowCallout">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lt1"/>
              </a:solidFill>
              <a:effectLst/>
              <a:latin typeface="+mn-lt"/>
              <a:ea typeface="+mn-ea"/>
              <a:cs typeface="+mn-cs"/>
            </a:rPr>
            <a:t>Make sure cells AE and AG sum all of the risks in  each column in the risk register. These totals feed the cost and schedule forecast on the project contingency tab!</a:t>
          </a:r>
        </a:p>
      </xdr:txBody>
    </xdr:sp>
    <xdr:clientData fPrintsWithSheet="0"/>
  </xdr:twoCellAnchor>
  <xdr:twoCellAnchor editAs="oneCell">
    <xdr:from>
      <xdr:col>46</xdr:col>
      <xdr:colOff>215900</xdr:colOff>
      <xdr:row>6</xdr:row>
      <xdr:rowOff>149860</xdr:rowOff>
    </xdr:from>
    <xdr:to>
      <xdr:col>189</xdr:col>
      <xdr:colOff>320887</xdr:colOff>
      <xdr:row>13</xdr:row>
      <xdr:rowOff>81728</xdr:rowOff>
    </xdr:to>
    <xdr:sp macro="" textlink="">
      <xdr:nvSpPr>
        <xdr:cNvPr id="4" name="Callout: Down Arrow 3" descr="ad715ed1-4606-402c-b63a-cc381bd8a56a">
          <a:extLst>
            <a:ext uri="{FF2B5EF4-FFF2-40B4-BE49-F238E27FC236}">
              <a16:creationId xmlns:a16="http://schemas.microsoft.com/office/drawing/2014/main" id="{006C482C-2D25-4298-A449-84817C22B74E}"/>
            </a:ext>
          </a:extLst>
        </xdr:cNvPr>
        <xdr:cNvSpPr/>
      </xdr:nvSpPr>
      <xdr:spPr>
        <a:xfrm>
          <a:off x="47625000" y="1445260"/>
          <a:ext cx="3322320" cy="1303468"/>
        </a:xfrm>
        <a:prstGeom prst="downArrowCallout">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indent="0" algn="l"/>
          <a:r>
            <a:rPr lang="en-US" sz="1100" b="1" u="none">
              <a:solidFill>
                <a:schemeClr val="lt1"/>
              </a:solidFill>
              <a:latin typeface="+mn-lt"/>
              <a:ea typeface="+mn-ea"/>
              <a:cs typeface="+mn-cs"/>
            </a:rPr>
            <a:t>If cells are</a:t>
          </a:r>
          <a:r>
            <a:rPr lang="en-US" sz="1100" b="1" u="none" baseline="0">
              <a:solidFill>
                <a:schemeClr val="lt1"/>
              </a:solidFill>
              <a:latin typeface="+mn-lt"/>
              <a:ea typeface="+mn-ea"/>
              <a:cs typeface="+mn-cs"/>
            </a:rPr>
            <a:t> added or inserted in the risk register, double-check to make sure the forecasts and formulas from columns AU:GB are updated.</a:t>
          </a:r>
          <a:endParaRPr lang="en-US" sz="1100" b="1" u="none">
            <a:solidFill>
              <a:schemeClr val="lt1"/>
            </a:solidFill>
            <a:latin typeface="+mn-lt"/>
            <a:ea typeface="+mn-ea"/>
            <a:cs typeface="+mn-cs"/>
          </a:endParaRPr>
        </a:p>
      </xdr:txBody>
    </xdr:sp>
    <xdr:clientData fPrintsWithSheet="0"/>
  </xdr:twoCellAnchor>
  <xdr:twoCellAnchor editAs="oneCell">
    <xdr:from>
      <xdr:col>34</xdr:col>
      <xdr:colOff>71120</xdr:colOff>
      <xdr:row>1</xdr:row>
      <xdr:rowOff>91440</xdr:rowOff>
    </xdr:from>
    <xdr:to>
      <xdr:col>34</xdr:col>
      <xdr:colOff>4364355</xdr:colOff>
      <xdr:row>14</xdr:row>
      <xdr:rowOff>13148</xdr:rowOff>
    </xdr:to>
    <xdr:sp macro="" textlink="">
      <xdr:nvSpPr>
        <xdr:cNvPr id="5" name="Callout: Down Arrow 4" descr="ad715ed1-4606-402c-b63a-cc381bd8a56a">
          <a:extLst>
            <a:ext uri="{FF2B5EF4-FFF2-40B4-BE49-F238E27FC236}">
              <a16:creationId xmlns:a16="http://schemas.microsoft.com/office/drawing/2014/main" id="{683AB63D-1E91-4561-AE62-283A535B1705}"/>
            </a:ext>
          </a:extLst>
        </xdr:cNvPr>
        <xdr:cNvSpPr/>
      </xdr:nvSpPr>
      <xdr:spPr>
        <a:xfrm>
          <a:off x="20756880" y="365760"/>
          <a:ext cx="4378960" cy="2431228"/>
        </a:xfrm>
        <a:prstGeom prst="downArrowCallout">
          <a:avLst>
            <a:gd name="adj1" fmla="val 9922"/>
            <a:gd name="adj2" fmla="val 15953"/>
            <a:gd name="adj3" fmla="val 9546"/>
            <a:gd name="adj4" fmla="val 80809"/>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indent="0" algn="l"/>
          <a:r>
            <a:rPr lang="en-US" sz="1100" b="1" u="sng">
              <a:solidFill>
                <a:schemeClr val="lt1"/>
              </a:solidFill>
              <a:latin typeface="+mn-lt"/>
              <a:ea typeface="+mn-ea"/>
              <a:cs typeface="+mn-cs"/>
            </a:rPr>
            <a:t>Examples:  </a:t>
          </a:r>
        </a:p>
        <a:p>
          <a:pPr marL="0" indent="0" algn="l"/>
          <a:r>
            <a:rPr lang="en-US" sz="1100" b="1" u="sng">
              <a:solidFill>
                <a:schemeClr val="lt1"/>
              </a:solidFill>
              <a:latin typeface="+mn-lt"/>
              <a:ea typeface="+mn-ea"/>
              <a:cs typeface="+mn-cs"/>
            </a:rPr>
            <a:t>Mitigate</a:t>
          </a:r>
          <a:r>
            <a:rPr lang="en-US" sz="1100" b="1" u="none">
              <a:solidFill>
                <a:schemeClr val="lt1"/>
              </a:solidFill>
              <a:latin typeface="+mn-lt"/>
              <a:ea typeface="+mn-ea"/>
              <a:cs typeface="+mn-cs"/>
            </a:rPr>
            <a:t>.  The team can reach out to the suppliers to get estimated design and fabrication durations to help ensure our construction schedule captures the appropriate time.</a:t>
          </a:r>
        </a:p>
        <a:p>
          <a:pPr marL="0" indent="0" algn="l"/>
          <a:r>
            <a:rPr lang="en-US" sz="1100" b="1" u="sng">
              <a:solidFill>
                <a:schemeClr val="lt1"/>
              </a:solidFill>
              <a:latin typeface="+mn-lt"/>
              <a:ea typeface="+mn-ea"/>
              <a:cs typeface="+mn-cs"/>
            </a:rPr>
            <a:t>Accept</a:t>
          </a:r>
          <a:r>
            <a:rPr lang="en-US" sz="1100" b="1" u="none">
              <a:solidFill>
                <a:schemeClr val="lt1"/>
              </a:solidFill>
              <a:latin typeface="+mn-lt"/>
              <a:ea typeface="+mn-ea"/>
              <a:cs typeface="+mn-cs"/>
            </a:rPr>
            <a:t>.  If the schedule is accelerated, the estimate, schedule, and CSRA will be updated to reflect the new project schedule which could reduce costs and risks (ex. inflation risk).</a:t>
          </a:r>
        </a:p>
        <a:p>
          <a:pPr marL="0" indent="0" algn="l"/>
          <a:r>
            <a:rPr lang="en-US" sz="1100" b="1" u="sng">
              <a:solidFill>
                <a:schemeClr val="lt1"/>
              </a:solidFill>
              <a:latin typeface="+mn-lt"/>
              <a:ea typeface="+mn-ea"/>
              <a:cs typeface="+mn-cs"/>
            </a:rPr>
            <a:t>Accept/Mitigate</a:t>
          </a:r>
          <a:r>
            <a:rPr lang="en-US" sz="1100" b="1" u="none">
              <a:solidFill>
                <a:schemeClr val="lt1"/>
              </a:solidFill>
              <a:latin typeface="+mn-lt"/>
              <a:ea typeface="+mn-ea"/>
              <a:cs typeface="+mn-cs"/>
            </a:rPr>
            <a:t>.  Industry day and discussions with interested vendors or contractors can help promote awareness and competition.  The more bids we receive typically results in more competition.</a:t>
          </a:r>
        </a:p>
      </xdr:txBody>
    </xdr:sp>
    <xdr:clientData fPrintsWithSheet="0"/>
  </xdr:twoCellAnchor>
  <xdr:twoCellAnchor editAs="oneCell">
    <xdr:from>
      <xdr:col>28</xdr:col>
      <xdr:colOff>431800</xdr:colOff>
      <xdr:row>7</xdr:row>
      <xdr:rowOff>50800</xdr:rowOff>
    </xdr:from>
    <xdr:to>
      <xdr:col>30</xdr:col>
      <xdr:colOff>492125</xdr:colOff>
      <xdr:row>14</xdr:row>
      <xdr:rowOff>3306</xdr:rowOff>
    </xdr:to>
    <xdr:sp macro="" textlink="">
      <xdr:nvSpPr>
        <xdr:cNvPr id="7" name="Callout: Down Arrow 6" descr="ad715ed1-4606-402c-b63a-cc381bd8a56a">
          <a:extLst>
            <a:ext uri="{FF2B5EF4-FFF2-40B4-BE49-F238E27FC236}">
              <a16:creationId xmlns:a16="http://schemas.microsoft.com/office/drawing/2014/main" id="{CB6412F3-025B-4EBD-AB05-6AC0E8B3662B}"/>
            </a:ext>
          </a:extLst>
        </xdr:cNvPr>
        <xdr:cNvSpPr/>
      </xdr:nvSpPr>
      <xdr:spPr>
        <a:xfrm>
          <a:off x="33451800" y="1549400"/>
          <a:ext cx="2168525" cy="1324106"/>
        </a:xfrm>
        <a:prstGeom prst="downArrowCallout">
          <a:avLst>
            <a:gd name="adj1" fmla="val 31556"/>
            <a:gd name="adj2" fmla="val 25000"/>
            <a:gd name="adj3" fmla="val 25000"/>
            <a:gd name="adj4" fmla="val 64977"/>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indent="0" algn="l"/>
          <a:r>
            <a:rPr lang="en-US" sz="1100" b="1" u="none">
              <a:solidFill>
                <a:schemeClr val="lt1"/>
              </a:solidFill>
              <a:latin typeface="+mn-lt"/>
              <a:ea typeface="+mn-ea"/>
              <a:cs typeface="+mn-cs"/>
            </a:rPr>
            <a:t>Naming syntax for</a:t>
          </a:r>
          <a:r>
            <a:rPr lang="en-US" sz="1100" b="1" u="none" baseline="0">
              <a:solidFill>
                <a:schemeClr val="lt1"/>
              </a:solidFill>
              <a:latin typeface="+mn-lt"/>
              <a:ea typeface="+mn-ea"/>
              <a:cs typeface="+mn-cs"/>
            </a:rPr>
            <a:t> Cost</a:t>
          </a:r>
          <a:r>
            <a:rPr lang="en-US" sz="1100" b="1" u="none">
              <a:solidFill>
                <a:schemeClr val="lt1"/>
              </a:solidFill>
              <a:latin typeface="+mn-lt"/>
              <a:ea typeface="+mn-ea"/>
              <a:cs typeface="+mn-cs"/>
            </a:rPr>
            <a:t> risk use </a:t>
          </a:r>
        </a:p>
        <a:p>
          <a:pPr marL="0" indent="0" algn="l"/>
          <a:r>
            <a:rPr lang="en-US" sz="1100" b="1" u="none">
              <a:solidFill>
                <a:schemeClr val="lt1"/>
              </a:solidFill>
              <a:latin typeface="+mn-lt"/>
              <a:ea typeface="+mn-ea"/>
              <a:cs typeface="+mn-cs"/>
            </a:rPr>
            <a:t>=AD$17&amp;": "&amp;$A18&amp;" - "&amp;$C18</a:t>
          </a:r>
        </a:p>
        <a:p>
          <a:pPr marL="0" indent="0" algn="l"/>
          <a:r>
            <a:rPr lang="en-US" sz="1100" b="1" u="none">
              <a:solidFill>
                <a:schemeClr val="lt1"/>
              </a:solidFill>
              <a:latin typeface="+mn-lt"/>
              <a:ea typeface="+mn-ea"/>
              <a:cs typeface="+mn-cs"/>
            </a:rPr>
            <a:t>in Crystal</a:t>
          </a:r>
          <a:r>
            <a:rPr lang="en-US" sz="1100" b="1" u="none" baseline="0">
              <a:solidFill>
                <a:schemeClr val="lt1"/>
              </a:solidFill>
              <a:latin typeface="+mn-lt"/>
              <a:ea typeface="+mn-ea"/>
              <a:cs typeface="+mn-cs"/>
            </a:rPr>
            <a:t> Ball shape name for first risk then copy to the rest</a:t>
          </a:r>
        </a:p>
        <a:p>
          <a:pPr marL="0" indent="0" algn="l"/>
          <a:endParaRPr lang="en-US" sz="1100" b="1" u="none">
            <a:solidFill>
              <a:schemeClr val="lt1"/>
            </a:solidFill>
            <a:latin typeface="+mn-lt"/>
            <a:ea typeface="+mn-ea"/>
            <a:cs typeface="+mn-cs"/>
          </a:endParaRPr>
        </a:p>
      </xdr:txBody>
    </xdr:sp>
    <xdr:clientData fPrintsWithSheet="0"/>
  </xdr:twoCellAnchor>
  <xdr:twoCellAnchor editAs="oneCell">
    <xdr:from>
      <xdr:col>30</xdr:col>
      <xdr:colOff>647700</xdr:colOff>
      <xdr:row>7</xdr:row>
      <xdr:rowOff>63500</xdr:rowOff>
    </xdr:from>
    <xdr:to>
      <xdr:col>32</xdr:col>
      <xdr:colOff>708025</xdr:colOff>
      <xdr:row>14</xdr:row>
      <xdr:rowOff>66806</xdr:rowOff>
    </xdr:to>
    <xdr:sp macro="" textlink="">
      <xdr:nvSpPr>
        <xdr:cNvPr id="9" name="Callout: Down Arrow 8" descr="ad715ed1-4606-402c-b63a-cc381bd8a56a">
          <a:extLst>
            <a:ext uri="{FF2B5EF4-FFF2-40B4-BE49-F238E27FC236}">
              <a16:creationId xmlns:a16="http://schemas.microsoft.com/office/drawing/2014/main" id="{2EA39EB9-AD71-4C8E-95B9-716D78130795}"/>
            </a:ext>
          </a:extLst>
        </xdr:cNvPr>
        <xdr:cNvSpPr/>
      </xdr:nvSpPr>
      <xdr:spPr>
        <a:xfrm>
          <a:off x="35775900" y="1562100"/>
          <a:ext cx="2168525" cy="1374906"/>
        </a:xfrm>
        <a:prstGeom prst="downArrowCallout">
          <a:avLst>
            <a:gd name="adj1" fmla="val 31556"/>
            <a:gd name="adj2" fmla="val 25000"/>
            <a:gd name="adj3" fmla="val 25000"/>
            <a:gd name="adj4" fmla="val 64977"/>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indent="0" algn="l"/>
          <a:r>
            <a:rPr lang="en-US" sz="1100" b="1" u="none">
              <a:solidFill>
                <a:schemeClr val="lt1"/>
              </a:solidFill>
              <a:latin typeface="+mn-lt"/>
              <a:ea typeface="+mn-ea"/>
              <a:cs typeface="+mn-cs"/>
            </a:rPr>
            <a:t>Naming syntax for</a:t>
          </a:r>
          <a:r>
            <a:rPr lang="en-US" sz="1100" b="1" u="none" baseline="0">
              <a:solidFill>
                <a:schemeClr val="lt1"/>
              </a:solidFill>
              <a:latin typeface="+mn-lt"/>
              <a:ea typeface="+mn-ea"/>
              <a:cs typeface="+mn-cs"/>
            </a:rPr>
            <a:t> Schedule </a:t>
          </a:r>
          <a:r>
            <a:rPr lang="en-US" sz="1100" b="1" u="none">
              <a:solidFill>
                <a:schemeClr val="lt1"/>
              </a:solidFill>
              <a:latin typeface="+mn-lt"/>
              <a:ea typeface="+mn-ea"/>
              <a:cs typeface="+mn-cs"/>
            </a:rPr>
            <a:t>risk </a:t>
          </a:r>
        </a:p>
        <a:p>
          <a:pPr marL="0" indent="0" algn="l"/>
          <a:r>
            <a:rPr lang="en-US" sz="1100" b="1" u="none">
              <a:solidFill>
                <a:schemeClr val="lt1"/>
              </a:solidFill>
              <a:latin typeface="+mn-lt"/>
              <a:ea typeface="+mn-ea"/>
              <a:cs typeface="+mn-cs"/>
            </a:rPr>
            <a:t>=AF$17&amp;": "&amp;$A18&amp;" - "&amp;$C18</a:t>
          </a:r>
        </a:p>
        <a:p>
          <a:pPr marL="0" indent="0" algn="l"/>
          <a:r>
            <a:rPr lang="en-US" sz="1100" b="1" u="none">
              <a:solidFill>
                <a:schemeClr val="lt1"/>
              </a:solidFill>
              <a:latin typeface="+mn-lt"/>
              <a:ea typeface="+mn-ea"/>
              <a:cs typeface="+mn-cs"/>
            </a:rPr>
            <a:t>in Crystal</a:t>
          </a:r>
          <a:r>
            <a:rPr lang="en-US" sz="1100" b="1" u="none" baseline="0">
              <a:solidFill>
                <a:schemeClr val="lt1"/>
              </a:solidFill>
              <a:latin typeface="+mn-lt"/>
              <a:ea typeface="+mn-ea"/>
              <a:cs typeface="+mn-cs"/>
            </a:rPr>
            <a:t> Ball shape name  for first risk then copy to the rest</a:t>
          </a:r>
          <a:endParaRPr lang="en-US" sz="1100" b="1" u="none">
            <a:solidFill>
              <a:schemeClr val="lt1"/>
            </a:solidFill>
            <a:latin typeface="+mn-lt"/>
            <a:ea typeface="+mn-ea"/>
            <a:cs typeface="+mn-cs"/>
          </a:endParaRPr>
        </a:p>
      </xdr:txBody>
    </xdr:sp>
    <xdr:clientData fPrintsWithSheet="0"/>
  </xdr:twoCellAnchor>
  <xdr:twoCellAnchor editAs="oneCell">
    <xdr:from>
      <xdr:col>16</xdr:col>
      <xdr:colOff>444500</xdr:colOff>
      <xdr:row>5</xdr:row>
      <xdr:rowOff>88900</xdr:rowOff>
    </xdr:from>
    <xdr:to>
      <xdr:col>22</xdr:col>
      <xdr:colOff>355600</xdr:colOff>
      <xdr:row>12</xdr:row>
      <xdr:rowOff>41406</xdr:rowOff>
    </xdr:to>
    <xdr:sp macro="" textlink="">
      <xdr:nvSpPr>
        <xdr:cNvPr id="10" name="Callout: Down Arrow 9" descr="ad715ed1-4606-402c-b63a-cc381bd8a56a">
          <a:extLst>
            <a:ext uri="{FF2B5EF4-FFF2-40B4-BE49-F238E27FC236}">
              <a16:creationId xmlns:a16="http://schemas.microsoft.com/office/drawing/2014/main" id="{80003189-D21A-42C5-84B3-3DA95D906504}"/>
            </a:ext>
          </a:extLst>
        </xdr:cNvPr>
        <xdr:cNvSpPr/>
      </xdr:nvSpPr>
      <xdr:spPr>
        <a:xfrm>
          <a:off x="21640800" y="1181100"/>
          <a:ext cx="6235700" cy="1324106"/>
        </a:xfrm>
        <a:prstGeom prst="downArrowCallout">
          <a:avLst>
            <a:gd name="adj1" fmla="val 31556"/>
            <a:gd name="adj2" fmla="val 25000"/>
            <a:gd name="adj3" fmla="val 25000"/>
            <a:gd name="adj4" fmla="val 64977"/>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indent="0" algn="l"/>
          <a:r>
            <a:rPr lang="en-US" sz="1100" b="1" u="none" baseline="0">
              <a:solidFill>
                <a:schemeClr val="lt1"/>
              </a:solidFill>
              <a:latin typeface="+mn-lt"/>
              <a:ea typeface="+mn-ea"/>
              <a:cs typeface="+mn-cs"/>
            </a:rPr>
            <a:t>Enter your calculated variances in the columns with the BLUE header.  CRYSTAL BALL ASSUMPTIONS GO IN THE GREEN HEADER COLUMS TO THE RIGHT.</a:t>
          </a:r>
        </a:p>
      </xdr:txBody>
    </xdr:sp>
    <xdr:clientData fPrintsWithSheet="0"/>
  </xdr:twoCellAnchor>
  <xdr:twoCellAnchor editAs="oneCell">
    <xdr:from>
      <xdr:col>0</xdr:col>
      <xdr:colOff>571500</xdr:colOff>
      <xdr:row>6</xdr:row>
      <xdr:rowOff>12700</xdr:rowOff>
    </xdr:from>
    <xdr:to>
      <xdr:col>3</xdr:col>
      <xdr:colOff>424180</xdr:colOff>
      <xdr:row>10</xdr:row>
      <xdr:rowOff>63500</xdr:rowOff>
    </xdr:to>
    <xdr:sp macro="" textlink="">
      <xdr:nvSpPr>
        <xdr:cNvPr id="16" name="Callout: Up Arrow 15" descr="3d13828b-352d-4eb2-ab37-6e753a36329e">
          <a:extLst>
            <a:ext uri="{FF2B5EF4-FFF2-40B4-BE49-F238E27FC236}">
              <a16:creationId xmlns:a16="http://schemas.microsoft.com/office/drawing/2014/main" id="{18B38B3C-F33D-413B-BEE1-1A87227A1A6E}"/>
            </a:ext>
          </a:extLst>
        </xdr:cNvPr>
        <xdr:cNvSpPr/>
      </xdr:nvSpPr>
      <xdr:spPr>
        <a:xfrm>
          <a:off x="571500" y="1308100"/>
          <a:ext cx="4094480" cy="838200"/>
        </a:xfrm>
        <a:prstGeom prst="upArrowCallout">
          <a:avLst/>
        </a:prstGeom>
        <a:solidFill>
          <a:srgbClr val="C0000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lt1"/>
              </a:solidFill>
              <a:effectLst/>
              <a:latin typeface="+mn-lt"/>
              <a:ea typeface="+mn-ea"/>
              <a:cs typeface="+mn-cs"/>
            </a:rPr>
            <a:t>Set the rounding levels</a:t>
          </a:r>
          <a:r>
            <a:rPr lang="en-US" sz="1100" b="1" baseline="0">
              <a:solidFill>
                <a:schemeClr val="lt1"/>
              </a:solidFill>
              <a:effectLst/>
              <a:latin typeface="+mn-lt"/>
              <a:ea typeface="+mn-ea"/>
              <a:cs typeface="+mn-cs"/>
            </a:rPr>
            <a:t> here for the Cost &amp; Schedule Impacts here.</a:t>
          </a:r>
          <a:endParaRPr lang="en-US" sz="1100" b="1">
            <a:solidFill>
              <a:schemeClr val="lt1"/>
            </a:solidFill>
            <a:effectLst/>
            <a:latin typeface="+mn-lt"/>
            <a:ea typeface="+mn-ea"/>
            <a:cs typeface="+mn-cs"/>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oneCellAnchor>
    <xdr:from>
      <xdr:col>0</xdr:col>
      <xdr:colOff>0</xdr:colOff>
      <xdr:row>36</xdr:row>
      <xdr:rowOff>0</xdr:rowOff>
    </xdr:from>
    <xdr:ext cx="3810" cy="3810"/>
    <xdr:pic>
      <xdr:nvPicPr>
        <xdr:cNvPr id="2" name="Picture 9" hidden="1">
          <a:extLst>
            <a:ext uri="{FF2B5EF4-FFF2-40B4-BE49-F238E27FC236}">
              <a16:creationId xmlns:a16="http://schemas.microsoft.com/office/drawing/2014/main" id="{CE1E2816-D899-42FC-B6A7-ACCABD5B810D}"/>
            </a:ext>
          </a:extLst>
        </xdr:cNvPr>
        <xdr:cNvPicPr>
          <a:picLocks noGrp="1" noChangeAspect="1" noChangeArrowheads="1"/>
        </xdr:cNvPicPr>
      </xdr:nvPicPr>
      <xdr:blipFill>
        <a:blip xmlns:r="http://schemas.openxmlformats.org/officeDocument/2006/relationships" r:embed="rId1" cstate="print"/>
        <a:srcRect/>
        <a:stretch>
          <a:fillRect/>
        </a:stretch>
      </xdr:blipFill>
      <xdr:spPr bwMode="auto">
        <a:xfrm>
          <a:off x="0" y="7018020"/>
          <a:ext cx="3810" cy="3810"/>
        </a:xfrm>
        <a:prstGeom prst="rect">
          <a:avLst/>
        </a:prstGeom>
        <a:noFill/>
        <a:ln w="9525">
          <a:noFill/>
          <a:miter lim="800000"/>
          <a:headEnd/>
          <a:tailEnd/>
        </a:ln>
      </xdr:spPr>
    </xdr:pic>
    <xdr:clientData/>
  </xdr:oneCellAnchor>
  <xdr:oneCellAnchor>
    <xdr:from>
      <xdr:col>0</xdr:col>
      <xdr:colOff>0</xdr:colOff>
      <xdr:row>36</xdr:row>
      <xdr:rowOff>0</xdr:rowOff>
    </xdr:from>
    <xdr:ext cx="3810" cy="3810"/>
    <xdr:pic>
      <xdr:nvPicPr>
        <xdr:cNvPr id="3" name="Picture 10" hidden="1">
          <a:extLst>
            <a:ext uri="{FF2B5EF4-FFF2-40B4-BE49-F238E27FC236}">
              <a16:creationId xmlns:a16="http://schemas.microsoft.com/office/drawing/2014/main" id="{3CA9A284-30C8-4001-9B4C-E465E8148ED8}"/>
            </a:ext>
          </a:extLst>
        </xdr:cNvPr>
        <xdr:cNvPicPr>
          <a:picLocks noGrp="1" noChangeAspect="1" noChangeArrowheads="1"/>
        </xdr:cNvPicPr>
      </xdr:nvPicPr>
      <xdr:blipFill>
        <a:blip xmlns:r="http://schemas.openxmlformats.org/officeDocument/2006/relationships" r:embed="rId1" cstate="print"/>
        <a:srcRect/>
        <a:stretch>
          <a:fillRect/>
        </a:stretch>
      </xdr:blipFill>
      <xdr:spPr bwMode="auto">
        <a:xfrm>
          <a:off x="0" y="7018020"/>
          <a:ext cx="3810" cy="3810"/>
        </a:xfrm>
        <a:prstGeom prst="rect">
          <a:avLst/>
        </a:prstGeom>
        <a:noFill/>
        <a:ln w="9525">
          <a:noFill/>
          <a:miter lim="800000"/>
          <a:headEnd/>
          <a:tailEnd/>
        </a:ln>
      </xdr:spPr>
    </xdr:pic>
    <xdr:clientData/>
  </xdr:oneCellAnchor>
  <xdr:oneCellAnchor>
    <xdr:from>
      <xdr:col>0</xdr:col>
      <xdr:colOff>0</xdr:colOff>
      <xdr:row>36</xdr:row>
      <xdr:rowOff>0</xdr:rowOff>
    </xdr:from>
    <xdr:ext cx="3810" cy="3810"/>
    <xdr:pic>
      <xdr:nvPicPr>
        <xdr:cNvPr id="4" name="Picture 11" hidden="1">
          <a:extLst>
            <a:ext uri="{FF2B5EF4-FFF2-40B4-BE49-F238E27FC236}">
              <a16:creationId xmlns:a16="http://schemas.microsoft.com/office/drawing/2014/main" id="{3F8FE6A1-F25B-4797-9B6A-C0E0DABA0334}"/>
            </a:ext>
          </a:extLst>
        </xdr:cNvPr>
        <xdr:cNvPicPr>
          <a:picLocks noGrp="1" noChangeAspect="1" noChangeArrowheads="1"/>
        </xdr:cNvPicPr>
      </xdr:nvPicPr>
      <xdr:blipFill>
        <a:blip xmlns:r="http://schemas.openxmlformats.org/officeDocument/2006/relationships" r:embed="rId1" cstate="print"/>
        <a:srcRect/>
        <a:stretch>
          <a:fillRect/>
        </a:stretch>
      </xdr:blipFill>
      <xdr:spPr bwMode="auto">
        <a:xfrm>
          <a:off x="0" y="7018020"/>
          <a:ext cx="3810" cy="3810"/>
        </a:xfrm>
        <a:prstGeom prst="rect">
          <a:avLst/>
        </a:prstGeom>
        <a:noFill/>
        <a:ln w="9525">
          <a:noFill/>
          <a:miter lim="800000"/>
          <a:headEnd/>
          <a:tailEnd/>
        </a:ln>
      </xdr:spPr>
    </xdr:pic>
    <xdr:clientData/>
  </xdr:oneCellAnchor>
  <xdr:twoCellAnchor>
    <xdr:from>
      <xdr:col>6</xdr:col>
      <xdr:colOff>60700</xdr:colOff>
      <xdr:row>16</xdr:row>
      <xdr:rowOff>152400</xdr:rowOff>
    </xdr:from>
    <xdr:to>
      <xdr:col>9</xdr:col>
      <xdr:colOff>582670</xdr:colOff>
      <xdr:row>34</xdr:row>
      <xdr:rowOff>91440</xdr:rowOff>
    </xdr:to>
    <xdr:graphicFrame macro="">
      <xdr:nvGraphicFramePr>
        <xdr:cNvPr id="5" name="Chart 4">
          <a:extLst>
            <a:ext uri="{FF2B5EF4-FFF2-40B4-BE49-F238E27FC236}">
              <a16:creationId xmlns:a16="http://schemas.microsoft.com/office/drawing/2014/main" id="{59C1A31B-0491-4ADB-A0B2-9927DA56BB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114629</xdr:colOff>
      <xdr:row>37</xdr:row>
      <xdr:rowOff>122555</xdr:rowOff>
    </xdr:from>
    <xdr:to>
      <xdr:col>9</xdr:col>
      <xdr:colOff>634694</xdr:colOff>
      <xdr:row>55</xdr:row>
      <xdr:rowOff>57785</xdr:rowOff>
    </xdr:to>
    <xdr:graphicFrame macro="">
      <xdr:nvGraphicFramePr>
        <xdr:cNvPr id="6" name="Chart 4">
          <a:extLst>
            <a:ext uri="{FF2B5EF4-FFF2-40B4-BE49-F238E27FC236}">
              <a16:creationId xmlns:a16="http://schemas.microsoft.com/office/drawing/2014/main" id="{1413E843-55F1-4111-905C-81D7E6DC6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245713</xdr:colOff>
      <xdr:row>17</xdr:row>
      <xdr:rowOff>21181</xdr:rowOff>
    </xdr:from>
    <xdr:to>
      <xdr:col>19</xdr:col>
      <xdr:colOff>100933</xdr:colOff>
      <xdr:row>34</xdr:row>
      <xdr:rowOff>135481</xdr:rowOff>
    </xdr:to>
    <xdr:graphicFrame macro="">
      <xdr:nvGraphicFramePr>
        <xdr:cNvPr id="7" name="Chart 4">
          <a:extLst>
            <a:ext uri="{FF2B5EF4-FFF2-40B4-BE49-F238E27FC236}">
              <a16:creationId xmlns:a16="http://schemas.microsoft.com/office/drawing/2014/main" id="{44870A89-5759-4981-9671-C4E54D4F8A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15</xdr:col>
      <xdr:colOff>114300</xdr:colOff>
      <xdr:row>1</xdr:row>
      <xdr:rowOff>7620</xdr:rowOff>
    </xdr:from>
    <xdr:to>
      <xdr:col>21</xdr:col>
      <xdr:colOff>68580</xdr:colOff>
      <xdr:row>7</xdr:row>
      <xdr:rowOff>0</xdr:rowOff>
    </xdr:to>
    <xdr:sp macro="" textlink="">
      <xdr:nvSpPr>
        <xdr:cNvPr id="10" name="Callout: Left Arrow 9" descr="1a855b05-10af-4859-b3bf-e6dd1af0703d">
          <a:extLst>
            <a:ext uri="{FF2B5EF4-FFF2-40B4-BE49-F238E27FC236}">
              <a16:creationId xmlns:a16="http://schemas.microsoft.com/office/drawing/2014/main" id="{CE65D8E3-2612-4517-8289-30FD5FB6DCD9}"/>
            </a:ext>
          </a:extLst>
        </xdr:cNvPr>
        <xdr:cNvSpPr/>
      </xdr:nvSpPr>
      <xdr:spPr>
        <a:xfrm>
          <a:off x="17670780" y="274320"/>
          <a:ext cx="3893820" cy="1120140"/>
        </a:xfrm>
        <a:prstGeom prst="leftArrowCallout">
          <a:avLst>
            <a:gd name="adj1" fmla="val 25000"/>
            <a:gd name="adj2" fmla="val 25000"/>
            <a:gd name="adj3" fmla="val 41339"/>
            <a:gd name="adj4" fmla="val 77635"/>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Here is where the forecasts are.  They sum from the cells on the risk model tab at the top of the sheet.  The forecasts will auto extract, round, and populate the charts.  You may have to tweak the chart scales on this sheet.</a:t>
          </a:r>
        </a:p>
      </xdr:txBody>
    </xdr:sp>
    <xdr:clientData fPrintsWithSheet="0"/>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36</xdr:row>
      <xdr:rowOff>0</xdr:rowOff>
    </xdr:from>
    <xdr:ext cx="24765" cy="24765"/>
    <xdr:pic>
      <xdr:nvPicPr>
        <xdr:cNvPr id="2" name="Picture 9" hidden="1">
          <a:extLst>
            <a:ext uri="{FF2B5EF4-FFF2-40B4-BE49-F238E27FC236}">
              <a16:creationId xmlns:a16="http://schemas.microsoft.com/office/drawing/2014/main" id="{702CE44F-3810-4EAD-AA5D-CD8A621651D6}"/>
            </a:ext>
          </a:extLst>
        </xdr:cNvPr>
        <xdr:cNvPicPr>
          <a:picLocks noGrp="1" noChangeAspect="1" noChangeArrowheads="1"/>
        </xdr:cNvPicPr>
      </xdr:nvPicPr>
      <xdr:blipFill>
        <a:blip xmlns:r="http://schemas.openxmlformats.org/officeDocument/2006/relationships" r:embed="rId1" cstate="print"/>
        <a:srcRect/>
        <a:stretch>
          <a:fillRect/>
        </a:stretch>
      </xdr:blipFill>
      <xdr:spPr bwMode="auto">
        <a:xfrm>
          <a:off x="0" y="5181600"/>
          <a:ext cx="24765" cy="24765"/>
        </a:xfrm>
        <a:prstGeom prst="rect">
          <a:avLst/>
        </a:prstGeom>
        <a:noFill/>
        <a:ln w="9525">
          <a:noFill/>
          <a:miter lim="800000"/>
          <a:headEnd/>
          <a:tailEnd/>
        </a:ln>
      </xdr:spPr>
    </xdr:pic>
    <xdr:clientData/>
  </xdr:oneCellAnchor>
  <xdr:oneCellAnchor>
    <xdr:from>
      <xdr:col>0</xdr:col>
      <xdr:colOff>0</xdr:colOff>
      <xdr:row>36</xdr:row>
      <xdr:rowOff>0</xdr:rowOff>
    </xdr:from>
    <xdr:ext cx="24765" cy="24765"/>
    <xdr:pic>
      <xdr:nvPicPr>
        <xdr:cNvPr id="3" name="Picture 10" hidden="1">
          <a:extLst>
            <a:ext uri="{FF2B5EF4-FFF2-40B4-BE49-F238E27FC236}">
              <a16:creationId xmlns:a16="http://schemas.microsoft.com/office/drawing/2014/main" id="{6E0E226E-CACA-4AEE-88F8-B7C82B37F9AA}"/>
            </a:ext>
          </a:extLst>
        </xdr:cNvPr>
        <xdr:cNvPicPr>
          <a:picLocks noGrp="1" noChangeAspect="1" noChangeArrowheads="1"/>
        </xdr:cNvPicPr>
      </xdr:nvPicPr>
      <xdr:blipFill>
        <a:blip xmlns:r="http://schemas.openxmlformats.org/officeDocument/2006/relationships" r:embed="rId1" cstate="print"/>
        <a:srcRect/>
        <a:stretch>
          <a:fillRect/>
        </a:stretch>
      </xdr:blipFill>
      <xdr:spPr bwMode="auto">
        <a:xfrm>
          <a:off x="0" y="5181600"/>
          <a:ext cx="24765" cy="24765"/>
        </a:xfrm>
        <a:prstGeom prst="rect">
          <a:avLst/>
        </a:prstGeom>
        <a:noFill/>
        <a:ln w="9525">
          <a:noFill/>
          <a:miter lim="800000"/>
          <a:headEnd/>
          <a:tailEnd/>
        </a:ln>
      </xdr:spPr>
    </xdr:pic>
    <xdr:clientData/>
  </xdr:oneCellAnchor>
  <xdr:oneCellAnchor>
    <xdr:from>
      <xdr:col>0</xdr:col>
      <xdr:colOff>0</xdr:colOff>
      <xdr:row>36</xdr:row>
      <xdr:rowOff>0</xdr:rowOff>
    </xdr:from>
    <xdr:ext cx="24765" cy="24765"/>
    <xdr:pic>
      <xdr:nvPicPr>
        <xdr:cNvPr id="4" name="Picture 11" hidden="1">
          <a:extLst>
            <a:ext uri="{FF2B5EF4-FFF2-40B4-BE49-F238E27FC236}">
              <a16:creationId xmlns:a16="http://schemas.microsoft.com/office/drawing/2014/main" id="{3BBEB240-F4A6-4571-917B-72152721D8B9}"/>
            </a:ext>
          </a:extLst>
        </xdr:cNvPr>
        <xdr:cNvPicPr>
          <a:picLocks noGrp="1" noChangeAspect="1" noChangeArrowheads="1"/>
        </xdr:cNvPicPr>
      </xdr:nvPicPr>
      <xdr:blipFill>
        <a:blip xmlns:r="http://schemas.openxmlformats.org/officeDocument/2006/relationships" r:embed="rId1" cstate="print"/>
        <a:srcRect/>
        <a:stretch>
          <a:fillRect/>
        </a:stretch>
      </xdr:blipFill>
      <xdr:spPr bwMode="auto">
        <a:xfrm>
          <a:off x="0" y="5181600"/>
          <a:ext cx="24765" cy="24765"/>
        </a:xfrm>
        <a:prstGeom prst="rect">
          <a:avLst/>
        </a:prstGeom>
        <a:noFill/>
        <a:ln w="9525">
          <a:noFill/>
          <a:miter lim="800000"/>
          <a:headEnd/>
          <a:tailEnd/>
        </a:ln>
      </xdr:spPr>
    </xdr:pic>
    <xdr:clientData/>
  </xdr:oneCellAnchor>
  <xdr:oneCellAnchor>
    <xdr:from>
      <xdr:col>2</xdr:col>
      <xdr:colOff>198120</xdr:colOff>
      <xdr:row>16</xdr:row>
      <xdr:rowOff>60960</xdr:rowOff>
    </xdr:from>
    <xdr:ext cx="7315200" cy="3657600"/>
    <xdr:graphicFrame macro="">
      <xdr:nvGraphicFramePr>
        <xdr:cNvPr id="7" name="Chart 6">
          <a:extLst>
            <a:ext uri="{FF2B5EF4-FFF2-40B4-BE49-F238E27FC236}">
              <a16:creationId xmlns:a16="http://schemas.microsoft.com/office/drawing/2014/main" id="{5B590F30-A81C-4887-8736-5F9EF8A10F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oneCellAnchor>
    <xdr:from>
      <xdr:col>2</xdr:col>
      <xdr:colOff>297180</xdr:colOff>
      <xdr:row>38</xdr:row>
      <xdr:rowOff>83820</xdr:rowOff>
    </xdr:from>
    <xdr:ext cx="7315200" cy="3657600"/>
    <xdr:graphicFrame macro="">
      <xdr:nvGraphicFramePr>
        <xdr:cNvPr id="8" name="Chart 7">
          <a:extLst>
            <a:ext uri="{FF2B5EF4-FFF2-40B4-BE49-F238E27FC236}">
              <a16:creationId xmlns:a16="http://schemas.microsoft.com/office/drawing/2014/main" id="{CD7EF0D6-E3CC-44F9-8586-1E1FF25B6E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oneCellAnchor>
  <xdr:oneCellAnchor>
    <xdr:from>
      <xdr:col>2</xdr:col>
      <xdr:colOff>414020</xdr:colOff>
      <xdr:row>60</xdr:row>
      <xdr:rowOff>99060</xdr:rowOff>
    </xdr:from>
    <xdr:ext cx="7315200" cy="3657600"/>
    <xdr:graphicFrame macro="">
      <xdr:nvGraphicFramePr>
        <xdr:cNvPr id="9" name="Chart 8">
          <a:extLst>
            <a:ext uri="{FF2B5EF4-FFF2-40B4-BE49-F238E27FC236}">
              <a16:creationId xmlns:a16="http://schemas.microsoft.com/office/drawing/2014/main" id="{594403B0-01C3-491D-81C0-2A09DCB7A5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oneCellAnchor>
  <xdr:oneCellAnchor>
    <xdr:from>
      <xdr:col>2</xdr:col>
      <xdr:colOff>444288</xdr:colOff>
      <xdr:row>82</xdr:row>
      <xdr:rowOff>92285</xdr:rowOff>
    </xdr:from>
    <xdr:ext cx="7315200" cy="3657600"/>
    <xdr:graphicFrame macro="">
      <xdr:nvGraphicFramePr>
        <xdr:cNvPr id="10" name="Chart 9">
          <a:extLst>
            <a:ext uri="{FF2B5EF4-FFF2-40B4-BE49-F238E27FC236}">
              <a16:creationId xmlns:a16="http://schemas.microsoft.com/office/drawing/2014/main" id="{540C3A6B-7776-4C6B-AA9C-AA94F74CCE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oneCellAnchor>
  <xdr:twoCellAnchor editAs="oneCell">
    <xdr:from>
      <xdr:col>13</xdr:col>
      <xdr:colOff>144780</xdr:colOff>
      <xdr:row>18</xdr:row>
      <xdr:rowOff>167640</xdr:rowOff>
    </xdr:from>
    <xdr:to>
      <xdr:col>15</xdr:col>
      <xdr:colOff>108585</xdr:colOff>
      <xdr:row>26</xdr:row>
      <xdr:rowOff>72390</xdr:rowOff>
    </xdr:to>
    <xdr:sp macro="" textlink="">
      <xdr:nvSpPr>
        <xdr:cNvPr id="13" name="Callout: Left Arrow 12" descr="40b7255e-4771-41a1-bdb8-a342ec882410">
          <a:extLst>
            <a:ext uri="{FF2B5EF4-FFF2-40B4-BE49-F238E27FC236}">
              <a16:creationId xmlns:a16="http://schemas.microsoft.com/office/drawing/2014/main" id="{B0893161-32C3-4AD0-A5BA-DBC1852C3F88}"/>
            </a:ext>
          </a:extLst>
        </xdr:cNvPr>
        <xdr:cNvSpPr/>
      </xdr:nvSpPr>
      <xdr:spPr>
        <a:xfrm>
          <a:off x="11216640" y="3520440"/>
          <a:ext cx="2880360" cy="1363980"/>
        </a:xfrm>
        <a:prstGeom prst="leftArrowCallout">
          <a:avLst>
            <a:gd name="adj1" fmla="val 27235"/>
            <a:gd name="adj2" fmla="val 25000"/>
            <a:gd name="adj3" fmla="val 31842"/>
            <a:gd name="adj4" fmla="val 82337"/>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This information should be automatically populated from the lookup tables to the right.  If not, recommend making sure your forecasts are defined </a:t>
          </a:r>
          <a:r>
            <a:rPr lang="en-US" sz="1100" b="1" baseline="0">
              <a:solidFill>
                <a:schemeClr val="lt1"/>
              </a:solidFill>
              <a:effectLst/>
              <a:latin typeface="+mn-lt"/>
              <a:ea typeface="+mn-ea"/>
              <a:cs typeface="+mn-cs"/>
            </a:rPr>
            <a:t>in the "H-Risk Register-Model" worksheet for each risk item.</a:t>
          </a:r>
          <a:endParaRPr lang="en-US">
            <a:effectLst/>
          </a:endParaRPr>
        </a:p>
      </xdr:txBody>
    </xdr:sp>
    <xdr:clientData fPrintsWithSheet="0"/>
  </xdr:twoCellAnchor>
  <xdr:twoCellAnchor editAs="oneCell">
    <xdr:from>
      <xdr:col>13</xdr:col>
      <xdr:colOff>137160</xdr:colOff>
      <xdr:row>41</xdr:row>
      <xdr:rowOff>91440</xdr:rowOff>
    </xdr:from>
    <xdr:to>
      <xdr:col>15</xdr:col>
      <xdr:colOff>104775</xdr:colOff>
      <xdr:row>48</xdr:row>
      <xdr:rowOff>184785</xdr:rowOff>
    </xdr:to>
    <xdr:sp macro="" textlink="">
      <xdr:nvSpPr>
        <xdr:cNvPr id="14" name="Callout: Left Arrow 13" descr="6ceb4852-3b06-49c3-898f-20fc902ba870">
          <a:extLst>
            <a:ext uri="{FF2B5EF4-FFF2-40B4-BE49-F238E27FC236}">
              <a16:creationId xmlns:a16="http://schemas.microsoft.com/office/drawing/2014/main" id="{CBC9FA4E-10C3-401F-8CBE-D395073A1951}"/>
            </a:ext>
          </a:extLst>
        </xdr:cNvPr>
        <xdr:cNvSpPr/>
      </xdr:nvSpPr>
      <xdr:spPr>
        <a:xfrm>
          <a:off x="11209020" y="7863840"/>
          <a:ext cx="2880360" cy="1363980"/>
        </a:xfrm>
        <a:prstGeom prst="leftArrowCallout">
          <a:avLst>
            <a:gd name="adj1" fmla="val 27235"/>
            <a:gd name="adj2" fmla="val 25000"/>
            <a:gd name="adj3" fmla="val 31842"/>
            <a:gd name="adj4" fmla="val 82337"/>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This information should be automatically populated from the lookup tables to the right.  If not, recommend making sure your forecasts are defined </a:t>
          </a:r>
          <a:r>
            <a:rPr lang="en-US" sz="1100" b="1" baseline="0">
              <a:solidFill>
                <a:schemeClr val="lt1"/>
              </a:solidFill>
              <a:effectLst/>
              <a:latin typeface="+mn-lt"/>
              <a:ea typeface="+mn-ea"/>
              <a:cs typeface="+mn-cs"/>
            </a:rPr>
            <a:t>in the "H-Risk Register-Model" worksheet for each risk item.</a:t>
          </a:r>
          <a:endParaRPr lang="en-US">
            <a:effectLst/>
          </a:endParaRPr>
        </a:p>
      </xdr:txBody>
    </xdr:sp>
    <xdr:clientData fPrintsWithSheet="0"/>
  </xdr:twoCellAnchor>
  <xdr:twoCellAnchor editAs="oneCell">
    <xdr:from>
      <xdr:col>13</xdr:col>
      <xdr:colOff>167640</xdr:colOff>
      <xdr:row>28</xdr:row>
      <xdr:rowOff>0</xdr:rowOff>
    </xdr:from>
    <xdr:to>
      <xdr:col>15</xdr:col>
      <xdr:colOff>118110</xdr:colOff>
      <xdr:row>31</xdr:row>
      <xdr:rowOff>0</xdr:rowOff>
    </xdr:to>
    <xdr:sp macro="" textlink="">
      <xdr:nvSpPr>
        <xdr:cNvPr id="5" name="Callout: Left Arrow 4" descr="40b7255e-4771-41a1-bdb8-a342ec882410">
          <a:extLst>
            <a:ext uri="{FF2B5EF4-FFF2-40B4-BE49-F238E27FC236}">
              <a16:creationId xmlns:a16="http://schemas.microsoft.com/office/drawing/2014/main" id="{AFE23D72-54E1-4CFB-B672-DF63684876E1}"/>
            </a:ext>
          </a:extLst>
        </xdr:cNvPr>
        <xdr:cNvSpPr/>
      </xdr:nvSpPr>
      <xdr:spPr>
        <a:xfrm>
          <a:off x="11346180" y="5455920"/>
          <a:ext cx="2872740" cy="548640"/>
        </a:xfrm>
        <a:prstGeom prst="leftArrowCallout">
          <a:avLst>
            <a:gd name="adj1" fmla="val 27235"/>
            <a:gd name="adj2" fmla="val 25000"/>
            <a:gd name="adj3" fmla="val 31842"/>
            <a:gd name="adj4" fmla="val 82337"/>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Show "Remaining Contingency" for Top Cost Risks?</a:t>
          </a:r>
          <a:r>
            <a:rPr lang="en-US" sz="1100" b="1" baseline="0">
              <a:solidFill>
                <a:schemeClr val="lt1"/>
              </a:solidFill>
              <a:effectLst/>
              <a:latin typeface="+mn-lt"/>
              <a:ea typeface="+mn-ea"/>
              <a:cs typeface="+mn-cs"/>
            </a:rPr>
            <a:t>  </a:t>
          </a:r>
          <a:r>
            <a:rPr lang="en-US" sz="1100" b="1">
              <a:solidFill>
                <a:schemeClr val="lt1"/>
              </a:solidFill>
              <a:effectLst/>
              <a:latin typeface="+mn-lt"/>
              <a:ea typeface="+mn-ea"/>
              <a:cs typeface="+mn-cs"/>
            </a:rPr>
            <a:t>Yes</a:t>
          </a:r>
          <a:r>
            <a:rPr lang="en-US" sz="1100" b="1" baseline="0">
              <a:solidFill>
                <a:schemeClr val="lt1"/>
              </a:solidFill>
              <a:effectLst/>
              <a:latin typeface="+mn-lt"/>
              <a:ea typeface="+mn-ea"/>
              <a:cs typeface="+mn-cs"/>
            </a:rPr>
            <a:t> or No</a:t>
          </a:r>
          <a:endParaRPr lang="en-US" sz="1100" b="1">
            <a:solidFill>
              <a:schemeClr val="lt1"/>
            </a:solidFill>
            <a:effectLst/>
            <a:latin typeface="+mn-lt"/>
            <a:ea typeface="+mn-ea"/>
            <a:cs typeface="+mn-cs"/>
          </a:endParaRPr>
        </a:p>
      </xdr:txBody>
    </xdr:sp>
    <xdr:clientData fPrintsWithSheet="0"/>
  </xdr:twoCellAnchor>
  <xdr:twoCellAnchor editAs="oneCell">
    <xdr:from>
      <xdr:col>13</xdr:col>
      <xdr:colOff>144780</xdr:colOff>
      <xdr:row>50</xdr:row>
      <xdr:rowOff>7620</xdr:rowOff>
    </xdr:from>
    <xdr:to>
      <xdr:col>15</xdr:col>
      <xdr:colOff>108585</xdr:colOff>
      <xdr:row>53</xdr:row>
      <xdr:rowOff>3810</xdr:rowOff>
    </xdr:to>
    <xdr:sp macro="" textlink="">
      <xdr:nvSpPr>
        <xdr:cNvPr id="6" name="Callout: Left Arrow 5" descr="40b7255e-4771-41a1-bdb8-a342ec882410">
          <a:extLst>
            <a:ext uri="{FF2B5EF4-FFF2-40B4-BE49-F238E27FC236}">
              <a16:creationId xmlns:a16="http://schemas.microsoft.com/office/drawing/2014/main" id="{ED936A66-B667-457D-B50E-E31BDE6AEFC4}"/>
            </a:ext>
          </a:extLst>
        </xdr:cNvPr>
        <xdr:cNvSpPr/>
      </xdr:nvSpPr>
      <xdr:spPr>
        <a:xfrm>
          <a:off x="11323320" y="9700260"/>
          <a:ext cx="2872740" cy="548640"/>
        </a:xfrm>
        <a:prstGeom prst="leftArrowCallout">
          <a:avLst>
            <a:gd name="adj1" fmla="val 27235"/>
            <a:gd name="adj2" fmla="val 25000"/>
            <a:gd name="adj3" fmla="val 31842"/>
            <a:gd name="adj4" fmla="val 82337"/>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Show "Remaining Contingency" for Top Schedule Risks?</a:t>
          </a:r>
          <a:r>
            <a:rPr lang="en-US" sz="1100" b="1" baseline="0">
              <a:solidFill>
                <a:schemeClr val="lt1"/>
              </a:solidFill>
              <a:effectLst/>
              <a:latin typeface="+mn-lt"/>
              <a:ea typeface="+mn-ea"/>
              <a:cs typeface="+mn-cs"/>
            </a:rPr>
            <a:t>  </a:t>
          </a:r>
          <a:r>
            <a:rPr lang="en-US" sz="1100" b="1">
              <a:solidFill>
                <a:schemeClr val="lt1"/>
              </a:solidFill>
              <a:effectLst/>
              <a:latin typeface="+mn-lt"/>
              <a:ea typeface="+mn-ea"/>
              <a:cs typeface="+mn-cs"/>
            </a:rPr>
            <a:t>Yes</a:t>
          </a:r>
          <a:r>
            <a:rPr lang="en-US" sz="1100" b="1" baseline="0">
              <a:solidFill>
                <a:schemeClr val="lt1"/>
              </a:solidFill>
              <a:effectLst/>
              <a:latin typeface="+mn-lt"/>
              <a:ea typeface="+mn-ea"/>
              <a:cs typeface="+mn-cs"/>
            </a:rPr>
            <a:t> or No</a:t>
          </a:r>
          <a:endParaRPr lang="en-US" sz="1100" b="1">
            <a:solidFill>
              <a:schemeClr val="lt1"/>
            </a:solidFill>
            <a:effectLst/>
            <a:latin typeface="+mn-lt"/>
            <a:ea typeface="+mn-ea"/>
            <a:cs typeface="+mn-cs"/>
          </a:endParaRPr>
        </a:p>
      </xdr:txBody>
    </xdr:sp>
    <xdr:clientData fPrintsWithSheet="0"/>
  </xdr:twoCellAnchor>
  <xdr:twoCellAnchor editAs="oneCell">
    <xdr:from>
      <xdr:col>19</xdr:col>
      <xdr:colOff>762000</xdr:colOff>
      <xdr:row>4</xdr:row>
      <xdr:rowOff>161925</xdr:rowOff>
    </xdr:from>
    <xdr:to>
      <xdr:col>23</xdr:col>
      <xdr:colOff>316230</xdr:colOff>
      <xdr:row>10</xdr:row>
      <xdr:rowOff>163830</xdr:rowOff>
    </xdr:to>
    <xdr:sp macro="" textlink="">
      <xdr:nvSpPr>
        <xdr:cNvPr id="12" name="Callout: Left Arrow 11" descr="1a855b05-10af-4859-b3bf-e6dd1af0703d">
          <a:extLst>
            <a:ext uri="{FF2B5EF4-FFF2-40B4-BE49-F238E27FC236}">
              <a16:creationId xmlns:a16="http://schemas.microsoft.com/office/drawing/2014/main" id="{7274F3BC-424A-4CED-9236-20AB284E722F}"/>
            </a:ext>
          </a:extLst>
        </xdr:cNvPr>
        <xdr:cNvSpPr/>
      </xdr:nvSpPr>
      <xdr:spPr>
        <a:xfrm>
          <a:off x="18564225" y="1009650"/>
          <a:ext cx="3783330" cy="1173480"/>
        </a:xfrm>
        <a:prstGeom prst="leftArrowCallout">
          <a:avLst>
            <a:gd name="adj1" fmla="val 25000"/>
            <a:gd name="adj2" fmla="val 25000"/>
            <a:gd name="adj3" fmla="val 41339"/>
            <a:gd name="adj4" fmla="val 77635"/>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r>
            <a:rPr lang="en-US" sz="1100" b="1">
              <a:solidFill>
                <a:schemeClr val="lt1"/>
              </a:solidFill>
              <a:effectLst/>
              <a:latin typeface="+mn-lt"/>
              <a:ea typeface="+mn-ea"/>
              <a:cs typeface="+mn-cs"/>
            </a:rPr>
            <a:t>Select the other two</a:t>
          </a:r>
          <a:r>
            <a:rPr lang="en-US" sz="1100" b="1" baseline="0">
              <a:solidFill>
                <a:schemeClr val="lt1"/>
              </a:solidFill>
              <a:effectLst/>
              <a:latin typeface="+mn-lt"/>
              <a:ea typeface="+mn-ea"/>
              <a:cs typeface="+mn-cs"/>
            </a:rPr>
            <a:t> confidence levels for the charts to the left.  By default, 50% and 90% are selected.</a:t>
          </a:r>
          <a:endParaRPr lang="en-US" sz="1100" b="1">
            <a:solidFill>
              <a:schemeClr val="lt1"/>
            </a:solidFill>
            <a:effectLst/>
            <a:latin typeface="+mn-lt"/>
            <a:ea typeface="+mn-ea"/>
            <a:cs typeface="+mn-cs"/>
          </a:endParaRP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1</xdr:col>
      <xdr:colOff>69600</xdr:colOff>
      <xdr:row>8</xdr:row>
      <xdr:rowOff>60768</xdr:rowOff>
    </xdr:from>
    <xdr:to>
      <xdr:col>4</xdr:col>
      <xdr:colOff>3788608</xdr:colOff>
      <xdr:row>33</xdr:row>
      <xdr:rowOff>60768</xdr:rowOff>
    </xdr:to>
    <xdr:graphicFrame macro="">
      <xdr:nvGraphicFramePr>
        <xdr:cNvPr id="2" name="Chart 4">
          <a:extLst>
            <a:ext uri="{FF2B5EF4-FFF2-40B4-BE49-F238E27FC236}">
              <a16:creationId xmlns:a16="http://schemas.microsoft.com/office/drawing/2014/main" id="{3A458247-B144-46D7-91C6-7BD4F6DCBB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7620</xdr:colOff>
      <xdr:row>38</xdr:row>
      <xdr:rowOff>175260</xdr:rowOff>
    </xdr:from>
    <xdr:to>
      <xdr:col>15</xdr:col>
      <xdr:colOff>38100</xdr:colOff>
      <xdr:row>49</xdr:row>
      <xdr:rowOff>231</xdr:rowOff>
    </xdr:to>
    <xdr:sp macro="" textlink="">
      <xdr:nvSpPr>
        <xdr:cNvPr id="3" name="Right Brace 2" descr="035cd50e-0913-40a8-ad28-0516041179a1">
          <a:extLst>
            <a:ext uri="{FF2B5EF4-FFF2-40B4-BE49-F238E27FC236}">
              <a16:creationId xmlns:a16="http://schemas.microsoft.com/office/drawing/2014/main" id="{94DA27A0-9534-4B09-BD2A-99CC87DC3B04}"/>
            </a:ext>
          </a:extLst>
        </xdr:cNvPr>
        <xdr:cNvSpPr/>
      </xdr:nvSpPr>
      <xdr:spPr>
        <a:xfrm>
          <a:off x="18280380" y="7109460"/>
          <a:ext cx="1249680" cy="5265651"/>
        </a:xfrm>
        <a:prstGeom prst="rightBrace">
          <a:avLst>
            <a:gd name="adj1" fmla="val 8333"/>
            <a:gd name="adj2" fmla="val 49413"/>
          </a:avLst>
        </a:prstGeom>
        <a:ln w="57150">
          <a:solidFill>
            <a:srgbClr val="C00000"/>
          </a:solidFill>
        </a:ln>
      </xdr:spPr>
      <xdr:style>
        <a:lnRef idx="3">
          <a:schemeClr val="accent2"/>
        </a:lnRef>
        <a:fillRef idx="0">
          <a:schemeClr val="accent2"/>
        </a:fillRef>
        <a:effectRef idx="2">
          <a:schemeClr val="accent2"/>
        </a:effectRef>
        <a:fontRef idx="minor">
          <a:schemeClr val="tx1"/>
        </a:fontRef>
      </xdr:style>
      <xdr:txBody>
        <a:bodyPr vertOverflow="clip" horzOverflow="clip" rtlCol="0" anchor="t"/>
        <a:lstStyle/>
        <a:p>
          <a:pPr algn="l"/>
          <a:endParaRPr lang="en-US" sz="1100"/>
        </a:p>
      </xdr:txBody>
    </xdr:sp>
    <xdr:clientData/>
  </xdr:twoCellAnchor>
  <xdr:twoCellAnchor editAs="oneCell">
    <xdr:from>
      <xdr:col>15</xdr:col>
      <xdr:colOff>97491</xdr:colOff>
      <xdr:row>41</xdr:row>
      <xdr:rowOff>5419</xdr:rowOff>
    </xdr:from>
    <xdr:to>
      <xdr:col>19</xdr:col>
      <xdr:colOff>402291</xdr:colOff>
      <xdr:row>45</xdr:row>
      <xdr:rowOff>62753</xdr:rowOff>
    </xdr:to>
    <xdr:sp macro="" textlink="">
      <xdr:nvSpPr>
        <xdr:cNvPr id="4" name="TextBox 3">
          <a:extLst>
            <a:ext uri="{FF2B5EF4-FFF2-40B4-BE49-F238E27FC236}">
              <a16:creationId xmlns:a16="http://schemas.microsoft.com/office/drawing/2014/main" id="{8392ACE8-8E61-4936-8F2B-CFF0091369DD}"/>
            </a:ext>
          </a:extLst>
        </xdr:cNvPr>
        <xdr:cNvSpPr txBox="1"/>
      </xdr:nvSpPr>
      <xdr:spPr>
        <a:xfrm>
          <a:off x="19595726" y="7616454"/>
          <a:ext cx="2743200" cy="774511"/>
        </a:xfrm>
        <a:prstGeom prst="rect">
          <a:avLst/>
        </a:prstGeom>
        <a:solidFill>
          <a:srgbClr val="C0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lt1"/>
              </a:solidFill>
              <a:effectLst/>
              <a:latin typeface="+mn-lt"/>
              <a:ea typeface="+mn-ea"/>
              <a:cs typeface="+mn-cs"/>
            </a:rPr>
            <a:t>Resize cells after inputting top risk items in cells M19:M28 in the 'J-Sensitivity Charts' tab.</a:t>
          </a:r>
        </a:p>
      </xdr:txBody>
    </xdr:sp>
    <xdr:clientData/>
  </xdr:twoCellAnchor>
  <xdr:oneCellAnchor>
    <xdr:from>
      <xdr:col>4</xdr:col>
      <xdr:colOff>4002293</xdr:colOff>
      <xdr:row>8</xdr:row>
      <xdr:rowOff>60960</xdr:rowOff>
    </xdr:from>
    <xdr:ext cx="8503920" cy="4754880"/>
    <xdr:graphicFrame macro="">
      <xdr:nvGraphicFramePr>
        <xdr:cNvPr id="9" name="Chart 8">
          <a:extLst>
            <a:ext uri="{FF2B5EF4-FFF2-40B4-BE49-F238E27FC236}">
              <a16:creationId xmlns:a16="http://schemas.microsoft.com/office/drawing/2014/main" id="{C04E5D61-51E3-451A-9CC1-BDB729F7D6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wsDr>
</file>

<file path=xl/persons/person.xml><?xml version="1.0" encoding="utf-8"?>
<personList xmlns="http://schemas.microsoft.com/office/spreadsheetml/2018/threadedcomments" xmlns:x="http://schemas.openxmlformats.org/spreadsheetml/2006/main">
  <person displayName="Dustin Sawyers" id="{8D964E47-0F3D-4764-AB3B-29156849CC93}" userId="b5152a481551df19" providerId="Windows Liv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3" displayName="Table3" ref="A9:D41" totalsRowShown="0" headerRowDxfId="74" dataDxfId="73">
  <autoFilter ref="A9:D41" xr:uid="{00000000-0009-0000-0100-000002000000}"/>
  <tableColumns count="4">
    <tableColumn id="1" xr3:uid="{00000000-0010-0000-0000-000001000000}" name="REV" dataDxfId="72"/>
    <tableColumn id="2" xr3:uid="{00000000-0010-0000-0000-000002000000}" name="Date" dataDxfId="71"/>
    <tableColumn id="3" xr3:uid="{00000000-0010-0000-0000-000003000000}" name="Description of Changes" dataDxfId="70"/>
    <tableColumn id="4" xr3:uid="{00000000-0010-0000-0000-000004000000}" name="Change Made By" dataDxfId="69"/>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able30" displayName="Table30" ref="B2:B13" totalsRowShown="0" headerRowDxfId="68" dataDxfId="66" headerRowBorderDxfId="67" tableBorderDxfId="65" totalsRowBorderDxfId="64">
  <autoFilter ref="B2:B13" xr:uid="{00000000-0009-0000-0100-000005000000}"/>
  <tableColumns count="1">
    <tableColumn id="1" xr3:uid="{00000000-0010-0000-0100-000001000000}" name="Risk Register Legend" dataDxfId="63"/>
  </tableColumns>
  <tableStyleInfo name="TableStyleMedium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1" displayName="Table1" ref="A9:D34" totalsRowShown="0" headerRowDxfId="62" dataDxfId="60" headerRowBorderDxfId="61" tableBorderDxfId="59">
  <autoFilter ref="A9:D34" xr:uid="{00000000-0009-0000-0100-000003000000}"/>
  <sortState xmlns:xlrd2="http://schemas.microsoft.com/office/spreadsheetml/2017/richdata2" ref="A10:D34">
    <sortCondition ref="B9:B34"/>
  </sortState>
  <tableColumns count="4">
    <tableColumn id="2" xr3:uid="{00000000-0010-0000-0200-000002000000}" name="Attendance" dataDxfId="58"/>
    <tableColumn id="3" xr3:uid="{00000000-0010-0000-0200-000003000000}" name="Name" dataDxfId="57"/>
    <tableColumn id="4" xr3:uid="{00000000-0010-0000-0200-000004000000}" name="Office" dataDxfId="56"/>
    <tableColumn id="5" xr3:uid="{00000000-0010-0000-0200-000005000000}" name="Role / Discipline" dataDxfId="55"/>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13" displayName="Table13" ref="A40:D50" totalsRowShown="0" headerRowDxfId="54" dataDxfId="52" headerRowBorderDxfId="53" tableBorderDxfId="51">
  <autoFilter ref="A40:D50" xr:uid="{00000000-0009-0000-0100-000004000000}"/>
  <sortState xmlns:xlrd2="http://schemas.microsoft.com/office/spreadsheetml/2017/richdata2" ref="A41:D50">
    <sortCondition ref="B40:B50"/>
  </sortState>
  <tableColumns count="4">
    <tableColumn id="2" xr3:uid="{00000000-0010-0000-0300-000002000000}" name="Attendance" dataDxfId="50"/>
    <tableColumn id="3" xr3:uid="{00000000-0010-0000-0300-000003000000}" name="Name" dataDxfId="49"/>
    <tableColumn id="4" xr3:uid="{00000000-0010-0000-0300-000004000000}" name="Office" dataDxfId="48"/>
    <tableColumn id="5" xr3:uid="{00000000-0010-0000-0300-000005000000}" name="Role / Discipline" dataDxfId="47"/>
  </tableColumns>
  <tableStyleInfo name="TableStyleMedium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Y17" dT="2022-03-30T19:16:28.79" personId="{8D964E47-0F3D-4764-AB3B-29156849CC93}" id="{3B947149-B857-4707-B827-9EDD159F302E}">
    <text>Default is 100%, if significant event and a two step is utilized then suggest use of "Yes/No" assumption curve or a binomial curve.</text>
  </threadedComment>
  <threadedComment ref="Z17" dT="2022-03-30T19:17:00.02" personId="{8D964E47-0F3D-4764-AB3B-29156849CC93}" id="{734AB3CA-ECDD-4F07-861F-5D57D7AECF9A}">
    <text>Default is 1, if significant event and a two step is utilized then suggest use of "Yes/No" assumption curve or a binomial curve.</text>
  </threadedComment>
</ThreadedComments>
</file>

<file path=xl/threadedComments/threadedComment2.xml><?xml version="1.0" encoding="utf-8"?>
<ThreadedComments xmlns="http://schemas.microsoft.com/office/spreadsheetml/2018/threadedcomments" xmlns:x="http://schemas.openxmlformats.org/spreadsheetml/2006/main">
  <threadedComment ref="E60" dT="2022-03-30T19:18:19.02" personId="{8D964E47-0F3D-4764-AB3B-29156849CC93}" id="{2D4313C2-E7C3-4F54-9474-509813339751}">
    <text>These are populated from the forecast above.</text>
  </threadedComment>
  <threadedComment ref="F60" dT="2022-03-30T19:18:44.51" personId="{8D964E47-0F3D-4764-AB3B-29156849CC93}" id="{6FFE8484-7FD8-4213-B804-735AA096A88B}">
    <text>This is rounded for presentation purposes. This way the numbers will match the TPCS.</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mailto:dean.hammonds@us.af.mil" TargetMode="External"/><Relationship Id="rId7" Type="http://schemas.openxmlformats.org/officeDocument/2006/relationships/table" Target="../tables/table1.xml"/><Relationship Id="rId2" Type="http://schemas.openxmlformats.org/officeDocument/2006/relationships/hyperlink" Target="mailto:ashley.l.kennedy5.civ@us.navy.mil" TargetMode="External"/><Relationship Id="rId1" Type="http://schemas.openxmlformats.org/officeDocument/2006/relationships/hyperlink" Target="mailto:dustin.sawyers@va.gov"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brandon.d.scott@usace.army.mil"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14.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15.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tint="-0.499984740745262"/>
    <pageSetUpPr fitToPage="1"/>
  </sheetPr>
  <dimension ref="A1:T41"/>
  <sheetViews>
    <sheetView showGridLines="0" zoomScaleNormal="100" workbookViewId="0">
      <pane ySplit="9" topLeftCell="A10" activePane="bottomLeft" state="frozen"/>
      <selection pane="bottomLeft" activeCell="A10" sqref="A10"/>
    </sheetView>
  </sheetViews>
  <sheetFormatPr defaultColWidth="8.85546875" defaultRowHeight="15" x14ac:dyDescent="0.25"/>
  <cols>
    <col min="1" max="1" width="10.85546875" style="1" customWidth="1"/>
    <col min="2" max="2" width="15.85546875" style="1" customWidth="1"/>
    <col min="3" max="3" width="55.5703125" style="1" customWidth="1"/>
    <col min="4" max="4" width="30.5703125" style="1" customWidth="1"/>
    <col min="5" max="16384" width="8.85546875" style="1"/>
  </cols>
  <sheetData>
    <row r="1" spans="1:20" s="7" customFormat="1" ht="21" x14ac:dyDescent="0.35">
      <c r="A1" s="816" t="s">
        <v>1291</v>
      </c>
      <c r="B1" s="816"/>
      <c r="C1" s="816"/>
      <c r="D1" s="816"/>
      <c r="P1" s="1"/>
      <c r="Q1" s="1"/>
      <c r="R1" s="1"/>
      <c r="S1" s="1"/>
      <c r="T1" s="1"/>
    </row>
    <row r="2" spans="1:20" x14ac:dyDescent="0.25">
      <c r="A2" s="764"/>
      <c r="B2" s="76" t="s">
        <v>1281</v>
      </c>
      <c r="C2" t="s">
        <v>1284</v>
      </c>
      <c r="D2" s="640" t="s">
        <v>1289</v>
      </c>
    </row>
    <row r="3" spans="1:20" x14ac:dyDescent="0.25">
      <c r="A3" s="764"/>
      <c r="B3" s="76" t="s">
        <v>1283</v>
      </c>
      <c r="C3" t="s">
        <v>1290</v>
      </c>
      <c r="D3" s="640" t="s">
        <v>1287</v>
      </c>
    </row>
    <row r="4" spans="1:20" x14ac:dyDescent="0.25">
      <c r="A4" s="764"/>
      <c r="B4" s="76" t="s">
        <v>1282</v>
      </c>
      <c r="C4" t="s">
        <v>1286</v>
      </c>
      <c r="D4" s="640" t="s">
        <v>1288</v>
      </c>
    </row>
    <row r="5" spans="1:20" x14ac:dyDescent="0.25">
      <c r="A5" s="764"/>
      <c r="B5" s="76" t="s">
        <v>1280</v>
      </c>
      <c r="C5" t="s">
        <v>1285</v>
      </c>
      <c r="D5" s="640" t="s">
        <v>1428</v>
      </c>
    </row>
    <row r="7" spans="1:20" s="7" customFormat="1" ht="21" x14ac:dyDescent="0.35">
      <c r="A7" s="815" t="s">
        <v>4</v>
      </c>
      <c r="B7" s="815"/>
      <c r="C7" s="815"/>
      <c r="D7" s="815"/>
      <c r="P7" s="1"/>
      <c r="Q7" s="1"/>
      <c r="R7" s="1"/>
      <c r="S7" s="1"/>
      <c r="T7" s="1"/>
    </row>
    <row r="9" spans="1:20" x14ac:dyDescent="0.25">
      <c r="A9" s="2" t="s">
        <v>1237</v>
      </c>
      <c r="B9" s="2" t="s">
        <v>3</v>
      </c>
      <c r="C9" s="2" t="s">
        <v>1160</v>
      </c>
      <c r="D9" s="2" t="s">
        <v>1</v>
      </c>
    </row>
    <row r="10" spans="1:20" x14ac:dyDescent="0.25">
      <c r="A10" s="3">
        <v>1</v>
      </c>
      <c r="B10" s="4">
        <v>44588</v>
      </c>
      <c r="C10" s="5" t="s">
        <v>1158</v>
      </c>
      <c r="D10" s="6" t="s">
        <v>0</v>
      </c>
    </row>
    <row r="11" spans="1:20" ht="45" x14ac:dyDescent="0.25">
      <c r="A11" s="3">
        <v>2</v>
      </c>
      <c r="B11" s="4">
        <v>44588</v>
      </c>
      <c r="C11" s="5" t="s">
        <v>1159</v>
      </c>
      <c r="D11" s="6" t="s">
        <v>0</v>
      </c>
    </row>
    <row r="12" spans="1:20" ht="60" x14ac:dyDescent="0.25">
      <c r="A12" s="3">
        <v>3</v>
      </c>
      <c r="B12" s="4">
        <v>44650</v>
      </c>
      <c r="C12" s="5" t="s">
        <v>1257</v>
      </c>
      <c r="D12" s="6" t="s">
        <v>0</v>
      </c>
    </row>
    <row r="13" spans="1:20" ht="180" x14ac:dyDescent="0.25">
      <c r="A13" s="3">
        <v>4</v>
      </c>
      <c r="B13" s="4">
        <v>44841</v>
      </c>
      <c r="C13" s="5" t="s">
        <v>1191</v>
      </c>
      <c r="D13" s="6" t="s">
        <v>0</v>
      </c>
    </row>
    <row r="14" spans="1:20" ht="45" x14ac:dyDescent="0.25">
      <c r="A14" s="3">
        <v>5</v>
      </c>
      <c r="B14" s="4">
        <v>44861</v>
      </c>
      <c r="C14" s="5" t="s">
        <v>1200</v>
      </c>
      <c r="D14" s="6" t="s">
        <v>1201</v>
      </c>
    </row>
    <row r="15" spans="1:20" ht="45" x14ac:dyDescent="0.25">
      <c r="A15" s="3">
        <v>6</v>
      </c>
      <c r="B15" s="4">
        <v>44867</v>
      </c>
      <c r="C15" s="5" t="s">
        <v>1192</v>
      </c>
      <c r="D15" s="6" t="s">
        <v>0</v>
      </c>
    </row>
    <row r="16" spans="1:20" ht="90" x14ac:dyDescent="0.25">
      <c r="A16" s="3">
        <v>7</v>
      </c>
      <c r="B16" s="4">
        <v>44871</v>
      </c>
      <c r="C16" s="5" t="s">
        <v>1239</v>
      </c>
      <c r="D16" s="6" t="s">
        <v>0</v>
      </c>
    </row>
    <row r="17" spans="1:4" ht="30" x14ac:dyDescent="0.25">
      <c r="A17" s="3">
        <v>8</v>
      </c>
      <c r="B17" s="4">
        <v>44959</v>
      </c>
      <c r="C17" s="5" t="s">
        <v>1241</v>
      </c>
      <c r="D17" s="6" t="s">
        <v>0</v>
      </c>
    </row>
    <row r="18" spans="1:4" ht="60" x14ac:dyDescent="0.25">
      <c r="A18" s="3">
        <v>9</v>
      </c>
      <c r="B18" s="4">
        <v>44991</v>
      </c>
      <c r="C18" s="5" t="s">
        <v>1256</v>
      </c>
      <c r="D18" s="6" t="s">
        <v>0</v>
      </c>
    </row>
    <row r="19" spans="1:4" ht="90" x14ac:dyDescent="0.25">
      <c r="A19" s="3">
        <v>10</v>
      </c>
      <c r="B19" s="4">
        <v>45086</v>
      </c>
      <c r="C19" s="5" t="s">
        <v>1263</v>
      </c>
      <c r="D19" s="6" t="s">
        <v>0</v>
      </c>
    </row>
    <row r="20" spans="1:4" ht="117" customHeight="1" x14ac:dyDescent="0.25">
      <c r="A20" s="3">
        <v>11</v>
      </c>
      <c r="B20" s="4">
        <v>45245</v>
      </c>
      <c r="C20" s="5" t="s">
        <v>1294</v>
      </c>
      <c r="D20" s="6" t="s">
        <v>1292</v>
      </c>
    </row>
    <row r="21" spans="1:4" ht="315" x14ac:dyDescent="0.25">
      <c r="A21" s="3">
        <v>12</v>
      </c>
      <c r="B21" s="4">
        <v>45313</v>
      </c>
      <c r="C21" s="5" t="s">
        <v>1302</v>
      </c>
      <c r="D21" s="6" t="s">
        <v>1312</v>
      </c>
    </row>
    <row r="22" spans="1:4" ht="135" x14ac:dyDescent="0.25">
      <c r="A22" s="3">
        <v>13</v>
      </c>
      <c r="B22" s="4">
        <v>45408</v>
      </c>
      <c r="C22" s="5" t="s">
        <v>1433</v>
      </c>
      <c r="D22" s="806" t="s">
        <v>1427</v>
      </c>
    </row>
    <row r="23" spans="1:4" x14ac:dyDescent="0.25">
      <c r="A23" s="3"/>
      <c r="B23" s="4"/>
      <c r="C23" s="5"/>
      <c r="D23" s="6"/>
    </row>
    <row r="24" spans="1:4" x14ac:dyDescent="0.25">
      <c r="A24" s="3"/>
      <c r="B24" s="4"/>
      <c r="C24" s="5"/>
      <c r="D24" s="6"/>
    </row>
    <row r="25" spans="1:4" x14ac:dyDescent="0.25">
      <c r="A25" s="3"/>
      <c r="B25" s="4"/>
      <c r="C25" s="5"/>
      <c r="D25" s="6"/>
    </row>
    <row r="26" spans="1:4" x14ac:dyDescent="0.25">
      <c r="A26" s="3"/>
      <c r="B26" s="4"/>
      <c r="C26" s="5"/>
      <c r="D26" s="6"/>
    </row>
    <row r="27" spans="1:4" x14ac:dyDescent="0.25">
      <c r="A27" s="3"/>
      <c r="B27" s="4"/>
      <c r="C27" s="5"/>
      <c r="D27" s="6"/>
    </row>
    <row r="28" spans="1:4" x14ac:dyDescent="0.25">
      <c r="A28" s="3"/>
      <c r="B28" s="4"/>
      <c r="C28" s="5"/>
      <c r="D28" s="6"/>
    </row>
    <row r="29" spans="1:4" x14ac:dyDescent="0.25">
      <c r="A29" s="3"/>
      <c r="B29" s="4"/>
      <c r="C29" s="5"/>
      <c r="D29" s="6"/>
    </row>
    <row r="30" spans="1:4" x14ac:dyDescent="0.25">
      <c r="A30" s="3"/>
      <c r="B30" s="4"/>
      <c r="C30" s="5"/>
      <c r="D30" s="6"/>
    </row>
    <row r="31" spans="1:4" x14ac:dyDescent="0.25">
      <c r="A31" s="3"/>
      <c r="B31" s="4"/>
      <c r="C31" s="5"/>
      <c r="D31" s="6"/>
    </row>
    <row r="32" spans="1:4" x14ac:dyDescent="0.25">
      <c r="A32" s="3"/>
      <c r="B32" s="4"/>
      <c r="C32" s="5"/>
      <c r="D32" s="6"/>
    </row>
    <row r="33" spans="1:4" x14ac:dyDescent="0.25">
      <c r="A33" s="3"/>
      <c r="B33" s="4"/>
      <c r="C33" s="5"/>
      <c r="D33" s="6"/>
    </row>
    <row r="34" spans="1:4" x14ac:dyDescent="0.25">
      <c r="A34" s="3"/>
      <c r="B34" s="4"/>
      <c r="C34" s="5"/>
      <c r="D34" s="6"/>
    </row>
    <row r="35" spans="1:4" x14ac:dyDescent="0.25">
      <c r="A35" s="3"/>
      <c r="B35" s="4"/>
      <c r="C35" s="5"/>
      <c r="D35" s="6"/>
    </row>
    <row r="36" spans="1:4" x14ac:dyDescent="0.25">
      <c r="A36" s="3"/>
      <c r="B36" s="4"/>
      <c r="C36" s="5"/>
      <c r="D36" s="6"/>
    </row>
    <row r="37" spans="1:4" x14ac:dyDescent="0.25">
      <c r="A37" s="3"/>
      <c r="B37" s="4"/>
      <c r="C37" s="5"/>
      <c r="D37" s="6"/>
    </row>
    <row r="38" spans="1:4" x14ac:dyDescent="0.25">
      <c r="A38" s="3"/>
      <c r="B38" s="4"/>
      <c r="C38" s="5"/>
      <c r="D38" s="6"/>
    </row>
    <row r="39" spans="1:4" x14ac:dyDescent="0.25">
      <c r="A39" s="3"/>
      <c r="B39" s="4"/>
      <c r="C39" s="5"/>
      <c r="D39" s="6"/>
    </row>
    <row r="40" spans="1:4" x14ac:dyDescent="0.25">
      <c r="A40" s="3"/>
      <c r="B40" s="4"/>
      <c r="C40" s="5"/>
      <c r="D40" s="6"/>
    </row>
    <row r="41" spans="1:4" x14ac:dyDescent="0.25">
      <c r="A41" s="3"/>
      <c r="B41" s="4"/>
      <c r="C41" s="5"/>
      <c r="D41" s="6"/>
    </row>
  </sheetData>
  <sortState xmlns:xlrd2="http://schemas.microsoft.com/office/spreadsheetml/2017/richdata2" ref="A3:D5">
    <sortCondition ref="A3:A5"/>
  </sortState>
  <mergeCells count="2">
    <mergeCell ref="A7:D7"/>
    <mergeCell ref="A1:D1"/>
  </mergeCells>
  <hyperlinks>
    <hyperlink ref="D5" r:id="rId1" xr:uid="{00000000-0004-0000-0000-000000000000}"/>
    <hyperlink ref="D3" r:id="rId2" xr:uid="{00000000-0004-0000-0000-000001000000}"/>
    <hyperlink ref="D4" r:id="rId3" xr:uid="{00000000-0004-0000-0000-000002000000}"/>
    <hyperlink ref="D2" r:id="rId4" xr:uid="{00000000-0004-0000-0000-000003000000}"/>
  </hyperlinks>
  <pageMargins left="0.25" right="0.25" top="0.25" bottom="0.5" header="0.25" footer="0.25"/>
  <pageSetup scale="90" fitToHeight="0" orientation="portrait" horizontalDpi="1200" verticalDpi="1200" r:id="rId5"/>
  <headerFooter>
    <oddFooter>&amp;CPage &amp;P of &amp;N</oddFooter>
  </headerFooter>
  <drawing r:id="rId6"/>
  <tableParts count="1">
    <tablePart r:id="rId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J54"/>
  <sheetViews>
    <sheetView showGridLines="0" tabSelected="1" zoomScaleNormal="100" workbookViewId="0">
      <pane xSplit="2" ySplit="11" topLeftCell="C12" activePane="bottomRight" state="frozen"/>
      <selection pane="topRight" activeCell="C1" sqref="C1"/>
      <selection pane="bottomLeft" activeCell="A10" sqref="A10"/>
      <selection pane="bottomRight" activeCell="C12" sqref="C12"/>
    </sheetView>
  </sheetViews>
  <sheetFormatPr defaultRowHeight="15" x14ac:dyDescent="0.25"/>
  <cols>
    <col min="1" max="1" width="5.85546875" style="36" customWidth="1"/>
    <col min="2" max="2" width="40.85546875" customWidth="1"/>
    <col min="3" max="3" width="45.5703125" customWidth="1"/>
    <col min="4" max="4" width="20.5703125" customWidth="1"/>
    <col min="5" max="7" width="22.85546875" customWidth="1"/>
    <col min="8" max="8" width="13.85546875" bestFit="1" customWidth="1"/>
    <col min="9" max="9" width="9.140625" bestFit="1" customWidth="1"/>
  </cols>
  <sheetData>
    <row r="1" spans="1:7" ht="21" x14ac:dyDescent="0.25">
      <c r="B1" s="829" t="s">
        <v>1030</v>
      </c>
      <c r="C1" s="829"/>
      <c r="D1" s="829"/>
      <c r="E1" s="829"/>
      <c r="F1" s="829"/>
      <c r="G1" s="829"/>
    </row>
    <row r="2" spans="1:7" x14ac:dyDescent="0.25">
      <c r="A2" s="338"/>
      <c r="B2" s="38"/>
      <c r="C2" s="38"/>
      <c r="D2" s="38"/>
      <c r="E2" s="38"/>
      <c r="F2" s="38"/>
      <c r="G2" s="38"/>
    </row>
    <row r="3" spans="1:7" x14ac:dyDescent="0.25">
      <c r="A3" s="37"/>
      <c r="B3" s="47" t="str">
        <f>'D-Project Data'!B13</f>
        <v>Project:</v>
      </c>
      <c r="C3" s="830" t="str">
        <f>'D-Project Data'!C13</f>
        <v>Project Name</v>
      </c>
      <c r="D3" s="830"/>
      <c r="E3" s="48"/>
      <c r="F3" s="340"/>
      <c r="G3" s="340"/>
    </row>
    <row r="4" spans="1:7" x14ac:dyDescent="0.25">
      <c r="A4" s="37"/>
      <c r="B4" s="47" t="str">
        <f>'D-Project Data'!B15</f>
        <v>Project Development Phase:</v>
      </c>
      <c r="C4" s="830" t="str">
        <f>'D-Project Data'!C15</f>
        <v>Select From List</v>
      </c>
      <c r="D4" s="830"/>
      <c r="E4" s="49" t="s">
        <v>668</v>
      </c>
      <c r="F4" s="642" t="str">
        <f>'F-Meeting Attendance'!D7</f>
        <v>TBD</v>
      </c>
      <c r="G4" s="38"/>
    </row>
    <row r="5" spans="1:7" x14ac:dyDescent="0.25">
      <c r="A5" s="338"/>
      <c r="B5" s="38"/>
      <c r="C5" s="38"/>
      <c r="D5" s="38"/>
      <c r="E5" s="38"/>
      <c r="F5" s="38"/>
      <c r="G5" s="38"/>
    </row>
    <row r="6" spans="1:7" x14ac:dyDescent="0.25">
      <c r="A6" s="37"/>
      <c r="B6" s="49" t="s">
        <v>1031</v>
      </c>
      <c r="C6" s="648">
        <v>45566</v>
      </c>
      <c r="D6" s="399" t="s">
        <v>1034</v>
      </c>
      <c r="E6" s="38"/>
      <c r="F6" s="49" t="str">
        <f>'I-Project Contingency'!G12&amp;":"</f>
        <v>Schedule Contingency Duration:</v>
      </c>
      <c r="G6" s="643">
        <f>'I-Project Contingency'!I12</f>
        <v>6.9536496350364976</v>
      </c>
    </row>
    <row r="7" spans="1:7" x14ac:dyDescent="0.25">
      <c r="A7" s="37"/>
      <c r="B7" s="49" t="s">
        <v>1032</v>
      </c>
      <c r="C7" s="647">
        <v>46296</v>
      </c>
      <c r="D7" s="399" t="s">
        <v>1034</v>
      </c>
      <c r="E7" s="38"/>
      <c r="F7" s="49" t="s">
        <v>1033</v>
      </c>
      <c r="G7" s="644">
        <f>'I-Project Contingency'!$J$12</f>
        <v>0.29000000000000004</v>
      </c>
    </row>
    <row r="8" spans="1:7" x14ac:dyDescent="0.25">
      <c r="A8" s="37"/>
      <c r="B8" s="49" t="s">
        <v>1041</v>
      </c>
      <c r="C8" s="645">
        <f>YEARFRAC(C6,C7,1)*12</f>
        <v>23.978102189781023</v>
      </c>
      <c r="D8" s="38"/>
      <c r="E8" s="38"/>
      <c r="F8" s="49" t="str">
        <f>"Schedule with Contingency ("&amp;TEXT('I-Project Contingency'!G13,"0%")&amp;" Confidence):"</f>
        <v>Schedule with Contingency (85% Confidence):</v>
      </c>
      <c r="G8" s="645">
        <f>'I-Project Contingency'!I13</f>
        <v>30.931751824817521</v>
      </c>
    </row>
    <row r="9" spans="1:7" x14ac:dyDescent="0.25">
      <c r="A9" s="37"/>
      <c r="B9" s="49"/>
      <c r="C9" s="398"/>
      <c r="D9" s="38"/>
      <c r="E9" s="38"/>
      <c r="F9" s="49" t="str">
        <f>"Finish Date with Contingency ("&amp;TEXT('I-Project Contingency'!G14,"0%")&amp;" Confidence):"</f>
        <v>Finish Date with Contingency (85% Confidence):</v>
      </c>
      <c r="G9" s="646">
        <f>'I-Project Contingency'!I14</f>
        <v>46507</v>
      </c>
    </row>
    <row r="10" spans="1:7" ht="15.75" thickBot="1" x14ac:dyDescent="0.3">
      <c r="A10" s="37"/>
      <c r="B10" s="50"/>
      <c r="C10" s="51"/>
      <c r="D10" s="52"/>
      <c r="E10" s="38"/>
      <c r="F10" s="38"/>
    </row>
    <row r="11" spans="1:7" x14ac:dyDescent="0.25">
      <c r="A11" s="593"/>
      <c r="B11" s="594" t="str">
        <f>IF('D-Project Data'!C5="Civil Works",'1-Drop Down List'!K4,'1-Drop Down List'!L4)</f>
        <v>MILCON_WBS</v>
      </c>
      <c r="C11" s="594" t="s">
        <v>666</v>
      </c>
      <c r="D11" s="594" t="s">
        <v>665</v>
      </c>
      <c r="E11" s="595">
        <f>'D-Project Data'!C6</f>
        <v>0.85</v>
      </c>
      <c r="F11" s="596">
        <f>'D-Project Data'!$C$6</f>
        <v>0.85</v>
      </c>
      <c r="G11" s="597">
        <f>'D-Project Data'!$C$6</f>
        <v>0.85</v>
      </c>
    </row>
    <row r="12" spans="1:7" x14ac:dyDescent="0.25">
      <c r="A12" s="415"/>
      <c r="B12" s="416" t="s">
        <v>1216</v>
      </c>
      <c r="C12" s="416"/>
      <c r="D12" s="416"/>
      <c r="E12" s="417"/>
      <c r="F12" s="418"/>
      <c r="G12" s="419"/>
    </row>
    <row r="13" spans="1:7" ht="30" x14ac:dyDescent="0.25">
      <c r="A13" s="39"/>
      <c r="B13" s="657" t="s">
        <v>969</v>
      </c>
      <c r="C13" s="649" t="s">
        <v>1238</v>
      </c>
      <c r="D13" s="650">
        <v>0</v>
      </c>
      <c r="E13" s="651">
        <v>0</v>
      </c>
      <c r="F13" s="62">
        <f>IF($D$13&gt;0,ROUNDUP($D$13*E13,0),0)</f>
        <v>0</v>
      </c>
      <c r="G13" s="63">
        <f>D13+F13</f>
        <v>0</v>
      </c>
    </row>
    <row r="14" spans="1:7" x14ac:dyDescent="0.25">
      <c r="A14" s="40"/>
      <c r="B14" s="656"/>
      <c r="C14" s="54"/>
      <c r="D14" s="650">
        <v>0</v>
      </c>
      <c r="E14" s="651">
        <v>0</v>
      </c>
      <c r="F14" s="62">
        <f t="shared" ref="F14:F16" si="0">IF($D$13&gt;0,ROUNDUP($D$13*E14,0),0)</f>
        <v>0</v>
      </c>
      <c r="G14" s="63">
        <f>D14+F14</f>
        <v>0</v>
      </c>
    </row>
    <row r="15" spans="1:7" x14ac:dyDescent="0.25">
      <c r="A15" s="40"/>
      <c r="B15" s="656"/>
      <c r="C15" s="54"/>
      <c r="D15" s="650">
        <v>0</v>
      </c>
      <c r="E15" s="651">
        <v>0</v>
      </c>
      <c r="F15" s="62">
        <f t="shared" si="0"/>
        <v>0</v>
      </c>
      <c r="G15" s="63">
        <f>D15+F15</f>
        <v>0</v>
      </c>
    </row>
    <row r="16" spans="1:7" x14ac:dyDescent="0.25">
      <c r="A16" s="40"/>
      <c r="B16" s="656"/>
      <c r="C16" s="54"/>
      <c r="D16" s="650">
        <v>0</v>
      </c>
      <c r="E16" s="651">
        <v>0</v>
      </c>
      <c r="F16" s="62">
        <f t="shared" si="0"/>
        <v>0</v>
      </c>
      <c r="G16" s="63">
        <f>D16+F16</f>
        <v>0</v>
      </c>
    </row>
    <row r="17" spans="1:10" x14ac:dyDescent="0.25">
      <c r="A17" s="415"/>
      <c r="B17" s="416" t="s">
        <v>1217</v>
      </c>
      <c r="C17" s="416"/>
      <c r="D17" s="420"/>
      <c r="E17" s="417"/>
      <c r="F17" s="421"/>
      <c r="G17" s="422"/>
      <c r="I17" s="185"/>
      <c r="J17" s="185"/>
    </row>
    <row r="18" spans="1:10" x14ac:dyDescent="0.25">
      <c r="A18" s="40">
        <v>1</v>
      </c>
      <c r="B18" s="656" t="s">
        <v>1202</v>
      </c>
      <c r="C18" s="653" t="s">
        <v>1208</v>
      </c>
      <c r="D18" s="652">
        <f>1500000</f>
        <v>1500000</v>
      </c>
      <c r="E18" s="457">
        <f>IF(D18&gt;0,VLOOKUP($E$11,'I-Project Contingency'!$C$61:$H$81,6,FALSE),0)</f>
        <v>0.42</v>
      </c>
      <c r="F18" s="458">
        <f t="shared" ref="F18:F41" si="1">IF(D18&gt;0,ROUND(D18*E18,0),0)</f>
        <v>630000</v>
      </c>
      <c r="G18" s="459">
        <f t="shared" ref="G18:G42" si="2">D18+F18</f>
        <v>2130000</v>
      </c>
      <c r="I18" s="801"/>
    </row>
    <row r="19" spans="1:10" x14ac:dyDescent="0.25">
      <c r="A19" s="40">
        <v>2</v>
      </c>
      <c r="B19" s="656" t="s">
        <v>1202</v>
      </c>
      <c r="C19" s="653" t="s">
        <v>1209</v>
      </c>
      <c r="D19" s="652">
        <f>1500000</f>
        <v>1500000</v>
      </c>
      <c r="E19" s="457">
        <f>IF(D19&gt;0,VLOOKUP($E$11,'I-Project Contingency'!$C$61:$H$81,6,FALSE),0)</f>
        <v>0.42</v>
      </c>
      <c r="F19" s="458">
        <f>IF(D20&gt;0,ROUND(D20*E19,0),0)</f>
        <v>840000</v>
      </c>
      <c r="G19" s="459">
        <f>D20+F19</f>
        <v>2840000</v>
      </c>
    </row>
    <row r="20" spans="1:10" x14ac:dyDescent="0.25">
      <c r="A20" s="40">
        <v>3</v>
      </c>
      <c r="B20" s="656" t="s">
        <v>883</v>
      </c>
      <c r="C20" s="653" t="s">
        <v>1210</v>
      </c>
      <c r="D20" s="652">
        <v>2000000</v>
      </c>
      <c r="E20" s="457">
        <f>IF(D20&gt;0,VLOOKUP($E$11,'I-Project Contingency'!$C$61:$H$81,6,FALSE),0)</f>
        <v>0.42</v>
      </c>
      <c r="F20" s="458">
        <f>IF(D21&gt;0,ROUND(D21*E20,0),0)</f>
        <v>840000</v>
      </c>
      <c r="G20" s="459">
        <f>D21+F20</f>
        <v>2840000</v>
      </c>
    </row>
    <row r="21" spans="1:10" x14ac:dyDescent="0.25">
      <c r="A21" s="40">
        <v>4</v>
      </c>
      <c r="B21" s="656" t="s">
        <v>882</v>
      </c>
      <c r="C21" s="653" t="s">
        <v>1211</v>
      </c>
      <c r="D21" s="652">
        <v>2000000</v>
      </c>
      <c r="E21" s="457">
        <f>IF(D21&gt;0,VLOOKUP($E$11,'I-Project Contingency'!$C$61:$H$81,6,FALSE),0)</f>
        <v>0.42</v>
      </c>
      <c r="F21" s="458">
        <f t="shared" si="1"/>
        <v>840000</v>
      </c>
      <c r="G21" s="459">
        <f t="shared" si="2"/>
        <v>2840000</v>
      </c>
    </row>
    <row r="22" spans="1:10" x14ac:dyDescent="0.25">
      <c r="A22" s="40">
        <v>5</v>
      </c>
      <c r="B22" s="656" t="s">
        <v>881</v>
      </c>
      <c r="C22" s="653" t="s">
        <v>1212</v>
      </c>
      <c r="D22" s="652">
        <v>500000</v>
      </c>
      <c r="E22" s="457">
        <f>IF(D22&gt;0,VLOOKUP($E$11,'I-Project Contingency'!$C$61:$H$81,6,FALSE),0)</f>
        <v>0.42</v>
      </c>
      <c r="F22" s="458">
        <f t="shared" si="1"/>
        <v>210000</v>
      </c>
      <c r="G22" s="459">
        <f t="shared" si="2"/>
        <v>710000</v>
      </c>
    </row>
    <row r="23" spans="1:10" x14ac:dyDescent="0.25">
      <c r="A23" s="40">
        <v>6</v>
      </c>
      <c r="B23" s="656" t="s">
        <v>880</v>
      </c>
      <c r="C23" s="653" t="s">
        <v>1213</v>
      </c>
      <c r="D23" s="652">
        <v>500000</v>
      </c>
      <c r="E23" s="457">
        <f>IF(D23&gt;0,VLOOKUP($E$11,'I-Project Contingency'!$C$61:$H$81,6,FALSE),0)</f>
        <v>0.42</v>
      </c>
      <c r="F23" s="458">
        <f t="shared" si="1"/>
        <v>210000</v>
      </c>
      <c r="G23" s="459">
        <f t="shared" si="2"/>
        <v>710000</v>
      </c>
    </row>
    <row r="24" spans="1:10" x14ac:dyDescent="0.25">
      <c r="A24" s="40">
        <v>7</v>
      </c>
      <c r="B24" s="656" t="s">
        <v>1265</v>
      </c>
      <c r="C24" s="653" t="s">
        <v>1267</v>
      </c>
      <c r="D24" s="652">
        <f>1000000</f>
        <v>1000000</v>
      </c>
      <c r="E24" s="457">
        <f>IF(D24&gt;0,VLOOKUP($E$11,'I-Project Contingency'!$C$61:$H$81,6,FALSE),0)</f>
        <v>0.42</v>
      </c>
      <c r="F24" s="458">
        <f t="shared" si="1"/>
        <v>420000</v>
      </c>
      <c r="G24" s="459">
        <f t="shared" si="2"/>
        <v>1420000</v>
      </c>
    </row>
    <row r="25" spans="1:10" x14ac:dyDescent="0.25">
      <c r="A25" s="40">
        <v>8</v>
      </c>
      <c r="B25" s="656"/>
      <c r="C25" s="653"/>
      <c r="D25" s="652">
        <v>0</v>
      </c>
      <c r="E25" s="457">
        <f>IF(D25&gt;0,VLOOKUP($E$11,'I-Project Contingency'!$C$61:$H$81,6,FALSE),0)</f>
        <v>0</v>
      </c>
      <c r="F25" s="458">
        <f t="shared" si="1"/>
        <v>0</v>
      </c>
      <c r="G25" s="459">
        <f t="shared" si="2"/>
        <v>0</v>
      </c>
    </row>
    <row r="26" spans="1:10" x14ac:dyDescent="0.25">
      <c r="A26" s="40">
        <v>9</v>
      </c>
      <c r="B26" s="656"/>
      <c r="C26" s="653"/>
      <c r="D26" s="652">
        <v>0</v>
      </c>
      <c r="E26" s="457">
        <f>IF(D26&gt;0,VLOOKUP($E$11,'I-Project Contingency'!$C$61:$H$81,6,FALSE),0)</f>
        <v>0</v>
      </c>
      <c r="F26" s="458">
        <f t="shared" si="1"/>
        <v>0</v>
      </c>
      <c r="G26" s="459">
        <f t="shared" si="2"/>
        <v>0</v>
      </c>
    </row>
    <row r="27" spans="1:10" x14ac:dyDescent="0.25">
      <c r="A27" s="40">
        <v>10</v>
      </c>
      <c r="B27" s="656"/>
      <c r="C27" s="653"/>
      <c r="D27" s="652">
        <v>0</v>
      </c>
      <c r="E27" s="457">
        <f>IF(D27&gt;0,VLOOKUP($E$11,'I-Project Contingency'!$C$61:$H$81,6,FALSE),0)</f>
        <v>0</v>
      </c>
      <c r="F27" s="458">
        <f t="shared" si="1"/>
        <v>0</v>
      </c>
      <c r="G27" s="459">
        <f t="shared" si="2"/>
        <v>0</v>
      </c>
    </row>
    <row r="28" spans="1:10" x14ac:dyDescent="0.25">
      <c r="A28" s="40">
        <v>11</v>
      </c>
      <c r="B28" s="656"/>
      <c r="C28" s="654"/>
      <c r="D28" s="455">
        <v>0</v>
      </c>
      <c r="E28" s="457">
        <f>IF(D28&gt;0,VLOOKUP($E$11,'I-Project Contingency'!$C$61:$H$81,6,FALSE),0)</f>
        <v>0</v>
      </c>
      <c r="F28" s="458">
        <f t="shared" si="1"/>
        <v>0</v>
      </c>
      <c r="G28" s="459">
        <f t="shared" si="2"/>
        <v>0</v>
      </c>
    </row>
    <row r="29" spans="1:10" x14ac:dyDescent="0.25">
      <c r="A29" s="40">
        <v>12</v>
      </c>
      <c r="B29" s="656"/>
      <c r="C29" s="653"/>
      <c r="D29" s="455">
        <v>0</v>
      </c>
      <c r="E29" s="457">
        <f>IF(D29&gt;0,VLOOKUP($E$11,'I-Project Contingency'!$C$61:$H$81,6,FALSE),0)</f>
        <v>0</v>
      </c>
      <c r="F29" s="458">
        <f t="shared" si="1"/>
        <v>0</v>
      </c>
      <c r="G29" s="459">
        <f t="shared" si="2"/>
        <v>0</v>
      </c>
    </row>
    <row r="30" spans="1:10" x14ac:dyDescent="0.25">
      <c r="A30" s="40">
        <v>13</v>
      </c>
      <c r="B30" s="656"/>
      <c r="C30" s="653"/>
      <c r="D30" s="455">
        <v>0</v>
      </c>
      <c r="E30" s="457">
        <f>IF(D30&gt;0,VLOOKUP($E$11,'I-Project Contingency'!$C$61:$H$81,6,FALSE),0)</f>
        <v>0</v>
      </c>
      <c r="F30" s="458">
        <f t="shared" si="1"/>
        <v>0</v>
      </c>
      <c r="G30" s="459">
        <f t="shared" si="2"/>
        <v>0</v>
      </c>
    </row>
    <row r="31" spans="1:10" x14ac:dyDescent="0.25">
      <c r="A31" s="40">
        <v>14</v>
      </c>
      <c r="B31" s="656"/>
      <c r="C31" s="653"/>
      <c r="D31" s="455">
        <v>0</v>
      </c>
      <c r="E31" s="457">
        <f>IF(D31&gt;0,VLOOKUP($E$11,'I-Project Contingency'!$C$61:$H$81,6,FALSE),0)</f>
        <v>0</v>
      </c>
      <c r="F31" s="458">
        <f t="shared" si="1"/>
        <v>0</v>
      </c>
      <c r="G31" s="459">
        <f t="shared" si="2"/>
        <v>0</v>
      </c>
    </row>
    <row r="32" spans="1:10" x14ac:dyDescent="0.25">
      <c r="A32" s="40">
        <v>15</v>
      </c>
      <c r="B32" s="656"/>
      <c r="C32" s="653"/>
      <c r="D32" s="455">
        <v>0</v>
      </c>
      <c r="E32" s="457">
        <f>IF(D32&gt;0,VLOOKUP($E$11,'I-Project Contingency'!$C$61:$H$81,6,FALSE),0)</f>
        <v>0</v>
      </c>
      <c r="F32" s="458">
        <f t="shared" si="1"/>
        <v>0</v>
      </c>
      <c r="G32" s="459">
        <f t="shared" si="2"/>
        <v>0</v>
      </c>
    </row>
    <row r="33" spans="1:7" x14ac:dyDescent="0.25">
      <c r="A33" s="40">
        <v>16</v>
      </c>
      <c r="B33" s="656"/>
      <c r="C33" s="653"/>
      <c r="D33" s="455">
        <v>0</v>
      </c>
      <c r="E33" s="457">
        <f>IF(D33&gt;0,VLOOKUP($E$11,'I-Project Contingency'!$C$61:$H$81,6,FALSE),0)</f>
        <v>0</v>
      </c>
      <c r="F33" s="458">
        <f t="shared" si="1"/>
        <v>0</v>
      </c>
      <c r="G33" s="459">
        <f t="shared" si="2"/>
        <v>0</v>
      </c>
    </row>
    <row r="34" spans="1:7" x14ac:dyDescent="0.25">
      <c r="A34" s="40">
        <v>17</v>
      </c>
      <c r="B34" s="656"/>
      <c r="C34" s="653"/>
      <c r="D34" s="455">
        <v>0</v>
      </c>
      <c r="E34" s="457">
        <f>IF(D34&gt;0,VLOOKUP($E$11,'I-Project Contingency'!$C$61:$H$81,6,FALSE),0)</f>
        <v>0</v>
      </c>
      <c r="F34" s="458">
        <f t="shared" si="1"/>
        <v>0</v>
      </c>
      <c r="G34" s="459">
        <f t="shared" si="2"/>
        <v>0</v>
      </c>
    </row>
    <row r="35" spans="1:7" x14ac:dyDescent="0.25">
      <c r="A35" s="40">
        <v>18</v>
      </c>
      <c r="B35" s="656"/>
      <c r="C35" s="653"/>
      <c r="D35" s="455">
        <v>0</v>
      </c>
      <c r="E35" s="457">
        <f>IF(D35&gt;0,VLOOKUP($E$11,'I-Project Contingency'!$C$61:$H$81,6,FALSE),0)</f>
        <v>0</v>
      </c>
      <c r="F35" s="458">
        <f t="shared" si="1"/>
        <v>0</v>
      </c>
      <c r="G35" s="459">
        <f t="shared" si="2"/>
        <v>0</v>
      </c>
    </row>
    <row r="36" spans="1:7" x14ac:dyDescent="0.25">
      <c r="A36" s="40">
        <v>19</v>
      </c>
      <c r="B36" s="656"/>
      <c r="C36" s="653"/>
      <c r="D36" s="455">
        <v>0</v>
      </c>
      <c r="E36" s="457">
        <f>IF(D36&gt;0,VLOOKUP($E$11,'I-Project Contingency'!$C$61:$H$81,6,FALSE),0)</f>
        <v>0</v>
      </c>
      <c r="F36" s="458">
        <f t="shared" si="1"/>
        <v>0</v>
      </c>
      <c r="G36" s="459">
        <f t="shared" si="2"/>
        <v>0</v>
      </c>
    </row>
    <row r="37" spans="1:7" x14ac:dyDescent="0.25">
      <c r="A37" s="40">
        <v>20</v>
      </c>
      <c r="B37" s="656"/>
      <c r="C37" s="653"/>
      <c r="D37" s="455">
        <v>0</v>
      </c>
      <c r="E37" s="457">
        <f>IF(D37&gt;0,VLOOKUP($E$11,'I-Project Contingency'!$C$61:$H$81,6,FALSE),0)</f>
        <v>0</v>
      </c>
      <c r="F37" s="458">
        <f t="shared" si="1"/>
        <v>0</v>
      </c>
      <c r="G37" s="459">
        <f t="shared" si="2"/>
        <v>0</v>
      </c>
    </row>
    <row r="38" spans="1:7" x14ac:dyDescent="0.25">
      <c r="A38" s="40">
        <v>21</v>
      </c>
      <c r="B38" s="656"/>
      <c r="C38" s="653"/>
      <c r="D38" s="455">
        <v>0</v>
      </c>
      <c r="E38" s="457">
        <f>IF(D38&gt;0,VLOOKUP($E$11,'I-Project Contingency'!$C$61:$H$81,6,FALSE),0)</f>
        <v>0</v>
      </c>
      <c r="F38" s="458">
        <f t="shared" si="1"/>
        <v>0</v>
      </c>
      <c r="G38" s="459">
        <f t="shared" si="2"/>
        <v>0</v>
      </c>
    </row>
    <row r="39" spans="1:7" x14ac:dyDescent="0.25">
      <c r="A39" s="40">
        <v>22</v>
      </c>
      <c r="B39" s="655"/>
      <c r="C39" s="653"/>
      <c r="D39" s="455">
        <v>0</v>
      </c>
      <c r="E39" s="457">
        <f>IF(D39&gt;0,VLOOKUP($E$11,'I-Project Contingency'!$C$61:$H$81,6,FALSE),0)</f>
        <v>0</v>
      </c>
      <c r="F39" s="458">
        <f t="shared" si="1"/>
        <v>0</v>
      </c>
      <c r="G39" s="459">
        <f t="shared" si="2"/>
        <v>0</v>
      </c>
    </row>
    <row r="40" spans="1:7" ht="30" x14ac:dyDescent="0.25">
      <c r="A40" s="40">
        <v>23</v>
      </c>
      <c r="B40" s="658" t="s">
        <v>989</v>
      </c>
      <c r="C40" s="653" t="s">
        <v>1238</v>
      </c>
      <c r="D40" s="455">
        <v>0</v>
      </c>
      <c r="E40" s="457">
        <f>IF(D40&gt;0,VLOOKUP($E$11,'I-Project Contingency'!$C$61:$H$81,6,FALSE),0)</f>
        <v>0</v>
      </c>
      <c r="F40" s="458">
        <f t="shared" si="1"/>
        <v>0</v>
      </c>
      <c r="G40" s="459">
        <f t="shared" si="2"/>
        <v>0</v>
      </c>
    </row>
    <row r="41" spans="1:7" ht="30" x14ac:dyDescent="0.25">
      <c r="A41" s="40">
        <v>24</v>
      </c>
      <c r="B41" s="658" t="s">
        <v>990</v>
      </c>
      <c r="C41" s="653" t="s">
        <v>1238</v>
      </c>
      <c r="D41" s="455">
        <v>0</v>
      </c>
      <c r="E41" s="457">
        <f>IF(D41&gt;0,VLOOKUP($E$11,'I-Project Contingency'!$C$61:$H$81,6,FALSE),0)</f>
        <v>0</v>
      </c>
      <c r="F41" s="458">
        <f t="shared" si="1"/>
        <v>0</v>
      </c>
      <c r="G41" s="459">
        <f t="shared" si="2"/>
        <v>0</v>
      </c>
    </row>
    <row r="42" spans="1:7" x14ac:dyDescent="0.25">
      <c r="A42" s="480" t="s">
        <v>653</v>
      </c>
      <c r="B42" s="659" t="s">
        <v>652</v>
      </c>
      <c r="C42" s="55"/>
      <c r="D42" s="456"/>
      <c r="E42" s="53"/>
      <c r="F42" s="626">
        <v>0</v>
      </c>
      <c r="G42" s="627">
        <f t="shared" si="2"/>
        <v>0</v>
      </c>
    </row>
    <row r="43" spans="1:7" ht="15.75" thickBot="1" x14ac:dyDescent="0.3">
      <c r="A43" s="41"/>
      <c r="B43" s="56" t="s">
        <v>643</v>
      </c>
      <c r="C43" s="57"/>
      <c r="D43" s="59"/>
      <c r="E43" s="42"/>
      <c r="F43" s="64"/>
      <c r="G43" s="65"/>
    </row>
    <row r="44" spans="1:7" x14ac:dyDescent="0.25">
      <c r="A44" s="41"/>
      <c r="B44" s="56" t="s">
        <v>643</v>
      </c>
      <c r="C44" s="58" t="s">
        <v>669</v>
      </c>
      <c r="D44" s="60"/>
      <c r="E44" s="43"/>
      <c r="F44" s="66"/>
      <c r="G44" s="67"/>
    </row>
    <row r="45" spans="1:7" x14ac:dyDescent="0.25">
      <c r="A45" s="41"/>
      <c r="B45" s="56" t="s">
        <v>643</v>
      </c>
      <c r="C45" s="44" t="str">
        <f>B12</f>
        <v>Risk Not Included In CSRA</v>
      </c>
      <c r="D45" s="619">
        <f>SUM(D13:D16)</f>
        <v>0</v>
      </c>
      <c r="E45" s="485">
        <f>IFERROR(F45/D45,0)</f>
        <v>0</v>
      </c>
      <c r="F45" s="620">
        <f>SUM(F13:F16)</f>
        <v>0</v>
      </c>
      <c r="G45" s="68">
        <f>SUM(G13:G16)</f>
        <v>0</v>
      </c>
    </row>
    <row r="46" spans="1:7" x14ac:dyDescent="0.25">
      <c r="A46" s="41"/>
      <c r="B46" s="56" t="s">
        <v>643</v>
      </c>
      <c r="C46" s="44" t="s">
        <v>650</v>
      </c>
      <c r="D46" s="621">
        <f>SUM(D18:D39)</f>
        <v>9000000</v>
      </c>
      <c r="E46" s="622">
        <f>E18</f>
        <v>0.42</v>
      </c>
      <c r="F46" s="623">
        <f>IF(D46&gt;0,ROUND(D46*E46,0),0)</f>
        <v>3780000</v>
      </c>
      <c r="G46" s="624">
        <f>D46+F46</f>
        <v>12780000</v>
      </c>
    </row>
    <row r="47" spans="1:7" x14ac:dyDescent="0.25">
      <c r="A47" s="41"/>
      <c r="B47" s="56" t="s">
        <v>649</v>
      </c>
      <c r="C47" s="44" t="s">
        <v>648</v>
      </c>
      <c r="D47" s="621">
        <f>D40</f>
        <v>0</v>
      </c>
      <c r="E47" s="622">
        <f>E46</f>
        <v>0.42</v>
      </c>
      <c r="F47" s="623">
        <f>IF(D47&gt;0,ROUNDUP(D47*E47,0),0)</f>
        <v>0</v>
      </c>
      <c r="G47" s="624">
        <f>D47+F47</f>
        <v>0</v>
      </c>
    </row>
    <row r="48" spans="1:7" x14ac:dyDescent="0.25">
      <c r="A48" s="41"/>
      <c r="B48" s="56" t="s">
        <v>643</v>
      </c>
      <c r="C48" s="44" t="s">
        <v>647</v>
      </c>
      <c r="D48" s="621">
        <f>D41</f>
        <v>0</v>
      </c>
      <c r="E48" s="622">
        <f>E47</f>
        <v>0.42</v>
      </c>
      <c r="F48" s="623">
        <f>IF(D48&gt;0,ROUNDUP(D48*E48,0),0)</f>
        <v>0</v>
      </c>
      <c r="G48" s="624">
        <f>D48+F48</f>
        <v>0</v>
      </c>
    </row>
    <row r="49" spans="1:7" ht="15.75" thickBot="1" x14ac:dyDescent="0.3">
      <c r="A49" s="41"/>
      <c r="B49" s="56" t="s">
        <v>643</v>
      </c>
      <c r="C49" s="44"/>
      <c r="D49" s="625"/>
      <c r="E49" s="486"/>
      <c r="F49" s="64"/>
      <c r="G49" s="65"/>
    </row>
    <row r="50" spans="1:7" ht="15.75" thickBot="1" x14ac:dyDescent="0.3">
      <c r="A50" s="41"/>
      <c r="B50" s="56" t="s">
        <v>643</v>
      </c>
      <c r="C50" s="481" t="str">
        <f>"Total EXCLUDING "&amp;B12</f>
        <v>Total EXCLUDING Risk Not Included In CSRA</v>
      </c>
      <c r="D50" s="61">
        <f>SUM(D46:D48)</f>
        <v>9000000</v>
      </c>
      <c r="E50" s="505">
        <f>ROUND(F50/D50,2)</f>
        <v>0.42</v>
      </c>
      <c r="F50" s="69">
        <f>SUM(F46:F48,F42)</f>
        <v>3780000</v>
      </c>
      <c r="G50" s="70">
        <f>SUM(G46:G48,G42)</f>
        <v>12780000</v>
      </c>
    </row>
    <row r="51" spans="1:7" ht="15.75" thickBot="1" x14ac:dyDescent="0.3">
      <c r="A51" s="41"/>
      <c r="B51" s="56" t="s">
        <v>643</v>
      </c>
      <c r="C51" s="481" t="str">
        <f>"Total INCLUDING "&amp;B12</f>
        <v>Total INCLUDING Risk Not Included In CSRA</v>
      </c>
      <c r="D51" s="337">
        <f>D50+D45</f>
        <v>9000000</v>
      </c>
      <c r="E51" s="505">
        <f>ROUND(F51/D51,2)</f>
        <v>0.42</v>
      </c>
      <c r="F51" s="69">
        <f t="shared" ref="F51:G51" si="3">F50+F45</f>
        <v>3780000</v>
      </c>
      <c r="G51" s="70">
        <f t="shared" si="3"/>
        <v>12780000</v>
      </c>
    </row>
    <row r="52" spans="1:7" ht="15.75" thickBot="1" x14ac:dyDescent="0.3">
      <c r="A52" s="41"/>
      <c r="B52" s="56" t="s">
        <v>644</v>
      </c>
      <c r="C52" s="482" t="s">
        <v>646</v>
      </c>
      <c r="D52" s="71"/>
      <c r="E52" s="72"/>
      <c r="F52" s="73"/>
      <c r="G52" s="74">
        <v>0</v>
      </c>
    </row>
    <row r="53" spans="1:7" x14ac:dyDescent="0.25">
      <c r="A53" s="41"/>
      <c r="B53" s="56" t="s">
        <v>644</v>
      </c>
      <c r="D53" s="45"/>
      <c r="E53" s="46"/>
      <c r="F53" s="46"/>
      <c r="G53" s="46"/>
    </row>
    <row r="54" spans="1:7" ht="24.95" customHeight="1" x14ac:dyDescent="0.25">
      <c r="A54" s="831" t="s">
        <v>1214</v>
      </c>
      <c r="B54" s="831"/>
      <c r="C54" s="831"/>
      <c r="D54" s="831"/>
      <c r="E54" s="831"/>
      <c r="F54" s="831"/>
      <c r="G54" s="832"/>
    </row>
  </sheetData>
  <dataConsolidate/>
  <mergeCells count="4">
    <mergeCell ref="B1:G1"/>
    <mergeCell ref="C3:D3"/>
    <mergeCell ref="C4:D4"/>
    <mergeCell ref="A54:G54"/>
  </mergeCells>
  <dataValidations disablePrompts="1" count="1">
    <dataValidation type="list" allowBlank="1" showInputMessage="1" showErrorMessage="1" sqref="B13:B16 B18:B41" xr:uid="{00000000-0002-0000-0900-000000000000}">
      <formula1>INDIRECT($B$11)</formula1>
    </dataValidation>
  </dataValidations>
  <printOptions horizontalCentered="1"/>
  <pageMargins left="0.25" right="0.25" top="0.25" bottom="0.5" header="0.25" footer="0.25"/>
  <pageSetup scale="70" fitToWidth="0" fitToHeight="0" orientation="landscape" horizontalDpi="1200" verticalDpi="1200" r:id="rId1"/>
  <headerFooter>
    <oddFooter>&amp;CPage &amp;P of &amp;N</oddFooter>
  </headerFooter>
  <ignoredErrors>
    <ignoredError sqref="C3:D4 C8" unlocked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E56"/>
  <sheetViews>
    <sheetView showGridLines="0" zoomScaleNormal="100" workbookViewId="0">
      <pane xSplit="1" ySplit="11" topLeftCell="B12" activePane="bottomRight" state="frozen"/>
      <selection pane="topRight" activeCell="C1" sqref="C1"/>
      <selection pane="bottomLeft" activeCell="A10" sqref="A10"/>
      <selection pane="bottomRight" activeCell="G34" sqref="G34"/>
    </sheetView>
  </sheetViews>
  <sheetFormatPr defaultRowHeight="15" x14ac:dyDescent="0.25"/>
  <cols>
    <col min="1" max="1" width="25.85546875" customWidth="1"/>
    <col min="2" max="2" width="60.85546875" customWidth="1"/>
    <col min="3" max="3" width="2.85546875" customWidth="1"/>
    <col min="4" max="4" width="20.85546875" customWidth="1"/>
    <col min="5" max="5" width="25.85546875" customWidth="1"/>
  </cols>
  <sheetData>
    <row r="1" spans="1:5" ht="21" x14ac:dyDescent="0.25">
      <c r="A1" s="829" t="s">
        <v>1030</v>
      </c>
      <c r="B1" s="829"/>
      <c r="C1" s="829"/>
      <c r="D1" s="829"/>
      <c r="E1" s="829"/>
    </row>
    <row r="2" spans="1:5" ht="21" x14ac:dyDescent="0.25">
      <c r="A2" s="75"/>
      <c r="B2" s="75"/>
      <c r="C2" s="75"/>
      <c r="D2" s="75"/>
      <c r="E2" s="75"/>
    </row>
    <row r="3" spans="1:5" x14ac:dyDescent="0.25">
      <c r="A3" s="47" t="str">
        <f>'D-Project Data'!B13</f>
        <v>Project:</v>
      </c>
      <c r="B3" s="348" t="str">
        <f>'D-Project Data'!C13</f>
        <v>Project Name</v>
      </c>
      <c r="C3" s="342"/>
      <c r="D3" s="49" t="s">
        <v>668</v>
      </c>
      <c r="E3" s="345" t="str">
        <f>'F-Meeting Attendance'!D7</f>
        <v>TBD</v>
      </c>
    </row>
    <row r="4" spans="1:5" x14ac:dyDescent="0.25">
      <c r="A4" s="47" t="str">
        <f>'D-Project Data'!B15</f>
        <v>Project Development Phase:</v>
      </c>
      <c r="B4" s="349" t="str">
        <f>'D-Project Data'!C15</f>
        <v>Select From List</v>
      </c>
      <c r="C4" s="342"/>
      <c r="D4" s="49" t="s">
        <v>1031</v>
      </c>
      <c r="E4" s="352">
        <v>44470</v>
      </c>
    </row>
    <row r="5" spans="1:5" x14ac:dyDescent="0.25">
      <c r="A5" s="49" t="e">
        <f>'D-Project Data'!#REF!</f>
        <v>#REF!</v>
      </c>
      <c r="B5" s="350" t="e">
        <f>'D-Project Data'!#REF!</f>
        <v>#REF!</v>
      </c>
      <c r="C5" s="341"/>
      <c r="D5" s="49" t="s">
        <v>1032</v>
      </c>
      <c r="E5" s="352">
        <v>46447</v>
      </c>
    </row>
    <row r="6" spans="1:5" x14ac:dyDescent="0.25">
      <c r="A6" s="49" t="str">
        <f>'D-Project Data'!B6</f>
        <v>Confidence Level:</v>
      </c>
      <c r="B6" s="351">
        <f>'D-Project Data'!C6</f>
        <v>0.85</v>
      </c>
      <c r="C6" s="340"/>
      <c r="D6" s="49" t="s">
        <v>667</v>
      </c>
      <c r="E6" s="346">
        <f>YEARFRAC(E4,E5,1)*12</f>
        <v>64.971830985915489</v>
      </c>
    </row>
    <row r="7" spans="1:5" x14ac:dyDescent="0.25">
      <c r="A7" s="38"/>
      <c r="B7" s="38"/>
      <c r="C7" s="343"/>
      <c r="D7" s="49" t="str">
        <f>'E-Cost &amp; Schedule Summary'!F6</f>
        <v>Schedule Contingency Duration:</v>
      </c>
      <c r="E7" s="346">
        <f>'E-Cost &amp; Schedule Summary'!G6</f>
        <v>6.9536496350364976</v>
      </c>
    </row>
    <row r="8" spans="1:5" x14ac:dyDescent="0.25">
      <c r="A8" s="38"/>
      <c r="B8" s="38"/>
      <c r="C8" s="343"/>
      <c r="D8" s="49" t="s">
        <v>1033</v>
      </c>
      <c r="E8" s="347">
        <f>'I-Project Contingency'!$J$12</f>
        <v>0.29000000000000004</v>
      </c>
    </row>
    <row r="9" spans="1:5" x14ac:dyDescent="0.25">
      <c r="A9" s="49"/>
      <c r="B9" s="340"/>
      <c r="C9" s="340"/>
      <c r="D9" s="400" t="str">
        <f>"Finish Date with Contingency ("&amp;TEXT('I-Project Contingency'!G14,"0%")&amp;" Confidence):"</f>
        <v>Finish Date with Contingency (85% Confidence):</v>
      </c>
      <c r="E9" s="353">
        <f>'I-Project Contingency'!I14</f>
        <v>46507</v>
      </c>
    </row>
    <row r="10" spans="1:5" ht="15.75" thickBot="1" x14ac:dyDescent="0.3">
      <c r="A10" s="38"/>
      <c r="B10" s="38"/>
      <c r="C10" s="38"/>
      <c r="D10" s="38"/>
      <c r="E10" s="38"/>
    </row>
    <row r="11" spans="1:5" ht="15.75" thickBot="1" x14ac:dyDescent="0.3">
      <c r="A11" s="367"/>
      <c r="B11" s="367" t="s">
        <v>1025</v>
      </c>
      <c r="C11" s="368"/>
      <c r="D11" s="369" t="s">
        <v>864</v>
      </c>
      <c r="E11" s="370"/>
    </row>
    <row r="12" spans="1:5" x14ac:dyDescent="0.25">
      <c r="A12" s="836" t="s">
        <v>1039</v>
      </c>
      <c r="B12" s="383" t="s">
        <v>651</v>
      </c>
      <c r="C12" s="384"/>
      <c r="D12" s="385">
        <f>'E-Cost &amp; Schedule Summary'!D13</f>
        <v>0</v>
      </c>
      <c r="E12" s="386"/>
    </row>
    <row r="13" spans="1:5" x14ac:dyDescent="0.25">
      <c r="A13" s="837"/>
      <c r="B13" s="376" t="s">
        <v>989</v>
      </c>
      <c r="C13" s="360"/>
      <c r="D13" s="379">
        <v>0</v>
      </c>
      <c r="E13" s="372"/>
    </row>
    <row r="14" spans="1:5" x14ac:dyDescent="0.25">
      <c r="A14" s="837"/>
      <c r="B14" s="376" t="s">
        <v>990</v>
      </c>
      <c r="C14" s="360"/>
      <c r="D14" s="379">
        <v>0</v>
      </c>
      <c r="E14" s="372"/>
    </row>
    <row r="15" spans="1:5" x14ac:dyDescent="0.25">
      <c r="A15" s="837"/>
      <c r="B15" s="376"/>
      <c r="C15" s="360"/>
      <c r="D15" s="379">
        <v>0</v>
      </c>
      <c r="E15" s="372"/>
    </row>
    <row r="16" spans="1:5" ht="15.75" thickBot="1" x14ac:dyDescent="0.3">
      <c r="A16" s="838"/>
      <c r="B16" s="377"/>
      <c r="C16" s="373"/>
      <c r="D16" s="380">
        <v>0</v>
      </c>
      <c r="E16" s="374"/>
    </row>
    <row r="17" spans="1:5" ht="15.75" thickBot="1" x14ac:dyDescent="0.3">
      <c r="A17" s="50"/>
      <c r="B17" s="57"/>
      <c r="C17" s="57"/>
      <c r="D17" s="59"/>
      <c r="E17" s="59"/>
    </row>
    <row r="18" spans="1:5" ht="14.45" customHeight="1" x14ac:dyDescent="0.25">
      <c r="A18" s="836" t="s">
        <v>1038</v>
      </c>
      <c r="B18" s="387" t="str">
        <f>'E-Cost &amp; Schedule Summary'!C18</f>
        <v>Primary Facilities- Flight Simulator</v>
      </c>
      <c r="C18" s="384"/>
      <c r="D18" s="385">
        <f>'E-Cost &amp; Schedule Summary'!D18</f>
        <v>1500000</v>
      </c>
      <c r="E18" s="386"/>
    </row>
    <row r="19" spans="1:5" x14ac:dyDescent="0.25">
      <c r="A19" s="837"/>
      <c r="B19" s="487" t="str">
        <f>'E-Cost &amp; Schedule Summary'!C19</f>
        <v>Primary Facilities- OPS Facility</v>
      </c>
      <c r="C19" s="488"/>
      <c r="D19" s="455">
        <f>'E-Cost &amp; Schedule Summary'!D20</f>
        <v>2000000</v>
      </c>
      <c r="E19" s="489"/>
    </row>
    <row r="20" spans="1:5" x14ac:dyDescent="0.25">
      <c r="A20" s="837"/>
      <c r="B20" s="487" t="str">
        <f>'E-Cost &amp; Schedule Summary'!C20</f>
        <v>Site Preparations</v>
      </c>
      <c r="C20" s="488"/>
      <c r="D20" s="455" t="e">
        <f>'E-Cost &amp; Schedule Summary'!#REF!</f>
        <v>#REF!</v>
      </c>
      <c r="E20" s="489"/>
    </row>
    <row r="21" spans="1:5" x14ac:dyDescent="0.25">
      <c r="A21" s="837"/>
      <c r="B21" s="487"/>
      <c r="C21" s="488"/>
      <c r="D21" s="455">
        <v>0</v>
      </c>
      <c r="E21" s="489"/>
    </row>
    <row r="22" spans="1:5" x14ac:dyDescent="0.25">
      <c r="A22" s="837"/>
      <c r="B22" s="487"/>
      <c r="C22" s="488"/>
      <c r="D22" s="455">
        <v>0</v>
      </c>
      <c r="E22" s="489"/>
    </row>
    <row r="23" spans="1:5" x14ac:dyDescent="0.25">
      <c r="A23" s="837"/>
      <c r="B23" s="487"/>
      <c r="C23" s="488"/>
      <c r="D23" s="455">
        <v>0</v>
      </c>
      <c r="E23" s="489"/>
    </row>
    <row r="24" spans="1:5" x14ac:dyDescent="0.25">
      <c r="A24" s="837"/>
      <c r="B24" s="487"/>
      <c r="C24" s="488"/>
      <c r="D24" s="455">
        <v>0</v>
      </c>
      <c r="E24" s="489"/>
    </row>
    <row r="25" spans="1:5" x14ac:dyDescent="0.25">
      <c r="A25" s="837"/>
      <c r="B25" s="487"/>
      <c r="C25" s="488"/>
      <c r="D25" s="455">
        <v>0</v>
      </c>
      <c r="E25" s="489"/>
    </row>
    <row r="26" spans="1:5" x14ac:dyDescent="0.25">
      <c r="A26" s="837"/>
      <c r="B26" s="487"/>
      <c r="C26" s="488"/>
      <c r="D26" s="455">
        <v>0</v>
      </c>
      <c r="E26" s="489"/>
    </row>
    <row r="27" spans="1:5" x14ac:dyDescent="0.25">
      <c r="A27" s="837"/>
      <c r="B27" s="487"/>
      <c r="C27" s="488"/>
      <c r="D27" s="455">
        <v>0</v>
      </c>
      <c r="E27" s="489"/>
    </row>
    <row r="28" spans="1:5" x14ac:dyDescent="0.25">
      <c r="A28" s="837"/>
      <c r="B28" s="487"/>
      <c r="C28" s="488"/>
      <c r="D28" s="455">
        <v>0</v>
      </c>
      <c r="E28" s="489"/>
    </row>
    <row r="29" spans="1:5" x14ac:dyDescent="0.25">
      <c r="A29" s="837"/>
      <c r="B29" s="487"/>
      <c r="C29" s="488"/>
      <c r="D29" s="455">
        <v>0</v>
      </c>
      <c r="E29" s="489"/>
    </row>
    <row r="30" spans="1:5" x14ac:dyDescent="0.25">
      <c r="A30" s="837"/>
      <c r="B30" s="487"/>
      <c r="C30" s="488"/>
      <c r="D30" s="455">
        <v>0</v>
      </c>
      <c r="E30" s="489"/>
    </row>
    <row r="31" spans="1:5" x14ac:dyDescent="0.25">
      <c r="A31" s="837"/>
      <c r="B31" s="487"/>
      <c r="C31" s="488"/>
      <c r="D31" s="455">
        <v>0</v>
      </c>
      <c r="E31" s="489"/>
    </row>
    <row r="32" spans="1:5" x14ac:dyDescent="0.25">
      <c r="A32" s="837"/>
      <c r="B32" s="487"/>
      <c r="C32" s="488"/>
      <c r="D32" s="455">
        <v>0</v>
      </c>
      <c r="E32" s="489"/>
    </row>
    <row r="33" spans="1:5" x14ac:dyDescent="0.25">
      <c r="A33" s="837"/>
      <c r="B33" s="487"/>
      <c r="C33" s="488"/>
      <c r="D33" s="455">
        <v>0</v>
      </c>
      <c r="E33" s="489"/>
    </row>
    <row r="34" spans="1:5" x14ac:dyDescent="0.25">
      <c r="A34" s="837"/>
      <c r="B34" s="487"/>
      <c r="C34" s="488"/>
      <c r="D34" s="455">
        <v>0</v>
      </c>
      <c r="E34" s="489"/>
    </row>
    <row r="35" spans="1:5" x14ac:dyDescent="0.25">
      <c r="A35" s="837"/>
      <c r="B35" s="487"/>
      <c r="C35" s="488"/>
      <c r="D35" s="455">
        <v>0</v>
      </c>
      <c r="E35" s="489"/>
    </row>
    <row r="36" spans="1:5" x14ac:dyDescent="0.25">
      <c r="A36" s="837"/>
      <c r="B36" s="487"/>
      <c r="C36" s="488"/>
      <c r="D36" s="455">
        <v>0</v>
      </c>
      <c r="E36" s="489"/>
    </row>
    <row r="37" spans="1:5" x14ac:dyDescent="0.25">
      <c r="A37" s="837"/>
      <c r="B37" s="487"/>
      <c r="C37" s="488"/>
      <c r="D37" s="455">
        <v>0</v>
      </c>
      <c r="E37" s="489"/>
    </row>
    <row r="38" spans="1:5" x14ac:dyDescent="0.25">
      <c r="A38" s="837"/>
      <c r="B38" s="487"/>
      <c r="C38" s="488"/>
      <c r="D38" s="455">
        <v>0</v>
      </c>
      <c r="E38" s="489"/>
    </row>
    <row r="39" spans="1:5" x14ac:dyDescent="0.25">
      <c r="A39" s="837"/>
      <c r="B39" s="487"/>
      <c r="C39" s="488"/>
      <c r="D39" s="455">
        <v>0</v>
      </c>
      <c r="E39" s="489"/>
    </row>
    <row r="40" spans="1:5" x14ac:dyDescent="0.25">
      <c r="A40" s="837"/>
      <c r="B40" s="487" t="s">
        <v>989</v>
      </c>
      <c r="C40" s="488"/>
      <c r="D40" s="455" t="e">
        <f>SUM(D18:D39)*15%</f>
        <v>#REF!</v>
      </c>
      <c r="E40" s="490"/>
    </row>
    <row r="41" spans="1:5" ht="15.75" thickBot="1" x14ac:dyDescent="0.3">
      <c r="A41" s="838"/>
      <c r="B41" s="491" t="s">
        <v>990</v>
      </c>
      <c r="C41" s="492"/>
      <c r="D41" s="493" t="e">
        <f>SUM(D18:D39)*7.5%</f>
        <v>#REF!</v>
      </c>
      <c r="E41" s="494"/>
    </row>
    <row r="42" spans="1:5" ht="15.75" thickBot="1" x14ac:dyDescent="0.3">
      <c r="A42" s="50"/>
      <c r="B42" s="57"/>
      <c r="C42" s="57"/>
      <c r="D42" s="59"/>
      <c r="E42" s="59"/>
    </row>
    <row r="43" spans="1:5" x14ac:dyDescent="0.25">
      <c r="A43" s="839" t="s">
        <v>1026</v>
      </c>
      <c r="B43" s="387" t="s">
        <v>1028</v>
      </c>
      <c r="C43" s="388"/>
      <c r="D43" s="385">
        <v>0</v>
      </c>
      <c r="E43" s="386"/>
    </row>
    <row r="44" spans="1:5" x14ac:dyDescent="0.25">
      <c r="A44" s="840"/>
      <c r="B44" s="392" t="s">
        <v>1027</v>
      </c>
      <c r="C44" s="360"/>
      <c r="D44" s="378">
        <f>'I-Project Contingency'!I5</f>
        <v>3780000</v>
      </c>
      <c r="E44" s="393" t="str">
        <f>"&lt;-- "&amp;TEXT('D-Project Data'!$C$6,"0%")&amp;" Confidence Level"</f>
        <v>&lt;-- 85% Confidence Level</v>
      </c>
    </row>
    <row r="45" spans="1:5" ht="30.75" thickBot="1" x14ac:dyDescent="0.3">
      <c r="A45" s="841"/>
      <c r="B45" s="389" t="s">
        <v>1036</v>
      </c>
      <c r="C45" s="373"/>
      <c r="D45" s="390">
        <v>0</v>
      </c>
      <c r="E45" s="391"/>
    </row>
    <row r="46" spans="1:5" ht="15.75" thickBot="1" x14ac:dyDescent="0.3">
      <c r="A46" s="50"/>
      <c r="B46" s="57"/>
      <c r="C46" s="57"/>
      <c r="D46" s="59"/>
      <c r="E46" s="59"/>
    </row>
    <row r="47" spans="1:5" ht="15" customHeight="1" thickBot="1" x14ac:dyDescent="0.3">
      <c r="A47" s="836" t="s">
        <v>1040</v>
      </c>
      <c r="B47" s="375"/>
      <c r="C47" s="344"/>
      <c r="D47" s="395" t="s">
        <v>864</v>
      </c>
      <c r="E47" s="396" t="s">
        <v>842</v>
      </c>
    </row>
    <row r="48" spans="1:5" x14ac:dyDescent="0.25">
      <c r="A48" s="837"/>
      <c r="B48" s="44" t="str">
        <f>"Not Included Within CSRA Model:  "&amp;TEXT(IFERROR(E48/D48,0),"0%")&amp;" Contingency"</f>
        <v>Not Included Within CSRA Model:  0% Contingency</v>
      </c>
      <c r="C48" s="339"/>
      <c r="D48" s="394">
        <f>SUM(D12:D16)</f>
        <v>0</v>
      </c>
      <c r="E48" s="397">
        <f>D43</f>
        <v>0</v>
      </c>
    </row>
    <row r="49" spans="1:5" x14ac:dyDescent="0.25">
      <c r="A49" s="837"/>
      <c r="B49" s="44" t="str">
        <f>"Included Within CSRA Model:  "&amp;TEXT(IFERROR(E49/D49,0),"0%")&amp;" Contingency"</f>
        <v>Included Within CSRA Model:  0% Contingency</v>
      </c>
      <c r="C49" s="339"/>
      <c r="D49" s="381" t="e">
        <f>SUM(D18:D41)</f>
        <v>#REF!</v>
      </c>
      <c r="E49" s="397">
        <f>D44</f>
        <v>3780000</v>
      </c>
    </row>
    <row r="50" spans="1:5" ht="14.45" customHeight="1" x14ac:dyDescent="0.25">
      <c r="A50" s="837"/>
      <c r="B50" s="44" t="s">
        <v>1153</v>
      </c>
      <c r="C50" s="339"/>
      <c r="D50" s="394"/>
      <c r="E50" s="397">
        <f>D45</f>
        <v>0</v>
      </c>
    </row>
    <row r="51" spans="1:5" ht="15.75" thickBot="1" x14ac:dyDescent="0.3">
      <c r="A51" s="837"/>
      <c r="B51" s="357"/>
      <c r="C51" s="358"/>
      <c r="D51" s="382"/>
      <c r="E51" s="359"/>
    </row>
    <row r="52" spans="1:5" ht="15.75" thickBot="1" x14ac:dyDescent="0.3">
      <c r="A52" s="838"/>
      <c r="B52" s="484" t="str">
        <f>"TOTAL:  "&amp;TEXT(IFERROR(E52/D52,0),"0%")&amp;" Contingency"</f>
        <v>TOTAL:  0% Contingency</v>
      </c>
      <c r="C52" s="344"/>
      <c r="D52" s="446" t="e">
        <f>SUM(D48:D50)</f>
        <v>#REF!</v>
      </c>
      <c r="E52" s="447">
        <f>SUM(E48:E50)</f>
        <v>3780000</v>
      </c>
    </row>
    <row r="53" spans="1:5" ht="15.75" thickBot="1" x14ac:dyDescent="0.3"/>
    <row r="54" spans="1:5" ht="15.75" thickBot="1" x14ac:dyDescent="0.3">
      <c r="A54" s="354"/>
      <c r="B54" s="483" t="s">
        <v>646</v>
      </c>
      <c r="C54" s="355"/>
      <c r="D54" s="73" t="s">
        <v>645</v>
      </c>
      <c r="E54" s="356"/>
    </row>
    <row r="55" spans="1:5" ht="15.75" thickBot="1" x14ac:dyDescent="0.3">
      <c r="A55" s="56" t="s">
        <v>644</v>
      </c>
      <c r="D55" s="45"/>
      <c r="E55" s="45"/>
    </row>
    <row r="56" spans="1:5" ht="24.95" customHeight="1" thickBot="1" x14ac:dyDescent="0.3">
      <c r="A56" s="833" t="s">
        <v>1037</v>
      </c>
      <c r="B56" s="834"/>
      <c r="C56" s="834"/>
      <c r="D56" s="834"/>
      <c r="E56" s="835"/>
    </row>
  </sheetData>
  <dataConsolidate/>
  <mergeCells count="6">
    <mergeCell ref="A56:E56"/>
    <mergeCell ref="A1:E1"/>
    <mergeCell ref="A12:A16"/>
    <mergeCell ref="A18:A41"/>
    <mergeCell ref="A43:A45"/>
    <mergeCell ref="A47:A52"/>
  </mergeCells>
  <pageMargins left="0.25" right="0.25" top="0.25" bottom="0.5" header="0.25" footer="0.25"/>
  <pageSetup scale="76" fitToHeight="0" orientation="portrait" horizontalDpi="1200" verticalDpi="1200" r:id="rId1"/>
  <ignoredErrors>
    <ignoredError sqref="B3:B5"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D50"/>
  <sheetViews>
    <sheetView showGridLines="0" zoomScaleNormal="100" workbookViewId="0">
      <pane ySplit="2" topLeftCell="A3" activePane="bottomLeft" state="frozen"/>
      <selection pane="bottomLeft" activeCell="A3" sqref="A3"/>
    </sheetView>
  </sheetViews>
  <sheetFormatPr defaultRowHeight="15" x14ac:dyDescent="0.25"/>
  <cols>
    <col min="1" max="1" width="16.5703125" style="8" customWidth="1"/>
    <col min="2" max="2" width="33.5703125" style="8" customWidth="1"/>
    <col min="3" max="3" width="18.5703125" style="8" customWidth="1"/>
    <col min="4" max="4" width="31.85546875" style="8" customWidth="1"/>
  </cols>
  <sheetData>
    <row r="1" spans="1:4" s="35" customFormat="1" ht="21" x14ac:dyDescent="0.35">
      <c r="A1" s="844" t="s">
        <v>683</v>
      </c>
      <c r="B1" s="844"/>
      <c r="C1" s="844"/>
      <c r="D1" s="844"/>
    </row>
    <row r="2" spans="1:4" x14ac:dyDescent="0.25">
      <c r="A2" s="86"/>
      <c r="B2" s="85"/>
      <c r="C2" s="80"/>
      <c r="D2" s="87"/>
    </row>
    <row r="3" spans="1:4" x14ac:dyDescent="0.25">
      <c r="A3" s="91" t="s">
        <v>682</v>
      </c>
      <c r="B3" s="679" t="s">
        <v>639</v>
      </c>
      <c r="C3" s="80"/>
      <c r="D3" s="84"/>
    </row>
    <row r="4" spans="1:4" x14ac:dyDescent="0.25">
      <c r="A4" s="80"/>
      <c r="B4" s="80"/>
      <c r="C4" s="80"/>
      <c r="D4" s="80"/>
    </row>
    <row r="5" spans="1:4" ht="18.75" x14ac:dyDescent="0.25">
      <c r="A5" s="842" t="s">
        <v>681</v>
      </c>
      <c r="B5" s="842"/>
      <c r="C5" s="842"/>
      <c r="D5" s="842"/>
    </row>
    <row r="6" spans="1:4" ht="5.0999999999999996" customHeight="1" x14ac:dyDescent="0.25">
      <c r="A6" s="80"/>
      <c r="B6" s="80"/>
      <c r="C6" s="80"/>
      <c r="D6" s="80"/>
    </row>
    <row r="7" spans="1:4" x14ac:dyDescent="0.25">
      <c r="A7" s="80"/>
      <c r="B7" s="80"/>
      <c r="C7" s="81" t="s">
        <v>634</v>
      </c>
      <c r="D7" s="682" t="s">
        <v>639</v>
      </c>
    </row>
    <row r="8" spans="1:4" ht="5.0999999999999996" customHeight="1" x14ac:dyDescent="0.25">
      <c r="A8" s="80"/>
      <c r="B8" s="80"/>
      <c r="C8" s="80"/>
      <c r="D8" s="80"/>
    </row>
    <row r="9" spans="1:4" x14ac:dyDescent="0.25">
      <c r="A9" s="580" t="s">
        <v>678</v>
      </c>
      <c r="B9" s="581" t="s">
        <v>677</v>
      </c>
      <c r="C9" s="581" t="s">
        <v>676</v>
      </c>
      <c r="D9" s="582" t="s">
        <v>675</v>
      </c>
    </row>
    <row r="10" spans="1:4" ht="45" x14ac:dyDescent="0.25">
      <c r="A10" s="680" t="s">
        <v>1143</v>
      </c>
      <c r="B10" s="681" t="s">
        <v>1242</v>
      </c>
      <c r="C10" s="680" t="s">
        <v>676</v>
      </c>
      <c r="D10" s="681" t="s">
        <v>742</v>
      </c>
    </row>
    <row r="11" spans="1:4" x14ac:dyDescent="0.25">
      <c r="A11" s="680"/>
      <c r="B11" s="681" t="s">
        <v>1242</v>
      </c>
      <c r="C11" s="680" t="s">
        <v>676</v>
      </c>
      <c r="D11" s="681" t="s">
        <v>680</v>
      </c>
    </row>
    <row r="12" spans="1:4" x14ac:dyDescent="0.25">
      <c r="A12" s="680"/>
      <c r="B12" s="681" t="s">
        <v>1242</v>
      </c>
      <c r="C12" s="680" t="s">
        <v>676</v>
      </c>
      <c r="D12" s="681" t="s">
        <v>928</v>
      </c>
    </row>
    <row r="13" spans="1:4" x14ac:dyDescent="0.25">
      <c r="A13" s="680"/>
      <c r="B13" s="681" t="s">
        <v>1242</v>
      </c>
      <c r="C13" s="680" t="s">
        <v>676</v>
      </c>
      <c r="D13" s="681" t="s">
        <v>1245</v>
      </c>
    </row>
    <row r="14" spans="1:4" x14ac:dyDescent="0.25">
      <c r="A14" s="680"/>
      <c r="B14" s="681" t="s">
        <v>1242</v>
      </c>
      <c r="C14" s="680" t="s">
        <v>676</v>
      </c>
      <c r="D14" s="681" t="s">
        <v>948</v>
      </c>
    </row>
    <row r="15" spans="1:4" x14ac:dyDescent="0.25">
      <c r="A15" s="680"/>
      <c r="B15" s="681" t="s">
        <v>1242</v>
      </c>
      <c r="C15" s="680" t="s">
        <v>676</v>
      </c>
      <c r="D15" s="681" t="s">
        <v>1246</v>
      </c>
    </row>
    <row r="16" spans="1:4" x14ac:dyDescent="0.25">
      <c r="A16" s="680"/>
      <c r="B16" s="681" t="s">
        <v>1242</v>
      </c>
      <c r="C16" s="680" t="s">
        <v>676</v>
      </c>
      <c r="D16" s="681" t="s">
        <v>651</v>
      </c>
    </row>
    <row r="17" spans="1:4" x14ac:dyDescent="0.25">
      <c r="A17" s="680"/>
      <c r="B17" s="681" t="s">
        <v>1242</v>
      </c>
      <c r="C17" s="680" t="s">
        <v>676</v>
      </c>
      <c r="D17" s="681" t="s">
        <v>1247</v>
      </c>
    </row>
    <row r="18" spans="1:4" x14ac:dyDescent="0.25">
      <c r="A18" s="680"/>
      <c r="B18" s="681" t="s">
        <v>1242</v>
      </c>
      <c r="C18" s="680" t="s">
        <v>676</v>
      </c>
      <c r="D18" s="681" t="s">
        <v>1248</v>
      </c>
    </row>
    <row r="19" spans="1:4" x14ac:dyDescent="0.25">
      <c r="A19" s="680"/>
      <c r="B19" s="681" t="s">
        <v>1242</v>
      </c>
      <c r="C19" s="680" t="s">
        <v>676</v>
      </c>
      <c r="D19" s="681" t="s">
        <v>1249</v>
      </c>
    </row>
    <row r="20" spans="1:4" x14ac:dyDescent="0.25">
      <c r="A20" s="680"/>
      <c r="B20" s="681" t="s">
        <v>1242</v>
      </c>
      <c r="C20" s="680" t="s">
        <v>676</v>
      </c>
      <c r="D20" s="681" t="s">
        <v>1250</v>
      </c>
    </row>
    <row r="21" spans="1:4" x14ac:dyDescent="0.25">
      <c r="A21" s="680"/>
      <c r="B21" s="681" t="s">
        <v>1242</v>
      </c>
      <c r="C21" s="680" t="s">
        <v>676</v>
      </c>
      <c r="D21" s="681" t="s">
        <v>1251</v>
      </c>
    </row>
    <row r="22" spans="1:4" x14ac:dyDescent="0.25">
      <c r="A22" s="680"/>
      <c r="B22" s="681" t="s">
        <v>1242</v>
      </c>
      <c r="C22" s="680" t="s">
        <v>676</v>
      </c>
      <c r="D22" s="681" t="s">
        <v>1252</v>
      </c>
    </row>
    <row r="23" spans="1:4" x14ac:dyDescent="0.25">
      <c r="A23" s="680"/>
      <c r="B23" s="681" t="s">
        <v>1242</v>
      </c>
      <c r="C23" s="680" t="s">
        <v>676</v>
      </c>
      <c r="D23" s="681" t="s">
        <v>224</v>
      </c>
    </row>
    <row r="24" spans="1:4" x14ac:dyDescent="0.25">
      <c r="A24" s="680"/>
      <c r="B24" s="681" t="s">
        <v>1242</v>
      </c>
      <c r="C24" s="680" t="s">
        <v>676</v>
      </c>
      <c r="D24" s="681" t="s">
        <v>730</v>
      </c>
    </row>
    <row r="25" spans="1:4" x14ac:dyDescent="0.25">
      <c r="A25" s="680"/>
      <c r="B25" s="681" t="s">
        <v>1242</v>
      </c>
      <c r="C25" s="680" t="s">
        <v>676</v>
      </c>
      <c r="D25" s="681" t="s">
        <v>1253</v>
      </c>
    </row>
    <row r="26" spans="1:4" x14ac:dyDescent="0.25">
      <c r="A26" s="680"/>
      <c r="B26" s="681" t="s">
        <v>1242</v>
      </c>
      <c r="C26" s="680" t="s">
        <v>676</v>
      </c>
      <c r="D26" s="681" t="s">
        <v>737</v>
      </c>
    </row>
    <row r="27" spans="1:4" x14ac:dyDescent="0.25">
      <c r="A27" s="680"/>
      <c r="B27" s="681" t="s">
        <v>1242</v>
      </c>
      <c r="C27" s="680" t="s">
        <v>676</v>
      </c>
      <c r="D27" s="681" t="s">
        <v>1240</v>
      </c>
    </row>
    <row r="28" spans="1:4" x14ac:dyDescent="0.25">
      <c r="A28" s="680"/>
      <c r="B28" s="681" t="s">
        <v>1242</v>
      </c>
      <c r="C28" s="680" t="s">
        <v>676</v>
      </c>
      <c r="D28" s="681" t="s">
        <v>1244</v>
      </c>
    </row>
    <row r="29" spans="1:4" x14ac:dyDescent="0.25">
      <c r="A29" s="680"/>
      <c r="B29" s="681" t="s">
        <v>1242</v>
      </c>
      <c r="C29" s="680" t="s">
        <v>676</v>
      </c>
      <c r="D29" s="681" t="s">
        <v>1254</v>
      </c>
    </row>
    <row r="30" spans="1:4" x14ac:dyDescent="0.25">
      <c r="A30" s="680"/>
      <c r="B30" s="681" t="s">
        <v>1242</v>
      </c>
      <c r="C30" s="680" t="s">
        <v>676</v>
      </c>
      <c r="D30" s="681" t="s">
        <v>1254</v>
      </c>
    </row>
    <row r="31" spans="1:4" x14ac:dyDescent="0.25">
      <c r="A31" s="680"/>
      <c r="B31" s="681" t="s">
        <v>1242</v>
      </c>
      <c r="C31" s="680" t="s">
        <v>676</v>
      </c>
      <c r="D31" s="681" t="s">
        <v>1255</v>
      </c>
    </row>
    <row r="32" spans="1:4" x14ac:dyDescent="0.25">
      <c r="A32" s="680"/>
      <c r="B32" s="681" t="s">
        <v>1242</v>
      </c>
      <c r="C32" s="680" t="s">
        <v>676</v>
      </c>
      <c r="D32" s="681" t="s">
        <v>1255</v>
      </c>
    </row>
    <row r="33" spans="1:4" x14ac:dyDescent="0.25">
      <c r="A33" s="680"/>
      <c r="B33" s="681" t="s">
        <v>1242</v>
      </c>
      <c r="C33" s="680" t="s">
        <v>676</v>
      </c>
      <c r="D33" s="681" t="s">
        <v>1255</v>
      </c>
    </row>
    <row r="34" spans="1:4" x14ac:dyDescent="0.25">
      <c r="A34" s="680"/>
      <c r="B34" s="681" t="s">
        <v>1242</v>
      </c>
      <c r="C34" s="680" t="s">
        <v>676</v>
      </c>
      <c r="D34" s="681" t="s">
        <v>1255</v>
      </c>
    </row>
    <row r="35" spans="1:4" x14ac:dyDescent="0.25">
      <c r="A35" s="82"/>
      <c r="B35" s="82"/>
      <c r="C35" s="83"/>
      <c r="D35" s="82"/>
    </row>
    <row r="36" spans="1:4" ht="18.75" x14ac:dyDescent="0.25">
      <c r="A36" s="843" t="s">
        <v>674</v>
      </c>
      <c r="B36" s="843"/>
      <c r="C36" s="843"/>
      <c r="D36" s="843"/>
    </row>
    <row r="37" spans="1:4" x14ac:dyDescent="0.25">
      <c r="A37" s="80"/>
      <c r="B37" s="80"/>
      <c r="C37" s="80"/>
      <c r="D37" s="80"/>
    </row>
    <row r="38" spans="1:4" x14ac:dyDescent="0.25">
      <c r="A38" s="81" t="s">
        <v>634</v>
      </c>
      <c r="B38" s="683" t="s">
        <v>639</v>
      </c>
      <c r="C38" s="9" t="s">
        <v>679</v>
      </c>
      <c r="D38" s="683" t="s">
        <v>639</v>
      </c>
    </row>
    <row r="39" spans="1:4" x14ac:dyDescent="0.25">
      <c r="A39" s="80"/>
      <c r="B39" s="80"/>
      <c r="C39" s="80"/>
      <c r="D39" s="80"/>
    </row>
    <row r="40" spans="1:4" x14ac:dyDescent="0.25">
      <c r="A40" s="580" t="s">
        <v>678</v>
      </c>
      <c r="B40" s="581" t="s">
        <v>677</v>
      </c>
      <c r="C40" s="581" t="s">
        <v>676</v>
      </c>
      <c r="D40" s="582" t="s">
        <v>675</v>
      </c>
    </row>
    <row r="41" spans="1:4" x14ac:dyDescent="0.25">
      <c r="A41" s="680"/>
      <c r="B41" s="681" t="s">
        <v>1242</v>
      </c>
      <c r="C41" s="680" t="s">
        <v>676</v>
      </c>
      <c r="D41" s="681" t="s">
        <v>1243</v>
      </c>
    </row>
    <row r="42" spans="1:4" x14ac:dyDescent="0.25">
      <c r="A42" s="680"/>
      <c r="B42" s="681" t="s">
        <v>1242</v>
      </c>
      <c r="C42" s="680" t="s">
        <v>676</v>
      </c>
      <c r="D42" s="681" t="s">
        <v>1243</v>
      </c>
    </row>
    <row r="43" spans="1:4" x14ac:dyDescent="0.25">
      <c r="A43" s="680"/>
      <c r="B43" s="681" t="s">
        <v>1242</v>
      </c>
      <c r="C43" s="680" t="s">
        <v>676</v>
      </c>
      <c r="D43" s="681" t="s">
        <v>1243</v>
      </c>
    </row>
    <row r="44" spans="1:4" x14ac:dyDescent="0.25">
      <c r="A44" s="680"/>
      <c r="B44" s="681" t="s">
        <v>1242</v>
      </c>
      <c r="C44" s="680" t="s">
        <v>676</v>
      </c>
      <c r="D44" s="681" t="s">
        <v>1243</v>
      </c>
    </row>
    <row r="45" spans="1:4" x14ac:dyDescent="0.25">
      <c r="A45" s="680"/>
      <c r="B45" s="681" t="s">
        <v>1242</v>
      </c>
      <c r="C45" s="680" t="s">
        <v>676</v>
      </c>
      <c r="D45" s="681" t="s">
        <v>1243</v>
      </c>
    </row>
    <row r="46" spans="1:4" x14ac:dyDescent="0.25">
      <c r="A46" s="680"/>
      <c r="B46" s="681" t="s">
        <v>1242</v>
      </c>
      <c r="C46" s="680" t="s">
        <v>676</v>
      </c>
      <c r="D46" s="681" t="s">
        <v>1243</v>
      </c>
    </row>
    <row r="47" spans="1:4" x14ac:dyDescent="0.25">
      <c r="A47" s="680"/>
      <c r="B47" s="681" t="s">
        <v>1242</v>
      </c>
      <c r="C47" s="680" t="s">
        <v>676</v>
      </c>
      <c r="D47" s="681" t="s">
        <v>1243</v>
      </c>
    </row>
    <row r="48" spans="1:4" x14ac:dyDescent="0.25">
      <c r="A48" s="680"/>
      <c r="B48" s="681" t="s">
        <v>1242</v>
      </c>
      <c r="C48" s="680" t="s">
        <v>676</v>
      </c>
      <c r="D48" s="681" t="s">
        <v>1243</v>
      </c>
    </row>
    <row r="49" spans="1:4" x14ac:dyDescent="0.25">
      <c r="A49" s="680"/>
      <c r="B49" s="681" t="s">
        <v>1242</v>
      </c>
      <c r="C49" s="680" t="s">
        <v>676</v>
      </c>
      <c r="D49" s="681" t="s">
        <v>1243</v>
      </c>
    </row>
    <row r="50" spans="1:4" x14ac:dyDescent="0.25">
      <c r="A50" s="680"/>
      <c r="B50" s="681" t="s">
        <v>1242</v>
      </c>
      <c r="C50" s="680" t="s">
        <v>676</v>
      </c>
      <c r="D50" s="681" t="s">
        <v>1243</v>
      </c>
    </row>
  </sheetData>
  <mergeCells count="3">
    <mergeCell ref="A5:D5"/>
    <mergeCell ref="A36:D36"/>
    <mergeCell ref="A1:D1"/>
  </mergeCells>
  <pageMargins left="0.25" right="0.25" top="0.25" bottom="0.5" header="0.25" footer="0.25"/>
  <pageSetup fitToHeight="0" orientation="portrait" horizontalDpi="1200" verticalDpi="1200" r:id="rId1"/>
  <headerFooter>
    <oddFooter>&amp;CPage &amp;P of &amp;N</oddFooter>
  </headerFooter>
  <rowBreaks count="1" manualBreakCount="1">
    <brk id="50" max="16383" man="1"/>
  </rowBreaks>
  <tableParts count="2">
    <tablePart r:id="rId2"/>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N78"/>
  <sheetViews>
    <sheetView showGridLines="0" zoomScaleNormal="100" workbookViewId="0">
      <pane ySplit="2" topLeftCell="A3" activePane="bottomLeft" state="frozen"/>
      <selection pane="bottomLeft" activeCell="A3" sqref="A3"/>
    </sheetView>
  </sheetViews>
  <sheetFormatPr defaultRowHeight="15" x14ac:dyDescent="0.25"/>
  <cols>
    <col min="1" max="1" width="2.5703125" style="8" customWidth="1"/>
    <col min="2" max="4" width="18.85546875" style="8" customWidth="1"/>
    <col min="5" max="5" width="1.5703125" style="8" customWidth="1"/>
    <col min="6" max="10" width="18.85546875" style="8" customWidth="1"/>
    <col min="11" max="11" width="1.5703125" style="8" customWidth="1"/>
    <col min="12" max="12" width="2.5703125" style="8" customWidth="1"/>
    <col min="13" max="14" width="20.85546875" style="8" customWidth="1"/>
  </cols>
  <sheetData>
    <row r="1" spans="1:14" s="35" customFormat="1" ht="21" x14ac:dyDescent="0.35">
      <c r="A1" s="88"/>
      <c r="B1" s="880" t="s">
        <v>1163</v>
      </c>
      <c r="C1" s="880"/>
      <c r="D1" s="880"/>
      <c r="E1" s="880"/>
      <c r="F1" s="880"/>
      <c r="G1" s="880"/>
      <c r="H1" s="880"/>
      <c r="I1" s="880"/>
      <c r="J1" s="880"/>
      <c r="K1" s="880"/>
      <c r="L1" s="88"/>
      <c r="M1" s="88"/>
      <c r="N1" s="88"/>
    </row>
    <row r="3" spans="1:14" ht="18.75" x14ac:dyDescent="0.25">
      <c r="B3" s="881" t="s">
        <v>713</v>
      </c>
      <c r="C3" s="881"/>
      <c r="D3" s="881"/>
      <c r="E3" s="881"/>
      <c r="F3" s="881"/>
      <c r="G3" s="881"/>
      <c r="H3" s="881"/>
      <c r="I3" s="881"/>
      <c r="J3" s="881"/>
      <c r="K3" s="881"/>
    </row>
    <row r="4" spans="1:14" x14ac:dyDescent="0.25">
      <c r="B4" s="882" t="s">
        <v>712</v>
      </c>
      <c r="C4" s="883"/>
      <c r="D4" s="80"/>
      <c r="E4" s="80"/>
      <c r="F4" s="80"/>
      <c r="G4" s="80"/>
      <c r="H4" s="80"/>
      <c r="I4" s="80"/>
      <c r="J4" s="80"/>
      <c r="K4" s="92"/>
    </row>
    <row r="5" spans="1:14" ht="19.5" thickBot="1" x14ac:dyDescent="0.3">
      <c r="B5" s="882"/>
      <c r="C5" s="883"/>
      <c r="D5" s="80"/>
      <c r="E5" s="80"/>
      <c r="F5" s="890" t="s">
        <v>702</v>
      </c>
      <c r="G5" s="890"/>
      <c r="H5" s="890"/>
      <c r="I5" s="890"/>
      <c r="J5" s="890"/>
      <c r="K5" s="92"/>
    </row>
    <row r="6" spans="1:14" ht="16.5" thickTop="1" thickBot="1" x14ac:dyDescent="0.3">
      <c r="B6" s="882"/>
      <c r="C6" s="883"/>
      <c r="D6" s="80"/>
      <c r="E6" s="80"/>
      <c r="F6" s="93" t="s">
        <v>711</v>
      </c>
      <c r="G6" s="93" t="s">
        <v>710</v>
      </c>
      <c r="H6" s="76" t="s">
        <v>709</v>
      </c>
      <c r="I6" s="93" t="s">
        <v>708</v>
      </c>
      <c r="J6" s="93" t="s">
        <v>707</v>
      </c>
      <c r="K6" s="92"/>
    </row>
    <row r="7" spans="1:14" x14ac:dyDescent="0.25">
      <c r="B7" s="882"/>
      <c r="C7" s="883"/>
      <c r="D7" s="94" t="s">
        <v>697</v>
      </c>
      <c r="E7" s="94"/>
      <c r="F7" s="891" t="s">
        <v>706</v>
      </c>
      <c r="G7" s="892"/>
      <c r="H7" s="892"/>
      <c r="I7" s="892"/>
      <c r="J7" s="893"/>
      <c r="K7" s="92"/>
    </row>
    <row r="8" spans="1:14" x14ac:dyDescent="0.25">
      <c r="B8" s="882"/>
      <c r="C8" s="883"/>
      <c r="D8" s="94" t="s">
        <v>696</v>
      </c>
      <c r="E8" s="94"/>
      <c r="F8" s="443" t="s">
        <v>704</v>
      </c>
      <c r="G8" s="284" t="s">
        <v>703</v>
      </c>
      <c r="H8" s="284" t="s">
        <v>705</v>
      </c>
      <c r="I8" s="284" t="s">
        <v>705</v>
      </c>
      <c r="J8" s="444" t="s">
        <v>705</v>
      </c>
      <c r="K8" s="92"/>
    </row>
    <row r="9" spans="1:14" x14ac:dyDescent="0.25">
      <c r="B9" s="882"/>
      <c r="C9" s="883"/>
      <c r="D9" s="94" t="s">
        <v>695</v>
      </c>
      <c r="E9" s="94"/>
      <c r="F9" s="443" t="s">
        <v>704</v>
      </c>
      <c r="G9" s="284" t="s">
        <v>703</v>
      </c>
      <c r="H9" s="284" t="s">
        <v>703</v>
      </c>
      <c r="I9" s="284" t="s">
        <v>705</v>
      </c>
      <c r="J9" s="444" t="s">
        <v>705</v>
      </c>
      <c r="K9" s="92"/>
    </row>
    <row r="10" spans="1:14" x14ac:dyDescent="0.25">
      <c r="B10" s="882"/>
      <c r="C10" s="883"/>
      <c r="D10" s="94" t="s">
        <v>694</v>
      </c>
      <c r="E10" s="94"/>
      <c r="F10" s="443" t="s">
        <v>704</v>
      </c>
      <c r="G10" s="284" t="s">
        <v>704</v>
      </c>
      <c r="H10" s="284" t="s">
        <v>703</v>
      </c>
      <c r="I10" s="284" t="s">
        <v>703</v>
      </c>
      <c r="J10" s="444" t="s">
        <v>705</v>
      </c>
      <c r="K10" s="92"/>
    </row>
    <row r="11" spans="1:14" ht="15.75" thickBot="1" x14ac:dyDescent="0.3">
      <c r="B11" s="882"/>
      <c r="C11" s="883"/>
      <c r="D11" s="94" t="s">
        <v>693</v>
      </c>
      <c r="E11" s="94"/>
      <c r="F11" s="445" t="s">
        <v>704</v>
      </c>
      <c r="G11" s="434" t="s">
        <v>704</v>
      </c>
      <c r="H11" s="434" t="s">
        <v>704</v>
      </c>
      <c r="I11" s="434" t="s">
        <v>703</v>
      </c>
      <c r="J11" s="441" t="s">
        <v>703</v>
      </c>
      <c r="K11" s="92"/>
    </row>
    <row r="12" spans="1:14" x14ac:dyDescent="0.25">
      <c r="B12" s="882"/>
      <c r="C12" s="883"/>
      <c r="D12" s="95"/>
      <c r="E12" s="95"/>
      <c r="F12" s="95"/>
      <c r="G12" s="95"/>
      <c r="H12" s="95"/>
      <c r="I12" s="95"/>
      <c r="J12" s="95"/>
      <c r="K12" s="96"/>
    </row>
    <row r="13" spans="1:14" ht="15.75" thickBot="1" x14ac:dyDescent="0.3"/>
    <row r="14" spans="1:14" ht="19.5" thickBot="1" x14ac:dyDescent="0.3">
      <c r="B14" s="894" t="s">
        <v>721</v>
      </c>
      <c r="C14" s="895"/>
      <c r="D14" s="895"/>
      <c r="E14" s="895"/>
      <c r="F14" s="895"/>
      <c r="G14" s="895"/>
      <c r="H14" s="895"/>
      <c r="I14" s="895"/>
      <c r="J14" s="895"/>
      <c r="K14" s="896"/>
    </row>
    <row r="15" spans="1:14" ht="15.75" thickBot="1" x14ac:dyDescent="0.3">
      <c r="B15" s="107"/>
      <c r="C15" s="107"/>
      <c r="D15" s="107"/>
      <c r="K15" s="98"/>
    </row>
    <row r="16" spans="1:14" ht="14.45" customHeight="1" x14ac:dyDescent="0.25">
      <c r="B16" s="884" t="s">
        <v>700</v>
      </c>
      <c r="C16" s="886" t="s">
        <v>715</v>
      </c>
      <c r="D16" s="888" t="s">
        <v>716</v>
      </c>
      <c r="I16" s="860" t="s">
        <v>699</v>
      </c>
      <c r="J16" s="861"/>
      <c r="K16" s="862"/>
    </row>
    <row r="17" spans="1:11" ht="15.75" thickBot="1" x14ac:dyDescent="0.3">
      <c r="B17" s="885"/>
      <c r="C17" s="887"/>
      <c r="D17" s="889"/>
      <c r="I17" s="863"/>
      <c r="J17" s="864"/>
      <c r="K17" s="865"/>
    </row>
    <row r="18" spans="1:11" x14ac:dyDescent="0.25">
      <c r="B18" s="573" t="str">
        <f>'1-Drop Down List'!D6</f>
        <v>Certain</v>
      </c>
      <c r="C18" s="684">
        <v>0.9</v>
      </c>
      <c r="D18" s="685">
        <v>1</v>
      </c>
      <c r="I18" s="863"/>
      <c r="J18" s="864"/>
      <c r="K18" s="865"/>
    </row>
    <row r="19" spans="1:11" x14ac:dyDescent="0.25">
      <c r="B19" s="574" t="str">
        <f>'1-Drop Down List'!D7</f>
        <v>Very Likely</v>
      </c>
      <c r="C19" s="686">
        <v>0.7</v>
      </c>
      <c r="D19" s="687">
        <v>0.9</v>
      </c>
      <c r="I19" s="863"/>
      <c r="J19" s="864"/>
      <c r="K19" s="865"/>
    </row>
    <row r="20" spans="1:11" x14ac:dyDescent="0.25">
      <c r="B20" s="575" t="str">
        <f>'1-Drop Down List'!D8</f>
        <v>Likely</v>
      </c>
      <c r="C20" s="688">
        <v>0.3</v>
      </c>
      <c r="D20" s="689">
        <v>0.7</v>
      </c>
      <c r="I20" s="863"/>
      <c r="J20" s="864"/>
      <c r="K20" s="865"/>
    </row>
    <row r="21" spans="1:11" x14ac:dyDescent="0.25">
      <c r="A21" s="99"/>
      <c r="B21" s="574" t="str">
        <f>'1-Drop Down List'!D9</f>
        <v>Possible</v>
      </c>
      <c r="C21" s="690">
        <v>0.05</v>
      </c>
      <c r="D21" s="687">
        <v>0.3</v>
      </c>
      <c r="I21" s="863"/>
      <c r="J21" s="864"/>
      <c r="K21" s="865"/>
    </row>
    <row r="22" spans="1:11" x14ac:dyDescent="0.25">
      <c r="A22" s="99"/>
      <c r="B22" s="575" t="str">
        <f>'1-Drop Down List'!D10</f>
        <v>Unlikely</v>
      </c>
      <c r="C22" s="688">
        <v>0</v>
      </c>
      <c r="D22" s="689">
        <v>0.05</v>
      </c>
      <c r="I22" s="863"/>
      <c r="J22" s="864"/>
      <c r="K22" s="865"/>
    </row>
    <row r="23" spans="1:11" ht="15.75" thickBot="1" x14ac:dyDescent="0.3">
      <c r="A23" s="99"/>
      <c r="B23" s="577" t="str">
        <f>'1-Drop Down List'!D11</f>
        <v>Unrated</v>
      </c>
      <c r="C23" s="855" t="s">
        <v>714</v>
      </c>
      <c r="D23" s="856"/>
      <c r="I23" s="866"/>
      <c r="J23" s="867"/>
      <c r="K23" s="868"/>
    </row>
    <row r="24" spans="1:11" ht="14.45" customHeight="1" thickBot="1" x14ac:dyDescent="0.3">
      <c r="A24" s="99"/>
      <c r="K24" s="98"/>
    </row>
    <row r="25" spans="1:11" ht="29.45" customHeight="1" thickBot="1" x14ac:dyDescent="0.3">
      <c r="B25" s="401" t="s">
        <v>692</v>
      </c>
      <c r="C25" s="870" t="s">
        <v>719</v>
      </c>
      <c r="D25" s="871"/>
      <c r="F25" s="869" t="s">
        <v>720</v>
      </c>
      <c r="G25" s="870"/>
      <c r="H25" s="870"/>
      <c r="I25" s="870"/>
      <c r="J25" s="870"/>
      <c r="K25" s="871"/>
    </row>
    <row r="26" spans="1:11" ht="14.45" customHeight="1" x14ac:dyDescent="0.25">
      <c r="B26" s="100" t="s">
        <v>697</v>
      </c>
      <c r="C26" s="878" t="str">
        <f>TEXT('G-Assumptions'!C18*100,0%)&amp;"% and "&amp;TEXT('G-Assumptions'!D18*100,0%)&amp;"%"</f>
        <v>90% and 100%</v>
      </c>
      <c r="D26" s="879"/>
      <c r="F26" s="872" t="str">
        <f>B18&amp;":  implies the event has a "&amp;TEXT('G-Assumptions'!C18*100,0%)&amp;"% to "&amp;TEXT('G-Assumptions'!D18*100,0%)&amp;"% chance of occurrence.  Relook at basis of estimate."</f>
        <v>Certain:  implies the event has a 90% to 100% chance of occurrence.  Relook at basis of estimate.</v>
      </c>
      <c r="G26" s="873"/>
      <c r="H26" s="873"/>
      <c r="I26" s="873"/>
      <c r="J26" s="873"/>
      <c r="K26" s="874"/>
    </row>
    <row r="27" spans="1:11" ht="14.45" customHeight="1" x14ac:dyDescent="0.25">
      <c r="B27" s="100" t="s">
        <v>696</v>
      </c>
      <c r="C27" s="878" t="str">
        <f>TEXT('G-Assumptions'!C19*100,0%)&amp;"% and "&amp;TEXT('G-Assumptions'!D19*100,0%)&amp;"%"</f>
        <v>70% and 90%</v>
      </c>
      <c r="D27" s="879"/>
      <c r="F27" s="872" t="str">
        <f>B19&amp;":  implies the event has a "&amp;TEXT('G-Assumptions'!C19*100,0%)&amp;"% to "&amp;TEXT('G-Assumptions'!D19*100,0%)&amp;"% chance of occurrence."</f>
        <v>Very Likely:  implies the event has a 70% to 90% chance of occurrence.</v>
      </c>
      <c r="G27" s="873"/>
      <c r="H27" s="873"/>
      <c r="I27" s="873"/>
      <c r="J27" s="873"/>
      <c r="K27" s="874"/>
    </row>
    <row r="28" spans="1:11" ht="14.45" customHeight="1" x14ac:dyDescent="0.25">
      <c r="B28" s="100" t="s">
        <v>695</v>
      </c>
      <c r="C28" s="878" t="str">
        <f>TEXT('G-Assumptions'!C20*100,0%)&amp;"% and "&amp;TEXT('G-Assumptions'!D20*100,0%)&amp;"%"</f>
        <v>30% and 70%</v>
      </c>
      <c r="D28" s="879"/>
      <c r="F28" s="872" t="str">
        <f>B20&amp;":  implies the event has a "&amp;TEXT('G-Assumptions'!C20*100,0%)&amp;"% to "&amp;TEXT('G-Assumptions'!D20*100,0%)&amp;"% chance of occurrence."</f>
        <v>Likely:  implies the event has a 30% to 70% chance of occurrence.</v>
      </c>
      <c r="G28" s="873"/>
      <c r="H28" s="873"/>
      <c r="I28" s="873"/>
      <c r="J28" s="873"/>
      <c r="K28" s="874"/>
    </row>
    <row r="29" spans="1:11" ht="14.45" customHeight="1" x14ac:dyDescent="0.25">
      <c r="B29" s="100" t="s">
        <v>694</v>
      </c>
      <c r="C29" s="878" t="str">
        <f>TEXT('G-Assumptions'!C21*100,0%)&amp;"% and "&amp;TEXT('G-Assumptions'!D21*100,0%)&amp;"%"</f>
        <v>5% and 30%</v>
      </c>
      <c r="D29" s="879"/>
      <c r="F29" s="872" t="str">
        <f>B21&amp;":  implies the event has a "&amp;TEXT('G-Assumptions'!C21*100,0%)&amp;"% to "&amp;TEXT('G-Assumptions'!D21*100,0%)&amp;"% chance of occurrence."</f>
        <v>Possible:  implies the event has a 5% to 30% chance of occurrence.</v>
      </c>
      <c r="G29" s="873"/>
      <c r="H29" s="873"/>
      <c r="I29" s="873"/>
      <c r="J29" s="873"/>
      <c r="K29" s="874"/>
    </row>
    <row r="30" spans="1:11" ht="15" customHeight="1" thickBot="1" x14ac:dyDescent="0.3">
      <c r="B30" s="101" t="s">
        <v>693</v>
      </c>
      <c r="C30" s="904" t="str">
        <f>TEXT('G-Assumptions'!C22*100,0%)&amp;"% and "&amp;TEXT('G-Assumptions'!D22*100,0%)&amp;"%"</f>
        <v>0% and 5%</v>
      </c>
      <c r="D30" s="905"/>
      <c r="E30" s="102"/>
      <c r="F30" s="875" t="str">
        <f>B22&amp;":  implies the event has a "&amp;TEXT('G-Assumptions'!C22*100,0%)&amp;"% to "&amp;TEXT('G-Assumptions'!D22*100,0%)&amp;"% chance of occurrence."</f>
        <v>Unlikely:  implies the event has a 0% to 5% chance of occurrence.</v>
      </c>
      <c r="G30" s="876"/>
      <c r="H30" s="876"/>
      <c r="I30" s="876"/>
      <c r="J30" s="876"/>
      <c r="K30" s="877"/>
    </row>
    <row r="31" spans="1:11" ht="15.75" thickBot="1" x14ac:dyDescent="0.3"/>
    <row r="32" spans="1:11" ht="19.5" thickBot="1" x14ac:dyDescent="0.3">
      <c r="B32" s="894" t="str">
        <f>F5</f>
        <v>Impact or Consequence of Occurrence</v>
      </c>
      <c r="C32" s="895"/>
      <c r="D32" s="895"/>
      <c r="E32" s="895"/>
      <c r="F32" s="895"/>
      <c r="G32" s="895"/>
      <c r="H32" s="895"/>
      <c r="I32" s="895"/>
      <c r="J32" s="895"/>
      <c r="K32" s="896"/>
    </row>
    <row r="33" spans="2:11" ht="14.45" customHeight="1" x14ac:dyDescent="0.25">
      <c r="B33" s="908" t="s">
        <v>698</v>
      </c>
      <c r="C33" s="909"/>
      <c r="D33" s="909"/>
      <c r="E33" s="909"/>
      <c r="F33" s="909"/>
      <c r="G33" s="909"/>
      <c r="H33" s="909"/>
      <c r="I33" s="909"/>
      <c r="J33" s="909"/>
      <c r="K33" s="910"/>
    </row>
    <row r="34" spans="2:11" ht="15.75" thickBot="1" x14ac:dyDescent="0.3">
      <c r="B34" s="911"/>
      <c r="C34" s="912"/>
      <c r="D34" s="912"/>
      <c r="E34" s="912"/>
      <c r="F34" s="912"/>
      <c r="G34" s="912"/>
      <c r="H34" s="912"/>
      <c r="I34" s="912"/>
      <c r="J34" s="912"/>
      <c r="K34" s="913"/>
    </row>
    <row r="35" spans="2:11" ht="15.75" thickBot="1" x14ac:dyDescent="0.3">
      <c r="E35" s="103"/>
    </row>
    <row r="36" spans="2:11" ht="14.45" customHeight="1" thickBot="1" x14ac:dyDescent="0.3">
      <c r="B36" s="850" t="s">
        <v>701</v>
      </c>
      <c r="C36" s="851"/>
      <c r="D36" s="852"/>
      <c r="I36" s="860" t="s">
        <v>699</v>
      </c>
      <c r="J36" s="861"/>
      <c r="K36" s="862"/>
    </row>
    <row r="37" spans="2:11" ht="30.75" thickBot="1" x14ac:dyDescent="0.3">
      <c r="B37" s="557" t="s">
        <v>700</v>
      </c>
      <c r="C37" s="578" t="s">
        <v>717</v>
      </c>
      <c r="D37" s="579" t="s">
        <v>718</v>
      </c>
      <c r="I37" s="863"/>
      <c r="J37" s="864"/>
      <c r="K37" s="865"/>
    </row>
    <row r="38" spans="2:11" x14ac:dyDescent="0.25">
      <c r="B38" s="573" t="str">
        <f>'1-Drop Down List'!E6</f>
        <v>Negligible</v>
      </c>
      <c r="C38" s="691">
        <v>0</v>
      </c>
      <c r="D38" s="692">
        <v>0</v>
      </c>
      <c r="I38" s="863"/>
      <c r="J38" s="864"/>
      <c r="K38" s="865"/>
    </row>
    <row r="39" spans="2:11" x14ac:dyDescent="0.25">
      <c r="B39" s="574" t="str">
        <f>'1-Drop Down List'!E7</f>
        <v>Marginal</v>
      </c>
      <c r="C39" s="693">
        <v>5.0000000000000001E-3</v>
      </c>
      <c r="D39" s="694">
        <v>0.01</v>
      </c>
      <c r="I39" s="863"/>
      <c r="J39" s="864"/>
      <c r="K39" s="865"/>
    </row>
    <row r="40" spans="2:11" x14ac:dyDescent="0.25">
      <c r="B40" s="575" t="str">
        <f>'1-Drop Down List'!E8</f>
        <v>Moderate</v>
      </c>
      <c r="C40" s="695">
        <v>0.01</v>
      </c>
      <c r="D40" s="696">
        <v>0.02</v>
      </c>
      <c r="I40" s="863"/>
      <c r="J40" s="864"/>
      <c r="K40" s="865"/>
    </row>
    <row r="41" spans="2:11" x14ac:dyDescent="0.25">
      <c r="B41" s="574" t="str">
        <f>'1-Drop Down List'!E9</f>
        <v>Significant</v>
      </c>
      <c r="C41" s="693">
        <v>2.5000000000000001E-2</v>
      </c>
      <c r="D41" s="694">
        <v>0.05</v>
      </c>
      <c r="I41" s="863"/>
      <c r="J41" s="864"/>
      <c r="K41" s="865"/>
    </row>
    <row r="42" spans="2:11" ht="15.75" thickBot="1" x14ac:dyDescent="0.3">
      <c r="B42" s="576" t="str">
        <f>'1-Drop Down List'!E10</f>
        <v>Critical</v>
      </c>
      <c r="C42" s="697">
        <v>0.05</v>
      </c>
      <c r="D42" s="698">
        <v>0.1</v>
      </c>
      <c r="I42" s="866"/>
      <c r="J42" s="867"/>
      <c r="K42" s="868"/>
    </row>
    <row r="43" spans="2:11" ht="15.75" thickBot="1" x14ac:dyDescent="0.3"/>
    <row r="44" spans="2:11" ht="19.5" thickBot="1" x14ac:dyDescent="0.3">
      <c r="B44" s="894" t="s">
        <v>722</v>
      </c>
      <c r="C44" s="895"/>
      <c r="D44" s="895"/>
      <c r="E44" s="895"/>
      <c r="F44" s="895"/>
      <c r="G44" s="895"/>
      <c r="H44" s="895"/>
      <c r="I44" s="895"/>
      <c r="J44" s="895"/>
      <c r="K44" s="896"/>
    </row>
    <row r="45" spans="2:11" ht="15.75" thickBot="1" x14ac:dyDescent="0.3"/>
    <row r="46" spans="2:11" ht="30.75" thickBot="1" x14ac:dyDescent="0.3">
      <c r="B46" s="401" t="s">
        <v>692</v>
      </c>
      <c r="C46" s="906" t="s">
        <v>724</v>
      </c>
      <c r="D46" s="907"/>
      <c r="F46" s="869" t="s">
        <v>720</v>
      </c>
      <c r="G46" s="870"/>
      <c r="H46" s="870"/>
      <c r="I46" s="870"/>
      <c r="J46" s="870"/>
      <c r="K46" s="871"/>
    </row>
    <row r="47" spans="2:11" ht="14.45" customHeight="1" x14ac:dyDescent="0.25">
      <c r="B47" s="100" t="str">
        <f>B38</f>
        <v>Negligible</v>
      </c>
      <c r="C47" s="853" t="str">
        <f>TEXT('G-Assumptions'!C38,"0.00%")&amp;" and "&amp;TEXT('G-Assumptions'!C39,"0.00%")</f>
        <v>0.00% and 0.50%</v>
      </c>
      <c r="D47" s="854"/>
      <c r="F47" s="845" t="str">
        <f>B38&amp;":  implies the event has a "&amp;TEXT(C38,"0.00%")&amp;" to "&amp;TEXT('G-Assumptions'!C39,"0.00%")&amp;" impact to project cost."</f>
        <v>Negligible:  implies the event has a 0.00% to 0.50% impact to project cost.</v>
      </c>
      <c r="G47" s="846"/>
      <c r="H47" s="846"/>
      <c r="I47" s="846"/>
      <c r="J47" s="846"/>
      <c r="K47" s="847"/>
    </row>
    <row r="48" spans="2:11" ht="14.45" customHeight="1" x14ac:dyDescent="0.25">
      <c r="B48" s="100" t="str">
        <f>B39</f>
        <v>Marginal</v>
      </c>
      <c r="C48" s="848" t="str">
        <f>TEXT('G-Assumptions'!C39,"0.00%")&amp;" and "&amp;TEXT('G-Assumptions'!C40,"0.00%")</f>
        <v>0.50% and 1.00%</v>
      </c>
      <c r="D48" s="849"/>
      <c r="F48" s="845" t="str">
        <f>B39&amp;":  implies the event has a "&amp;TEXT(C39,"0.00%")&amp;" to "&amp;TEXT('G-Assumptions'!C40,"0.00%")&amp;" impact to project cost."</f>
        <v>Marginal:  implies the event has a 0.50% to 1.00% impact to project cost.</v>
      </c>
      <c r="G48" s="846"/>
      <c r="H48" s="846"/>
      <c r="I48" s="846"/>
      <c r="J48" s="846"/>
      <c r="K48" s="847"/>
    </row>
    <row r="49" spans="2:11" ht="14.45" customHeight="1" x14ac:dyDescent="0.25">
      <c r="B49" s="100" t="str">
        <f>B40</f>
        <v>Moderate</v>
      </c>
      <c r="C49" s="848" t="str">
        <f>TEXT('G-Assumptions'!C40,"0.00%")&amp;" and "&amp;TEXT('G-Assumptions'!C41,"0.00%")</f>
        <v>1.00% and 2.50%</v>
      </c>
      <c r="D49" s="849"/>
      <c r="F49" s="845" t="str">
        <f>B40&amp;":  implies the event has a "&amp;TEXT(C40,"0.00%")&amp;" to "&amp;TEXT('G-Assumptions'!C41,"0.00%")&amp;" impact to project cost."</f>
        <v>Moderate:  implies the event has a 1.00% to 2.50% impact to project cost.</v>
      </c>
      <c r="G49" s="846"/>
      <c r="H49" s="846"/>
      <c r="I49" s="846"/>
      <c r="J49" s="846"/>
      <c r="K49" s="847"/>
    </row>
    <row r="50" spans="2:11" ht="14.45" customHeight="1" x14ac:dyDescent="0.25">
      <c r="B50" s="100" t="str">
        <f>B41</f>
        <v>Significant</v>
      </c>
      <c r="C50" s="848" t="str">
        <f>TEXT('G-Assumptions'!C41,"0.00%")&amp;" and "&amp;TEXT('G-Assumptions'!C42,"0.00%")</f>
        <v>2.50% and 5.00%</v>
      </c>
      <c r="D50" s="849"/>
      <c r="F50" s="845" t="str">
        <f>B41&amp;":  implies the event has a "&amp;TEXT(C41,"0.00%")&amp;" to "&amp;TEXT('G-Assumptions'!C42,"0.00%")&amp;" impact to project cost."</f>
        <v>Significant:  implies the event has a 2.50% to 5.00% impact to project cost.</v>
      </c>
      <c r="G50" s="846"/>
      <c r="H50" s="846"/>
      <c r="I50" s="846"/>
      <c r="J50" s="846"/>
      <c r="K50" s="847"/>
    </row>
    <row r="51" spans="2:11" ht="15" customHeight="1" thickBot="1" x14ac:dyDescent="0.3">
      <c r="B51" s="101" t="str">
        <f>B42</f>
        <v>Critical</v>
      </c>
      <c r="C51" s="902" t="str">
        <f>"Over "&amp;TEXT('G-Assumptions'!C42,"0.00%")</f>
        <v>Over 5.00%</v>
      </c>
      <c r="D51" s="903"/>
      <c r="F51" s="857" t="str">
        <f>B42&amp;":  implies the event has a greater than "&amp;TEXT(C42,"0.00%")&amp;" impact to project cost."</f>
        <v>Critical:  implies the event has a greater than 5.00% impact to project cost.</v>
      </c>
      <c r="G51" s="858"/>
      <c r="H51" s="858"/>
      <c r="I51" s="858"/>
      <c r="J51" s="858"/>
      <c r="K51" s="859"/>
    </row>
    <row r="52" spans="2:11" ht="15.75" thickBot="1" x14ac:dyDescent="0.3"/>
    <row r="53" spans="2:11" ht="19.5" thickBot="1" x14ac:dyDescent="0.3">
      <c r="B53" s="894" t="s">
        <v>723</v>
      </c>
      <c r="C53" s="895"/>
      <c r="D53" s="895"/>
      <c r="E53" s="895"/>
      <c r="F53" s="895"/>
      <c r="G53" s="895"/>
      <c r="H53" s="895"/>
      <c r="I53" s="895"/>
      <c r="J53" s="895"/>
      <c r="K53" s="896"/>
    </row>
    <row r="54" spans="2:11" ht="15.75" thickBot="1" x14ac:dyDescent="0.3"/>
    <row r="55" spans="2:11" ht="30.75" thickBot="1" x14ac:dyDescent="0.3">
      <c r="B55" s="401" t="s">
        <v>692</v>
      </c>
      <c r="C55" s="906" t="s">
        <v>725</v>
      </c>
      <c r="D55" s="907"/>
      <c r="F55" s="869" t="s">
        <v>720</v>
      </c>
      <c r="G55" s="870"/>
      <c r="H55" s="870"/>
      <c r="I55" s="870"/>
      <c r="J55" s="870"/>
      <c r="K55" s="871"/>
    </row>
    <row r="56" spans="2:11" ht="14.45" customHeight="1" x14ac:dyDescent="0.25">
      <c r="B56" s="104" t="str">
        <f>B38</f>
        <v>Negligible</v>
      </c>
      <c r="C56" s="853" t="str">
        <f>TEXT('G-Assumptions'!D38,"0.00%")&amp;" and "&amp;TEXT('G-Assumptions'!D39,"0.00%")</f>
        <v>0.00% and 1.00%</v>
      </c>
      <c r="D56" s="854"/>
      <c r="F56" s="845" t="str">
        <f>B38&amp;":  implies the event has a "&amp;TEXT(D38,"0.00%")&amp;" to "&amp;TEXT('G-Assumptions'!D39,"0.00%")&amp;" impact to project schedule."</f>
        <v>Negligible:  implies the event has a 0.00% to 1.00% impact to project schedule.</v>
      </c>
      <c r="G56" s="846"/>
      <c r="H56" s="846"/>
      <c r="I56" s="846"/>
      <c r="J56" s="846"/>
      <c r="K56" s="847"/>
    </row>
    <row r="57" spans="2:11" ht="14.45" customHeight="1" x14ac:dyDescent="0.25">
      <c r="B57" s="100" t="str">
        <f>B39</f>
        <v>Marginal</v>
      </c>
      <c r="C57" s="848" t="str">
        <f>TEXT('G-Assumptions'!D39,"0.00%")&amp;" and "&amp;TEXT('G-Assumptions'!D40,"0.00%")</f>
        <v>1.00% and 2.00%</v>
      </c>
      <c r="D57" s="849"/>
      <c r="F57" s="845" t="str">
        <f>B39&amp;":  implies the event has a "&amp;TEXT(D39,"0.00%")&amp;" to "&amp;TEXT('G-Assumptions'!D40,"0.00%")&amp;" impact to project schedule."</f>
        <v>Marginal:  implies the event has a 1.00% to 2.00% impact to project schedule.</v>
      </c>
      <c r="G57" s="846"/>
      <c r="H57" s="846"/>
      <c r="I57" s="846"/>
      <c r="J57" s="846"/>
      <c r="K57" s="847"/>
    </row>
    <row r="58" spans="2:11" ht="14.45" customHeight="1" x14ac:dyDescent="0.25">
      <c r="B58" s="100" t="str">
        <f>B40</f>
        <v>Moderate</v>
      </c>
      <c r="C58" s="848" t="str">
        <f>TEXT('G-Assumptions'!D40,"0.00%")&amp;" and "&amp;TEXT('G-Assumptions'!D41,"0.00%")</f>
        <v>2.00% and 5.00%</v>
      </c>
      <c r="D58" s="849"/>
      <c r="F58" s="845" t="str">
        <f>B40&amp;":  implies the event has a "&amp;TEXT(D40,"0.00%")&amp;" to "&amp;TEXT('G-Assumptions'!D41,"0.00%")&amp;" impact to project schedule."</f>
        <v>Moderate:  implies the event has a 2.00% to 5.00% impact to project schedule.</v>
      </c>
      <c r="G58" s="846"/>
      <c r="H58" s="846"/>
      <c r="I58" s="846"/>
      <c r="J58" s="846"/>
      <c r="K58" s="847"/>
    </row>
    <row r="59" spans="2:11" ht="14.45" customHeight="1" x14ac:dyDescent="0.25">
      <c r="B59" s="100" t="str">
        <f>B41</f>
        <v>Significant</v>
      </c>
      <c r="C59" s="848" t="str">
        <f>TEXT('G-Assumptions'!D41,"0.00%")&amp;" and "&amp;TEXT('G-Assumptions'!D42,"0.00%")</f>
        <v>5.00% and 10.00%</v>
      </c>
      <c r="D59" s="849"/>
      <c r="F59" s="845" t="str">
        <f>B41&amp;":  implies the event has a "&amp;TEXT(D41,"0.00%")&amp;" to "&amp;TEXT('G-Assumptions'!D42,"0.00%")&amp;" impact to project schedule."</f>
        <v>Significant:  implies the event has a 5.00% to 10.00% impact to project schedule.</v>
      </c>
      <c r="G59" s="846"/>
      <c r="H59" s="846"/>
      <c r="I59" s="846"/>
      <c r="J59" s="846"/>
      <c r="K59" s="847"/>
    </row>
    <row r="60" spans="2:11" ht="15" customHeight="1" thickBot="1" x14ac:dyDescent="0.3">
      <c r="B60" s="101" t="str">
        <f>B42</f>
        <v>Critical</v>
      </c>
      <c r="C60" s="902" t="str">
        <f>"Over "&amp;TEXT('G-Assumptions'!D42,"0.00%")</f>
        <v>Over 10.00%</v>
      </c>
      <c r="D60" s="903"/>
      <c r="F60" s="857" t="str">
        <f>B42&amp;":  implies the event has a greater than "&amp;TEXT(D42,"0.00%")&amp;" impact to project schedule."</f>
        <v>Critical:  implies the event has a greater than 10.00% impact to project schedule.</v>
      </c>
      <c r="G60" s="858"/>
      <c r="H60" s="858"/>
      <c r="I60" s="858"/>
      <c r="J60" s="858"/>
      <c r="K60" s="859"/>
    </row>
    <row r="61" spans="2:11" ht="15.75" thickBot="1" x14ac:dyDescent="0.3"/>
    <row r="62" spans="2:11" ht="19.5" thickBot="1" x14ac:dyDescent="0.3">
      <c r="B62" s="894" t="s">
        <v>726</v>
      </c>
      <c r="C62" s="895"/>
      <c r="D62" s="895"/>
      <c r="E62" s="895"/>
      <c r="F62" s="895"/>
      <c r="G62" s="895"/>
      <c r="H62" s="895"/>
      <c r="I62" s="895"/>
      <c r="J62" s="895"/>
      <c r="K62" s="896"/>
    </row>
    <row r="63" spans="2:11" ht="15.75" thickBot="1" x14ac:dyDescent="0.3">
      <c r="F63" s="105"/>
      <c r="G63" s="105"/>
      <c r="H63" s="105"/>
      <c r="I63" s="105"/>
      <c r="J63" s="105"/>
    </row>
    <row r="64" spans="2:11" ht="15.75" thickBot="1" x14ac:dyDescent="0.3">
      <c r="F64" s="106"/>
      <c r="G64" s="884" t="s">
        <v>688</v>
      </c>
      <c r="H64" s="900"/>
      <c r="I64" s="901" t="s">
        <v>687</v>
      </c>
      <c r="J64" s="900"/>
    </row>
    <row r="65" spans="6:10" ht="15.75" thickBot="1" x14ac:dyDescent="0.3">
      <c r="F65" s="468" t="s">
        <v>691</v>
      </c>
      <c r="G65" s="468" t="s">
        <v>690</v>
      </c>
      <c r="H65" s="402" t="s">
        <v>689</v>
      </c>
      <c r="I65" s="469" t="s">
        <v>690</v>
      </c>
      <c r="J65" s="402" t="s">
        <v>689</v>
      </c>
    </row>
    <row r="66" spans="6:10" x14ac:dyDescent="0.25">
      <c r="F66" s="573" t="str">
        <f t="shared" ref="F66:G70" si="0">B38</f>
        <v>Negligible</v>
      </c>
      <c r="G66" s="699">
        <f t="shared" si="0"/>
        <v>0</v>
      </c>
      <c r="H66" s="700">
        <f>G67</f>
        <v>5.0000000000000001E-3</v>
      </c>
      <c r="I66" s="701">
        <f>D38</f>
        <v>0</v>
      </c>
      <c r="J66" s="700">
        <f>I67</f>
        <v>0.01</v>
      </c>
    </row>
    <row r="67" spans="6:10" x14ac:dyDescent="0.25">
      <c r="F67" s="574" t="str">
        <f t="shared" si="0"/>
        <v>Marginal</v>
      </c>
      <c r="G67" s="702">
        <f t="shared" si="0"/>
        <v>5.0000000000000001E-3</v>
      </c>
      <c r="H67" s="703">
        <f>G68</f>
        <v>0.01</v>
      </c>
      <c r="I67" s="704">
        <f>D39</f>
        <v>0.01</v>
      </c>
      <c r="J67" s="703">
        <f>I68</f>
        <v>0.02</v>
      </c>
    </row>
    <row r="68" spans="6:10" x14ac:dyDescent="0.25">
      <c r="F68" s="575" t="str">
        <f t="shared" si="0"/>
        <v>Moderate</v>
      </c>
      <c r="G68" s="705">
        <f t="shared" si="0"/>
        <v>0.01</v>
      </c>
      <c r="H68" s="706">
        <f>G69</f>
        <v>2.5000000000000001E-2</v>
      </c>
      <c r="I68" s="707">
        <f>D40</f>
        <v>0.02</v>
      </c>
      <c r="J68" s="706">
        <f>I69</f>
        <v>0.05</v>
      </c>
    </row>
    <row r="69" spans="6:10" x14ac:dyDescent="0.25">
      <c r="F69" s="574" t="str">
        <f t="shared" si="0"/>
        <v>Significant</v>
      </c>
      <c r="G69" s="702">
        <f t="shared" si="0"/>
        <v>2.5000000000000001E-2</v>
      </c>
      <c r="H69" s="703">
        <f>G70</f>
        <v>0.05</v>
      </c>
      <c r="I69" s="704">
        <f>D41</f>
        <v>0.05</v>
      </c>
      <c r="J69" s="703">
        <f>I70</f>
        <v>0.1</v>
      </c>
    </row>
    <row r="70" spans="6:10" ht="15.75" thickBot="1" x14ac:dyDescent="0.3">
      <c r="F70" s="576" t="str">
        <f t="shared" si="0"/>
        <v>Critical</v>
      </c>
      <c r="G70" s="708">
        <f t="shared" si="0"/>
        <v>0.05</v>
      </c>
      <c r="H70" s="709">
        <v>1</v>
      </c>
      <c r="I70" s="710">
        <f>D42</f>
        <v>0.1</v>
      </c>
      <c r="J70" s="709">
        <v>1</v>
      </c>
    </row>
    <row r="71" spans="6:10" ht="15.75" thickBot="1" x14ac:dyDescent="0.3"/>
    <row r="72" spans="6:10" ht="15.75" thickBot="1" x14ac:dyDescent="0.3">
      <c r="G72" s="897" t="s">
        <v>688</v>
      </c>
      <c r="H72" s="898"/>
      <c r="I72" s="899" t="s">
        <v>687</v>
      </c>
      <c r="J72" s="899"/>
    </row>
    <row r="73" spans="6:10" ht="15.75" thickBot="1" x14ac:dyDescent="0.3">
      <c r="F73" s="468" t="str">
        <f t="shared" ref="F73:F78" si="1">F65</f>
        <v>Impact</v>
      </c>
      <c r="G73" s="468" t="s">
        <v>686</v>
      </c>
      <c r="H73" s="402" t="s">
        <v>685</v>
      </c>
      <c r="I73" s="469" t="s">
        <v>686</v>
      </c>
      <c r="J73" s="402" t="s">
        <v>685</v>
      </c>
    </row>
    <row r="74" spans="6:10" x14ac:dyDescent="0.25">
      <c r="F74" s="573" t="str">
        <f t="shared" si="1"/>
        <v>Negligible</v>
      </c>
      <c r="G74" s="711">
        <f>CEILING('H-Risk Register-Model'!$B$4*G66,'H-Risk Register-Model'!$B$6)</f>
        <v>0</v>
      </c>
      <c r="H74" s="712">
        <f>G75</f>
        <v>100000</v>
      </c>
      <c r="I74" s="713">
        <f>CEILING('H-Risk Register-Model'!$C$4*I66,'H-Risk Register-Model'!$C$6)</f>
        <v>0</v>
      </c>
      <c r="J74" s="714">
        <f>I75</f>
        <v>0.25</v>
      </c>
    </row>
    <row r="75" spans="6:10" x14ac:dyDescent="0.25">
      <c r="F75" s="574" t="str">
        <f t="shared" si="1"/>
        <v>Marginal</v>
      </c>
      <c r="G75" s="715">
        <f>CEILING('H-Risk Register-Model'!$B$4*G67,'H-Risk Register-Model'!$B$6)</f>
        <v>100000</v>
      </c>
      <c r="H75" s="716">
        <f t="shared" ref="H75:H77" si="2">G76</f>
        <v>100000</v>
      </c>
      <c r="I75" s="717">
        <f>CEILING('H-Risk Register-Model'!$C$4*I67,'H-Risk Register-Model'!$C$6)</f>
        <v>0.25</v>
      </c>
      <c r="J75" s="718">
        <f t="shared" ref="J75:J77" si="3">I76</f>
        <v>0.5</v>
      </c>
    </row>
    <row r="76" spans="6:10" x14ac:dyDescent="0.25">
      <c r="F76" s="575" t="str">
        <f t="shared" si="1"/>
        <v>Moderate</v>
      </c>
      <c r="G76" s="719">
        <f>CEILING('H-Risk Register-Model'!$B$4*G68,'H-Risk Register-Model'!$B$6)</f>
        <v>100000</v>
      </c>
      <c r="H76" s="720">
        <f t="shared" si="2"/>
        <v>300000</v>
      </c>
      <c r="I76" s="721">
        <f>CEILING('H-Risk Register-Model'!$C$4*I68,'H-Risk Register-Model'!$C$6)</f>
        <v>0.5</v>
      </c>
      <c r="J76" s="722">
        <f t="shared" si="3"/>
        <v>1.25</v>
      </c>
    </row>
    <row r="77" spans="6:10" x14ac:dyDescent="0.25">
      <c r="F77" s="574" t="str">
        <f t="shared" si="1"/>
        <v>Significant</v>
      </c>
      <c r="G77" s="715">
        <f>CEILING('H-Risk Register-Model'!$B$4*G69,'H-Risk Register-Model'!$B$6)</f>
        <v>300000</v>
      </c>
      <c r="H77" s="716">
        <f t="shared" si="2"/>
        <v>500000</v>
      </c>
      <c r="I77" s="717">
        <f>CEILING('H-Risk Register-Model'!$C$4*I69,'H-Risk Register-Model'!$C$6)</f>
        <v>1.25</v>
      </c>
      <c r="J77" s="718">
        <f t="shared" si="3"/>
        <v>2.5</v>
      </c>
    </row>
    <row r="78" spans="6:10" ht="15.75" thickBot="1" x14ac:dyDescent="0.3">
      <c r="F78" s="576" t="str">
        <f t="shared" si="1"/>
        <v>Critical</v>
      </c>
      <c r="G78" s="723">
        <f>CEILING('H-Risk Register-Model'!$B$4*G70,'H-Risk Register-Model'!$B$6)</f>
        <v>500000</v>
      </c>
      <c r="H78" s="724" t="s">
        <v>684</v>
      </c>
      <c r="I78" s="725">
        <f>CEILING('H-Risk Register-Model'!$C$4*I70,'H-Risk Register-Model'!$C$6)</f>
        <v>2.5</v>
      </c>
      <c r="J78" s="726" t="s">
        <v>684</v>
      </c>
    </row>
  </sheetData>
  <mergeCells count="58">
    <mergeCell ref="C58:D58"/>
    <mergeCell ref="C59:D59"/>
    <mergeCell ref="C56:D56"/>
    <mergeCell ref="C57:D57"/>
    <mergeCell ref="C51:D51"/>
    <mergeCell ref="B53:K53"/>
    <mergeCell ref="F56:K56"/>
    <mergeCell ref="F57:K57"/>
    <mergeCell ref="F58:K58"/>
    <mergeCell ref="F59:K59"/>
    <mergeCell ref="C55:D55"/>
    <mergeCell ref="F55:K55"/>
    <mergeCell ref="C27:D27"/>
    <mergeCell ref="C28:D28"/>
    <mergeCell ref="C29:D29"/>
    <mergeCell ref="C30:D30"/>
    <mergeCell ref="C46:D46"/>
    <mergeCell ref="B44:K44"/>
    <mergeCell ref="B32:K32"/>
    <mergeCell ref="B33:K34"/>
    <mergeCell ref="F46:K46"/>
    <mergeCell ref="G72:H72"/>
    <mergeCell ref="I72:J72"/>
    <mergeCell ref="G64:H64"/>
    <mergeCell ref="I64:J64"/>
    <mergeCell ref="C60:D60"/>
    <mergeCell ref="B62:K62"/>
    <mergeCell ref="F60:K60"/>
    <mergeCell ref="B1:K1"/>
    <mergeCell ref="B3:K3"/>
    <mergeCell ref="B4:C12"/>
    <mergeCell ref="B16:B17"/>
    <mergeCell ref="C16:C17"/>
    <mergeCell ref="D16:D17"/>
    <mergeCell ref="F5:J5"/>
    <mergeCell ref="F7:J7"/>
    <mergeCell ref="B14:K14"/>
    <mergeCell ref="C23:D23"/>
    <mergeCell ref="F50:K50"/>
    <mergeCell ref="F51:K51"/>
    <mergeCell ref="I16:K23"/>
    <mergeCell ref="F25:K25"/>
    <mergeCell ref="F26:K26"/>
    <mergeCell ref="F27:K27"/>
    <mergeCell ref="F28:K28"/>
    <mergeCell ref="F29:K29"/>
    <mergeCell ref="F30:K30"/>
    <mergeCell ref="I36:K42"/>
    <mergeCell ref="C50:D50"/>
    <mergeCell ref="F47:K47"/>
    <mergeCell ref="C49:D49"/>
    <mergeCell ref="C25:D25"/>
    <mergeCell ref="C26:D26"/>
    <mergeCell ref="F48:K48"/>
    <mergeCell ref="F49:K49"/>
    <mergeCell ref="C48:D48"/>
    <mergeCell ref="B36:D36"/>
    <mergeCell ref="C47:D47"/>
  </mergeCells>
  <conditionalFormatting sqref="F7:J11">
    <cfRule type="expression" dxfId="46" priority="5" stopIfTrue="1">
      <formula>LEFT(F7,1)="H"</formula>
    </cfRule>
    <cfRule type="expression" dxfId="45" priority="6" stopIfTrue="1">
      <formula>LEFT(F7,1)="M"</formula>
    </cfRule>
    <cfRule type="expression" dxfId="44" priority="7" stopIfTrue="1">
      <formula>LEFT(F7,1)="L"</formula>
    </cfRule>
    <cfRule type="expression" dxfId="43" priority="8" stopIfTrue="1">
      <formula>LEFT(D7,3)="Cer"</formula>
    </cfRule>
  </conditionalFormatting>
  <printOptions horizontalCentered="1"/>
  <pageMargins left="0.25" right="0.25" top="0.25" bottom="0.5" header="0.25" footer="0.25"/>
  <pageSetup scale="59" orientation="portrait" horizontalDpi="1200" verticalDpi="1200" r:id="rId1"/>
  <headerFooter>
    <oddFooter>&amp;CPage &amp;P of &amp;N</oddFooter>
  </headerFooter>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GC793"/>
  <sheetViews>
    <sheetView showGridLines="0" zoomScale="75" zoomScaleNormal="75" zoomScaleSheetLayoutView="75" workbookViewId="0">
      <pane xSplit="3" ySplit="17" topLeftCell="Q18" activePane="bottomRight" state="frozen"/>
      <selection activeCell="A3" sqref="A3"/>
      <selection pane="topRight" activeCell="A3" sqref="A3"/>
      <selection pane="bottomLeft" activeCell="A3" sqref="A3"/>
      <selection pane="bottomRight" activeCell="D18" sqref="D18"/>
    </sheetView>
  </sheetViews>
  <sheetFormatPr defaultColWidth="8.85546875" defaultRowHeight="15" outlineLevelCol="1" x14ac:dyDescent="0.25"/>
  <cols>
    <col min="1" max="1" width="12.5703125" style="173" customWidth="1"/>
    <col min="2" max="2" width="25.42578125" style="173" customWidth="1"/>
    <col min="3" max="3" width="25.5703125" style="97" customWidth="1"/>
    <col min="4" max="4" width="40.5703125" style="27" customWidth="1"/>
    <col min="5" max="5" width="75.5703125" style="27" customWidth="1"/>
    <col min="6" max="6" width="11.5703125" style="125" customWidth="1"/>
    <col min="7" max="7" width="11.5703125" style="126" customWidth="1"/>
    <col min="8" max="10" width="11.5703125" style="125" customWidth="1"/>
    <col min="11" max="11" width="11.5703125" style="127" customWidth="1"/>
    <col min="12" max="13" width="11.5703125" style="125" customWidth="1"/>
    <col min="14" max="14" width="15.85546875" style="125" customWidth="1"/>
    <col min="15" max="15" width="13.42578125" style="125" customWidth="1"/>
    <col min="16" max="18" width="15.85546875" style="123" customWidth="1" outlineLevel="1"/>
    <col min="19" max="21" width="15.85546875" style="128" customWidth="1" outlineLevel="1"/>
    <col min="22" max="24" width="15.85546875" style="123" customWidth="1" outlineLevel="1"/>
    <col min="25" max="25" width="10.85546875" style="108" customWidth="1" outlineLevel="1"/>
    <col min="26" max="26" width="8.42578125" style="109" customWidth="1" outlineLevel="1"/>
    <col min="27" max="30" width="15.85546875" style="109" customWidth="1" outlineLevel="1"/>
    <col min="31" max="31" width="15.85546875" style="123" customWidth="1" outlineLevel="1" collapsed="1"/>
    <col min="32" max="32" width="15.85546875" style="108" customWidth="1" outlineLevel="1"/>
    <col min="33" max="33" width="15.85546875" style="124" customWidth="1" outlineLevel="1"/>
    <col min="34" max="34" width="65.5703125" style="90" customWidth="1" outlineLevel="1"/>
    <col min="35" max="35" width="65.42578125" style="90" customWidth="1"/>
    <col min="36" max="36" width="2.85546875" customWidth="1"/>
    <col min="37" max="41" width="15.85546875" customWidth="1" outlineLevel="1"/>
    <col min="42" max="42" width="17.5703125" customWidth="1" outlineLevel="1"/>
    <col min="43" max="45" width="15.85546875" customWidth="1" outlineLevel="1"/>
    <col min="46" max="46" width="2.85546875" customWidth="1"/>
    <col min="47" max="132" width="15.85546875" hidden="1" customWidth="1" outlineLevel="1"/>
    <col min="133" max="133" width="15.85546875" hidden="1" customWidth="1" outlineLevel="1" collapsed="1"/>
    <col min="134" max="178" width="15.85546875" hidden="1" customWidth="1" outlineLevel="1"/>
    <col min="179" max="179" width="15.85546875" hidden="1" customWidth="1" outlineLevel="1" collapsed="1"/>
    <col min="180" max="184" width="15.85546875" hidden="1" customWidth="1" outlineLevel="1"/>
    <col min="185" max="185" width="8.85546875" collapsed="1"/>
  </cols>
  <sheetData>
    <row r="1" spans="1:184" ht="21.75" thickBot="1" x14ac:dyDescent="0.3">
      <c r="A1" s="175" t="s">
        <v>815</v>
      </c>
      <c r="B1" s="111"/>
      <c r="C1" s="112"/>
      <c r="D1" s="112"/>
      <c r="E1" s="113"/>
      <c r="F1" s="129"/>
      <c r="G1" s="113"/>
      <c r="H1" s="129"/>
      <c r="I1" s="129"/>
      <c r="J1" s="129"/>
      <c r="K1" s="130"/>
      <c r="L1" s="129"/>
      <c r="M1" s="129"/>
      <c r="N1" s="129"/>
      <c r="O1" s="174"/>
      <c r="P1" s="131">
        <f t="shared" ref="P1:R1" si="0">SUM(P18:P1051)</f>
        <v>-100000</v>
      </c>
      <c r="Q1" s="131">
        <f t="shared" si="0"/>
        <v>0</v>
      </c>
      <c r="R1" s="131">
        <f t="shared" si="0"/>
        <v>3000000</v>
      </c>
      <c r="S1" s="177">
        <f t="shared" ref="S1:X1" si="1">SUM(S18:S1051)</f>
        <v>-1</v>
      </c>
      <c r="T1" s="177">
        <f t="shared" si="1"/>
        <v>0</v>
      </c>
      <c r="U1" s="177">
        <f t="shared" si="1"/>
        <v>6</v>
      </c>
      <c r="V1" s="131">
        <f t="shared" si="1"/>
        <v>-150000</v>
      </c>
      <c r="W1" s="131">
        <f t="shared" si="1"/>
        <v>0</v>
      </c>
      <c r="X1" s="131">
        <f t="shared" si="1"/>
        <v>300000</v>
      </c>
      <c r="Y1" s="132"/>
      <c r="Z1" s="133"/>
      <c r="AA1" s="133"/>
      <c r="AB1" s="133"/>
      <c r="AC1" s="133"/>
      <c r="AD1" s="133"/>
      <c r="AE1" s="134">
        <f>SUM(AE18:AE1051)</f>
        <v>0</v>
      </c>
      <c r="AF1" s="135"/>
      <c r="AG1" s="176">
        <f>SUM(AG18:AG1051)</f>
        <v>0</v>
      </c>
      <c r="AH1" s="114"/>
      <c r="AI1" s="114"/>
    </row>
    <row r="2" spans="1:184" ht="15.75" thickBot="1" x14ac:dyDescent="0.3">
      <c r="A2" s="136"/>
      <c r="B2" s="914" t="s">
        <v>1295</v>
      </c>
      <c r="C2" s="914"/>
      <c r="D2" s="115" t="s">
        <v>813</v>
      </c>
      <c r="E2" s="942" t="s">
        <v>812</v>
      </c>
      <c r="F2" s="138" t="str">
        <f>'G-Assumptions'!B18</f>
        <v>Certain</v>
      </c>
      <c r="G2" s="139" t="str">
        <f>'G-Assumptions'!B19</f>
        <v>Very Likely</v>
      </c>
      <c r="H2" s="139" t="str">
        <f>'G-Assumptions'!B20</f>
        <v>Likely</v>
      </c>
      <c r="I2" s="139" t="str">
        <f>'G-Assumptions'!B21</f>
        <v>Possible</v>
      </c>
      <c r="J2" s="139" t="str">
        <f>'G-Assumptions'!B22</f>
        <v>Unlikely</v>
      </c>
      <c r="K2" s="140" t="str">
        <f>'G-Assumptions'!B23</f>
        <v>Unrated</v>
      </c>
      <c r="L2" s="141"/>
      <c r="M2" s="141"/>
      <c r="N2" s="141"/>
      <c r="O2" s="141"/>
      <c r="P2" s="142"/>
      <c r="Q2" s="142"/>
      <c r="R2" s="142"/>
      <c r="S2" s="143"/>
      <c r="T2" s="143"/>
      <c r="U2" s="143"/>
      <c r="V2" s="142"/>
      <c r="W2" s="142"/>
      <c r="X2" s="142"/>
      <c r="Y2" s="144"/>
      <c r="Z2" s="145"/>
      <c r="AA2" s="145"/>
      <c r="AB2" s="145"/>
      <c r="AC2" s="145"/>
      <c r="AD2" s="145"/>
      <c r="AE2" s="142"/>
      <c r="AF2" s="144"/>
      <c r="AG2" s="146"/>
      <c r="AH2" s="116"/>
      <c r="AI2" s="116"/>
    </row>
    <row r="3" spans="1:184" ht="15.75" thickBot="1" x14ac:dyDescent="0.3">
      <c r="A3" s="147"/>
      <c r="B3" s="767" t="s">
        <v>665</v>
      </c>
      <c r="C3" s="768" t="s">
        <v>671</v>
      </c>
      <c r="D3" s="118"/>
      <c r="E3" s="943"/>
      <c r="F3" s="148" t="str">
        <f>"&gt; "&amp;TEXT('G-Assumptions'!C18*100,0%)&amp;"%"</f>
        <v>&gt; 90%</v>
      </c>
      <c r="G3" s="149" t="str">
        <f>TEXT('G-Assumptions'!C19*100,0%)&amp;"-"&amp;TEXT('G-Assumptions'!D19*100,0%)&amp;"%"</f>
        <v>70-90%</v>
      </c>
      <c r="H3" s="149" t="str">
        <f>TEXT('G-Assumptions'!C20*100,0%)&amp;"-"&amp;TEXT('G-Assumptions'!D20*100,0%)&amp;"%"</f>
        <v>30-70%</v>
      </c>
      <c r="I3" s="149" t="str">
        <f>TEXT('G-Assumptions'!C21*100,0%)&amp;"-"&amp;TEXT('G-Assumptions'!D21*100,0%)&amp;"%"</f>
        <v>5-30%</v>
      </c>
      <c r="J3" s="149" t="str">
        <f>"&lt; "&amp;TEXT('G-Assumptions'!D22*100,0%)&amp;"%"</f>
        <v>&lt; 5%</v>
      </c>
      <c r="K3" s="150" t="s">
        <v>645</v>
      </c>
      <c r="L3" s="141"/>
      <c r="M3" s="141"/>
      <c r="N3" s="141"/>
      <c r="O3" s="141"/>
      <c r="P3" s="142"/>
      <c r="Q3" s="142"/>
      <c r="R3" s="142"/>
      <c r="S3" s="143"/>
      <c r="T3" s="143"/>
      <c r="U3" s="143"/>
      <c r="V3" s="142"/>
      <c r="W3" s="142"/>
      <c r="X3" s="142"/>
      <c r="Y3" s="144"/>
      <c r="Z3" s="145"/>
      <c r="AA3" s="145"/>
      <c r="AB3" s="145"/>
      <c r="AC3" s="145"/>
      <c r="AD3" s="145"/>
      <c r="AE3" s="142"/>
      <c r="AF3" s="144"/>
      <c r="AG3" s="146"/>
      <c r="AH3" s="116"/>
      <c r="AI3" s="116"/>
    </row>
    <row r="4" spans="1:184" ht="15.75" thickBot="1" x14ac:dyDescent="0.3">
      <c r="A4" s="137"/>
      <c r="B4" s="769">
        <f>'E-Cost &amp; Schedule Summary'!D50</f>
        <v>9000000</v>
      </c>
      <c r="C4" s="770">
        <f>'E-Cost &amp; Schedule Summary'!C8</f>
        <v>23.978102189781023</v>
      </c>
      <c r="D4" s="118"/>
      <c r="E4" s="944" t="s">
        <v>811</v>
      </c>
      <c r="F4" s="948" t="str">
        <f>'G-Assumptions'!B38</f>
        <v>Negligible</v>
      </c>
      <c r="G4" s="949"/>
      <c r="H4" s="949" t="str">
        <f>'G-Assumptions'!B39</f>
        <v>Marginal</v>
      </c>
      <c r="I4" s="949"/>
      <c r="J4" s="949" t="str">
        <f>'G-Assumptions'!B40</f>
        <v>Moderate</v>
      </c>
      <c r="K4" s="949"/>
      <c r="L4" s="949" t="str">
        <f>'G-Assumptions'!B41</f>
        <v>Significant</v>
      </c>
      <c r="M4" s="949"/>
      <c r="N4" s="949" t="str">
        <f>'G-Assumptions'!B42</f>
        <v>Critical</v>
      </c>
      <c r="O4" s="950"/>
      <c r="P4" s="142"/>
      <c r="Q4" s="142"/>
      <c r="R4" s="142"/>
      <c r="S4" s="143"/>
      <c r="T4" s="143"/>
      <c r="U4" s="143"/>
      <c r="V4" s="142"/>
      <c r="W4" s="142"/>
      <c r="X4" s="142"/>
      <c r="Y4" s="144"/>
      <c r="Z4" s="145"/>
      <c r="AA4" s="145"/>
      <c r="AB4" s="145"/>
      <c r="AC4" s="145"/>
      <c r="AD4" s="145"/>
      <c r="AE4" s="142"/>
      <c r="AF4" s="144"/>
      <c r="AG4" s="146"/>
      <c r="AH4" s="116"/>
      <c r="AI4" s="116"/>
    </row>
    <row r="5" spans="1:184" ht="15.75" thickBot="1" x14ac:dyDescent="0.3">
      <c r="A5" s="137"/>
      <c r="B5" s="915" t="s">
        <v>727</v>
      </c>
      <c r="C5" s="916"/>
      <c r="D5" s="118"/>
      <c r="E5" s="945"/>
      <c r="F5" s="951" t="str">
        <f>"&lt; "&amp;TEXT('G-Assumptions'!G75,"$#,##0")</f>
        <v>&lt; $100,000</v>
      </c>
      <c r="G5" s="924"/>
      <c r="H5" s="924" t="str">
        <f>TEXT('G-Assumptions'!G75,"$#,##0")&amp;" to "&amp;TEXT('G-Assumptions'!G76,"$#,##0")</f>
        <v>$100,000 to $100,000</v>
      </c>
      <c r="I5" s="924"/>
      <c r="J5" s="924" t="str">
        <f>TEXT('G-Assumptions'!G76,"$#,##0")&amp;" to "&amp;TEXT('G-Assumptions'!G77,"$#,##0")</f>
        <v>$100,000 to $300,000</v>
      </c>
      <c r="K5" s="924"/>
      <c r="L5" s="924" t="str">
        <f>TEXT('G-Assumptions'!G77,"$#,##0")&amp;" to "&amp;TEXT('G-Assumptions'!G78,"$#,##0")</f>
        <v>$300,000 to $500,000</v>
      </c>
      <c r="M5" s="924"/>
      <c r="N5" s="924" t="str">
        <f>"&gt; "&amp;TEXT('G-Assumptions'!G78,"$#,##0")</f>
        <v>&gt; $500,000</v>
      </c>
      <c r="O5" s="925"/>
      <c r="P5" s="142"/>
      <c r="Q5" s="142"/>
      <c r="R5" s="142"/>
      <c r="S5" s="143"/>
      <c r="T5" s="143"/>
      <c r="U5" s="143"/>
      <c r="V5" s="142"/>
      <c r="W5" s="142"/>
      <c r="X5" s="142"/>
      <c r="Y5" s="144"/>
      <c r="Z5" s="145"/>
      <c r="AA5" s="145"/>
      <c r="AB5" s="145"/>
      <c r="AC5" s="145"/>
      <c r="AD5" s="145"/>
      <c r="AE5" s="142"/>
      <c r="AF5" s="144"/>
      <c r="AG5" s="146"/>
      <c r="AH5" s="116"/>
      <c r="AI5" s="116"/>
    </row>
    <row r="6" spans="1:184" ht="15.75" thickBot="1" x14ac:dyDescent="0.3">
      <c r="A6" s="137"/>
      <c r="B6" s="765">
        <v>100000</v>
      </c>
      <c r="C6" s="766">
        <v>0.25</v>
      </c>
      <c r="D6" s="118"/>
      <c r="E6" s="946"/>
      <c r="F6" s="936" t="str">
        <f>" &lt; "&amp;TEXT('G-Assumptions'!I75,"0.00")&amp;" MO"</f>
        <v xml:space="preserve"> &lt; 0.25 MO</v>
      </c>
      <c r="G6" s="934"/>
      <c r="H6" s="934" t="str">
        <f>TEXT('G-Assumptions'!I75,"0.00")&amp;" MO to "&amp;TEXT('G-Assumptions'!I76,"0.00")&amp;" MO"</f>
        <v>0.25 MO to 0.50 MO</v>
      </c>
      <c r="I6" s="934"/>
      <c r="J6" s="934" t="str">
        <f>TEXT('G-Assumptions'!I76,"0.00")&amp;" MO to "&amp;TEXT('G-Assumptions'!I77,"0.00")&amp;" MO"</f>
        <v>0.50 MO to 1.25 MO</v>
      </c>
      <c r="K6" s="934"/>
      <c r="L6" s="934" t="str">
        <f>TEXT('G-Assumptions'!I77,"0.00")&amp;" MO to "&amp;TEXT('G-Assumptions'!I78,"0.00")&amp;" MO"</f>
        <v>1.25 MO to 2.50 MO</v>
      </c>
      <c r="M6" s="934"/>
      <c r="N6" s="934" t="str">
        <f>"&gt; "&amp;TEXT('G-Assumptions'!I78,"0.00")&amp;" MO"</f>
        <v>&gt; 2.50 MO</v>
      </c>
      <c r="O6" s="935"/>
      <c r="P6" s="28"/>
      <c r="Q6" s="28"/>
      <c r="R6" s="142"/>
      <c r="S6" s="143"/>
      <c r="T6" s="143"/>
      <c r="U6" s="143"/>
      <c r="V6" s="142"/>
      <c r="W6" s="142"/>
      <c r="X6" s="142"/>
      <c r="Y6" s="144"/>
      <c r="Z6" s="145"/>
      <c r="AA6" s="145"/>
      <c r="AB6" s="145"/>
      <c r="AC6" s="145"/>
      <c r="AD6" s="145"/>
      <c r="AE6" s="142"/>
      <c r="AF6" s="144"/>
      <c r="AG6" s="146"/>
      <c r="AH6" s="116"/>
      <c r="AI6" s="116"/>
      <c r="AL6" s="927" t="s">
        <v>688</v>
      </c>
      <c r="AM6" s="927"/>
      <c r="AN6" s="927"/>
      <c r="AP6" s="927" t="s">
        <v>687</v>
      </c>
      <c r="AQ6" s="927"/>
      <c r="AR6" s="927"/>
    </row>
    <row r="7" spans="1:184" ht="15.75" thickBot="1" x14ac:dyDescent="0.3">
      <c r="A7" s="137"/>
      <c r="B7" s="28"/>
      <c r="C7" s="28"/>
      <c r="D7" s="118"/>
      <c r="E7" s="141"/>
      <c r="F7" s="141"/>
      <c r="G7" s="141"/>
      <c r="H7" s="141"/>
      <c r="I7" s="141"/>
      <c r="J7" s="141"/>
      <c r="K7" s="141"/>
      <c r="L7" s="141"/>
      <c r="M7" s="141"/>
      <c r="N7" s="28"/>
      <c r="O7" s="28"/>
      <c r="P7" s="28"/>
      <c r="Q7" s="28"/>
      <c r="R7" s="28"/>
      <c r="S7" s="28"/>
      <c r="T7" s="28"/>
      <c r="U7" s="28"/>
      <c r="V7" s="28"/>
      <c r="W7" s="143"/>
      <c r="X7" s="142"/>
      <c r="Y7" s="144"/>
      <c r="Z7" s="145"/>
      <c r="AA7" s="145"/>
      <c r="AB7" s="145"/>
      <c r="AC7" s="145"/>
      <c r="AD7" s="145"/>
      <c r="AE7" s="142"/>
      <c r="AF7" s="144"/>
      <c r="AG7" s="146"/>
      <c r="AH7" s="116"/>
      <c r="AI7" s="116"/>
    </row>
    <row r="8" spans="1:184" ht="15" customHeight="1" thickBot="1" x14ac:dyDescent="0.3">
      <c r="A8" s="137"/>
      <c r="B8" s="137"/>
      <c r="C8" s="117"/>
      <c r="D8" s="118"/>
      <c r="E8" s="942" t="s">
        <v>810</v>
      </c>
      <c r="F8" s="141"/>
      <c r="G8" s="151" t="str">
        <f>'G-Assumptions'!F6</f>
        <v>Negligible</v>
      </c>
      <c r="H8" s="152" t="str">
        <f>'G-Assumptions'!G6</f>
        <v>Marginal</v>
      </c>
      <c r="I8" s="152" t="str">
        <f>'G-Assumptions'!H6</f>
        <v>Moderate</v>
      </c>
      <c r="J8" s="152" t="str">
        <f>'G-Assumptions'!I6</f>
        <v>Significant</v>
      </c>
      <c r="K8" s="153" t="str">
        <f>'G-Assumptions'!J6</f>
        <v>Critical</v>
      </c>
      <c r="L8" s="141"/>
      <c r="M8" s="939" t="s">
        <v>1262</v>
      </c>
      <c r="N8" s="940"/>
      <c r="O8" s="941"/>
      <c r="P8" s="28"/>
      <c r="Q8" s="28"/>
      <c r="R8" s="28"/>
      <c r="S8" s="28"/>
      <c r="T8" s="28"/>
      <c r="U8" s="28"/>
      <c r="V8" s="28"/>
      <c r="W8" s="143"/>
      <c r="X8" s="142"/>
      <c r="Y8" s="144"/>
      <c r="Z8" s="145"/>
      <c r="AA8" s="145"/>
      <c r="AB8" s="145"/>
      <c r="AC8" s="145"/>
      <c r="AD8" s="145"/>
      <c r="AE8" s="142"/>
      <c r="AF8" s="144"/>
      <c r="AG8" s="146"/>
      <c r="AH8" s="116"/>
      <c r="AI8" s="116"/>
      <c r="AL8" s="635" t="s">
        <v>691</v>
      </c>
      <c r="AM8" s="110" t="s">
        <v>686</v>
      </c>
      <c r="AN8" s="110" t="s">
        <v>685</v>
      </c>
      <c r="AP8" s="635" t="s">
        <v>691</v>
      </c>
      <c r="AQ8" s="110" t="s">
        <v>686</v>
      </c>
      <c r="AR8" s="110" t="s">
        <v>685</v>
      </c>
    </row>
    <row r="9" spans="1:184" ht="15.75" thickTop="1" x14ac:dyDescent="0.25">
      <c r="A9" s="137"/>
      <c r="B9" s="137"/>
      <c r="C9" s="117"/>
      <c r="D9" s="118"/>
      <c r="E9" s="947"/>
      <c r="F9" s="154" t="str">
        <f>'G-Assumptions'!D7</f>
        <v>Certain</v>
      </c>
      <c r="G9" s="891" t="s">
        <v>706</v>
      </c>
      <c r="H9" s="892"/>
      <c r="I9" s="892"/>
      <c r="J9" s="892"/>
      <c r="K9" s="893"/>
      <c r="L9" s="141"/>
      <c r="M9" s="740" t="s">
        <v>865</v>
      </c>
      <c r="N9" s="739" t="s">
        <v>864</v>
      </c>
      <c r="O9" s="741" t="s">
        <v>863</v>
      </c>
      <c r="P9" s="28"/>
      <c r="Q9" s="28"/>
      <c r="R9" s="28"/>
      <c r="S9" s="28"/>
      <c r="T9" s="28"/>
      <c r="U9" s="28"/>
      <c r="V9" s="28"/>
      <c r="W9" s="143"/>
      <c r="X9" s="142"/>
      <c r="Y9" s="144"/>
      <c r="Z9" s="145"/>
      <c r="AA9" s="145"/>
      <c r="AB9" s="145"/>
      <c r="AC9" s="145"/>
      <c r="AD9" s="145"/>
      <c r="AE9" s="142"/>
      <c r="AF9" s="144"/>
      <c r="AG9" s="146"/>
      <c r="AH9" s="116"/>
      <c r="AI9" s="116"/>
      <c r="AL9" s="636" t="str">
        <f>'G-Assumptions'!F74</f>
        <v>Negligible</v>
      </c>
      <c r="AM9" s="119">
        <f>'G-Assumptions'!G74</f>
        <v>0</v>
      </c>
      <c r="AN9" s="119">
        <f>'G-Assumptions'!H74</f>
        <v>100000</v>
      </c>
      <c r="AO9" s="77" t="str">
        <f>AL9</f>
        <v>Negligible</v>
      </c>
      <c r="AP9" s="636" t="str">
        <f>AL9</f>
        <v>Negligible</v>
      </c>
      <c r="AQ9" s="628">
        <f>'G-Assumptions'!I74</f>
        <v>0</v>
      </c>
      <c r="AR9" s="628">
        <f>'G-Assumptions'!J74</f>
        <v>0.25</v>
      </c>
      <c r="AS9" s="77" t="str">
        <f>AP9</f>
        <v>Negligible</v>
      </c>
      <c r="EC9" s="185"/>
    </row>
    <row r="10" spans="1:184" x14ac:dyDescent="0.25">
      <c r="A10" s="137"/>
      <c r="B10" s="137"/>
      <c r="C10" s="117"/>
      <c r="D10" s="118"/>
      <c r="E10" s="947"/>
      <c r="F10" s="155" t="str">
        <f>'G-Assumptions'!D8</f>
        <v>Very Likely</v>
      </c>
      <c r="G10" s="156" t="s">
        <v>704</v>
      </c>
      <c r="H10" s="157" t="s">
        <v>703</v>
      </c>
      <c r="I10" s="157" t="s">
        <v>705</v>
      </c>
      <c r="J10" s="157" t="s">
        <v>705</v>
      </c>
      <c r="K10" s="158" t="s">
        <v>705</v>
      </c>
      <c r="L10" s="141"/>
      <c r="M10" s="738" t="s">
        <v>705</v>
      </c>
      <c r="N10" s="495">
        <f>COUNTIF($H$18:$H$117,M10)</f>
        <v>0</v>
      </c>
      <c r="O10" s="744">
        <f>COUNTIF($J$18:$J$117,M10)</f>
        <v>0</v>
      </c>
      <c r="P10" s="28"/>
      <c r="Q10" s="28"/>
      <c r="R10" s="28"/>
      <c r="S10" s="28"/>
      <c r="T10" s="28"/>
      <c r="U10" s="28"/>
      <c r="V10" s="28"/>
      <c r="W10" s="143"/>
      <c r="X10" s="142"/>
      <c r="Y10" s="144"/>
      <c r="Z10" s="145"/>
      <c r="AA10" s="145"/>
      <c r="AB10" s="145"/>
      <c r="AC10" s="145"/>
      <c r="AD10" s="145"/>
      <c r="AE10" s="142"/>
      <c r="AF10" s="144"/>
      <c r="AG10" s="146"/>
      <c r="AH10" s="116"/>
      <c r="AI10" s="116"/>
      <c r="AL10" s="637" t="str">
        <f>'G-Assumptions'!F75</f>
        <v>Marginal</v>
      </c>
      <c r="AM10" s="120">
        <f>'G-Assumptions'!G75</f>
        <v>100000</v>
      </c>
      <c r="AN10" s="120">
        <f>'G-Assumptions'!H75</f>
        <v>100000</v>
      </c>
      <c r="AO10" s="77" t="str">
        <f t="shared" ref="AO10:AO13" si="2">AL10</f>
        <v>Marginal</v>
      </c>
      <c r="AP10" s="637" t="str">
        <f>AL10</f>
        <v>Marginal</v>
      </c>
      <c r="AQ10" s="629">
        <f>'G-Assumptions'!I75</f>
        <v>0.25</v>
      </c>
      <c r="AR10" s="629">
        <f>'G-Assumptions'!J75</f>
        <v>0.5</v>
      </c>
      <c r="AS10" s="77" t="str">
        <f t="shared" ref="AS10:AS13" si="3">AP10</f>
        <v>Marginal</v>
      </c>
    </row>
    <row r="11" spans="1:184" x14ac:dyDescent="0.25">
      <c r="A11" s="137"/>
      <c r="B11" s="137"/>
      <c r="C11" s="117"/>
      <c r="D11" s="118"/>
      <c r="E11" s="947"/>
      <c r="F11" s="155" t="str">
        <f>'G-Assumptions'!D9</f>
        <v>Likely</v>
      </c>
      <c r="G11" s="156" t="s">
        <v>704</v>
      </c>
      <c r="H11" s="157" t="s">
        <v>703</v>
      </c>
      <c r="I11" s="157" t="s">
        <v>703</v>
      </c>
      <c r="J11" s="157" t="s">
        <v>705</v>
      </c>
      <c r="K11" s="158" t="s">
        <v>705</v>
      </c>
      <c r="L11" s="141"/>
      <c r="M11" s="738" t="s">
        <v>703</v>
      </c>
      <c r="N11" s="495">
        <f>COUNTIF($H$18:$H$117,M11)</f>
        <v>1</v>
      </c>
      <c r="O11" s="744">
        <f>COUNTIF($J$18:$J$117,M11)</f>
        <v>1</v>
      </c>
      <c r="P11" s="28"/>
      <c r="Q11" s="28"/>
      <c r="R11" s="28"/>
      <c r="S11" s="28"/>
      <c r="T11" s="28"/>
      <c r="U11" s="28"/>
      <c r="V11" s="28"/>
      <c r="W11" s="143"/>
      <c r="X11" s="142"/>
      <c r="Y11" s="144"/>
      <c r="Z11" s="145"/>
      <c r="AA11" s="145"/>
      <c r="AB11" s="145"/>
      <c r="AC11" s="145"/>
      <c r="AD11" s="145"/>
      <c r="AE11" s="142"/>
      <c r="AF11" s="144"/>
      <c r="AG11" s="146"/>
      <c r="AH11" s="116"/>
      <c r="AI11" s="116"/>
      <c r="AL11" s="638" t="str">
        <f>'G-Assumptions'!F76</f>
        <v>Moderate</v>
      </c>
      <c r="AM11" s="121">
        <f>'G-Assumptions'!G76</f>
        <v>100000</v>
      </c>
      <c r="AN11" s="121">
        <f>'G-Assumptions'!H76</f>
        <v>300000</v>
      </c>
      <c r="AO11" s="77" t="str">
        <f t="shared" si="2"/>
        <v>Moderate</v>
      </c>
      <c r="AP11" s="638" t="str">
        <f>AL11</f>
        <v>Moderate</v>
      </c>
      <c r="AQ11" s="630">
        <f>'G-Assumptions'!I76</f>
        <v>0.5</v>
      </c>
      <c r="AR11" s="630">
        <f>'G-Assumptions'!J76</f>
        <v>1.25</v>
      </c>
      <c r="AS11" s="77" t="str">
        <f t="shared" si="3"/>
        <v>Moderate</v>
      </c>
    </row>
    <row r="12" spans="1:184" x14ac:dyDescent="0.25">
      <c r="A12" s="137"/>
      <c r="B12" s="137"/>
      <c r="C12" s="117"/>
      <c r="D12" s="118"/>
      <c r="E12" s="947"/>
      <c r="F12" s="155" t="str">
        <f>'G-Assumptions'!D10</f>
        <v>Possible</v>
      </c>
      <c r="G12" s="156" t="s">
        <v>704</v>
      </c>
      <c r="H12" s="157" t="s">
        <v>704</v>
      </c>
      <c r="I12" s="157" t="s">
        <v>703</v>
      </c>
      <c r="J12" s="157" t="s">
        <v>703</v>
      </c>
      <c r="K12" s="158" t="s">
        <v>705</v>
      </c>
      <c r="L12" s="141"/>
      <c r="M12" s="738" t="s">
        <v>704</v>
      </c>
      <c r="N12" s="495">
        <f>COUNTIF($H$18:$H$117,M12)</f>
        <v>0</v>
      </c>
      <c r="O12" s="744">
        <f>COUNTIF($J$18:$J$117,M12)</f>
        <v>0</v>
      </c>
      <c r="P12" s="28"/>
      <c r="Q12" s="28"/>
      <c r="R12" s="28"/>
      <c r="S12" s="28"/>
      <c r="T12" s="28"/>
      <c r="U12" s="28"/>
      <c r="V12" s="28"/>
      <c r="W12" s="142"/>
      <c r="X12" s="142"/>
      <c r="Y12" s="144"/>
      <c r="Z12" s="145"/>
      <c r="AA12" s="145"/>
      <c r="AB12" s="145"/>
      <c r="AC12" s="145"/>
      <c r="AD12" s="145"/>
      <c r="AE12" s="142"/>
      <c r="AF12" s="144"/>
      <c r="AG12" s="146"/>
      <c r="AH12" s="116"/>
      <c r="AI12" s="116"/>
      <c r="AL12" s="637" t="str">
        <f>'G-Assumptions'!F77</f>
        <v>Significant</v>
      </c>
      <c r="AM12" s="120">
        <f>'G-Assumptions'!G77</f>
        <v>300000</v>
      </c>
      <c r="AN12" s="120">
        <f>'G-Assumptions'!H77</f>
        <v>500000</v>
      </c>
      <c r="AO12" s="77" t="str">
        <f t="shared" si="2"/>
        <v>Significant</v>
      </c>
      <c r="AP12" s="637" t="str">
        <f>AL12</f>
        <v>Significant</v>
      </c>
      <c r="AQ12" s="629">
        <f>'G-Assumptions'!I77</f>
        <v>1.25</v>
      </c>
      <c r="AR12" s="629">
        <f>'G-Assumptions'!J77</f>
        <v>2.5</v>
      </c>
      <c r="AS12" s="77" t="str">
        <f t="shared" si="3"/>
        <v>Significant</v>
      </c>
    </row>
    <row r="13" spans="1:184" ht="15.75" thickBot="1" x14ac:dyDescent="0.3">
      <c r="A13" s="137"/>
      <c r="B13" s="137"/>
      <c r="C13" s="117"/>
      <c r="D13" s="118"/>
      <c r="E13" s="943"/>
      <c r="F13" s="159" t="str">
        <f>'G-Assumptions'!D11</f>
        <v>Unlikely</v>
      </c>
      <c r="G13" s="160" t="s">
        <v>704</v>
      </c>
      <c r="H13" s="161" t="s">
        <v>704</v>
      </c>
      <c r="I13" s="161" t="s">
        <v>704</v>
      </c>
      <c r="J13" s="161" t="s">
        <v>703</v>
      </c>
      <c r="K13" s="162" t="s">
        <v>703</v>
      </c>
      <c r="L13" s="141"/>
      <c r="M13" s="160" t="s">
        <v>944</v>
      </c>
      <c r="N13" s="745">
        <f>COUNTIF($H$18:$H$117,M13)</f>
        <v>99</v>
      </c>
      <c r="O13" s="746">
        <f>COUNTIF($J$18:$J$117,M13)</f>
        <v>99</v>
      </c>
      <c r="P13" s="141"/>
      <c r="Q13" s="141"/>
      <c r="R13" s="142"/>
      <c r="S13" s="143"/>
      <c r="T13" s="143"/>
      <c r="U13" s="143"/>
      <c r="V13" s="142"/>
      <c r="W13" s="142"/>
      <c r="X13" s="142"/>
      <c r="Y13" s="144"/>
      <c r="Z13" s="145"/>
      <c r="AA13" s="145"/>
      <c r="AB13" s="145"/>
      <c r="AC13" s="145"/>
      <c r="AD13" s="145"/>
      <c r="AE13" s="142"/>
      <c r="AF13" s="144"/>
      <c r="AG13" s="146"/>
      <c r="AH13" s="116"/>
      <c r="AI13" s="116"/>
      <c r="AL13" s="639" t="str">
        <f>'G-Assumptions'!F78</f>
        <v>Critical</v>
      </c>
      <c r="AM13" s="122">
        <f>'G-Assumptions'!G78</f>
        <v>500000</v>
      </c>
      <c r="AN13" s="122" t="str">
        <f>'G-Assumptions'!H78</f>
        <v>∞</v>
      </c>
      <c r="AO13" s="77" t="str">
        <f t="shared" si="2"/>
        <v>Critical</v>
      </c>
      <c r="AP13" s="639" t="str">
        <f>AL13</f>
        <v>Critical</v>
      </c>
      <c r="AQ13" s="631">
        <f>'G-Assumptions'!I78</f>
        <v>2.5</v>
      </c>
      <c r="AR13" s="631" t="str">
        <f>'G-Assumptions'!J78</f>
        <v>∞</v>
      </c>
      <c r="AS13" s="77" t="str">
        <f t="shared" si="3"/>
        <v>Critical</v>
      </c>
    </row>
    <row r="14" spans="1:184" ht="15.75" thickBot="1" x14ac:dyDescent="0.3">
      <c r="A14" s="137"/>
      <c r="B14" s="137"/>
      <c r="C14" s="117"/>
      <c r="D14" s="118"/>
      <c r="E14" s="141"/>
      <c r="F14" s="141"/>
      <c r="G14" s="141"/>
      <c r="H14" s="141"/>
      <c r="I14" s="141"/>
      <c r="J14" s="141"/>
      <c r="K14" s="141"/>
      <c r="L14" s="141"/>
      <c r="M14" s="141"/>
      <c r="N14" s="28"/>
      <c r="O14" s="28"/>
      <c r="P14" s="762"/>
      <c r="Q14" s="763"/>
      <c r="R14" s="763"/>
      <c r="S14" s="763"/>
      <c r="T14" s="762"/>
      <c r="U14" s="762"/>
      <c r="V14" s="448"/>
      <c r="W14" s="448"/>
      <c r="X14" s="142"/>
      <c r="Y14" s="144"/>
      <c r="Z14" s="145"/>
      <c r="AA14" s="145"/>
      <c r="AB14" s="145"/>
      <c r="AC14" s="145"/>
      <c r="AD14" s="145"/>
      <c r="AE14" s="142"/>
      <c r="AF14" s="144"/>
      <c r="AG14" s="146"/>
      <c r="AH14" s="116"/>
      <c r="AI14" s="116"/>
    </row>
    <row r="15" spans="1:184" ht="15.75" thickBot="1" x14ac:dyDescent="0.3">
      <c r="A15" s="403" t="str">
        <f>'D-Project Data'!C13&amp;" - "&amp;'D-Project Data'!C15</f>
        <v>Project Name - Select From List</v>
      </c>
      <c r="B15" s="404"/>
      <c r="C15" s="404"/>
      <c r="D15" s="404"/>
      <c r="E15" s="404"/>
      <c r="F15" s="404"/>
      <c r="G15" s="404"/>
      <c r="H15" s="404"/>
      <c r="I15" s="404"/>
      <c r="J15" s="404"/>
      <c r="K15" s="405"/>
      <c r="L15" s="405"/>
      <c r="M15" s="405"/>
      <c r="N15" s="405"/>
      <c r="O15" s="406"/>
      <c r="P15" s="920"/>
      <c r="Q15" s="920"/>
      <c r="R15" s="920"/>
      <c r="S15" s="923"/>
      <c r="T15" s="923"/>
      <c r="U15" s="923"/>
      <c r="V15" s="922"/>
      <c r="W15" s="922"/>
      <c r="X15" s="922"/>
      <c r="Y15" s="407"/>
      <c r="Z15" s="408"/>
      <c r="AA15" s="408"/>
      <c r="AB15" s="408"/>
      <c r="AC15" s="408"/>
      <c r="AD15" s="408"/>
      <c r="AE15" s="409" t="s">
        <v>659</v>
      </c>
      <c r="AF15" s="407"/>
      <c r="AG15" s="409" t="s">
        <v>659</v>
      </c>
      <c r="AH15" s="409" t="s">
        <v>659</v>
      </c>
      <c r="AI15" s="409"/>
      <c r="AJ15" s="8"/>
      <c r="AK15" s="503"/>
      <c r="AL15" s="504"/>
      <c r="AM15" s="504"/>
      <c r="AN15" s="504"/>
      <c r="AO15" s="504"/>
      <c r="AP15" s="504"/>
      <c r="AQ15" s="504"/>
      <c r="AR15" s="501"/>
      <c r="AS15" s="502"/>
      <c r="AU15" s="409"/>
      <c r="AV15" s="409"/>
      <c r="AW15" s="409"/>
      <c r="AX15" s="409"/>
      <c r="AY15" s="409"/>
      <c r="AZ15" s="409"/>
      <c r="BA15" s="409"/>
      <c r="BB15" s="409"/>
      <c r="BC15" s="409"/>
      <c r="BD15" s="409"/>
      <c r="BE15" s="409"/>
      <c r="BF15" s="409"/>
      <c r="BG15" s="409"/>
      <c r="BH15" s="409"/>
      <c r="BI15" s="409"/>
      <c r="BJ15" s="409"/>
      <c r="BK15" s="409"/>
      <c r="BL15" s="409"/>
      <c r="BM15" s="409"/>
      <c r="BN15" s="409"/>
      <c r="BO15" s="409"/>
      <c r="BP15" s="409"/>
      <c r="BQ15" s="409"/>
      <c r="BR15" s="409"/>
      <c r="BS15" s="409"/>
      <c r="BT15" s="409"/>
      <c r="BU15" s="409"/>
      <c r="BV15" s="409"/>
      <c r="BW15" s="409"/>
      <c r="BX15" s="409"/>
      <c r="BY15" s="409"/>
      <c r="BZ15" s="409"/>
      <c r="CA15" s="409"/>
      <c r="CB15" s="409"/>
      <c r="CC15" s="409"/>
      <c r="CD15" s="409"/>
      <c r="CE15" s="409"/>
      <c r="CF15" s="409"/>
      <c r="CG15" s="409"/>
      <c r="CH15" s="409"/>
      <c r="CI15" s="409"/>
      <c r="CJ15" s="409"/>
      <c r="CK15" s="409"/>
      <c r="CL15" s="409"/>
      <c r="CM15" s="409"/>
      <c r="CN15" s="409"/>
      <c r="CO15" s="409"/>
      <c r="CP15" s="409"/>
      <c r="CQ15" s="409"/>
      <c r="CR15" s="409"/>
      <c r="CS15" s="409"/>
      <c r="CT15" s="409"/>
      <c r="CU15" s="409"/>
      <c r="CV15" s="409"/>
      <c r="CW15" s="409"/>
      <c r="CX15" s="409"/>
      <c r="CY15" s="409"/>
      <c r="CZ15" s="409"/>
      <c r="DA15" s="409"/>
      <c r="DB15" s="409"/>
      <c r="DC15" s="409"/>
      <c r="DD15" s="409"/>
      <c r="DE15" s="409"/>
      <c r="DF15" s="409"/>
      <c r="DG15" s="409"/>
      <c r="DH15" s="409"/>
      <c r="DI15" s="409"/>
      <c r="DJ15" s="409"/>
      <c r="DK15" s="409"/>
      <c r="DL15" s="409"/>
      <c r="DM15" s="409"/>
      <c r="DN15" s="409"/>
      <c r="DO15" s="409"/>
      <c r="DP15" s="409"/>
      <c r="DQ15" s="409"/>
      <c r="DR15" s="409"/>
      <c r="DS15" s="409"/>
      <c r="DT15" s="409"/>
      <c r="DU15" s="409"/>
      <c r="DV15" s="409"/>
      <c r="DW15" s="409"/>
      <c r="DX15" s="409"/>
      <c r="DY15" s="409"/>
      <c r="DZ15" s="409"/>
      <c r="EA15" s="409"/>
      <c r="EB15" s="409"/>
      <c r="EC15" s="409"/>
      <c r="ED15" s="409"/>
      <c r="EE15" s="409"/>
      <c r="EF15" s="409"/>
      <c r="EG15" s="409"/>
      <c r="EH15" s="409"/>
      <c r="EI15" s="409"/>
      <c r="EJ15" s="409"/>
      <c r="EK15" s="409"/>
      <c r="EL15" s="409"/>
      <c r="EM15" s="409"/>
      <c r="EN15" s="409"/>
      <c r="EO15" s="409"/>
      <c r="EP15" s="409"/>
      <c r="EQ15" s="409"/>
      <c r="ER15" s="409"/>
      <c r="ES15" s="409"/>
      <c r="ET15" s="409"/>
      <c r="EU15" s="409"/>
      <c r="EV15" s="409"/>
      <c r="EW15" s="409"/>
      <c r="EX15" s="409"/>
      <c r="EY15" s="409"/>
      <c r="EZ15" s="409"/>
      <c r="FA15" s="409"/>
      <c r="FB15" s="409"/>
      <c r="FC15" s="409"/>
      <c r="FD15" s="409"/>
      <c r="FE15" s="409"/>
      <c r="FF15" s="409"/>
      <c r="FG15" s="409"/>
      <c r="FH15" s="409"/>
      <c r="FI15" s="409"/>
      <c r="FJ15" s="409"/>
      <c r="FK15" s="409"/>
      <c r="FL15" s="409"/>
      <c r="FM15" s="409"/>
      <c r="FN15" s="409"/>
      <c r="FO15" s="409"/>
      <c r="FP15" s="409"/>
      <c r="FQ15" s="409"/>
      <c r="FR15" s="409"/>
      <c r="FS15" s="409"/>
      <c r="FT15" s="409"/>
      <c r="FU15" s="409"/>
      <c r="FV15" s="409"/>
      <c r="FW15" s="409"/>
      <c r="FX15" s="409"/>
      <c r="FY15" s="409"/>
      <c r="FZ15" s="409"/>
      <c r="GA15" s="409"/>
      <c r="GB15" s="410"/>
    </row>
    <row r="16" spans="1:184" ht="15.75" thickBot="1" x14ac:dyDescent="0.3">
      <c r="A16" s="937">
        <f>'D-Project Data'!C17</f>
        <v>45505</v>
      </c>
      <c r="B16" s="938"/>
      <c r="C16" s="938"/>
      <c r="D16" s="938"/>
      <c r="E16" s="938"/>
      <c r="F16" s="938"/>
      <c r="G16" s="926" t="s">
        <v>729</v>
      </c>
      <c r="H16" s="926"/>
      <c r="I16" s="926" t="s">
        <v>809</v>
      </c>
      <c r="J16" s="926"/>
      <c r="K16" s="926" t="s">
        <v>808</v>
      </c>
      <c r="L16" s="926"/>
      <c r="M16" s="926"/>
      <c r="N16" s="926"/>
      <c r="O16" s="926"/>
      <c r="P16" s="921" t="s">
        <v>688</v>
      </c>
      <c r="Q16" s="921"/>
      <c r="R16" s="921"/>
      <c r="S16" s="928" t="s">
        <v>687</v>
      </c>
      <c r="T16" s="929"/>
      <c r="U16" s="929"/>
      <c r="V16" s="930" t="s">
        <v>994</v>
      </c>
      <c r="W16" s="931"/>
      <c r="X16" s="931"/>
      <c r="Y16" s="932" t="s">
        <v>995</v>
      </c>
      <c r="Z16" s="932"/>
      <c r="AA16" s="932" t="s">
        <v>996</v>
      </c>
      <c r="AB16" s="932"/>
      <c r="AC16" s="932"/>
      <c r="AD16" s="932"/>
      <c r="AE16" s="932"/>
      <c r="AF16" s="926" t="s">
        <v>997</v>
      </c>
      <c r="AG16" s="926"/>
      <c r="AH16" s="929" t="s">
        <v>999</v>
      </c>
      <c r="AI16" s="933"/>
      <c r="AJ16" s="8"/>
      <c r="AK16" s="869" t="s">
        <v>1000</v>
      </c>
      <c r="AL16" s="870"/>
      <c r="AM16" s="870"/>
      <c r="AN16" s="870"/>
      <c r="AO16" s="870"/>
      <c r="AP16" s="870"/>
      <c r="AQ16" s="871"/>
      <c r="AR16" s="918" t="s">
        <v>1002</v>
      </c>
      <c r="AS16" s="919"/>
      <c r="AU16" s="917" t="s">
        <v>1003</v>
      </c>
      <c r="AV16" s="917"/>
      <c r="AW16" s="917"/>
      <c r="AX16" s="917"/>
      <c r="AY16" s="917"/>
      <c r="AZ16" s="917"/>
      <c r="BA16" s="917"/>
      <c r="BB16" s="917"/>
      <c r="BC16" s="917"/>
      <c r="BD16" s="917"/>
      <c r="BE16" s="917"/>
      <c r="BF16" s="917"/>
      <c r="BG16" s="917"/>
      <c r="BH16" s="917"/>
      <c r="BI16" s="917"/>
      <c r="BJ16" s="917"/>
      <c r="BK16" s="917"/>
      <c r="BL16" s="917"/>
      <c r="BM16" s="917"/>
      <c r="BN16" s="917"/>
      <c r="BO16" s="917"/>
      <c r="BP16" s="917"/>
      <c r="BQ16" s="917"/>
      <c r="BR16" s="917"/>
      <c r="BS16" s="917"/>
      <c r="BT16" s="917"/>
      <c r="BU16" s="917"/>
      <c r="BV16" s="917"/>
      <c r="BW16" s="917"/>
      <c r="BX16" s="917"/>
      <c r="BY16" s="917"/>
      <c r="BZ16" s="917"/>
      <c r="CA16" s="917"/>
      <c r="CB16" s="917"/>
      <c r="CC16" s="917"/>
      <c r="CD16" s="917"/>
      <c r="CE16" s="917"/>
      <c r="CF16" s="917"/>
      <c r="CG16" s="917"/>
      <c r="CH16" s="917"/>
      <c r="CI16" s="917"/>
      <c r="CJ16" s="917"/>
      <c r="CK16" s="917"/>
      <c r="CL16" s="807" t="s">
        <v>1004</v>
      </c>
      <c r="CM16" s="807"/>
      <c r="CN16" s="807"/>
      <c r="CO16" s="807"/>
      <c r="CP16" s="807"/>
      <c r="CQ16" s="807"/>
      <c r="CR16" s="807"/>
      <c r="CS16" s="807"/>
      <c r="CT16" s="807"/>
      <c r="CU16" s="807"/>
      <c r="CV16" s="807"/>
      <c r="CW16" s="807"/>
      <c r="CX16" s="807"/>
      <c r="CY16" s="807"/>
      <c r="CZ16" s="807"/>
      <c r="DA16" s="807"/>
      <c r="DB16" s="807"/>
      <c r="DC16" s="807"/>
      <c r="DD16" s="807"/>
      <c r="DE16" s="807"/>
      <c r="DF16" s="807"/>
      <c r="DG16" s="807"/>
      <c r="DH16" s="807"/>
      <c r="DI16" s="807"/>
      <c r="DJ16" s="807"/>
      <c r="DK16" s="807"/>
      <c r="DL16" s="807"/>
      <c r="DM16" s="807"/>
      <c r="DN16" s="807"/>
      <c r="DO16" s="807"/>
      <c r="DP16" s="807"/>
      <c r="DQ16" s="807"/>
      <c r="DR16" s="807"/>
      <c r="DS16" s="807"/>
      <c r="DT16" s="807"/>
      <c r="DU16" s="807"/>
      <c r="DV16" s="807"/>
      <c r="DW16" s="807"/>
      <c r="DX16" s="807"/>
      <c r="DY16" s="807"/>
      <c r="DZ16" s="807"/>
      <c r="EA16" s="807"/>
      <c r="EB16" s="807"/>
      <c r="EC16" s="807" t="s">
        <v>1005</v>
      </c>
      <c r="ED16" s="807"/>
      <c r="EE16" s="807"/>
      <c r="EF16" s="807"/>
      <c r="EG16" s="807"/>
      <c r="EH16" s="807"/>
      <c r="EI16" s="807"/>
      <c r="EJ16" s="807"/>
      <c r="EK16" s="807"/>
      <c r="EL16" s="807"/>
      <c r="EM16" s="807"/>
      <c r="EN16" s="807"/>
      <c r="EO16" s="807"/>
      <c r="EP16" s="807"/>
      <c r="EQ16" s="807"/>
      <c r="ER16" s="807"/>
      <c r="ES16" s="807"/>
      <c r="ET16" s="807"/>
      <c r="EU16" s="807"/>
      <c r="EV16" s="807"/>
      <c r="EW16" s="807"/>
      <c r="EX16" s="807"/>
      <c r="EY16" s="807"/>
      <c r="EZ16" s="807" t="s">
        <v>1006</v>
      </c>
      <c r="FA16" s="807"/>
      <c r="FB16" s="807"/>
      <c r="FC16" s="807"/>
      <c r="FD16" s="807"/>
      <c r="FE16" s="807"/>
      <c r="FF16" s="807"/>
      <c r="FG16" s="807"/>
      <c r="FH16" s="807"/>
      <c r="FI16" s="807"/>
      <c r="FJ16" s="807"/>
      <c r="FK16" s="807"/>
      <c r="FL16" s="807"/>
      <c r="FM16" s="807"/>
      <c r="FN16" s="807"/>
      <c r="FO16" s="807"/>
      <c r="FP16" s="807"/>
      <c r="FQ16" s="807"/>
      <c r="FR16" s="807"/>
      <c r="FS16" s="807"/>
      <c r="FT16" s="807"/>
      <c r="FU16" s="807"/>
      <c r="FV16" s="807"/>
      <c r="FW16" s="917" t="s">
        <v>1007</v>
      </c>
      <c r="FX16" s="917"/>
      <c r="FY16" s="917"/>
      <c r="FZ16" s="917"/>
      <c r="GA16" s="917"/>
      <c r="GB16" s="917"/>
    </row>
    <row r="17" spans="1:184" ht="60.75" thickBot="1" x14ac:dyDescent="0.3">
      <c r="A17" s="318" t="s">
        <v>807</v>
      </c>
      <c r="B17" s="319" t="s">
        <v>806</v>
      </c>
      <c r="C17" s="319" t="s">
        <v>476</v>
      </c>
      <c r="D17" s="319" t="s">
        <v>805</v>
      </c>
      <c r="E17" s="319" t="s">
        <v>1258</v>
      </c>
      <c r="F17" s="319" t="s">
        <v>700</v>
      </c>
      <c r="G17" s="319" t="s">
        <v>804</v>
      </c>
      <c r="H17" s="319" t="s">
        <v>803</v>
      </c>
      <c r="I17" s="319" t="s">
        <v>802</v>
      </c>
      <c r="J17" s="319" t="s">
        <v>801</v>
      </c>
      <c r="K17" s="319" t="s">
        <v>800</v>
      </c>
      <c r="L17" s="319" t="s">
        <v>799</v>
      </c>
      <c r="M17" s="319" t="s">
        <v>798</v>
      </c>
      <c r="N17" s="319" t="s">
        <v>797</v>
      </c>
      <c r="O17" s="319" t="s">
        <v>796</v>
      </c>
      <c r="P17" s="774" t="s">
        <v>816</v>
      </c>
      <c r="Q17" s="774" t="s">
        <v>795</v>
      </c>
      <c r="R17" s="774" t="s">
        <v>817</v>
      </c>
      <c r="S17" s="775" t="s">
        <v>818</v>
      </c>
      <c r="T17" s="775" t="s">
        <v>794</v>
      </c>
      <c r="U17" s="775" t="s">
        <v>819</v>
      </c>
      <c r="V17" s="774" t="s">
        <v>820</v>
      </c>
      <c r="W17" s="774" t="s">
        <v>821</v>
      </c>
      <c r="X17" s="774" t="s">
        <v>822</v>
      </c>
      <c r="Y17" s="321" t="s">
        <v>826</v>
      </c>
      <c r="Z17" s="322" t="s">
        <v>793</v>
      </c>
      <c r="AA17" s="320" t="s">
        <v>823</v>
      </c>
      <c r="AB17" s="320" t="s">
        <v>824</v>
      </c>
      <c r="AC17" s="320" t="s">
        <v>825</v>
      </c>
      <c r="AD17" s="771" t="s">
        <v>792</v>
      </c>
      <c r="AE17" s="320" t="s">
        <v>1259</v>
      </c>
      <c r="AF17" s="772" t="s">
        <v>791</v>
      </c>
      <c r="AG17" s="323" t="s">
        <v>1260</v>
      </c>
      <c r="AH17" s="323" t="s">
        <v>790</v>
      </c>
      <c r="AI17" s="324" t="s">
        <v>789</v>
      </c>
      <c r="AJ17" s="76"/>
      <c r="AK17" s="291" t="s">
        <v>1001</v>
      </c>
      <c r="AL17" s="327" t="s">
        <v>1261</v>
      </c>
      <c r="AM17" s="327" t="s">
        <v>788</v>
      </c>
      <c r="AN17" s="327" t="s">
        <v>814</v>
      </c>
      <c r="AO17" s="327" t="s">
        <v>787</v>
      </c>
      <c r="AP17" s="327" t="s">
        <v>722</v>
      </c>
      <c r="AQ17" s="327" t="s">
        <v>723</v>
      </c>
      <c r="AR17" s="327" t="s">
        <v>786</v>
      </c>
      <c r="AS17" s="328" t="s">
        <v>785</v>
      </c>
      <c r="AU17" s="291" t="s">
        <v>784</v>
      </c>
      <c r="AV17" s="810" t="s">
        <v>1335</v>
      </c>
      <c r="AW17" s="810" t="s">
        <v>1319</v>
      </c>
      <c r="AX17" s="810" t="s">
        <v>1320</v>
      </c>
      <c r="AY17" s="810" t="s">
        <v>1321</v>
      </c>
      <c r="AZ17" s="810" t="s">
        <v>1322</v>
      </c>
      <c r="BA17" s="810" t="s">
        <v>1323</v>
      </c>
      <c r="BB17" s="810" t="s">
        <v>1324</v>
      </c>
      <c r="BC17" s="810" t="s">
        <v>1325</v>
      </c>
      <c r="BD17" s="810" t="s">
        <v>1326</v>
      </c>
      <c r="BE17" s="810" t="s">
        <v>1327</v>
      </c>
      <c r="BF17" s="810" t="s">
        <v>783</v>
      </c>
      <c r="BG17" s="810" t="s">
        <v>1331</v>
      </c>
      <c r="BH17" s="810" t="s">
        <v>1332</v>
      </c>
      <c r="BI17" s="810" t="s">
        <v>1328</v>
      </c>
      <c r="BJ17" s="810" t="s">
        <v>1329</v>
      </c>
      <c r="BK17" s="810" t="s">
        <v>1330</v>
      </c>
      <c r="BL17" s="810" t="s">
        <v>782</v>
      </c>
      <c r="BM17" s="810" t="s">
        <v>1313</v>
      </c>
      <c r="BN17" s="810" t="s">
        <v>781</v>
      </c>
      <c r="BO17" s="810" t="s">
        <v>1333</v>
      </c>
      <c r="BP17" s="810" t="s">
        <v>1334</v>
      </c>
      <c r="BQ17" s="810" t="s">
        <v>1336</v>
      </c>
      <c r="BR17" s="810" t="s">
        <v>1337</v>
      </c>
      <c r="BS17" s="810" t="s">
        <v>1338</v>
      </c>
      <c r="BT17" s="810" t="s">
        <v>1339</v>
      </c>
      <c r="BU17" s="810" t="s">
        <v>1340</v>
      </c>
      <c r="BV17" s="810" t="s">
        <v>1341</v>
      </c>
      <c r="BW17" s="810" t="s">
        <v>1342</v>
      </c>
      <c r="BX17" s="810" t="s">
        <v>1343</v>
      </c>
      <c r="BY17" s="810" t="s">
        <v>1344</v>
      </c>
      <c r="BZ17" s="810" t="s">
        <v>1345</v>
      </c>
      <c r="CA17" s="810" t="s">
        <v>780</v>
      </c>
      <c r="CB17" s="810" t="s">
        <v>1346</v>
      </c>
      <c r="CC17" s="810" t="s">
        <v>1347</v>
      </c>
      <c r="CD17" s="810" t="s">
        <v>1348</v>
      </c>
      <c r="CE17" s="810" t="s">
        <v>1349</v>
      </c>
      <c r="CF17" s="810" t="s">
        <v>1350</v>
      </c>
      <c r="CG17" s="810" t="s">
        <v>779</v>
      </c>
      <c r="CH17" s="810" t="s">
        <v>1314</v>
      </c>
      <c r="CI17" s="810" t="s">
        <v>778</v>
      </c>
      <c r="CJ17" s="810" t="s">
        <v>1351</v>
      </c>
      <c r="CK17" s="810" t="s">
        <v>1352</v>
      </c>
      <c r="CL17" s="327" t="s">
        <v>777</v>
      </c>
      <c r="CM17" s="811" t="s">
        <v>1353</v>
      </c>
      <c r="CN17" s="811" t="s">
        <v>1354</v>
      </c>
      <c r="CO17" s="811" t="s">
        <v>1355</v>
      </c>
      <c r="CP17" s="811" t="s">
        <v>1356</v>
      </c>
      <c r="CQ17" s="811" t="s">
        <v>1357</v>
      </c>
      <c r="CR17" s="811" t="s">
        <v>1358</v>
      </c>
      <c r="CS17" s="811" t="s">
        <v>1359</v>
      </c>
      <c r="CT17" s="811" t="s">
        <v>1360</v>
      </c>
      <c r="CU17" s="811" t="s">
        <v>1361</v>
      </c>
      <c r="CV17" s="811" t="s">
        <v>1362</v>
      </c>
      <c r="CW17" s="811" t="s">
        <v>776</v>
      </c>
      <c r="CX17" s="811" t="s">
        <v>1363</v>
      </c>
      <c r="CY17" s="811" t="s">
        <v>1364</v>
      </c>
      <c r="CZ17" s="811" t="s">
        <v>1365</v>
      </c>
      <c r="DA17" s="811" t="s">
        <v>1366</v>
      </c>
      <c r="DB17" s="811" t="s">
        <v>1367</v>
      </c>
      <c r="DC17" s="811" t="s">
        <v>775</v>
      </c>
      <c r="DD17" s="811" t="s">
        <v>1315</v>
      </c>
      <c r="DE17" s="811" t="s">
        <v>774</v>
      </c>
      <c r="DF17" s="811" t="s">
        <v>1368</v>
      </c>
      <c r="DG17" s="811" t="s">
        <v>1369</v>
      </c>
      <c r="DH17" s="811" t="s">
        <v>1370</v>
      </c>
      <c r="DI17" s="811" t="s">
        <v>1371</v>
      </c>
      <c r="DJ17" s="811" t="s">
        <v>1372</v>
      </c>
      <c r="DK17" s="811" t="s">
        <v>1373</v>
      </c>
      <c r="DL17" s="811" t="s">
        <v>1374</v>
      </c>
      <c r="DM17" s="811" t="s">
        <v>1375</v>
      </c>
      <c r="DN17" s="811" t="s">
        <v>1376</v>
      </c>
      <c r="DO17" s="811" t="s">
        <v>1377</v>
      </c>
      <c r="DP17" s="811" t="s">
        <v>1378</v>
      </c>
      <c r="DQ17" s="811" t="s">
        <v>1379</v>
      </c>
      <c r="DR17" s="811" t="s">
        <v>773</v>
      </c>
      <c r="DS17" s="811" t="s">
        <v>1380</v>
      </c>
      <c r="DT17" s="811" t="s">
        <v>1381</v>
      </c>
      <c r="DU17" s="811" t="s">
        <v>1382</v>
      </c>
      <c r="DV17" s="811" t="s">
        <v>1383</v>
      </c>
      <c r="DW17" s="811" t="s">
        <v>1384</v>
      </c>
      <c r="DX17" s="811" t="s">
        <v>772</v>
      </c>
      <c r="DY17" s="811" t="s">
        <v>1316</v>
      </c>
      <c r="DZ17" s="811" t="s">
        <v>771</v>
      </c>
      <c r="EA17" s="811" t="s">
        <v>1385</v>
      </c>
      <c r="EB17" s="811" t="s">
        <v>1386</v>
      </c>
      <c r="EC17" s="327" t="str">
        <f>"ABS Value Cost Risk @ "&amp;TEXT('D-Project Data'!$C$6,"0%")</f>
        <v>ABS Value Cost Risk @ 85%</v>
      </c>
      <c r="ED17" s="327" t="str">
        <f>"Cost Risk Rank @ "&amp;TEXT('D-Project Data'!$C$6,"0%")</f>
        <v>Cost Risk Rank @ 85%</v>
      </c>
      <c r="EE17" s="810" t="s">
        <v>1387</v>
      </c>
      <c r="EF17" s="810" t="s">
        <v>1388</v>
      </c>
      <c r="EG17" s="810" t="s">
        <v>1389</v>
      </c>
      <c r="EH17" s="810" t="s">
        <v>1390</v>
      </c>
      <c r="EI17" s="810" t="s">
        <v>1391</v>
      </c>
      <c r="EJ17" s="810" t="s">
        <v>1392</v>
      </c>
      <c r="EK17" s="810" t="s">
        <v>1393</v>
      </c>
      <c r="EL17" s="810" t="s">
        <v>1394</v>
      </c>
      <c r="EM17" s="810" t="s">
        <v>1395</v>
      </c>
      <c r="EN17" s="810" t="s">
        <v>1396</v>
      </c>
      <c r="EO17" s="810" t="s">
        <v>770</v>
      </c>
      <c r="EP17" s="810" t="s">
        <v>1397</v>
      </c>
      <c r="EQ17" s="810" t="s">
        <v>1398</v>
      </c>
      <c r="ER17" s="810" t="s">
        <v>1399</v>
      </c>
      <c r="ES17" s="810" t="s">
        <v>1400</v>
      </c>
      <c r="ET17" s="810" t="s">
        <v>1401</v>
      </c>
      <c r="EU17" s="810" t="s">
        <v>769</v>
      </c>
      <c r="EV17" s="810" t="s">
        <v>1317</v>
      </c>
      <c r="EW17" s="810" t="s">
        <v>768</v>
      </c>
      <c r="EX17" s="810" t="s">
        <v>1402</v>
      </c>
      <c r="EY17" s="810" t="s">
        <v>1403</v>
      </c>
      <c r="EZ17" s="327" t="str">
        <f>"ABS Value Schedule Risk @ "&amp;TEXT('D-Project Data'!$C$6,"0%")</f>
        <v>ABS Value Schedule Risk @ 85%</v>
      </c>
      <c r="FA17" s="327" t="str">
        <f>"Schedule Risk Rank @ "&amp;TEXT('D-Project Data'!$C$6,"0%")</f>
        <v>Schedule Risk Rank @ 85%</v>
      </c>
      <c r="FB17" s="811" t="s">
        <v>1404</v>
      </c>
      <c r="FC17" s="811" t="s">
        <v>1405</v>
      </c>
      <c r="FD17" s="811" t="s">
        <v>1406</v>
      </c>
      <c r="FE17" s="811" t="s">
        <v>1407</v>
      </c>
      <c r="FF17" s="811" t="s">
        <v>1408</v>
      </c>
      <c r="FG17" s="811" t="s">
        <v>1409</v>
      </c>
      <c r="FH17" s="811" t="s">
        <v>1410</v>
      </c>
      <c r="FI17" s="811" t="s">
        <v>1411</v>
      </c>
      <c r="FJ17" s="811" t="s">
        <v>1412</v>
      </c>
      <c r="FK17" s="811" t="s">
        <v>1413</v>
      </c>
      <c r="FL17" s="811" t="s">
        <v>767</v>
      </c>
      <c r="FM17" s="811" t="s">
        <v>1414</v>
      </c>
      <c r="FN17" s="811" t="s">
        <v>1415</v>
      </c>
      <c r="FO17" s="811" t="s">
        <v>1416</v>
      </c>
      <c r="FP17" s="811" t="s">
        <v>1417</v>
      </c>
      <c r="FQ17" s="811" t="s">
        <v>1418</v>
      </c>
      <c r="FR17" s="811" t="s">
        <v>766</v>
      </c>
      <c r="FS17" s="811" t="s">
        <v>1318</v>
      </c>
      <c r="FT17" s="811" t="s">
        <v>765</v>
      </c>
      <c r="FU17" s="811" t="s">
        <v>1419</v>
      </c>
      <c r="FV17" s="811" t="s">
        <v>1420</v>
      </c>
      <c r="FW17" s="327" t="s">
        <v>764</v>
      </c>
      <c r="FX17" s="327" t="s">
        <v>763</v>
      </c>
      <c r="FY17" s="327" t="s">
        <v>762</v>
      </c>
      <c r="FZ17" s="327" t="s">
        <v>761</v>
      </c>
      <c r="GA17" s="327" t="s">
        <v>760</v>
      </c>
      <c r="GB17" s="328" t="s">
        <v>759</v>
      </c>
    </row>
    <row r="18" spans="1:184" ht="90" x14ac:dyDescent="0.25">
      <c r="A18" s="163">
        <v>1</v>
      </c>
      <c r="B18" s="727" t="s">
        <v>743</v>
      </c>
      <c r="C18" s="729" t="s">
        <v>1298</v>
      </c>
      <c r="D18" s="729" t="s">
        <v>1307</v>
      </c>
      <c r="E18" s="729" t="s">
        <v>1308</v>
      </c>
      <c r="F18" s="728" t="s">
        <v>695</v>
      </c>
      <c r="G18" s="728" t="s">
        <v>710</v>
      </c>
      <c r="H18" s="157" t="str">
        <f>IFERROR(IF('H-Risk Register-Model'!F18="Certain","Relook at Basis of Estimate",INDEX('G-Assumptions'!$F$8:$J$11,MATCH(F18,'G-Assumptions'!$D$8:$D$11,0),MATCH(G18,'G-Assumptions'!$F$6:$J$6,0))),"Unrated")</f>
        <v>Medium</v>
      </c>
      <c r="I18" s="728" t="s">
        <v>709</v>
      </c>
      <c r="J18" s="157" t="str">
        <f>IFERROR(IF('H-Risk Register-Model'!F18="Certain","Relook at Basis of Estimate",INDEX('G-Assumptions'!$F$8:$J$11,MATCH(F18,'G-Assumptions'!$D$8:$D$11,0),MATCH(I18,'G-Assumptions'!$F$6:$J$6,0))),"Unrated")</f>
        <v>Medium</v>
      </c>
      <c r="K18" s="728" t="s">
        <v>1296</v>
      </c>
      <c r="L18" s="728" t="s">
        <v>1296</v>
      </c>
      <c r="M18" s="728"/>
      <c r="N18" s="731" t="s">
        <v>728</v>
      </c>
      <c r="O18" s="731" t="s">
        <v>728</v>
      </c>
      <c r="P18" s="732">
        <v>-100000</v>
      </c>
      <c r="Q18" s="732">
        <v>0</v>
      </c>
      <c r="R18" s="732">
        <v>3000000</v>
      </c>
      <c r="S18" s="733">
        <v>-1</v>
      </c>
      <c r="T18" s="733">
        <v>0</v>
      </c>
      <c r="U18" s="733">
        <v>6</v>
      </c>
      <c r="V18" s="732">
        <v>-150000</v>
      </c>
      <c r="W18" s="732">
        <v>0</v>
      </c>
      <c r="X18" s="732">
        <v>300000</v>
      </c>
      <c r="Y18" s="735">
        <v>1</v>
      </c>
      <c r="Z18" s="736">
        <v>1</v>
      </c>
      <c r="AA18" s="166">
        <f t="shared" ref="AA18:AC18" si="4">P18+V18</f>
        <v>-250000</v>
      </c>
      <c r="AB18" s="166">
        <f t="shared" si="4"/>
        <v>0</v>
      </c>
      <c r="AC18" s="166">
        <f t="shared" si="4"/>
        <v>3300000</v>
      </c>
      <c r="AD18" s="773">
        <v>0</v>
      </c>
      <c r="AE18" s="164">
        <f>AD18*Z18</f>
        <v>0</v>
      </c>
      <c r="AF18" s="776">
        <v>0</v>
      </c>
      <c r="AG18" s="165">
        <f t="shared" ref="AG18:AG46" si="5">AF18*Z18</f>
        <v>0</v>
      </c>
      <c r="AH18" s="729" t="s">
        <v>1306</v>
      </c>
      <c r="AI18" s="729" t="s">
        <v>1305</v>
      </c>
      <c r="AJ18" s="8"/>
      <c r="AK18" s="495" t="str">
        <f t="shared" ref="AK18:AK49" si="6">IF(OR(H18="Medium",H18="High",J18="Medium",J18="High"),"Yes","No")</f>
        <v>Yes</v>
      </c>
      <c r="AL18" s="496">
        <f>'I-Project Contingency'!$I$4</f>
        <v>9000000</v>
      </c>
      <c r="AM18" s="326">
        <f>'I-Project Contingency'!$I$11</f>
        <v>23.978102189781023</v>
      </c>
      <c r="AN18" s="325">
        <f t="shared" ref="AN18:AN49" si="7">IF(B18="","",MAX(ABS(AA18),ABS(AB18),ABS(AC18)))</f>
        <v>3300000</v>
      </c>
      <c r="AO18" s="326">
        <f t="shared" ref="AO18:AO49" si="8">IF(B18="","",MAX(ABS(S18),ABS(T18),ABS(U18)))</f>
        <v>6</v>
      </c>
      <c r="AP18" s="641" t="str">
        <f t="shared" ref="AP18:AP49" si="9">IF(H18="Unrated","",IF(AND(H18="Low",AN18=0),G18,IF(ISNUMBER(AN18),IF(AND(AN18&gt;=VLOOKUP(G18,$AL$9:$AN$13,2,FALSE),AN18&lt;=VLOOKUP(G18,$AL$9:$AN$13,3,FALSE)),G18,VLOOKUP(AN18,$AM$9:$AO$13,3,TRUE)),G18)))</f>
        <v>Critical</v>
      </c>
      <c r="AQ18" s="641" t="str">
        <f t="shared" ref="AQ18:AQ49" si="10">IF(J18="Unrated","",IF(AND(J18="Low",AO18=0),I18,IF(ISNUMBER(AO18),IF(AND(AO18&gt;=VLOOKUP(I18,$AP$9:$AR$13,2,FALSE),AO18&lt;=VLOOKUP(I18,$AP$9:$AR$13,3,FALSE)),I18,VLOOKUP(AO18,$AQ$9:$AS$13,3,TRUE)),I18)))</f>
        <v>Critical</v>
      </c>
      <c r="AR18" s="497" t="str">
        <f t="shared" ref="AR18:AR49" si="11">IF(AP18="","",IF(B18="","",IF(G18=AP18,"","Check Impact")))</f>
        <v>Check Impact</v>
      </c>
      <c r="AS18" s="497" t="str">
        <f t="shared" ref="AS18:AS49" si="12">IF(AQ18="","",IF(B18="","",IF(I18=AQ18,"","Check Impact")))</f>
        <v>Check Impact</v>
      </c>
      <c r="AT18" s="8"/>
      <c r="AU18" s="329">
        <f>'I-Project Contingency'!$O$4-AE18</f>
        <v>0</v>
      </c>
      <c r="AV18" s="330">
        <v>0</v>
      </c>
      <c r="AW18" s="330">
        <v>0</v>
      </c>
      <c r="AX18" s="330">
        <v>0</v>
      </c>
      <c r="AY18" s="330">
        <v>0</v>
      </c>
      <c r="AZ18" s="330">
        <v>0</v>
      </c>
      <c r="BA18" s="330">
        <v>0</v>
      </c>
      <c r="BB18" s="330">
        <v>0</v>
      </c>
      <c r="BC18" s="330">
        <v>0</v>
      </c>
      <c r="BD18" s="330">
        <v>0</v>
      </c>
      <c r="BE18" s="330">
        <v>0</v>
      </c>
      <c r="BF18" s="330">
        <v>0</v>
      </c>
      <c r="BG18" s="330">
        <v>0</v>
      </c>
      <c r="BH18" s="330">
        <v>0</v>
      </c>
      <c r="BI18" s="330">
        <v>0</v>
      </c>
      <c r="BJ18" s="330">
        <v>0</v>
      </c>
      <c r="BK18" s="330">
        <v>0</v>
      </c>
      <c r="BL18" s="330">
        <v>0</v>
      </c>
      <c r="BM18" s="330">
        <v>0</v>
      </c>
      <c r="BN18" s="330">
        <v>0</v>
      </c>
      <c r="BO18" s="330">
        <v>0</v>
      </c>
      <c r="BP18" s="330">
        <v>0</v>
      </c>
      <c r="BQ18" s="330">
        <f>'I-Project Contingency'!$E$61-AV18</f>
        <v>-240515.59579276721</v>
      </c>
      <c r="BR18" s="330">
        <f>'I-Project Contingency'!$E$62-AW18</f>
        <v>28172.931401335634</v>
      </c>
      <c r="BS18" s="330">
        <f>'I-Project Contingency'!$E$63-AX18</f>
        <v>193478.84467429668</v>
      </c>
      <c r="BT18" s="330">
        <f>'I-Project Contingency'!$E$64-AY18</f>
        <v>361668.20104834624</v>
      </c>
      <c r="BU18" s="330">
        <f>'I-Project Contingency'!$E$65-AZ18</f>
        <v>524446.91524262261</v>
      </c>
      <c r="BV18" s="330">
        <f>'I-Project Contingency'!$E$66-BA18</f>
        <v>704023.56387635041</v>
      </c>
      <c r="BW18" s="330">
        <f>'I-Project Contingency'!$E$67-BB18</f>
        <v>886394.06956240814</v>
      </c>
      <c r="BX18" s="330">
        <f>'I-Project Contingency'!$E$68-BC18</f>
        <v>1079363.7165157665</v>
      </c>
      <c r="BY18" s="330">
        <f>'I-Project Contingency'!$E$69-BD18</f>
        <v>1280180.1532065615</v>
      </c>
      <c r="BZ18" s="330">
        <f>'I-Project Contingency'!$E$70-BE18</f>
        <v>1485323.8019108465</v>
      </c>
      <c r="CA18" s="330">
        <f>'I-Project Contingency'!$E$71-BF18</f>
        <v>1703758.8827524669</v>
      </c>
      <c r="CB18" s="330">
        <f>'I-Project Contingency'!$E$72-BG18</f>
        <v>1949523.4346483489</v>
      </c>
      <c r="CC18" s="330">
        <f>'I-Project Contingency'!$E$73-BH18</f>
        <v>2177897.1603371189</v>
      </c>
      <c r="CD18" s="330">
        <f>'I-Project Contingency'!$E$74-BI18</f>
        <v>2429374.4260425912</v>
      </c>
      <c r="CE18" s="330">
        <f>'I-Project Contingency'!$E$75-BJ18</f>
        <v>2717092.7449284913</v>
      </c>
      <c r="CF18" s="330">
        <f>'I-Project Contingency'!$E$76-BK18</f>
        <v>3010093.6968918457</v>
      </c>
      <c r="CG18" s="330">
        <f>'I-Project Contingency'!$E$77-BL18</f>
        <v>3325414.5894657462</v>
      </c>
      <c r="CH18" s="784">
        <f>'I-Project Contingency'!$E$78-BM18</f>
        <v>3690425.9159493577</v>
      </c>
      <c r="CI18" s="330">
        <f>'I-Project Contingency'!$E$79-BN18</f>
        <v>4143935.1706127762</v>
      </c>
      <c r="CJ18" s="330">
        <f>'I-Project Contingency'!$E$80-BO18</f>
        <v>4722651.1159141911</v>
      </c>
      <c r="CK18" s="330">
        <f>'I-Project Contingency'!$E$81-BP18</f>
        <v>5992048.8629153483</v>
      </c>
      <c r="CL18" s="331">
        <f>'I-Project Contingency'!$O$5-AG18</f>
        <v>0</v>
      </c>
      <c r="CM18" s="332">
        <v>0</v>
      </c>
      <c r="CN18" s="332">
        <v>0</v>
      </c>
      <c r="CO18" s="332">
        <v>0</v>
      </c>
      <c r="CP18" s="332">
        <v>0</v>
      </c>
      <c r="CQ18" s="332">
        <v>0</v>
      </c>
      <c r="CR18" s="332">
        <v>0</v>
      </c>
      <c r="CS18" s="332">
        <v>0</v>
      </c>
      <c r="CT18" s="332">
        <v>0</v>
      </c>
      <c r="CU18" s="332">
        <v>0</v>
      </c>
      <c r="CV18" s="332">
        <v>0</v>
      </c>
      <c r="CW18" s="332">
        <v>0</v>
      </c>
      <c r="CX18" s="332">
        <v>0</v>
      </c>
      <c r="CY18" s="332">
        <v>0</v>
      </c>
      <c r="CZ18" s="332">
        <v>0</v>
      </c>
      <c r="DA18" s="332">
        <v>0</v>
      </c>
      <c r="DB18" s="332">
        <v>0</v>
      </c>
      <c r="DC18" s="332">
        <v>0</v>
      </c>
      <c r="DD18" s="785">
        <v>0</v>
      </c>
      <c r="DE18" s="333">
        <v>0</v>
      </c>
      <c r="DF18" s="332">
        <v>0</v>
      </c>
      <c r="DG18" s="332">
        <v>0</v>
      </c>
      <c r="DH18" s="332">
        <f>'I-Project Contingency'!$E$86-CM18</f>
        <v>-0.98711802853447173</v>
      </c>
      <c r="DI18" s="332">
        <f>'I-Project Contingency'!$E$87-CN18</f>
        <v>-0.19547704728364468</v>
      </c>
      <c r="DJ18" s="332">
        <f>'I-Project Contingency'!$E$88-CO18</f>
        <v>0.126462150308498</v>
      </c>
      <c r="DK18" s="332">
        <f>'I-Project Contingency'!$E$89-CP18</f>
        <v>0.45967989154545902</v>
      </c>
      <c r="DL18" s="332">
        <f>'I-Project Contingency'!$E$90-CQ18</f>
        <v>0.78297319902744</v>
      </c>
      <c r="DM18" s="332">
        <f>'I-Project Contingency'!$E$91-CR18</f>
        <v>1.0957191966482109</v>
      </c>
      <c r="DN18" s="332">
        <f>'I-Project Contingency'!$E$92-CS18</f>
        <v>1.4418405003536849</v>
      </c>
      <c r="DO18" s="332">
        <f>'I-Project Contingency'!$E$93-CT18</f>
        <v>1.801002404194165</v>
      </c>
      <c r="DP18" s="332">
        <f>'I-Project Contingency'!$E$94-CU18</f>
        <v>2.1797608166947349</v>
      </c>
      <c r="DQ18" s="332">
        <f>'I-Project Contingency'!$E$95-CV18</f>
        <v>2.5671680610072478</v>
      </c>
      <c r="DR18" s="332">
        <f>'I-Project Contingency'!$E$96-CW18</f>
        <v>2.9690760644797152</v>
      </c>
      <c r="DS18" s="332">
        <f>'I-Project Contingency'!$E$97-CX18</f>
        <v>3.3964145469774811</v>
      </c>
      <c r="DT18" s="332">
        <f>'I-Project Contingency'!$E$98-CY18</f>
        <v>3.864536087769562</v>
      </c>
      <c r="DU18" s="332">
        <f>'I-Project Contingency'!$E$99-CZ18</f>
        <v>4.3569836138896116</v>
      </c>
      <c r="DV18" s="332">
        <f>'I-Project Contingency'!$E$100-DA18</f>
        <v>4.8862357851222598</v>
      </c>
      <c r="DW18" s="332">
        <f>'I-Project Contingency'!$E$101-DB18</f>
        <v>5.438836997347547</v>
      </c>
      <c r="DX18" s="332">
        <f>'I-Project Contingency'!$E$102-DC18</f>
        <v>6.047993455908566</v>
      </c>
      <c r="DY18" s="332">
        <f>'I-Project Contingency'!$E$103-DD18</f>
        <v>6.720204953601761</v>
      </c>
      <c r="DZ18" s="332">
        <f>'I-Project Contingency'!$E$104-DE18</f>
        <v>7.55131678090412</v>
      </c>
      <c r="EA18" s="332">
        <f>'I-Project Contingency'!$E$105-DF18</f>
        <v>8.661446370835737</v>
      </c>
      <c r="EB18" s="332">
        <f>'I-Project Contingency'!$E$106-DG18</f>
        <v>11.206316207857133</v>
      </c>
      <c r="EC18" s="334">
        <f>IF(EE18="N/A","N/A",ABS(INDEX(EE18:EY18,1,MATCH("ROM Cost Risk @ "&amp;'D-Project Data'!$C$6*100&amp;"%",$EE$17:$EY$17,0))))</f>
        <v>3780000</v>
      </c>
      <c r="ED18" s="335">
        <f>IF(EC18="N/A","N/A",RANK(EC18,$EC$18:$EC$117,0)+COUNTIF($EC$18:EC18,EC18)-1)</f>
        <v>1</v>
      </c>
      <c r="EE18" s="334">
        <f>IF(BQ18/SUM(BQ:BQ)*'I-Project Contingency'!$F$61=0,0,BQ18/SUM(BQ:BQ)*'I-Project Contingency'!$F$61)</f>
        <v>-270000</v>
      </c>
      <c r="EF18" s="334">
        <f>IF(BR18/SUM(BR:BR)*'I-Project Contingency'!$F$62=0,0,BR18/SUM(BR:BR)*'I-Project Contingency'!$F$62)</f>
        <v>90000</v>
      </c>
      <c r="EG18" s="334">
        <f>IF(BS18/SUM(BS:BS)*'I-Project Contingency'!$F$63=0,0,BS18/SUM(BS:BS)*'I-Project Contingency'!$F$63)</f>
        <v>270000</v>
      </c>
      <c r="EH18" s="334">
        <f>IF(BT18/SUM(BT:BT)*'I-Project Contingency'!$F$64=0,0,BT18/SUM(BT:BT)*'I-Project Contingency'!$F$64)</f>
        <v>450000</v>
      </c>
      <c r="EI18" s="334">
        <f>IF(BU18/SUM(BU:BU)*'I-Project Contingency'!$F$65=0,0,BU18/SUM(BU:BU)*'I-Project Contingency'!$F$65)</f>
        <v>540000</v>
      </c>
      <c r="EJ18" s="334">
        <f>IF(BV18/SUM(BV:BV)*'I-Project Contingency'!$F$66=0,0,BV18/SUM(BV:BV)*'I-Project Contingency'!$F$66)</f>
        <v>720000</v>
      </c>
      <c r="EK18" s="334">
        <f>IF(BW18/SUM(BW:BW)*'I-Project Contingency'!$F$67=0,0,BW18/SUM(BW:BW)*'I-Project Contingency'!$F$67)</f>
        <v>899999.99999999988</v>
      </c>
      <c r="EL18" s="334">
        <f>IF(BX18/SUM(BX:BX)*'I-Project Contingency'!$F$68=0,0,BX18/SUM(BX:BX)*'I-Project Contingency'!$F$68)</f>
        <v>1080000</v>
      </c>
      <c r="EM18" s="334">
        <f>IF(BY18/SUM(BY:BY)*'I-Project Contingency'!$F$69=0,0,BY18/SUM(BY:BY)*'I-Project Contingency'!$F$69)</f>
        <v>1350000.0000000002</v>
      </c>
      <c r="EN18" s="334">
        <f>IF(BZ18/SUM(BZ:BZ)*'I-Project Contingency'!$F$70=0,0,BZ18/SUM(BZ:BZ)*'I-Project Contingency'!$F$70)</f>
        <v>1530000</v>
      </c>
      <c r="EO18" s="334">
        <f>IF(CA18/SUM(CA:CA)*'I-Project Contingency'!$F$71=0,0,CA18/SUM(CA:CA)*'I-Project Contingency'!$F$71)</f>
        <v>1710000</v>
      </c>
      <c r="EP18" s="334">
        <f>IF(CB18/SUM(CB:CB)*'I-Project Contingency'!$F$72=0,0,CB18/SUM(CB:CB)*'I-Project Contingency'!$F$72)</f>
        <v>1980000</v>
      </c>
      <c r="EQ18" s="334">
        <f>IF(CC18/SUM(CC:CC)*'I-Project Contingency'!$F$73=0,0,CC18/SUM(CC:CC)*'I-Project Contingency'!$F$73)</f>
        <v>2250000</v>
      </c>
      <c r="ER18" s="334">
        <f>IF(CD18/SUM(CD:CD)*'I-Project Contingency'!$F$74=0,0,CD18/SUM(CD:CD)*'I-Project Contingency'!$F$74)</f>
        <v>2430000</v>
      </c>
      <c r="ES18" s="334">
        <f>IF(CE18/SUM(CE:CE)*'I-Project Contingency'!$F$75=0,0,CE18/SUM(CE:CE)*'I-Project Contingency'!$F$75)</f>
        <v>2790000</v>
      </c>
      <c r="ET18" s="334">
        <f>IF(CF18/SUM(CF:CF)*'I-Project Contingency'!$F$76=0,0,CF18/SUM(CF:CF)*'I-Project Contingency'!$F$76)</f>
        <v>3060000</v>
      </c>
      <c r="EU18" s="334">
        <f>IF(CG18/SUM(CG:CG)*'I-Project Contingency'!$F$77=0,0,CG18/SUM(CG:CG)*'I-Project Contingency'!$F$77)</f>
        <v>3330000</v>
      </c>
      <c r="EV18" s="787">
        <f>IF(CH18/SUM(CH:CH)*'I-Project Contingency'!$F$78=0,0,CH18/SUM(CH:CH)*'I-Project Contingency'!$F$78)</f>
        <v>3780000</v>
      </c>
      <c r="EW18" s="787">
        <f>IF(CI18/SUM(CI:CI)*'I-Project Contingency'!$F$79=0,0,CI18/SUM(CI:CI)*'I-Project Contingency'!$F$79)</f>
        <v>4230000</v>
      </c>
      <c r="EX18" s="787">
        <f>IF(CJ18/SUM(CJ:CJ)*'I-Project Contingency'!$F$80=0,0,CJ18/SUM(CJ:CJ)*'I-Project Contingency'!$F$80)</f>
        <v>4770000</v>
      </c>
      <c r="EY18" s="787">
        <f>IF(CK18/SUM(CK:CK)*'I-Project Contingency'!$F$81=0,0,CK18/SUM(CK:CK)*'I-Project Contingency'!$F$81)</f>
        <v>6030000</v>
      </c>
      <c r="EZ18" s="333">
        <f>IF(FB18="N/A","N/A",ABS(INDEX(FB18:FV18,1,MATCH("ROM Schedule Risk @ "&amp;'D-Project Data'!$C$6*100&amp;"%",$FB$17:$FV$17,0))))</f>
        <v>6.9536496350364976</v>
      </c>
      <c r="FA18" s="335">
        <f>IF(EZ18="N/A","N/A",RANK(EZ18,$EZ$18:$EZ$117,0)+COUNTIF($FB$18:FB18,FB18)-1)</f>
        <v>1</v>
      </c>
      <c r="FB18" s="788">
        <f>IF(DH18/SUM(DH:DH)*'I-Project Contingency'!$F$86=0,0,DH18/SUM(DH:DH)*'I-Project Contingency'!$F$86)</f>
        <v>-1.1989051094890513</v>
      </c>
      <c r="FC18" s="788">
        <f>IF(DI18/SUM(DI:DI)*'I-Project Contingency'!$F$87=0,0,DI18/SUM(DI:DI)*'I-Project Contingency'!$F$87)</f>
        <v>-0.23978102189781023</v>
      </c>
      <c r="FD18" s="788">
        <f>IF(DJ18/SUM(DJ:DJ)*'I-Project Contingency'!$F$88=0,0,DJ18/SUM(DJ:DJ)*'I-Project Contingency'!$F$88)</f>
        <v>0.23978102189781023</v>
      </c>
      <c r="FE18" s="788">
        <f>IF(DK18/SUM(DK:DK)*'I-Project Contingency'!$F$89=0,0,DK18/SUM(DK:DK)*'I-Project Contingency'!$F$89)</f>
        <v>0.47956204379562045</v>
      </c>
      <c r="FF18" s="788">
        <f>IF(DL18/SUM(DL:DL)*'I-Project Contingency'!$F$90=0,0,DL18/SUM(DL:DL)*'I-Project Contingency'!$F$90)</f>
        <v>0.9591240875912409</v>
      </c>
      <c r="FG18" s="788">
        <f>IF(DM18/SUM(DM:DM)*'I-Project Contingency'!$F$91=0,0,DM18/SUM(DM:DM)*'I-Project Contingency'!$F$91)</f>
        <v>1.1989051094890513</v>
      </c>
      <c r="FH18" s="788">
        <f>IF(DN18/SUM(DN:DN)*'I-Project Contingency'!$F$92=0,0,DN18/SUM(DN:DN)*'I-Project Contingency'!$F$92)</f>
        <v>1.6784671532846713</v>
      </c>
      <c r="FI18" s="788">
        <f>IF(DO18/SUM(DO:DO)*'I-Project Contingency'!$F$93=0,0,DO18/SUM(DO:DO)*'I-Project Contingency'!$F$93)</f>
        <v>1.9182481751824818</v>
      </c>
      <c r="FJ18" s="788">
        <f>IF(DP18/SUM(DP:DP)*'I-Project Contingency'!$F$94=0,0,DP18/SUM(DP:DP)*'I-Project Contingency'!$F$94)</f>
        <v>2.3978102189781021</v>
      </c>
      <c r="FK18" s="788">
        <f>IF(DQ18/SUM(DQ:DQ)*'I-Project Contingency'!$F$95=0,0,DQ18/SUM(DQ:DQ)*'I-Project Contingency'!$F$95)</f>
        <v>2.6375912408759126</v>
      </c>
      <c r="FL18" s="788">
        <f>IF(DR18/SUM(DR:DR)*'I-Project Contingency'!$F$96=0,0,DR18/SUM(DR:DR)*'I-Project Contingency'!$F$96)</f>
        <v>3.1171532846715331</v>
      </c>
      <c r="FM18" s="788">
        <f>IF(DS18/SUM(DS:DS)*'I-Project Contingency'!$F$97=0,0,DS18/SUM(DS:DS)*'I-Project Contingency'!$F$97)</f>
        <v>3.596715328467154</v>
      </c>
      <c r="FN18" s="788">
        <f>IF(DT18/SUM(DT:DT)*'I-Project Contingency'!$F$98=0,0,DT18/SUM(DT:DT)*'I-Project Contingency'!$F$98)</f>
        <v>4.0762773722627745</v>
      </c>
      <c r="FO18" s="788">
        <f>IF(DU18/SUM(DU:DU)*'I-Project Contingency'!$F$99=0,0,DU18/SUM(DU:DU)*'I-Project Contingency'!$F$99)</f>
        <v>4.5558394160583946</v>
      </c>
      <c r="FP18" s="788">
        <f>IF(DV18/SUM(DV:DV)*'I-Project Contingency'!$F$100=0,0,DV18/SUM(DV:DV)*'I-Project Contingency'!$F$100)</f>
        <v>5.0354014598540155</v>
      </c>
      <c r="FQ18" s="788">
        <f>IF(DW18/SUM(DW:DW)*'I-Project Contingency'!$F$101=0,0,DW18/SUM(DW:DW)*'I-Project Contingency'!$F$101)</f>
        <v>5.5149635036496356</v>
      </c>
      <c r="FR18" s="788">
        <f>IF(DX18/SUM(DX:DX)*'I-Project Contingency'!$F$102=0,0,DX18/SUM(DX:DX)*'I-Project Contingency'!$F$102)</f>
        <v>6.2343065693430662</v>
      </c>
      <c r="FS18" s="788">
        <f>IF(DY18/SUM(DY:DY)*'I-Project Contingency'!$F$103=0,0,DY18/SUM(DY:DY)*'I-Project Contingency'!$F$103)</f>
        <v>6.9536496350364976</v>
      </c>
      <c r="FT18" s="788">
        <f>IF(DZ18/SUM(DZ:DZ)*'I-Project Contingency'!$F$104=0,0,DZ18/SUM(DZ:DZ)*'I-Project Contingency'!$F$104)</f>
        <v>7.6729927007299272</v>
      </c>
      <c r="FU18" s="788">
        <f>IF(EA18/SUM(EA:EA)*'I-Project Contingency'!$F$105=0,0,EA18/SUM(EA:EA)*'I-Project Contingency'!$F$105)</f>
        <v>8.8718978102189787</v>
      </c>
      <c r="FV18" s="788">
        <f>IF(EB18/SUM(EB:EB)*'I-Project Contingency'!$F$106=0,0,EB18/SUM(EB:EB)*'I-Project Contingency'!$F$106)</f>
        <v>11.269708029197082</v>
      </c>
      <c r="FW18" s="335">
        <f t="shared" ref="FW18:FW49" si="13">A18</f>
        <v>1</v>
      </c>
      <c r="FX18" s="336" t="str">
        <f t="shared" ref="FX18:FX49" si="14">A18&amp;" - "&amp;C18</f>
        <v>1 - PLEASE TYPE FIRST RISK OVER THE TOP OF THIS ONE</v>
      </c>
      <c r="FY18" s="330">
        <f t="shared" ref="FY18:FY46" si="15">AA18</f>
        <v>-250000</v>
      </c>
      <c r="FZ18" s="330">
        <f t="shared" ref="FZ18:FZ46" si="16">AC18</f>
        <v>3300000</v>
      </c>
      <c r="GA18" s="332">
        <f t="shared" ref="GA18:GA49" si="17">IFERROR(S18,0)</f>
        <v>-1</v>
      </c>
      <c r="GB18" s="332">
        <f t="shared" ref="GB18:GB49" si="18">IFERROR(U18,0)</f>
        <v>6</v>
      </c>
    </row>
    <row r="19" spans="1:184" ht="30" x14ac:dyDescent="0.25">
      <c r="A19" s="163">
        <f>A18+1</f>
        <v>2</v>
      </c>
      <c r="B19" s="727" t="s">
        <v>728</v>
      </c>
      <c r="C19" s="729"/>
      <c r="D19" s="729"/>
      <c r="E19" s="729"/>
      <c r="F19" s="728" t="s">
        <v>728</v>
      </c>
      <c r="G19" s="728" t="s">
        <v>728</v>
      </c>
      <c r="H19" s="157" t="str">
        <f>IFERROR(IF('H-Risk Register-Model'!F19="Certain","Relook at Basis of Estimate",INDEX('G-Assumptions'!$F$8:$J$11,MATCH(F19,'G-Assumptions'!$D$8:$D$11,0),MATCH(G19,'G-Assumptions'!$F$6:$J$6,0))),"Unrated")</f>
        <v>Unrated</v>
      </c>
      <c r="I19" s="728" t="s">
        <v>728</v>
      </c>
      <c r="J19" s="157" t="str">
        <f>IFERROR(IF('H-Risk Register-Model'!F19="Certain","Relook at Basis of Estimate",INDEX('G-Assumptions'!$F$8:$J$11,MATCH(F19,'G-Assumptions'!$D$8:$D$11,0),MATCH(I19,'G-Assumptions'!$F$6:$J$6,0))),"Unrated")</f>
        <v>Unrated</v>
      </c>
      <c r="K19" s="728" t="s">
        <v>728</v>
      </c>
      <c r="L19" s="728" t="s">
        <v>728</v>
      </c>
      <c r="M19" s="728"/>
      <c r="N19" s="731" t="s">
        <v>728</v>
      </c>
      <c r="O19" s="731" t="s">
        <v>728</v>
      </c>
      <c r="P19" s="732"/>
      <c r="Q19" s="732"/>
      <c r="R19" s="732"/>
      <c r="S19" s="733"/>
      <c r="T19" s="733"/>
      <c r="U19" s="733"/>
      <c r="V19" s="734"/>
      <c r="W19" s="732"/>
      <c r="X19" s="732"/>
      <c r="Y19" s="735">
        <v>1</v>
      </c>
      <c r="Z19" s="736">
        <v>1</v>
      </c>
      <c r="AA19" s="166">
        <f t="shared" ref="AA19:AA82" si="19">P19+V19</f>
        <v>0</v>
      </c>
      <c r="AB19" s="166">
        <f t="shared" ref="AB19:AB82" si="20">Q19+W19</f>
        <v>0</v>
      </c>
      <c r="AC19" s="166">
        <f t="shared" ref="AC19:AC82" si="21">R19+X19</f>
        <v>0</v>
      </c>
      <c r="AD19" s="166"/>
      <c r="AE19" s="164">
        <f t="shared" ref="AE19:AE46" si="22">AD19*Z19</f>
        <v>0</v>
      </c>
      <c r="AF19" s="167"/>
      <c r="AG19" s="165">
        <f t="shared" si="5"/>
        <v>0</v>
      </c>
      <c r="AH19" s="729"/>
      <c r="AI19" s="729"/>
      <c r="AJ19" s="8"/>
      <c r="AK19" s="495" t="str">
        <f t="shared" si="6"/>
        <v>No</v>
      </c>
      <c r="AL19" s="496">
        <f>'I-Project Contingency'!$I$4</f>
        <v>9000000</v>
      </c>
      <c r="AM19" s="326">
        <f>'I-Project Contingency'!$I$11</f>
        <v>23.978102189781023</v>
      </c>
      <c r="AN19" s="325">
        <f t="shared" si="7"/>
        <v>0</v>
      </c>
      <c r="AO19" s="326">
        <f t="shared" si="8"/>
        <v>0</v>
      </c>
      <c r="AP19" s="641" t="str">
        <f t="shared" si="9"/>
        <v/>
      </c>
      <c r="AQ19" s="641" t="str">
        <f t="shared" si="10"/>
        <v/>
      </c>
      <c r="AR19" s="497" t="str">
        <f t="shared" si="11"/>
        <v/>
      </c>
      <c r="AS19" s="497" t="str">
        <f t="shared" si="12"/>
        <v/>
      </c>
      <c r="AT19" s="8"/>
      <c r="AU19" s="329">
        <f>'I-Project Contingency'!$O$4-AE19</f>
        <v>0</v>
      </c>
      <c r="AV19" s="330">
        <v>-240515.59579276721</v>
      </c>
      <c r="AW19" s="330">
        <v>28172.931401335634</v>
      </c>
      <c r="AX19" s="330">
        <v>193478.84467429668</v>
      </c>
      <c r="AY19" s="330">
        <v>361668.20104834624</v>
      </c>
      <c r="AZ19" s="330">
        <v>524446.91524262261</v>
      </c>
      <c r="BA19" s="330">
        <v>704023.56387635041</v>
      </c>
      <c r="BB19" s="330">
        <v>886394.06956240814</v>
      </c>
      <c r="BC19" s="330">
        <v>1079363.7165157665</v>
      </c>
      <c r="BD19" s="330">
        <v>1280180.1532065615</v>
      </c>
      <c r="BE19" s="330">
        <v>1485323.8019108465</v>
      </c>
      <c r="BF19" s="330">
        <v>1703758.8827524669</v>
      </c>
      <c r="BG19" s="330">
        <v>1949523.4346483489</v>
      </c>
      <c r="BH19" s="330">
        <v>2177897.1603371189</v>
      </c>
      <c r="BI19" s="330">
        <v>2429374.4260425912</v>
      </c>
      <c r="BJ19" s="330">
        <v>2717092.7449284913</v>
      </c>
      <c r="BK19" s="330">
        <v>3010093.6968918457</v>
      </c>
      <c r="BL19" s="330">
        <v>3325414.5894657462</v>
      </c>
      <c r="BM19" s="330">
        <v>3690425.9159493577</v>
      </c>
      <c r="BN19" s="330">
        <v>4143935.1706127762</v>
      </c>
      <c r="BO19" s="330">
        <v>4722651.1159141911</v>
      </c>
      <c r="BP19" s="330">
        <v>5992048.8629153483</v>
      </c>
      <c r="BQ19" s="330">
        <f>'I-Project Contingency'!$E$61-AV19</f>
        <v>0</v>
      </c>
      <c r="BR19" s="330">
        <f>'I-Project Contingency'!$E$62-AW19</f>
        <v>0</v>
      </c>
      <c r="BS19" s="330">
        <f>'I-Project Contingency'!$E$63-AX19</f>
        <v>0</v>
      </c>
      <c r="BT19" s="330">
        <f>'I-Project Contingency'!$E$64-AY19</f>
        <v>0</v>
      </c>
      <c r="BU19" s="330">
        <f>'I-Project Contingency'!$E$65-AZ19</f>
        <v>0</v>
      </c>
      <c r="BV19" s="330">
        <f>'I-Project Contingency'!$E$66-BA19</f>
        <v>0</v>
      </c>
      <c r="BW19" s="330">
        <f>'I-Project Contingency'!$E$67-BB19</f>
        <v>0</v>
      </c>
      <c r="BX19" s="330">
        <f>'I-Project Contingency'!$E$68-BC19</f>
        <v>0</v>
      </c>
      <c r="BY19" s="330">
        <f>'I-Project Contingency'!$E$69-BD19</f>
        <v>0</v>
      </c>
      <c r="BZ19" s="330">
        <f>'I-Project Contingency'!$E$70-BE19</f>
        <v>0</v>
      </c>
      <c r="CA19" s="330">
        <f>'I-Project Contingency'!$E$71-BF19</f>
        <v>0</v>
      </c>
      <c r="CB19" s="330">
        <f>'I-Project Contingency'!$E$72-BG19</f>
        <v>0</v>
      </c>
      <c r="CC19" s="330">
        <f>'I-Project Contingency'!$E$73-BH19</f>
        <v>0</v>
      </c>
      <c r="CD19" s="330">
        <f>'I-Project Contingency'!$E$74-BI19</f>
        <v>0</v>
      </c>
      <c r="CE19" s="330">
        <f>'I-Project Contingency'!$E$75-BJ19</f>
        <v>0</v>
      </c>
      <c r="CF19" s="330">
        <f>'I-Project Contingency'!$E$76-BK19</f>
        <v>0</v>
      </c>
      <c r="CG19" s="330">
        <f>'I-Project Contingency'!$E$77-BL19</f>
        <v>0</v>
      </c>
      <c r="CH19" s="784">
        <f>'I-Project Contingency'!$E$78-BM19</f>
        <v>0</v>
      </c>
      <c r="CI19" s="330">
        <f>'I-Project Contingency'!$E$79-BN19</f>
        <v>0</v>
      </c>
      <c r="CJ19" s="330">
        <f>'I-Project Contingency'!$E$80-BO19</f>
        <v>0</v>
      </c>
      <c r="CK19" s="330">
        <f>'I-Project Contingency'!$E$81-BP19</f>
        <v>0</v>
      </c>
      <c r="CL19" s="331">
        <f>'I-Project Contingency'!$O$5-AG19</f>
        <v>0</v>
      </c>
      <c r="CM19" s="332">
        <v>-0.98711802853447173</v>
      </c>
      <c r="CN19" s="332">
        <v>-0.19547704728364468</v>
      </c>
      <c r="CO19" s="332">
        <v>0.126462150308498</v>
      </c>
      <c r="CP19" s="332">
        <v>0.45967989154545902</v>
      </c>
      <c r="CQ19" s="332">
        <v>0.78297319902744</v>
      </c>
      <c r="CR19" s="332">
        <v>1.0957191966482109</v>
      </c>
      <c r="CS19" s="332">
        <v>1.4418405003536849</v>
      </c>
      <c r="CT19" s="332">
        <v>1.801002404194165</v>
      </c>
      <c r="CU19" s="332">
        <v>2.1797608166947349</v>
      </c>
      <c r="CV19" s="332">
        <v>2.5671680610072478</v>
      </c>
      <c r="CW19" s="332">
        <v>2.9690760644797152</v>
      </c>
      <c r="CX19" s="332">
        <v>3.3964145469774811</v>
      </c>
      <c r="CY19" s="332">
        <v>3.864536087769562</v>
      </c>
      <c r="CZ19" s="332">
        <v>4.3569836138896116</v>
      </c>
      <c r="DA19" s="332">
        <v>4.8862357851222598</v>
      </c>
      <c r="DB19" s="332">
        <v>5.438836997347547</v>
      </c>
      <c r="DC19" s="332">
        <v>6.047993455908566</v>
      </c>
      <c r="DD19" s="785">
        <v>6.720204953601761</v>
      </c>
      <c r="DE19" s="333">
        <v>7.55131678090412</v>
      </c>
      <c r="DF19" s="332">
        <v>8.661446370835737</v>
      </c>
      <c r="DG19" s="332">
        <v>11.206316207857133</v>
      </c>
      <c r="DH19" s="332">
        <f>'I-Project Contingency'!$E$86-CM19</f>
        <v>0</v>
      </c>
      <c r="DI19" s="332">
        <f>'I-Project Contingency'!$E$87-CN19</f>
        <v>0</v>
      </c>
      <c r="DJ19" s="332">
        <f>'I-Project Contingency'!$E$88-CO19</f>
        <v>0</v>
      </c>
      <c r="DK19" s="332">
        <f>'I-Project Contingency'!$E$89-CP19</f>
        <v>0</v>
      </c>
      <c r="DL19" s="332">
        <f>'I-Project Contingency'!$E$90-CQ19</f>
        <v>0</v>
      </c>
      <c r="DM19" s="332">
        <f>'I-Project Contingency'!$E$91-CR19</f>
        <v>0</v>
      </c>
      <c r="DN19" s="332">
        <f>'I-Project Contingency'!$E$92-CS19</f>
        <v>0</v>
      </c>
      <c r="DO19" s="332">
        <f>'I-Project Contingency'!$E$93-CT19</f>
        <v>0</v>
      </c>
      <c r="DP19" s="332">
        <f>'I-Project Contingency'!$E$94-CU19</f>
        <v>0</v>
      </c>
      <c r="DQ19" s="332">
        <f>'I-Project Contingency'!$E$95-CV19</f>
        <v>0</v>
      </c>
      <c r="DR19" s="332">
        <f>'I-Project Contingency'!$E$96-CW19</f>
        <v>0</v>
      </c>
      <c r="DS19" s="332">
        <f>'I-Project Contingency'!$E$97-CX19</f>
        <v>0</v>
      </c>
      <c r="DT19" s="332">
        <f>'I-Project Contingency'!$E$98-CY19</f>
        <v>0</v>
      </c>
      <c r="DU19" s="332">
        <f>'I-Project Contingency'!$E$99-CZ19</f>
        <v>0</v>
      </c>
      <c r="DV19" s="332">
        <f>'I-Project Contingency'!$E$100-DA19</f>
        <v>0</v>
      </c>
      <c r="DW19" s="332">
        <f>'I-Project Contingency'!$E$101-DB19</f>
        <v>0</v>
      </c>
      <c r="DX19" s="332">
        <f>'I-Project Contingency'!$E$102-DC19</f>
        <v>0</v>
      </c>
      <c r="DY19" s="332">
        <f>'I-Project Contingency'!$E$103-DD19</f>
        <v>0</v>
      </c>
      <c r="DZ19" s="332">
        <f>'I-Project Contingency'!$E$104-DE19</f>
        <v>0</v>
      </c>
      <c r="EA19" s="332">
        <f>'I-Project Contingency'!$E$105-DF19</f>
        <v>0</v>
      </c>
      <c r="EB19" s="332">
        <f>'I-Project Contingency'!$E$106-DG19</f>
        <v>0</v>
      </c>
      <c r="EC19" s="334">
        <f>IF(EE19="N/A","N/A",ABS(INDEX(EE19:EY19,1,MATCH("ROM Cost Risk @ "&amp;'D-Project Data'!$C$6*100&amp;"%",$EE$17:$EY$17,0))))</f>
        <v>0</v>
      </c>
      <c r="ED19" s="335">
        <f>IF(EC19="N/A","N/A",RANK(EC19,$EC$18:$EC$117,0)+COUNTIF($EC$18:EC19,EC19)-1)</f>
        <v>2</v>
      </c>
      <c r="EE19" s="334">
        <f>IF(BQ19/SUM(BQ:BQ)*'I-Project Contingency'!$F$61=0,0,BQ19/SUM(BQ:BQ)*'I-Project Contingency'!$F$61)</f>
        <v>0</v>
      </c>
      <c r="EF19" s="334">
        <f>IF(BR19/SUM(BR:BR)*'I-Project Contingency'!$F$62=0,0,BR19/SUM(BR:BR)*'I-Project Contingency'!$F$62)</f>
        <v>0</v>
      </c>
      <c r="EG19" s="334">
        <f>IF(BS19/SUM(BS:BS)*'I-Project Contingency'!$F$63=0,0,BS19/SUM(BS:BS)*'I-Project Contingency'!$F$63)</f>
        <v>0</v>
      </c>
      <c r="EH19" s="334">
        <f>IF(BT19/SUM(BT:BT)*'I-Project Contingency'!$F$64=0,0,BT19/SUM(BT:BT)*'I-Project Contingency'!$F$64)</f>
        <v>0</v>
      </c>
      <c r="EI19" s="334">
        <f>IF(BU19/SUM(BU:BU)*'I-Project Contingency'!$F$65=0,0,BU19/SUM(BU:BU)*'I-Project Contingency'!$F$65)</f>
        <v>0</v>
      </c>
      <c r="EJ19" s="334">
        <f>IF(BV19/SUM(BV:BV)*'I-Project Contingency'!$F$66=0,0,BV19/SUM(BV:BV)*'I-Project Contingency'!$F$66)</f>
        <v>0</v>
      </c>
      <c r="EK19" s="334">
        <f>IF(BW19/SUM(BW:BW)*'I-Project Contingency'!$F$67=0,0,BW19/SUM(BW:BW)*'I-Project Contingency'!$F$67)</f>
        <v>0</v>
      </c>
      <c r="EL19" s="334">
        <f>IF(BX19/SUM(BX:BX)*'I-Project Contingency'!$F$68=0,0,BX19/SUM(BX:BX)*'I-Project Contingency'!$F$68)</f>
        <v>0</v>
      </c>
      <c r="EM19" s="334">
        <f>IF(BY19/SUM(BY:BY)*'I-Project Contingency'!$F$69=0,0,BY19/SUM(BY:BY)*'I-Project Contingency'!$F$69)</f>
        <v>0</v>
      </c>
      <c r="EN19" s="334">
        <f>IF(BZ19/SUM(BZ:BZ)*'I-Project Contingency'!$F$70=0,0,BZ19/SUM(BZ:BZ)*'I-Project Contingency'!$F$70)</f>
        <v>0</v>
      </c>
      <c r="EO19" s="334">
        <f>IF(CA19/SUM(CA:CA)*'I-Project Contingency'!$F$71=0,0,CA19/SUM(CA:CA)*'I-Project Contingency'!$F$71)</f>
        <v>0</v>
      </c>
      <c r="EP19" s="334">
        <f>IF(CB19/SUM(CB:CB)*'I-Project Contingency'!$F$72=0,0,CB19/SUM(CB:CB)*'I-Project Contingency'!$F$72)</f>
        <v>0</v>
      </c>
      <c r="EQ19" s="334">
        <f>IF(CC19/SUM(CC:CC)*'I-Project Contingency'!$F$73=0,0,CC19/SUM(CC:CC)*'I-Project Contingency'!$F$73)</f>
        <v>0</v>
      </c>
      <c r="ER19" s="334">
        <f>IF(CD19/SUM(CD:CD)*'I-Project Contingency'!$F$74=0,0,CD19/SUM(CD:CD)*'I-Project Contingency'!$F$74)</f>
        <v>0</v>
      </c>
      <c r="ES19" s="334">
        <f>IF(CE19/SUM(CE:CE)*'I-Project Contingency'!$F$75=0,0,CE19/SUM(CE:CE)*'I-Project Contingency'!$F$75)</f>
        <v>0</v>
      </c>
      <c r="ET19" s="334">
        <f>IF(CF19/SUM(CF:CF)*'I-Project Contingency'!$F$76=0,0,CF19/SUM(CF:CF)*'I-Project Contingency'!$F$76)</f>
        <v>0</v>
      </c>
      <c r="EU19" s="334">
        <f>IF(CG19/SUM(CG:CG)*'I-Project Contingency'!$F$77=0,0,CG19/SUM(CG:CG)*'I-Project Contingency'!$F$77)</f>
        <v>0</v>
      </c>
      <c r="EV19" s="787">
        <f>IF(CH19/SUM(CH:CH)*'I-Project Contingency'!$F$78=0,0,CH19/SUM(CH:CH)*'I-Project Contingency'!$F$78)</f>
        <v>0</v>
      </c>
      <c r="EW19" s="787">
        <f>IF(CI19/SUM(CI:CI)*'I-Project Contingency'!$F$79=0,0,CI19/SUM(CI:CI)*'I-Project Contingency'!$F$79)</f>
        <v>0</v>
      </c>
      <c r="EX19" s="787">
        <f>IF(CJ19/SUM(CJ:CJ)*'I-Project Contingency'!$F$80=0,0,CJ19/SUM(CJ:CJ)*'I-Project Contingency'!$F$80)</f>
        <v>0</v>
      </c>
      <c r="EY19" s="787">
        <f>IF(CK19/SUM(CK:CK)*'I-Project Contingency'!$F$81=0,0,CK19/SUM(CK:CK)*'I-Project Contingency'!$F$81)</f>
        <v>0</v>
      </c>
      <c r="EZ19" s="333">
        <f>IF(FB19="N/A","N/A",ABS(INDEX(FB19:FV19,1,MATCH("ROM Schedule Risk @ "&amp;'D-Project Data'!$C$6*100&amp;"%",$FB$17:$FV$17,0))))</f>
        <v>0</v>
      </c>
      <c r="FA19" s="335">
        <f>IF(EZ19="N/A","N/A",RANK(EZ19,$EZ$18:$EZ$117,0)+COUNTIF($FB$18:FB19,FB19)-1)</f>
        <v>2</v>
      </c>
      <c r="FB19" s="788">
        <f>IF(DH19/SUM(DH:DH)*'I-Project Contingency'!$F$86=0,0,DH19/SUM(DH:DH)*'I-Project Contingency'!$F$86)</f>
        <v>0</v>
      </c>
      <c r="FC19" s="788">
        <f>IF(DI19/SUM(DI:DI)*'I-Project Contingency'!$F$87=0,0,DI19/SUM(DI:DI)*'I-Project Contingency'!$F$87)</f>
        <v>0</v>
      </c>
      <c r="FD19" s="788">
        <f>IF(DJ19/SUM(DJ:DJ)*'I-Project Contingency'!$F$88=0,0,DJ19/SUM(DJ:DJ)*'I-Project Contingency'!$F$88)</f>
        <v>0</v>
      </c>
      <c r="FE19" s="788">
        <f>IF(DK19/SUM(DK:DK)*'I-Project Contingency'!$F$89=0,0,DK19/SUM(DK:DK)*'I-Project Contingency'!$F$89)</f>
        <v>0</v>
      </c>
      <c r="FF19" s="788">
        <f>IF(DL19/SUM(DL:DL)*'I-Project Contingency'!$F$90=0,0,DL19/SUM(DL:DL)*'I-Project Contingency'!$F$90)</f>
        <v>0</v>
      </c>
      <c r="FG19" s="788">
        <f>IF(DM19/SUM(DM:DM)*'I-Project Contingency'!$F$91=0,0,DM19/SUM(DM:DM)*'I-Project Contingency'!$F$91)</f>
        <v>0</v>
      </c>
      <c r="FH19" s="788">
        <f>IF(DN19/SUM(DN:DN)*'I-Project Contingency'!$F$92=0,0,DN19/SUM(DN:DN)*'I-Project Contingency'!$F$92)</f>
        <v>0</v>
      </c>
      <c r="FI19" s="788">
        <f>IF(DO19/SUM(DO:DO)*'I-Project Contingency'!$F$93=0,0,DO19/SUM(DO:DO)*'I-Project Contingency'!$F$93)</f>
        <v>0</v>
      </c>
      <c r="FJ19" s="788">
        <f>IF(DP19/SUM(DP:DP)*'I-Project Contingency'!$F$94=0,0,DP19/SUM(DP:DP)*'I-Project Contingency'!$F$94)</f>
        <v>0</v>
      </c>
      <c r="FK19" s="788">
        <f>IF(DQ19/SUM(DQ:DQ)*'I-Project Contingency'!$F$95=0,0,DQ19/SUM(DQ:DQ)*'I-Project Contingency'!$F$95)</f>
        <v>0</v>
      </c>
      <c r="FL19" s="788">
        <f>IF(DR19/SUM(DR:DR)*'I-Project Contingency'!$F$96=0,0,DR19/SUM(DR:DR)*'I-Project Contingency'!$F$96)</f>
        <v>0</v>
      </c>
      <c r="FM19" s="788">
        <f>IF(DS19/SUM(DS:DS)*'I-Project Contingency'!$F$97=0,0,DS19/SUM(DS:DS)*'I-Project Contingency'!$F$97)</f>
        <v>0</v>
      </c>
      <c r="FN19" s="788">
        <f>IF(DT19/SUM(DT:DT)*'I-Project Contingency'!$F$98=0,0,DT19/SUM(DT:DT)*'I-Project Contingency'!$F$98)</f>
        <v>0</v>
      </c>
      <c r="FO19" s="788">
        <f>IF(DU19/SUM(DU:DU)*'I-Project Contingency'!$F$99=0,0,DU19/SUM(DU:DU)*'I-Project Contingency'!$F$99)</f>
        <v>0</v>
      </c>
      <c r="FP19" s="788">
        <f>IF(DV19/SUM(DV:DV)*'I-Project Contingency'!$F$100=0,0,DV19/SUM(DV:DV)*'I-Project Contingency'!$F$100)</f>
        <v>0</v>
      </c>
      <c r="FQ19" s="788">
        <f>IF(DW19/SUM(DW:DW)*'I-Project Contingency'!$F$101=0,0,DW19/SUM(DW:DW)*'I-Project Contingency'!$F$101)</f>
        <v>0</v>
      </c>
      <c r="FR19" s="788">
        <f>IF(DX19/SUM(DX:DX)*'I-Project Contingency'!$F$102=0,0,DX19/SUM(DX:DX)*'I-Project Contingency'!$F$102)</f>
        <v>0</v>
      </c>
      <c r="FS19" s="788">
        <f>IF(DY19/SUM(DY:DY)*'I-Project Contingency'!$F$103=0,0,DY19/SUM(DY:DY)*'I-Project Contingency'!$F$103)</f>
        <v>0</v>
      </c>
      <c r="FT19" s="788">
        <f>IF(DZ19/SUM(DZ:DZ)*'I-Project Contingency'!$F$104=0,0,DZ19/SUM(DZ:DZ)*'I-Project Contingency'!$F$104)</f>
        <v>0</v>
      </c>
      <c r="FU19" s="788">
        <f>IF(EA19/SUM(EA:EA)*'I-Project Contingency'!$F$105=0,0,EA19/SUM(EA:EA)*'I-Project Contingency'!$F$105)</f>
        <v>0</v>
      </c>
      <c r="FV19" s="788">
        <f>IF(EB19/SUM(EB:EB)*'I-Project Contingency'!$F$106=0,0,EB19/SUM(EB:EB)*'I-Project Contingency'!$F$106)</f>
        <v>0</v>
      </c>
      <c r="FW19" s="335">
        <f t="shared" si="13"/>
        <v>2</v>
      </c>
      <c r="FX19" s="336" t="str">
        <f t="shared" si="14"/>
        <v xml:space="preserve">2 - </v>
      </c>
      <c r="FY19" s="330">
        <f t="shared" si="15"/>
        <v>0</v>
      </c>
      <c r="FZ19" s="330">
        <f t="shared" si="16"/>
        <v>0</v>
      </c>
      <c r="GA19" s="332">
        <f t="shared" si="17"/>
        <v>0</v>
      </c>
      <c r="GB19" s="332">
        <f t="shared" si="18"/>
        <v>0</v>
      </c>
    </row>
    <row r="20" spans="1:184" ht="30" x14ac:dyDescent="0.25">
      <c r="A20" s="163">
        <f t="shared" ref="A20:A113" si="23">A19+1</f>
        <v>3</v>
      </c>
      <c r="B20" s="727" t="s">
        <v>728</v>
      </c>
      <c r="C20" s="729"/>
      <c r="D20" s="729"/>
      <c r="E20" s="729"/>
      <c r="F20" s="728" t="s">
        <v>728</v>
      </c>
      <c r="G20" s="728" t="s">
        <v>728</v>
      </c>
      <c r="H20" s="157" t="str">
        <f>IFERROR(IF('H-Risk Register-Model'!F20="Certain","Relook at Basis of Estimate",INDEX('G-Assumptions'!$F$8:$J$11,MATCH(F20,'G-Assumptions'!$D$8:$D$11,0),MATCH(G20,'G-Assumptions'!$F$6:$J$6,0))),"Unrated")</f>
        <v>Unrated</v>
      </c>
      <c r="I20" s="728" t="s">
        <v>728</v>
      </c>
      <c r="J20" s="157" t="str">
        <f>IFERROR(IF('H-Risk Register-Model'!F20="Certain","Relook at Basis of Estimate",INDEX('G-Assumptions'!$F$8:$J$11,MATCH(F20,'G-Assumptions'!$D$8:$D$11,0),MATCH(I20,'G-Assumptions'!$F$6:$J$6,0))),"Unrated")</f>
        <v>Unrated</v>
      </c>
      <c r="K20" s="728" t="s">
        <v>728</v>
      </c>
      <c r="L20" s="728" t="s">
        <v>728</v>
      </c>
      <c r="M20" s="728"/>
      <c r="N20" s="731" t="s">
        <v>728</v>
      </c>
      <c r="O20" s="731" t="s">
        <v>728</v>
      </c>
      <c r="P20" s="732"/>
      <c r="Q20" s="732"/>
      <c r="R20" s="732"/>
      <c r="S20" s="733"/>
      <c r="T20" s="733"/>
      <c r="U20" s="733"/>
      <c r="V20" s="734"/>
      <c r="W20" s="732"/>
      <c r="X20" s="732"/>
      <c r="Y20" s="735">
        <v>1</v>
      </c>
      <c r="Z20" s="736">
        <v>1</v>
      </c>
      <c r="AA20" s="166">
        <f t="shared" si="19"/>
        <v>0</v>
      </c>
      <c r="AB20" s="166">
        <f t="shared" si="20"/>
        <v>0</v>
      </c>
      <c r="AC20" s="166">
        <f t="shared" si="21"/>
        <v>0</v>
      </c>
      <c r="AD20" s="166"/>
      <c r="AE20" s="164">
        <f t="shared" si="22"/>
        <v>0</v>
      </c>
      <c r="AF20" s="167"/>
      <c r="AG20" s="165">
        <f t="shared" si="5"/>
        <v>0</v>
      </c>
      <c r="AH20" s="729"/>
      <c r="AI20" s="729"/>
      <c r="AJ20" s="8"/>
      <c r="AK20" s="495" t="str">
        <f t="shared" si="6"/>
        <v>No</v>
      </c>
      <c r="AL20" s="496">
        <f>'I-Project Contingency'!$I$4</f>
        <v>9000000</v>
      </c>
      <c r="AM20" s="326">
        <f>'I-Project Contingency'!$I$11</f>
        <v>23.978102189781023</v>
      </c>
      <c r="AN20" s="325">
        <f t="shared" si="7"/>
        <v>0</v>
      </c>
      <c r="AO20" s="326">
        <f t="shared" si="8"/>
        <v>0</v>
      </c>
      <c r="AP20" s="641" t="str">
        <f t="shared" si="9"/>
        <v/>
      </c>
      <c r="AQ20" s="641" t="str">
        <f t="shared" si="10"/>
        <v/>
      </c>
      <c r="AR20" s="497" t="str">
        <f t="shared" si="11"/>
        <v/>
      </c>
      <c r="AS20" s="497" t="str">
        <f t="shared" si="12"/>
        <v/>
      </c>
      <c r="AT20" s="8"/>
      <c r="AU20" s="329">
        <f>'I-Project Contingency'!$O$4-AE20</f>
        <v>0</v>
      </c>
      <c r="AV20" s="330">
        <v>-240515.59579276721</v>
      </c>
      <c r="AW20" s="330">
        <v>28172.931401335634</v>
      </c>
      <c r="AX20" s="330">
        <v>193478.84467429668</v>
      </c>
      <c r="AY20" s="330">
        <v>361668.20104834624</v>
      </c>
      <c r="AZ20" s="330">
        <v>524446.91524262261</v>
      </c>
      <c r="BA20" s="330">
        <v>704023.56387635041</v>
      </c>
      <c r="BB20" s="330">
        <v>886394.06956240814</v>
      </c>
      <c r="BC20" s="330">
        <v>1079363.7165157665</v>
      </c>
      <c r="BD20" s="330">
        <v>1280180.1532065615</v>
      </c>
      <c r="BE20" s="330">
        <v>1485323.8019108465</v>
      </c>
      <c r="BF20" s="330">
        <v>1703758.8827524669</v>
      </c>
      <c r="BG20" s="330">
        <v>1949523.4346483489</v>
      </c>
      <c r="BH20" s="330">
        <v>2177897.1603371189</v>
      </c>
      <c r="BI20" s="330">
        <v>2429374.4260425912</v>
      </c>
      <c r="BJ20" s="330">
        <v>2717092.7449284913</v>
      </c>
      <c r="BK20" s="330">
        <v>3010093.6968918457</v>
      </c>
      <c r="BL20" s="330">
        <v>3325414.5894657462</v>
      </c>
      <c r="BM20" s="330">
        <v>3690425.9159493577</v>
      </c>
      <c r="BN20" s="330">
        <v>4143935.1706127762</v>
      </c>
      <c r="BO20" s="330">
        <v>4722651.1159141911</v>
      </c>
      <c r="BP20" s="330">
        <v>5992048.8629153483</v>
      </c>
      <c r="BQ20" s="330">
        <f>'I-Project Contingency'!$E$61-AV20</f>
        <v>0</v>
      </c>
      <c r="BR20" s="330">
        <f>'I-Project Contingency'!$E$62-AW20</f>
        <v>0</v>
      </c>
      <c r="BS20" s="330">
        <f>'I-Project Contingency'!$E$63-AX20</f>
        <v>0</v>
      </c>
      <c r="BT20" s="330">
        <f>'I-Project Contingency'!$E$64-AY20</f>
        <v>0</v>
      </c>
      <c r="BU20" s="330">
        <f>'I-Project Contingency'!$E$65-AZ20</f>
        <v>0</v>
      </c>
      <c r="BV20" s="330">
        <f>'I-Project Contingency'!$E$66-BA20</f>
        <v>0</v>
      </c>
      <c r="BW20" s="330">
        <f>'I-Project Contingency'!$E$67-BB20</f>
        <v>0</v>
      </c>
      <c r="BX20" s="330">
        <f>'I-Project Contingency'!$E$68-BC20</f>
        <v>0</v>
      </c>
      <c r="BY20" s="330">
        <f>'I-Project Contingency'!$E$69-BD20</f>
        <v>0</v>
      </c>
      <c r="BZ20" s="330">
        <f>'I-Project Contingency'!$E$70-BE20</f>
        <v>0</v>
      </c>
      <c r="CA20" s="330">
        <f>'I-Project Contingency'!$E$71-BF20</f>
        <v>0</v>
      </c>
      <c r="CB20" s="330">
        <f>'I-Project Contingency'!$E$72-BG20</f>
        <v>0</v>
      </c>
      <c r="CC20" s="330">
        <f>'I-Project Contingency'!$E$73-BH20</f>
        <v>0</v>
      </c>
      <c r="CD20" s="330">
        <f>'I-Project Contingency'!$E$74-BI20</f>
        <v>0</v>
      </c>
      <c r="CE20" s="330">
        <f>'I-Project Contingency'!$E$75-BJ20</f>
        <v>0</v>
      </c>
      <c r="CF20" s="330">
        <f>'I-Project Contingency'!$E$76-BK20</f>
        <v>0</v>
      </c>
      <c r="CG20" s="330">
        <f>'I-Project Contingency'!$E$77-BL20</f>
        <v>0</v>
      </c>
      <c r="CH20" s="784">
        <f>'I-Project Contingency'!$E$78-BM20</f>
        <v>0</v>
      </c>
      <c r="CI20" s="330">
        <f>'I-Project Contingency'!$E$79-BN20</f>
        <v>0</v>
      </c>
      <c r="CJ20" s="330">
        <f>'I-Project Contingency'!$E$80-BO20</f>
        <v>0</v>
      </c>
      <c r="CK20" s="330">
        <f>'I-Project Contingency'!$E$81-BP20</f>
        <v>0</v>
      </c>
      <c r="CL20" s="331">
        <f>'I-Project Contingency'!$O$5-AG20</f>
        <v>0</v>
      </c>
      <c r="CM20" s="332">
        <v>-0.98711802853447173</v>
      </c>
      <c r="CN20" s="332">
        <v>-0.19547704728364468</v>
      </c>
      <c r="CO20" s="332">
        <v>0.126462150308498</v>
      </c>
      <c r="CP20" s="332">
        <v>0.45967989154545902</v>
      </c>
      <c r="CQ20" s="332">
        <v>0.78297319902744</v>
      </c>
      <c r="CR20" s="332">
        <v>1.0957191966482109</v>
      </c>
      <c r="CS20" s="332">
        <v>1.4418405003536849</v>
      </c>
      <c r="CT20" s="332">
        <v>1.801002404194165</v>
      </c>
      <c r="CU20" s="332">
        <v>2.1797608166947349</v>
      </c>
      <c r="CV20" s="332">
        <v>2.5671680610072478</v>
      </c>
      <c r="CW20" s="332">
        <v>2.9690760644797152</v>
      </c>
      <c r="CX20" s="332">
        <v>3.3964145469774811</v>
      </c>
      <c r="CY20" s="332">
        <v>3.864536087769562</v>
      </c>
      <c r="CZ20" s="332">
        <v>4.3569836138896116</v>
      </c>
      <c r="DA20" s="332">
        <v>4.8862357851222598</v>
      </c>
      <c r="DB20" s="332">
        <v>5.438836997347547</v>
      </c>
      <c r="DC20" s="332">
        <v>6.047993455908566</v>
      </c>
      <c r="DD20" s="785">
        <v>6.720204953601761</v>
      </c>
      <c r="DE20" s="333">
        <v>7.55131678090412</v>
      </c>
      <c r="DF20" s="332">
        <v>8.661446370835737</v>
      </c>
      <c r="DG20" s="332">
        <v>11.206316207857133</v>
      </c>
      <c r="DH20" s="332">
        <f>'I-Project Contingency'!$E$86-CM20</f>
        <v>0</v>
      </c>
      <c r="DI20" s="332">
        <f>'I-Project Contingency'!$E$87-CN20</f>
        <v>0</v>
      </c>
      <c r="DJ20" s="332">
        <f>'I-Project Contingency'!$E$88-CO20</f>
        <v>0</v>
      </c>
      <c r="DK20" s="332">
        <f>'I-Project Contingency'!$E$89-CP20</f>
        <v>0</v>
      </c>
      <c r="DL20" s="332">
        <f>'I-Project Contingency'!$E$90-CQ20</f>
        <v>0</v>
      </c>
      <c r="DM20" s="332">
        <f>'I-Project Contingency'!$E$91-CR20</f>
        <v>0</v>
      </c>
      <c r="DN20" s="332">
        <f>'I-Project Contingency'!$E$92-CS20</f>
        <v>0</v>
      </c>
      <c r="DO20" s="332">
        <f>'I-Project Contingency'!$E$93-CT20</f>
        <v>0</v>
      </c>
      <c r="DP20" s="332">
        <f>'I-Project Contingency'!$E$94-CU20</f>
        <v>0</v>
      </c>
      <c r="DQ20" s="332">
        <f>'I-Project Contingency'!$E$95-CV20</f>
        <v>0</v>
      </c>
      <c r="DR20" s="332">
        <f>'I-Project Contingency'!$E$96-CW20</f>
        <v>0</v>
      </c>
      <c r="DS20" s="332">
        <f>'I-Project Contingency'!$E$97-CX20</f>
        <v>0</v>
      </c>
      <c r="DT20" s="332">
        <f>'I-Project Contingency'!$E$98-CY20</f>
        <v>0</v>
      </c>
      <c r="DU20" s="332">
        <f>'I-Project Contingency'!$E$99-CZ20</f>
        <v>0</v>
      </c>
      <c r="DV20" s="332">
        <f>'I-Project Contingency'!$E$100-DA20</f>
        <v>0</v>
      </c>
      <c r="DW20" s="332">
        <f>'I-Project Contingency'!$E$101-DB20</f>
        <v>0</v>
      </c>
      <c r="DX20" s="332">
        <f>'I-Project Contingency'!$E$102-DC20</f>
        <v>0</v>
      </c>
      <c r="DY20" s="332">
        <f>'I-Project Contingency'!$E$103-DD20</f>
        <v>0</v>
      </c>
      <c r="DZ20" s="332">
        <f>'I-Project Contingency'!$E$104-DE20</f>
        <v>0</v>
      </c>
      <c r="EA20" s="332">
        <f>'I-Project Contingency'!$E$105-DF20</f>
        <v>0</v>
      </c>
      <c r="EB20" s="332">
        <f>'I-Project Contingency'!$E$106-DG20</f>
        <v>0</v>
      </c>
      <c r="EC20" s="334">
        <f>IF(EE20="N/A","N/A",ABS(INDEX(EE20:EY20,1,MATCH("ROM Cost Risk @ "&amp;'D-Project Data'!$C$6*100&amp;"%",$EE$17:$EY$17,0))))</f>
        <v>0</v>
      </c>
      <c r="ED20" s="335">
        <f>IF(EC20="N/A","N/A",RANK(EC20,$EC$18:$EC$117,0)+COUNTIF($EC$18:EC20,EC20)-1)</f>
        <v>3</v>
      </c>
      <c r="EE20" s="334">
        <f>IF(BQ20/SUM(BQ:BQ)*'I-Project Contingency'!$F$61=0,0,BQ20/SUM(BQ:BQ)*'I-Project Contingency'!$F$61)</f>
        <v>0</v>
      </c>
      <c r="EF20" s="334">
        <f>IF(BR20/SUM(BR:BR)*'I-Project Contingency'!$F$62=0,0,BR20/SUM(BR:BR)*'I-Project Contingency'!$F$62)</f>
        <v>0</v>
      </c>
      <c r="EG20" s="334">
        <f>IF(BS20/SUM(BS:BS)*'I-Project Contingency'!$F$63=0,0,BS20/SUM(BS:BS)*'I-Project Contingency'!$F$63)</f>
        <v>0</v>
      </c>
      <c r="EH20" s="334">
        <f>IF(BT20/SUM(BT:BT)*'I-Project Contingency'!$F$64=0,0,BT20/SUM(BT:BT)*'I-Project Contingency'!$F$64)</f>
        <v>0</v>
      </c>
      <c r="EI20" s="334">
        <f>IF(BU20/SUM(BU:BU)*'I-Project Contingency'!$F$65=0,0,BU20/SUM(BU:BU)*'I-Project Contingency'!$F$65)</f>
        <v>0</v>
      </c>
      <c r="EJ20" s="334">
        <f>IF(BV20/SUM(BV:BV)*'I-Project Contingency'!$F$66=0,0,BV20/SUM(BV:BV)*'I-Project Contingency'!$F$66)</f>
        <v>0</v>
      </c>
      <c r="EK20" s="334">
        <f>IF(BW20/SUM(BW:BW)*'I-Project Contingency'!$F$67=0,0,BW20/SUM(BW:BW)*'I-Project Contingency'!$F$67)</f>
        <v>0</v>
      </c>
      <c r="EL20" s="334">
        <f>IF(BX20/SUM(BX:BX)*'I-Project Contingency'!$F$68=0,0,BX20/SUM(BX:BX)*'I-Project Contingency'!$F$68)</f>
        <v>0</v>
      </c>
      <c r="EM20" s="334">
        <f>IF(BY20/SUM(BY:BY)*'I-Project Contingency'!$F$69=0,0,BY20/SUM(BY:BY)*'I-Project Contingency'!$F$69)</f>
        <v>0</v>
      </c>
      <c r="EN20" s="334">
        <f>IF(BZ20/SUM(BZ:BZ)*'I-Project Contingency'!$F$70=0,0,BZ20/SUM(BZ:BZ)*'I-Project Contingency'!$F$70)</f>
        <v>0</v>
      </c>
      <c r="EO20" s="334">
        <f>IF(CA20/SUM(CA:CA)*'I-Project Contingency'!$F$71=0,0,CA20/SUM(CA:CA)*'I-Project Contingency'!$F$71)</f>
        <v>0</v>
      </c>
      <c r="EP20" s="334">
        <f>IF(CB20/SUM(CB:CB)*'I-Project Contingency'!$F$72=0,0,CB20/SUM(CB:CB)*'I-Project Contingency'!$F$72)</f>
        <v>0</v>
      </c>
      <c r="EQ20" s="334">
        <f>IF(CC20/SUM(CC:CC)*'I-Project Contingency'!$F$73=0,0,CC20/SUM(CC:CC)*'I-Project Contingency'!$F$73)</f>
        <v>0</v>
      </c>
      <c r="ER20" s="334">
        <f>IF(CD20/SUM(CD:CD)*'I-Project Contingency'!$F$74=0,0,CD20/SUM(CD:CD)*'I-Project Contingency'!$F$74)</f>
        <v>0</v>
      </c>
      <c r="ES20" s="334">
        <f>IF(CE20/SUM(CE:CE)*'I-Project Contingency'!$F$75=0,0,CE20/SUM(CE:CE)*'I-Project Contingency'!$F$75)</f>
        <v>0</v>
      </c>
      <c r="ET20" s="334">
        <f>IF(CF20/SUM(CF:CF)*'I-Project Contingency'!$F$76=0,0,CF20/SUM(CF:CF)*'I-Project Contingency'!$F$76)</f>
        <v>0</v>
      </c>
      <c r="EU20" s="334">
        <f>IF(CG20/SUM(CG:CG)*'I-Project Contingency'!$F$77=0,0,CG20/SUM(CG:CG)*'I-Project Contingency'!$F$77)</f>
        <v>0</v>
      </c>
      <c r="EV20" s="787">
        <f>IF(CH20/SUM(CH:CH)*'I-Project Contingency'!$F$78=0,0,CH20/SUM(CH:CH)*'I-Project Contingency'!$F$78)</f>
        <v>0</v>
      </c>
      <c r="EW20" s="787">
        <f>IF(CI20/SUM(CI:CI)*'I-Project Contingency'!$F$79=0,0,CI20/SUM(CI:CI)*'I-Project Contingency'!$F$79)</f>
        <v>0</v>
      </c>
      <c r="EX20" s="787">
        <f>IF(CJ20/SUM(CJ:CJ)*'I-Project Contingency'!$F$80=0,0,CJ20/SUM(CJ:CJ)*'I-Project Contingency'!$F$80)</f>
        <v>0</v>
      </c>
      <c r="EY20" s="787">
        <f>IF(CK20/SUM(CK:CK)*'I-Project Contingency'!$F$81=0,0,CK20/SUM(CK:CK)*'I-Project Contingency'!$F$81)</f>
        <v>0</v>
      </c>
      <c r="EZ20" s="333">
        <f>IF(FB20="N/A","N/A",ABS(INDEX(FB20:FV20,1,MATCH("ROM Schedule Risk @ "&amp;'D-Project Data'!$C$6*100&amp;"%",$FB$17:$FV$17,0))))</f>
        <v>0</v>
      </c>
      <c r="FA20" s="335">
        <f>IF(EZ20="N/A","N/A",RANK(EZ20,$EZ$18:$EZ$117,0)+COUNTIF($FB$18:FB20,FB20)-1)</f>
        <v>3</v>
      </c>
      <c r="FB20" s="788">
        <f>IF(DH20/SUM(DH:DH)*'I-Project Contingency'!$F$86=0,0,DH20/SUM(DH:DH)*'I-Project Contingency'!$F$86)</f>
        <v>0</v>
      </c>
      <c r="FC20" s="788">
        <f>IF(DI20/SUM(DI:DI)*'I-Project Contingency'!$F$87=0,0,DI20/SUM(DI:DI)*'I-Project Contingency'!$F$87)</f>
        <v>0</v>
      </c>
      <c r="FD20" s="788">
        <f>IF(DJ20/SUM(DJ:DJ)*'I-Project Contingency'!$F$88=0,0,DJ20/SUM(DJ:DJ)*'I-Project Contingency'!$F$88)</f>
        <v>0</v>
      </c>
      <c r="FE20" s="788">
        <f>IF(DK20/SUM(DK:DK)*'I-Project Contingency'!$F$89=0,0,DK20/SUM(DK:DK)*'I-Project Contingency'!$F$89)</f>
        <v>0</v>
      </c>
      <c r="FF20" s="788">
        <f>IF(DL20/SUM(DL:DL)*'I-Project Contingency'!$F$90=0,0,DL20/SUM(DL:DL)*'I-Project Contingency'!$F$90)</f>
        <v>0</v>
      </c>
      <c r="FG20" s="788">
        <f>IF(DM20/SUM(DM:DM)*'I-Project Contingency'!$F$91=0,0,DM20/SUM(DM:DM)*'I-Project Contingency'!$F$91)</f>
        <v>0</v>
      </c>
      <c r="FH20" s="788">
        <f>IF(DN20/SUM(DN:DN)*'I-Project Contingency'!$F$92=0,0,DN20/SUM(DN:DN)*'I-Project Contingency'!$F$92)</f>
        <v>0</v>
      </c>
      <c r="FI20" s="788">
        <f>IF(DO20/SUM(DO:DO)*'I-Project Contingency'!$F$93=0,0,DO20/SUM(DO:DO)*'I-Project Contingency'!$F$93)</f>
        <v>0</v>
      </c>
      <c r="FJ20" s="788">
        <f>IF(DP20/SUM(DP:DP)*'I-Project Contingency'!$F$94=0,0,DP20/SUM(DP:DP)*'I-Project Contingency'!$F$94)</f>
        <v>0</v>
      </c>
      <c r="FK20" s="788">
        <f>IF(DQ20/SUM(DQ:DQ)*'I-Project Contingency'!$F$95=0,0,DQ20/SUM(DQ:DQ)*'I-Project Contingency'!$F$95)</f>
        <v>0</v>
      </c>
      <c r="FL20" s="788">
        <f>IF(DR20/SUM(DR:DR)*'I-Project Contingency'!$F$96=0,0,DR20/SUM(DR:DR)*'I-Project Contingency'!$F$96)</f>
        <v>0</v>
      </c>
      <c r="FM20" s="788">
        <f>IF(DS20/SUM(DS:DS)*'I-Project Contingency'!$F$97=0,0,DS20/SUM(DS:DS)*'I-Project Contingency'!$F$97)</f>
        <v>0</v>
      </c>
      <c r="FN20" s="788">
        <f>IF(DT20/SUM(DT:DT)*'I-Project Contingency'!$F$98=0,0,DT20/SUM(DT:DT)*'I-Project Contingency'!$F$98)</f>
        <v>0</v>
      </c>
      <c r="FO20" s="788">
        <f>IF(DU20/SUM(DU:DU)*'I-Project Contingency'!$F$99=0,0,DU20/SUM(DU:DU)*'I-Project Contingency'!$F$99)</f>
        <v>0</v>
      </c>
      <c r="FP20" s="788">
        <f>IF(DV20/SUM(DV:DV)*'I-Project Contingency'!$F$100=0,0,DV20/SUM(DV:DV)*'I-Project Contingency'!$F$100)</f>
        <v>0</v>
      </c>
      <c r="FQ20" s="788">
        <f>IF(DW20/SUM(DW:DW)*'I-Project Contingency'!$F$101=0,0,DW20/SUM(DW:DW)*'I-Project Contingency'!$F$101)</f>
        <v>0</v>
      </c>
      <c r="FR20" s="788">
        <f>IF(DX20/SUM(DX:DX)*'I-Project Contingency'!$F$102=0,0,DX20/SUM(DX:DX)*'I-Project Contingency'!$F$102)</f>
        <v>0</v>
      </c>
      <c r="FS20" s="788">
        <f>IF(DY20/SUM(DY:DY)*'I-Project Contingency'!$F$103=0,0,DY20/SUM(DY:DY)*'I-Project Contingency'!$F$103)</f>
        <v>0</v>
      </c>
      <c r="FT20" s="788">
        <f>IF(DZ20/SUM(DZ:DZ)*'I-Project Contingency'!$F$104=0,0,DZ20/SUM(DZ:DZ)*'I-Project Contingency'!$F$104)</f>
        <v>0</v>
      </c>
      <c r="FU20" s="788">
        <f>IF(EA20/SUM(EA:EA)*'I-Project Contingency'!$F$105=0,0,EA20/SUM(EA:EA)*'I-Project Contingency'!$F$105)</f>
        <v>0</v>
      </c>
      <c r="FV20" s="788">
        <f>IF(EB20/SUM(EB:EB)*'I-Project Contingency'!$F$106=0,0,EB20/SUM(EB:EB)*'I-Project Contingency'!$F$106)</f>
        <v>0</v>
      </c>
      <c r="FW20" s="335">
        <f t="shared" si="13"/>
        <v>3</v>
      </c>
      <c r="FX20" s="336" t="str">
        <f t="shared" si="14"/>
        <v xml:space="preserve">3 - </v>
      </c>
      <c r="FY20" s="330">
        <f t="shared" si="15"/>
        <v>0</v>
      </c>
      <c r="FZ20" s="330">
        <f t="shared" si="16"/>
        <v>0</v>
      </c>
      <c r="GA20" s="332">
        <f t="shared" si="17"/>
        <v>0</v>
      </c>
      <c r="GB20" s="332">
        <f t="shared" si="18"/>
        <v>0</v>
      </c>
    </row>
    <row r="21" spans="1:184" ht="30" x14ac:dyDescent="0.25">
      <c r="A21" s="163">
        <f t="shared" si="23"/>
        <v>4</v>
      </c>
      <c r="B21" s="727" t="s">
        <v>728</v>
      </c>
      <c r="C21" s="729"/>
      <c r="D21" s="729"/>
      <c r="E21" s="729"/>
      <c r="F21" s="728" t="s">
        <v>728</v>
      </c>
      <c r="G21" s="728" t="s">
        <v>728</v>
      </c>
      <c r="H21" s="157" t="str">
        <f>IFERROR(IF('H-Risk Register-Model'!F21="Certain","Relook at Basis of Estimate",INDEX('G-Assumptions'!$F$8:$J$11,MATCH(F21,'G-Assumptions'!$D$8:$D$11,0),MATCH(G21,'G-Assumptions'!$F$6:$J$6,0))),"Unrated")</f>
        <v>Unrated</v>
      </c>
      <c r="I21" s="728" t="s">
        <v>728</v>
      </c>
      <c r="J21" s="157" t="str">
        <f>IFERROR(IF('H-Risk Register-Model'!F21="Certain","Relook at Basis of Estimate",INDEX('G-Assumptions'!$F$8:$J$11,MATCH(F21,'G-Assumptions'!$D$8:$D$11,0),MATCH(I21,'G-Assumptions'!$F$6:$J$6,0))),"Unrated")</f>
        <v>Unrated</v>
      </c>
      <c r="K21" s="728" t="s">
        <v>728</v>
      </c>
      <c r="L21" s="728" t="s">
        <v>728</v>
      </c>
      <c r="M21" s="728"/>
      <c r="N21" s="731" t="s">
        <v>728</v>
      </c>
      <c r="O21" s="731" t="s">
        <v>728</v>
      </c>
      <c r="P21" s="732"/>
      <c r="Q21" s="732"/>
      <c r="R21" s="732"/>
      <c r="S21" s="733"/>
      <c r="T21" s="733"/>
      <c r="U21" s="733"/>
      <c r="V21" s="734"/>
      <c r="W21" s="732"/>
      <c r="X21" s="732"/>
      <c r="Y21" s="735">
        <v>1</v>
      </c>
      <c r="Z21" s="736">
        <v>1</v>
      </c>
      <c r="AA21" s="166">
        <f t="shared" si="19"/>
        <v>0</v>
      </c>
      <c r="AB21" s="166">
        <f t="shared" si="20"/>
        <v>0</v>
      </c>
      <c r="AC21" s="166">
        <f t="shared" si="21"/>
        <v>0</v>
      </c>
      <c r="AD21" s="166"/>
      <c r="AE21" s="164">
        <f t="shared" si="22"/>
        <v>0</v>
      </c>
      <c r="AF21" s="167"/>
      <c r="AG21" s="165">
        <f t="shared" si="5"/>
        <v>0</v>
      </c>
      <c r="AH21" s="729"/>
      <c r="AI21" s="729"/>
      <c r="AJ21" s="8"/>
      <c r="AK21" s="495" t="str">
        <f t="shared" si="6"/>
        <v>No</v>
      </c>
      <c r="AL21" s="496">
        <f>'I-Project Contingency'!$I$4</f>
        <v>9000000</v>
      </c>
      <c r="AM21" s="326">
        <f>'I-Project Contingency'!$I$11</f>
        <v>23.978102189781023</v>
      </c>
      <c r="AN21" s="325">
        <f t="shared" si="7"/>
        <v>0</v>
      </c>
      <c r="AO21" s="326">
        <f t="shared" si="8"/>
        <v>0</v>
      </c>
      <c r="AP21" s="641" t="str">
        <f t="shared" si="9"/>
        <v/>
      </c>
      <c r="AQ21" s="641" t="str">
        <f t="shared" si="10"/>
        <v/>
      </c>
      <c r="AR21" s="497" t="str">
        <f t="shared" si="11"/>
        <v/>
      </c>
      <c r="AS21" s="497" t="str">
        <f t="shared" si="12"/>
        <v/>
      </c>
      <c r="AT21" s="8"/>
      <c r="AU21" s="329">
        <f>'I-Project Contingency'!$O$4-AE21</f>
        <v>0</v>
      </c>
      <c r="AV21" s="330">
        <v>-240515.59579276721</v>
      </c>
      <c r="AW21" s="330">
        <v>28172.931401335634</v>
      </c>
      <c r="AX21" s="330">
        <v>193478.84467429668</v>
      </c>
      <c r="AY21" s="330">
        <v>361668.20104834624</v>
      </c>
      <c r="AZ21" s="330">
        <v>524446.91524262261</v>
      </c>
      <c r="BA21" s="330">
        <v>704023.56387635041</v>
      </c>
      <c r="BB21" s="330">
        <v>886394.06956240814</v>
      </c>
      <c r="BC21" s="330">
        <v>1079363.7165157665</v>
      </c>
      <c r="BD21" s="330">
        <v>1280180.1532065615</v>
      </c>
      <c r="BE21" s="330">
        <v>1485323.8019108465</v>
      </c>
      <c r="BF21" s="330">
        <v>1703758.8827524669</v>
      </c>
      <c r="BG21" s="330">
        <v>1949523.4346483489</v>
      </c>
      <c r="BH21" s="330">
        <v>2177897.1603371189</v>
      </c>
      <c r="BI21" s="330">
        <v>2429374.4260425912</v>
      </c>
      <c r="BJ21" s="330">
        <v>2717092.7449284913</v>
      </c>
      <c r="BK21" s="330">
        <v>3010093.6968918457</v>
      </c>
      <c r="BL21" s="330">
        <v>3325414.5894657462</v>
      </c>
      <c r="BM21" s="330">
        <v>3690425.9159493577</v>
      </c>
      <c r="BN21" s="330">
        <v>4143935.1706127762</v>
      </c>
      <c r="BO21" s="330">
        <v>4722651.1159141911</v>
      </c>
      <c r="BP21" s="330">
        <v>5992048.8629153483</v>
      </c>
      <c r="BQ21" s="330">
        <f>'I-Project Contingency'!$E$61-AV21</f>
        <v>0</v>
      </c>
      <c r="BR21" s="330">
        <f>'I-Project Contingency'!$E$62-AW21</f>
        <v>0</v>
      </c>
      <c r="BS21" s="330">
        <f>'I-Project Contingency'!$E$63-AX21</f>
        <v>0</v>
      </c>
      <c r="BT21" s="330">
        <f>'I-Project Contingency'!$E$64-AY21</f>
        <v>0</v>
      </c>
      <c r="BU21" s="330">
        <f>'I-Project Contingency'!$E$65-AZ21</f>
        <v>0</v>
      </c>
      <c r="BV21" s="330">
        <f>'I-Project Contingency'!$E$66-BA21</f>
        <v>0</v>
      </c>
      <c r="BW21" s="330">
        <f>'I-Project Contingency'!$E$67-BB21</f>
        <v>0</v>
      </c>
      <c r="BX21" s="330">
        <f>'I-Project Contingency'!$E$68-BC21</f>
        <v>0</v>
      </c>
      <c r="BY21" s="330">
        <f>'I-Project Contingency'!$E$69-BD21</f>
        <v>0</v>
      </c>
      <c r="BZ21" s="330">
        <f>'I-Project Contingency'!$E$70-BE21</f>
        <v>0</v>
      </c>
      <c r="CA21" s="330">
        <f>'I-Project Contingency'!$E$71-BF21</f>
        <v>0</v>
      </c>
      <c r="CB21" s="330">
        <f>'I-Project Contingency'!$E$72-BG21</f>
        <v>0</v>
      </c>
      <c r="CC21" s="330">
        <f>'I-Project Contingency'!$E$73-BH21</f>
        <v>0</v>
      </c>
      <c r="CD21" s="330">
        <f>'I-Project Contingency'!$E$74-BI21</f>
        <v>0</v>
      </c>
      <c r="CE21" s="330">
        <f>'I-Project Contingency'!$E$75-BJ21</f>
        <v>0</v>
      </c>
      <c r="CF21" s="330">
        <f>'I-Project Contingency'!$E$76-BK21</f>
        <v>0</v>
      </c>
      <c r="CG21" s="330">
        <f>'I-Project Contingency'!$E$77-BL21</f>
        <v>0</v>
      </c>
      <c r="CH21" s="784">
        <f>'I-Project Contingency'!$E$78-BM21</f>
        <v>0</v>
      </c>
      <c r="CI21" s="330">
        <f>'I-Project Contingency'!$E$79-BN21</f>
        <v>0</v>
      </c>
      <c r="CJ21" s="330">
        <f>'I-Project Contingency'!$E$80-BO21</f>
        <v>0</v>
      </c>
      <c r="CK21" s="330">
        <f>'I-Project Contingency'!$E$81-BP21</f>
        <v>0</v>
      </c>
      <c r="CL21" s="331">
        <f>'I-Project Contingency'!$O$5-AG21</f>
        <v>0</v>
      </c>
      <c r="CM21" s="332">
        <v>-0.98711802853447173</v>
      </c>
      <c r="CN21" s="332">
        <v>-0.19547704728364468</v>
      </c>
      <c r="CO21" s="332">
        <v>0.126462150308498</v>
      </c>
      <c r="CP21" s="332">
        <v>0.45967989154545902</v>
      </c>
      <c r="CQ21" s="332">
        <v>0.78297319902744</v>
      </c>
      <c r="CR21" s="332">
        <v>1.0957191966482109</v>
      </c>
      <c r="CS21" s="332">
        <v>1.4418405003536849</v>
      </c>
      <c r="CT21" s="332">
        <v>1.801002404194165</v>
      </c>
      <c r="CU21" s="332">
        <v>2.1797608166947349</v>
      </c>
      <c r="CV21" s="332">
        <v>2.5671680610072478</v>
      </c>
      <c r="CW21" s="332">
        <v>2.9690760644797152</v>
      </c>
      <c r="CX21" s="332">
        <v>3.3964145469774811</v>
      </c>
      <c r="CY21" s="332">
        <v>3.864536087769562</v>
      </c>
      <c r="CZ21" s="332">
        <v>4.3569836138896116</v>
      </c>
      <c r="DA21" s="332">
        <v>4.8862357851222598</v>
      </c>
      <c r="DB21" s="332">
        <v>5.438836997347547</v>
      </c>
      <c r="DC21" s="332">
        <v>6.047993455908566</v>
      </c>
      <c r="DD21" s="785">
        <v>6.720204953601761</v>
      </c>
      <c r="DE21" s="333">
        <v>7.55131678090412</v>
      </c>
      <c r="DF21" s="332">
        <v>8.661446370835737</v>
      </c>
      <c r="DG21" s="332">
        <v>11.206316207857133</v>
      </c>
      <c r="DH21" s="332">
        <f>'I-Project Contingency'!$E$86-CM21</f>
        <v>0</v>
      </c>
      <c r="DI21" s="332">
        <f>'I-Project Contingency'!$E$87-CN21</f>
        <v>0</v>
      </c>
      <c r="DJ21" s="332">
        <f>'I-Project Contingency'!$E$88-CO21</f>
        <v>0</v>
      </c>
      <c r="DK21" s="332">
        <f>'I-Project Contingency'!$E$89-CP21</f>
        <v>0</v>
      </c>
      <c r="DL21" s="332">
        <f>'I-Project Contingency'!$E$90-CQ21</f>
        <v>0</v>
      </c>
      <c r="DM21" s="332">
        <f>'I-Project Contingency'!$E$91-CR21</f>
        <v>0</v>
      </c>
      <c r="DN21" s="332">
        <f>'I-Project Contingency'!$E$92-CS21</f>
        <v>0</v>
      </c>
      <c r="DO21" s="332">
        <f>'I-Project Contingency'!$E$93-CT21</f>
        <v>0</v>
      </c>
      <c r="DP21" s="332">
        <f>'I-Project Contingency'!$E$94-CU21</f>
        <v>0</v>
      </c>
      <c r="DQ21" s="332">
        <f>'I-Project Contingency'!$E$95-CV21</f>
        <v>0</v>
      </c>
      <c r="DR21" s="332">
        <f>'I-Project Contingency'!$E$96-CW21</f>
        <v>0</v>
      </c>
      <c r="DS21" s="332">
        <f>'I-Project Contingency'!$E$97-CX21</f>
        <v>0</v>
      </c>
      <c r="DT21" s="332">
        <f>'I-Project Contingency'!$E$98-CY21</f>
        <v>0</v>
      </c>
      <c r="DU21" s="332">
        <f>'I-Project Contingency'!$E$99-CZ21</f>
        <v>0</v>
      </c>
      <c r="DV21" s="332">
        <f>'I-Project Contingency'!$E$100-DA21</f>
        <v>0</v>
      </c>
      <c r="DW21" s="332">
        <f>'I-Project Contingency'!$E$101-DB21</f>
        <v>0</v>
      </c>
      <c r="DX21" s="332">
        <f>'I-Project Contingency'!$E$102-DC21</f>
        <v>0</v>
      </c>
      <c r="DY21" s="332">
        <f>'I-Project Contingency'!$E$103-DD21</f>
        <v>0</v>
      </c>
      <c r="DZ21" s="332">
        <f>'I-Project Contingency'!$E$104-DE21</f>
        <v>0</v>
      </c>
      <c r="EA21" s="332">
        <f>'I-Project Contingency'!$E$105-DF21</f>
        <v>0</v>
      </c>
      <c r="EB21" s="332">
        <f>'I-Project Contingency'!$E$106-DG21</f>
        <v>0</v>
      </c>
      <c r="EC21" s="334">
        <f>IF(EE21="N/A","N/A",ABS(INDEX(EE21:EY21,1,MATCH("ROM Cost Risk @ "&amp;'D-Project Data'!$C$6*100&amp;"%",$EE$17:$EY$17,0))))</f>
        <v>0</v>
      </c>
      <c r="ED21" s="335">
        <f>IF(EC21="N/A","N/A",RANK(EC21,$EC$18:$EC$117,0)+COUNTIF($EC$18:EC21,EC21)-1)</f>
        <v>4</v>
      </c>
      <c r="EE21" s="334">
        <f>IF(BQ21/SUM(BQ:BQ)*'I-Project Contingency'!$F$61=0,0,BQ21/SUM(BQ:BQ)*'I-Project Contingency'!$F$61)</f>
        <v>0</v>
      </c>
      <c r="EF21" s="334">
        <f>IF(BR21/SUM(BR:BR)*'I-Project Contingency'!$F$62=0,0,BR21/SUM(BR:BR)*'I-Project Contingency'!$F$62)</f>
        <v>0</v>
      </c>
      <c r="EG21" s="334">
        <f>IF(BS21/SUM(BS:BS)*'I-Project Contingency'!$F$63=0,0,BS21/SUM(BS:BS)*'I-Project Contingency'!$F$63)</f>
        <v>0</v>
      </c>
      <c r="EH21" s="334">
        <f>IF(BT21/SUM(BT:BT)*'I-Project Contingency'!$F$64=0,0,BT21/SUM(BT:BT)*'I-Project Contingency'!$F$64)</f>
        <v>0</v>
      </c>
      <c r="EI21" s="334">
        <f>IF(BU21/SUM(BU:BU)*'I-Project Contingency'!$F$65=0,0,BU21/SUM(BU:BU)*'I-Project Contingency'!$F$65)</f>
        <v>0</v>
      </c>
      <c r="EJ21" s="334">
        <f>IF(BV21/SUM(BV:BV)*'I-Project Contingency'!$F$66=0,0,BV21/SUM(BV:BV)*'I-Project Contingency'!$F$66)</f>
        <v>0</v>
      </c>
      <c r="EK21" s="334">
        <f>IF(BW21/SUM(BW:BW)*'I-Project Contingency'!$F$67=0,0,BW21/SUM(BW:BW)*'I-Project Contingency'!$F$67)</f>
        <v>0</v>
      </c>
      <c r="EL21" s="334">
        <f>IF(BX21/SUM(BX:BX)*'I-Project Contingency'!$F$68=0,0,BX21/SUM(BX:BX)*'I-Project Contingency'!$F$68)</f>
        <v>0</v>
      </c>
      <c r="EM21" s="334">
        <f>IF(BY21/SUM(BY:BY)*'I-Project Contingency'!$F$69=0,0,BY21/SUM(BY:BY)*'I-Project Contingency'!$F$69)</f>
        <v>0</v>
      </c>
      <c r="EN21" s="334">
        <f>IF(BZ21/SUM(BZ:BZ)*'I-Project Contingency'!$F$70=0,0,BZ21/SUM(BZ:BZ)*'I-Project Contingency'!$F$70)</f>
        <v>0</v>
      </c>
      <c r="EO21" s="334">
        <f>IF(CA21/SUM(CA:CA)*'I-Project Contingency'!$F$71=0,0,CA21/SUM(CA:CA)*'I-Project Contingency'!$F$71)</f>
        <v>0</v>
      </c>
      <c r="EP21" s="334">
        <f>IF(CB21/SUM(CB:CB)*'I-Project Contingency'!$F$72=0,0,CB21/SUM(CB:CB)*'I-Project Contingency'!$F$72)</f>
        <v>0</v>
      </c>
      <c r="EQ21" s="334">
        <f>IF(CC21/SUM(CC:CC)*'I-Project Contingency'!$F$73=0,0,CC21/SUM(CC:CC)*'I-Project Contingency'!$F$73)</f>
        <v>0</v>
      </c>
      <c r="ER21" s="334">
        <f>IF(CD21/SUM(CD:CD)*'I-Project Contingency'!$F$74=0,0,CD21/SUM(CD:CD)*'I-Project Contingency'!$F$74)</f>
        <v>0</v>
      </c>
      <c r="ES21" s="334">
        <f>IF(CE21/SUM(CE:CE)*'I-Project Contingency'!$F$75=0,0,CE21/SUM(CE:CE)*'I-Project Contingency'!$F$75)</f>
        <v>0</v>
      </c>
      <c r="ET21" s="334">
        <f>IF(CF21/SUM(CF:CF)*'I-Project Contingency'!$F$76=0,0,CF21/SUM(CF:CF)*'I-Project Contingency'!$F$76)</f>
        <v>0</v>
      </c>
      <c r="EU21" s="334">
        <f>IF(CG21/SUM(CG:CG)*'I-Project Contingency'!$F$77=0,0,CG21/SUM(CG:CG)*'I-Project Contingency'!$F$77)</f>
        <v>0</v>
      </c>
      <c r="EV21" s="787">
        <f>IF(CH21/SUM(CH:CH)*'I-Project Contingency'!$F$78=0,0,CH21/SUM(CH:CH)*'I-Project Contingency'!$F$78)</f>
        <v>0</v>
      </c>
      <c r="EW21" s="787">
        <f>IF(CI21/SUM(CI:CI)*'I-Project Contingency'!$F$79=0,0,CI21/SUM(CI:CI)*'I-Project Contingency'!$F$79)</f>
        <v>0</v>
      </c>
      <c r="EX21" s="787">
        <f>IF(CJ21/SUM(CJ:CJ)*'I-Project Contingency'!$F$80=0,0,CJ21/SUM(CJ:CJ)*'I-Project Contingency'!$F$80)</f>
        <v>0</v>
      </c>
      <c r="EY21" s="787">
        <f>IF(CK21/SUM(CK:CK)*'I-Project Contingency'!$F$81=0,0,CK21/SUM(CK:CK)*'I-Project Contingency'!$F$81)</f>
        <v>0</v>
      </c>
      <c r="EZ21" s="333">
        <f>IF(FB21="N/A","N/A",ABS(INDEX(FB21:FV21,1,MATCH("ROM Schedule Risk @ "&amp;'D-Project Data'!$C$6*100&amp;"%",$FB$17:$FV$17,0))))</f>
        <v>0</v>
      </c>
      <c r="FA21" s="335">
        <f>IF(EZ21="N/A","N/A",RANK(EZ21,$EZ$18:$EZ$117,0)+COUNTIF($FB$18:FB21,FB21)-1)</f>
        <v>4</v>
      </c>
      <c r="FB21" s="788">
        <f>IF(DH21/SUM(DH:DH)*'I-Project Contingency'!$F$86=0,0,DH21/SUM(DH:DH)*'I-Project Contingency'!$F$86)</f>
        <v>0</v>
      </c>
      <c r="FC21" s="788">
        <f>IF(DI21/SUM(DI:DI)*'I-Project Contingency'!$F$87=0,0,DI21/SUM(DI:DI)*'I-Project Contingency'!$F$87)</f>
        <v>0</v>
      </c>
      <c r="FD21" s="788">
        <f>IF(DJ21/SUM(DJ:DJ)*'I-Project Contingency'!$F$88=0,0,DJ21/SUM(DJ:DJ)*'I-Project Contingency'!$F$88)</f>
        <v>0</v>
      </c>
      <c r="FE21" s="788">
        <f>IF(DK21/SUM(DK:DK)*'I-Project Contingency'!$F$89=0,0,DK21/SUM(DK:DK)*'I-Project Contingency'!$F$89)</f>
        <v>0</v>
      </c>
      <c r="FF21" s="788">
        <f>IF(DL21/SUM(DL:DL)*'I-Project Contingency'!$F$90=0,0,DL21/SUM(DL:DL)*'I-Project Contingency'!$F$90)</f>
        <v>0</v>
      </c>
      <c r="FG21" s="788">
        <f>IF(DM21/SUM(DM:DM)*'I-Project Contingency'!$F$91=0,0,DM21/SUM(DM:DM)*'I-Project Contingency'!$F$91)</f>
        <v>0</v>
      </c>
      <c r="FH21" s="788">
        <f>IF(DN21/SUM(DN:DN)*'I-Project Contingency'!$F$92=0,0,DN21/SUM(DN:DN)*'I-Project Contingency'!$F$92)</f>
        <v>0</v>
      </c>
      <c r="FI21" s="788">
        <f>IF(DO21/SUM(DO:DO)*'I-Project Contingency'!$F$93=0,0,DO21/SUM(DO:DO)*'I-Project Contingency'!$F$93)</f>
        <v>0</v>
      </c>
      <c r="FJ21" s="788">
        <f>IF(DP21/SUM(DP:DP)*'I-Project Contingency'!$F$94=0,0,DP21/SUM(DP:DP)*'I-Project Contingency'!$F$94)</f>
        <v>0</v>
      </c>
      <c r="FK21" s="788">
        <f>IF(DQ21/SUM(DQ:DQ)*'I-Project Contingency'!$F$95=0,0,DQ21/SUM(DQ:DQ)*'I-Project Contingency'!$F$95)</f>
        <v>0</v>
      </c>
      <c r="FL21" s="788">
        <f>IF(DR21/SUM(DR:DR)*'I-Project Contingency'!$F$96=0,0,DR21/SUM(DR:DR)*'I-Project Contingency'!$F$96)</f>
        <v>0</v>
      </c>
      <c r="FM21" s="788">
        <f>IF(DS21/SUM(DS:DS)*'I-Project Contingency'!$F$97=0,0,DS21/SUM(DS:DS)*'I-Project Contingency'!$F$97)</f>
        <v>0</v>
      </c>
      <c r="FN21" s="788">
        <f>IF(DT21/SUM(DT:DT)*'I-Project Contingency'!$F$98=0,0,DT21/SUM(DT:DT)*'I-Project Contingency'!$F$98)</f>
        <v>0</v>
      </c>
      <c r="FO21" s="788">
        <f>IF(DU21/SUM(DU:DU)*'I-Project Contingency'!$F$99=0,0,DU21/SUM(DU:DU)*'I-Project Contingency'!$F$99)</f>
        <v>0</v>
      </c>
      <c r="FP21" s="788">
        <f>IF(DV21/SUM(DV:DV)*'I-Project Contingency'!$F$100=0,0,DV21/SUM(DV:DV)*'I-Project Contingency'!$F$100)</f>
        <v>0</v>
      </c>
      <c r="FQ21" s="788">
        <f>IF(DW21/SUM(DW:DW)*'I-Project Contingency'!$F$101=0,0,DW21/SUM(DW:DW)*'I-Project Contingency'!$F$101)</f>
        <v>0</v>
      </c>
      <c r="FR21" s="788">
        <f>IF(DX21/SUM(DX:DX)*'I-Project Contingency'!$F$102=0,0,DX21/SUM(DX:DX)*'I-Project Contingency'!$F$102)</f>
        <v>0</v>
      </c>
      <c r="FS21" s="788">
        <f>IF(DY21/SUM(DY:DY)*'I-Project Contingency'!$F$103=0,0,DY21/SUM(DY:DY)*'I-Project Contingency'!$F$103)</f>
        <v>0</v>
      </c>
      <c r="FT21" s="788">
        <f>IF(DZ21/SUM(DZ:DZ)*'I-Project Contingency'!$F$104=0,0,DZ21/SUM(DZ:DZ)*'I-Project Contingency'!$F$104)</f>
        <v>0</v>
      </c>
      <c r="FU21" s="788">
        <f>IF(EA21/SUM(EA:EA)*'I-Project Contingency'!$F$105=0,0,EA21/SUM(EA:EA)*'I-Project Contingency'!$F$105)</f>
        <v>0</v>
      </c>
      <c r="FV21" s="788">
        <f>IF(EB21/SUM(EB:EB)*'I-Project Contingency'!$F$106=0,0,EB21/SUM(EB:EB)*'I-Project Contingency'!$F$106)</f>
        <v>0</v>
      </c>
      <c r="FW21" s="335">
        <f t="shared" si="13"/>
        <v>4</v>
      </c>
      <c r="FX21" s="336" t="str">
        <f t="shared" si="14"/>
        <v xml:space="preserve">4 - </v>
      </c>
      <c r="FY21" s="330">
        <f t="shared" si="15"/>
        <v>0</v>
      </c>
      <c r="FZ21" s="330">
        <f t="shared" si="16"/>
        <v>0</v>
      </c>
      <c r="GA21" s="332">
        <f t="shared" si="17"/>
        <v>0</v>
      </c>
      <c r="GB21" s="332">
        <f t="shared" si="18"/>
        <v>0</v>
      </c>
    </row>
    <row r="22" spans="1:184" ht="30" x14ac:dyDescent="0.25">
      <c r="A22" s="163">
        <f t="shared" si="23"/>
        <v>5</v>
      </c>
      <c r="B22" s="727" t="s">
        <v>728</v>
      </c>
      <c r="C22" s="729"/>
      <c r="D22" s="729"/>
      <c r="E22" s="729"/>
      <c r="F22" s="728" t="s">
        <v>728</v>
      </c>
      <c r="G22" s="728" t="s">
        <v>728</v>
      </c>
      <c r="H22" s="157" t="str">
        <f>IFERROR(IF('H-Risk Register-Model'!F22="Certain","Relook at Basis of Estimate",INDEX('G-Assumptions'!$F$8:$J$11,MATCH(F22,'G-Assumptions'!$D$8:$D$11,0),MATCH(G22,'G-Assumptions'!$F$6:$J$6,0))),"Unrated")</f>
        <v>Unrated</v>
      </c>
      <c r="I22" s="728" t="s">
        <v>728</v>
      </c>
      <c r="J22" s="157" t="str">
        <f>IFERROR(IF('H-Risk Register-Model'!F22="Certain","Relook at Basis of Estimate",INDEX('G-Assumptions'!$F$8:$J$11,MATCH(F22,'G-Assumptions'!$D$8:$D$11,0),MATCH(I22,'G-Assumptions'!$F$6:$J$6,0))),"Unrated")</f>
        <v>Unrated</v>
      </c>
      <c r="K22" s="728" t="s">
        <v>728</v>
      </c>
      <c r="L22" s="728" t="s">
        <v>728</v>
      </c>
      <c r="M22" s="728"/>
      <c r="N22" s="731" t="s">
        <v>728</v>
      </c>
      <c r="O22" s="731" t="s">
        <v>728</v>
      </c>
      <c r="P22" s="732"/>
      <c r="Q22" s="732"/>
      <c r="R22" s="732"/>
      <c r="S22" s="733"/>
      <c r="T22" s="733"/>
      <c r="U22" s="733"/>
      <c r="V22" s="734"/>
      <c r="W22" s="732"/>
      <c r="X22" s="732"/>
      <c r="Y22" s="735">
        <v>1</v>
      </c>
      <c r="Z22" s="736">
        <v>1</v>
      </c>
      <c r="AA22" s="166">
        <f t="shared" si="19"/>
        <v>0</v>
      </c>
      <c r="AB22" s="166">
        <f t="shared" si="20"/>
        <v>0</v>
      </c>
      <c r="AC22" s="166">
        <f t="shared" si="21"/>
        <v>0</v>
      </c>
      <c r="AD22" s="166"/>
      <c r="AE22" s="164">
        <f t="shared" si="22"/>
        <v>0</v>
      </c>
      <c r="AF22" s="167"/>
      <c r="AG22" s="165">
        <f t="shared" si="5"/>
        <v>0</v>
      </c>
      <c r="AH22" s="729"/>
      <c r="AI22" s="729"/>
      <c r="AJ22" s="8"/>
      <c r="AK22" s="495" t="str">
        <f t="shared" si="6"/>
        <v>No</v>
      </c>
      <c r="AL22" s="496">
        <f>'I-Project Contingency'!$I$4</f>
        <v>9000000</v>
      </c>
      <c r="AM22" s="326">
        <f>'I-Project Contingency'!$I$11</f>
        <v>23.978102189781023</v>
      </c>
      <c r="AN22" s="325">
        <f t="shared" si="7"/>
        <v>0</v>
      </c>
      <c r="AO22" s="326">
        <f t="shared" si="8"/>
        <v>0</v>
      </c>
      <c r="AP22" s="641" t="str">
        <f t="shared" si="9"/>
        <v/>
      </c>
      <c r="AQ22" s="641" t="str">
        <f t="shared" si="10"/>
        <v/>
      </c>
      <c r="AR22" s="497" t="str">
        <f t="shared" si="11"/>
        <v/>
      </c>
      <c r="AS22" s="497" t="str">
        <f t="shared" si="12"/>
        <v/>
      </c>
      <c r="AT22" s="8"/>
      <c r="AU22" s="329">
        <f>'I-Project Contingency'!$O$4-AE22</f>
        <v>0</v>
      </c>
      <c r="AV22" s="330">
        <v>-240515.59579276721</v>
      </c>
      <c r="AW22" s="330">
        <v>28172.931401335634</v>
      </c>
      <c r="AX22" s="330">
        <v>193478.84467429668</v>
      </c>
      <c r="AY22" s="330">
        <v>361668.20104834624</v>
      </c>
      <c r="AZ22" s="330">
        <v>524446.91524262261</v>
      </c>
      <c r="BA22" s="330">
        <v>704023.56387635041</v>
      </c>
      <c r="BB22" s="330">
        <v>886394.06956240814</v>
      </c>
      <c r="BC22" s="330">
        <v>1079363.7165157665</v>
      </c>
      <c r="BD22" s="330">
        <v>1280180.1532065615</v>
      </c>
      <c r="BE22" s="330">
        <v>1485323.8019108465</v>
      </c>
      <c r="BF22" s="330">
        <v>1703758.8827524669</v>
      </c>
      <c r="BG22" s="330">
        <v>1949523.4346483489</v>
      </c>
      <c r="BH22" s="330">
        <v>2177897.1603371189</v>
      </c>
      <c r="BI22" s="330">
        <v>2429374.4260425912</v>
      </c>
      <c r="BJ22" s="330">
        <v>2717092.7449284913</v>
      </c>
      <c r="BK22" s="330">
        <v>3010093.6968918457</v>
      </c>
      <c r="BL22" s="330">
        <v>3325414.5894657462</v>
      </c>
      <c r="BM22" s="330">
        <v>3690425.9159493577</v>
      </c>
      <c r="BN22" s="330">
        <v>4143935.1706127762</v>
      </c>
      <c r="BO22" s="330">
        <v>4722651.1159141911</v>
      </c>
      <c r="BP22" s="330">
        <v>5992048.8629153483</v>
      </c>
      <c r="BQ22" s="330">
        <f>'I-Project Contingency'!$E$61-AV22</f>
        <v>0</v>
      </c>
      <c r="BR22" s="330">
        <f>'I-Project Contingency'!$E$62-AW22</f>
        <v>0</v>
      </c>
      <c r="BS22" s="330">
        <f>'I-Project Contingency'!$E$63-AX22</f>
        <v>0</v>
      </c>
      <c r="BT22" s="330">
        <f>'I-Project Contingency'!$E$64-AY22</f>
        <v>0</v>
      </c>
      <c r="BU22" s="330">
        <f>'I-Project Contingency'!$E$65-AZ22</f>
        <v>0</v>
      </c>
      <c r="BV22" s="330">
        <f>'I-Project Contingency'!$E$66-BA22</f>
        <v>0</v>
      </c>
      <c r="BW22" s="330">
        <f>'I-Project Contingency'!$E$67-BB22</f>
        <v>0</v>
      </c>
      <c r="BX22" s="330">
        <f>'I-Project Contingency'!$E$68-BC22</f>
        <v>0</v>
      </c>
      <c r="BY22" s="330">
        <f>'I-Project Contingency'!$E$69-BD22</f>
        <v>0</v>
      </c>
      <c r="BZ22" s="330">
        <f>'I-Project Contingency'!$E$70-BE22</f>
        <v>0</v>
      </c>
      <c r="CA22" s="330">
        <f>'I-Project Contingency'!$E$71-BF22</f>
        <v>0</v>
      </c>
      <c r="CB22" s="330">
        <f>'I-Project Contingency'!$E$72-BG22</f>
        <v>0</v>
      </c>
      <c r="CC22" s="330">
        <f>'I-Project Contingency'!$E$73-BH22</f>
        <v>0</v>
      </c>
      <c r="CD22" s="330">
        <f>'I-Project Contingency'!$E$74-BI22</f>
        <v>0</v>
      </c>
      <c r="CE22" s="330">
        <f>'I-Project Contingency'!$E$75-BJ22</f>
        <v>0</v>
      </c>
      <c r="CF22" s="330">
        <f>'I-Project Contingency'!$E$76-BK22</f>
        <v>0</v>
      </c>
      <c r="CG22" s="330">
        <f>'I-Project Contingency'!$E$77-BL22</f>
        <v>0</v>
      </c>
      <c r="CH22" s="784">
        <f>'I-Project Contingency'!$E$78-BM22</f>
        <v>0</v>
      </c>
      <c r="CI22" s="330">
        <f>'I-Project Contingency'!$E$79-BN22</f>
        <v>0</v>
      </c>
      <c r="CJ22" s="330">
        <f>'I-Project Contingency'!$E$80-BO22</f>
        <v>0</v>
      </c>
      <c r="CK22" s="330">
        <f>'I-Project Contingency'!$E$81-BP22</f>
        <v>0</v>
      </c>
      <c r="CL22" s="331">
        <f>'I-Project Contingency'!$O$5-AG22</f>
        <v>0</v>
      </c>
      <c r="CM22" s="332">
        <v>-0.98711802853447173</v>
      </c>
      <c r="CN22" s="332">
        <v>-0.19547704728364468</v>
      </c>
      <c r="CO22" s="332">
        <v>0.126462150308498</v>
      </c>
      <c r="CP22" s="332">
        <v>0.45967989154545902</v>
      </c>
      <c r="CQ22" s="332">
        <v>0.78297319902744</v>
      </c>
      <c r="CR22" s="332">
        <v>1.0957191966482109</v>
      </c>
      <c r="CS22" s="332">
        <v>1.4418405003536849</v>
      </c>
      <c r="CT22" s="332">
        <v>1.801002404194165</v>
      </c>
      <c r="CU22" s="332">
        <v>2.1797608166947349</v>
      </c>
      <c r="CV22" s="332">
        <v>2.5671680610072478</v>
      </c>
      <c r="CW22" s="332">
        <v>2.9690760644797152</v>
      </c>
      <c r="CX22" s="332">
        <v>3.3964145469774811</v>
      </c>
      <c r="CY22" s="332">
        <v>3.864536087769562</v>
      </c>
      <c r="CZ22" s="332">
        <v>4.3569836138896116</v>
      </c>
      <c r="DA22" s="332">
        <v>4.8862357851222598</v>
      </c>
      <c r="DB22" s="332">
        <v>5.438836997347547</v>
      </c>
      <c r="DC22" s="332">
        <v>6.047993455908566</v>
      </c>
      <c r="DD22" s="785">
        <v>6.720204953601761</v>
      </c>
      <c r="DE22" s="333">
        <v>7.55131678090412</v>
      </c>
      <c r="DF22" s="332">
        <v>8.661446370835737</v>
      </c>
      <c r="DG22" s="332">
        <v>11.206316207857133</v>
      </c>
      <c r="DH22" s="332">
        <f>'I-Project Contingency'!$E$86-CM22</f>
        <v>0</v>
      </c>
      <c r="DI22" s="332">
        <f>'I-Project Contingency'!$E$87-CN22</f>
        <v>0</v>
      </c>
      <c r="DJ22" s="332">
        <f>'I-Project Contingency'!$E$88-CO22</f>
        <v>0</v>
      </c>
      <c r="DK22" s="332">
        <f>'I-Project Contingency'!$E$89-CP22</f>
        <v>0</v>
      </c>
      <c r="DL22" s="332">
        <f>'I-Project Contingency'!$E$90-CQ22</f>
        <v>0</v>
      </c>
      <c r="DM22" s="332">
        <f>'I-Project Contingency'!$E$91-CR22</f>
        <v>0</v>
      </c>
      <c r="DN22" s="332">
        <f>'I-Project Contingency'!$E$92-CS22</f>
        <v>0</v>
      </c>
      <c r="DO22" s="332">
        <f>'I-Project Contingency'!$E$93-CT22</f>
        <v>0</v>
      </c>
      <c r="DP22" s="332">
        <f>'I-Project Contingency'!$E$94-CU22</f>
        <v>0</v>
      </c>
      <c r="DQ22" s="332">
        <f>'I-Project Contingency'!$E$95-CV22</f>
        <v>0</v>
      </c>
      <c r="DR22" s="332">
        <f>'I-Project Contingency'!$E$96-CW22</f>
        <v>0</v>
      </c>
      <c r="DS22" s="332">
        <f>'I-Project Contingency'!$E$97-CX22</f>
        <v>0</v>
      </c>
      <c r="DT22" s="332">
        <f>'I-Project Contingency'!$E$98-CY22</f>
        <v>0</v>
      </c>
      <c r="DU22" s="332">
        <f>'I-Project Contingency'!$E$99-CZ22</f>
        <v>0</v>
      </c>
      <c r="DV22" s="332">
        <f>'I-Project Contingency'!$E$100-DA22</f>
        <v>0</v>
      </c>
      <c r="DW22" s="332">
        <f>'I-Project Contingency'!$E$101-DB22</f>
        <v>0</v>
      </c>
      <c r="DX22" s="332">
        <f>'I-Project Contingency'!$E$102-DC22</f>
        <v>0</v>
      </c>
      <c r="DY22" s="332">
        <f>'I-Project Contingency'!$E$103-DD22</f>
        <v>0</v>
      </c>
      <c r="DZ22" s="332">
        <f>'I-Project Contingency'!$E$104-DE22</f>
        <v>0</v>
      </c>
      <c r="EA22" s="332">
        <f>'I-Project Contingency'!$E$105-DF22</f>
        <v>0</v>
      </c>
      <c r="EB22" s="332">
        <f>'I-Project Contingency'!$E$106-DG22</f>
        <v>0</v>
      </c>
      <c r="EC22" s="334">
        <f>IF(EE22="N/A","N/A",ABS(INDEX(EE22:EY22,1,MATCH("ROM Cost Risk @ "&amp;'D-Project Data'!$C$6*100&amp;"%",$EE$17:$EY$17,0))))</f>
        <v>0</v>
      </c>
      <c r="ED22" s="335">
        <f>IF(EC22="N/A","N/A",RANK(EC22,$EC$18:$EC$117,0)+COUNTIF($EC$18:EC22,EC22)-1)</f>
        <v>5</v>
      </c>
      <c r="EE22" s="334">
        <f>IF(BQ22/SUM(BQ:BQ)*'I-Project Contingency'!$F$61=0,0,BQ22/SUM(BQ:BQ)*'I-Project Contingency'!$F$61)</f>
        <v>0</v>
      </c>
      <c r="EF22" s="334">
        <f>IF(BR22/SUM(BR:BR)*'I-Project Contingency'!$F$62=0,0,BR22/SUM(BR:BR)*'I-Project Contingency'!$F$62)</f>
        <v>0</v>
      </c>
      <c r="EG22" s="334">
        <f>IF(BS22/SUM(BS:BS)*'I-Project Contingency'!$F$63=0,0,BS22/SUM(BS:BS)*'I-Project Contingency'!$F$63)</f>
        <v>0</v>
      </c>
      <c r="EH22" s="334">
        <f>IF(BT22/SUM(BT:BT)*'I-Project Contingency'!$F$64=0,0,BT22/SUM(BT:BT)*'I-Project Contingency'!$F$64)</f>
        <v>0</v>
      </c>
      <c r="EI22" s="334">
        <f>IF(BU22/SUM(BU:BU)*'I-Project Contingency'!$F$65=0,0,BU22/SUM(BU:BU)*'I-Project Contingency'!$F$65)</f>
        <v>0</v>
      </c>
      <c r="EJ22" s="334">
        <f>IF(BV22/SUM(BV:BV)*'I-Project Contingency'!$F$66=0,0,BV22/SUM(BV:BV)*'I-Project Contingency'!$F$66)</f>
        <v>0</v>
      </c>
      <c r="EK22" s="334">
        <f>IF(BW22/SUM(BW:BW)*'I-Project Contingency'!$F$67=0,0,BW22/SUM(BW:BW)*'I-Project Contingency'!$F$67)</f>
        <v>0</v>
      </c>
      <c r="EL22" s="334">
        <f>IF(BX22/SUM(BX:BX)*'I-Project Contingency'!$F$68=0,0,BX22/SUM(BX:BX)*'I-Project Contingency'!$F$68)</f>
        <v>0</v>
      </c>
      <c r="EM22" s="334">
        <f>IF(BY22/SUM(BY:BY)*'I-Project Contingency'!$F$69=0,0,BY22/SUM(BY:BY)*'I-Project Contingency'!$F$69)</f>
        <v>0</v>
      </c>
      <c r="EN22" s="334">
        <f>IF(BZ22/SUM(BZ:BZ)*'I-Project Contingency'!$F$70=0,0,BZ22/SUM(BZ:BZ)*'I-Project Contingency'!$F$70)</f>
        <v>0</v>
      </c>
      <c r="EO22" s="334">
        <f>IF(CA22/SUM(CA:CA)*'I-Project Contingency'!$F$71=0,0,CA22/SUM(CA:CA)*'I-Project Contingency'!$F$71)</f>
        <v>0</v>
      </c>
      <c r="EP22" s="334">
        <f>IF(CB22/SUM(CB:CB)*'I-Project Contingency'!$F$72=0,0,CB22/SUM(CB:CB)*'I-Project Contingency'!$F$72)</f>
        <v>0</v>
      </c>
      <c r="EQ22" s="334">
        <f>IF(CC22/SUM(CC:CC)*'I-Project Contingency'!$F$73=0,0,CC22/SUM(CC:CC)*'I-Project Contingency'!$F$73)</f>
        <v>0</v>
      </c>
      <c r="ER22" s="334">
        <f>IF(CD22/SUM(CD:CD)*'I-Project Contingency'!$F$74=0,0,CD22/SUM(CD:CD)*'I-Project Contingency'!$F$74)</f>
        <v>0</v>
      </c>
      <c r="ES22" s="334">
        <f>IF(CE22/SUM(CE:CE)*'I-Project Contingency'!$F$75=0,0,CE22/SUM(CE:CE)*'I-Project Contingency'!$F$75)</f>
        <v>0</v>
      </c>
      <c r="ET22" s="334">
        <f>IF(CF22/SUM(CF:CF)*'I-Project Contingency'!$F$76=0,0,CF22/SUM(CF:CF)*'I-Project Contingency'!$F$76)</f>
        <v>0</v>
      </c>
      <c r="EU22" s="334">
        <f>IF(CG22/SUM(CG:CG)*'I-Project Contingency'!$F$77=0,0,CG22/SUM(CG:CG)*'I-Project Contingency'!$F$77)</f>
        <v>0</v>
      </c>
      <c r="EV22" s="787">
        <f>IF(CH22/SUM(CH:CH)*'I-Project Contingency'!$F$78=0,0,CH22/SUM(CH:CH)*'I-Project Contingency'!$F$78)</f>
        <v>0</v>
      </c>
      <c r="EW22" s="787">
        <f>IF(CI22/SUM(CI:CI)*'I-Project Contingency'!$F$79=0,0,CI22/SUM(CI:CI)*'I-Project Contingency'!$F$79)</f>
        <v>0</v>
      </c>
      <c r="EX22" s="787">
        <f>IF(CJ22/SUM(CJ:CJ)*'I-Project Contingency'!$F$80=0,0,CJ22/SUM(CJ:CJ)*'I-Project Contingency'!$F$80)</f>
        <v>0</v>
      </c>
      <c r="EY22" s="787">
        <f>IF(CK22/SUM(CK:CK)*'I-Project Contingency'!$F$81=0,0,CK22/SUM(CK:CK)*'I-Project Contingency'!$F$81)</f>
        <v>0</v>
      </c>
      <c r="EZ22" s="333">
        <f>IF(FB22="N/A","N/A",ABS(INDEX(FB22:FV22,1,MATCH("ROM Schedule Risk @ "&amp;'D-Project Data'!$C$6*100&amp;"%",$FB$17:$FV$17,0))))</f>
        <v>0</v>
      </c>
      <c r="FA22" s="335">
        <f>IF(EZ22="N/A","N/A",RANK(EZ22,$EZ$18:$EZ$117,0)+COUNTIF($FB$18:FB22,FB22)-1)</f>
        <v>5</v>
      </c>
      <c r="FB22" s="788">
        <f>IF(DH22/SUM(DH:DH)*'I-Project Contingency'!$F$86=0,0,DH22/SUM(DH:DH)*'I-Project Contingency'!$F$86)</f>
        <v>0</v>
      </c>
      <c r="FC22" s="788">
        <f>IF(DI22/SUM(DI:DI)*'I-Project Contingency'!$F$87=0,0,DI22/SUM(DI:DI)*'I-Project Contingency'!$F$87)</f>
        <v>0</v>
      </c>
      <c r="FD22" s="788">
        <f>IF(DJ22/SUM(DJ:DJ)*'I-Project Contingency'!$F$88=0,0,DJ22/SUM(DJ:DJ)*'I-Project Contingency'!$F$88)</f>
        <v>0</v>
      </c>
      <c r="FE22" s="788">
        <f>IF(DK22/SUM(DK:DK)*'I-Project Contingency'!$F$89=0,0,DK22/SUM(DK:DK)*'I-Project Contingency'!$F$89)</f>
        <v>0</v>
      </c>
      <c r="FF22" s="788">
        <f>IF(DL22/SUM(DL:DL)*'I-Project Contingency'!$F$90=0,0,DL22/SUM(DL:DL)*'I-Project Contingency'!$F$90)</f>
        <v>0</v>
      </c>
      <c r="FG22" s="788">
        <f>IF(DM22/SUM(DM:DM)*'I-Project Contingency'!$F$91=0,0,DM22/SUM(DM:DM)*'I-Project Contingency'!$F$91)</f>
        <v>0</v>
      </c>
      <c r="FH22" s="788">
        <f>IF(DN22/SUM(DN:DN)*'I-Project Contingency'!$F$92=0,0,DN22/SUM(DN:DN)*'I-Project Contingency'!$F$92)</f>
        <v>0</v>
      </c>
      <c r="FI22" s="788">
        <f>IF(DO22/SUM(DO:DO)*'I-Project Contingency'!$F$93=0,0,DO22/SUM(DO:DO)*'I-Project Contingency'!$F$93)</f>
        <v>0</v>
      </c>
      <c r="FJ22" s="788">
        <f>IF(DP22/SUM(DP:DP)*'I-Project Contingency'!$F$94=0,0,DP22/SUM(DP:DP)*'I-Project Contingency'!$F$94)</f>
        <v>0</v>
      </c>
      <c r="FK22" s="788">
        <f>IF(DQ22/SUM(DQ:DQ)*'I-Project Contingency'!$F$95=0,0,DQ22/SUM(DQ:DQ)*'I-Project Contingency'!$F$95)</f>
        <v>0</v>
      </c>
      <c r="FL22" s="788">
        <f>IF(DR22/SUM(DR:DR)*'I-Project Contingency'!$F$96=0,0,DR22/SUM(DR:DR)*'I-Project Contingency'!$F$96)</f>
        <v>0</v>
      </c>
      <c r="FM22" s="788">
        <f>IF(DS22/SUM(DS:DS)*'I-Project Contingency'!$F$97=0,0,DS22/SUM(DS:DS)*'I-Project Contingency'!$F$97)</f>
        <v>0</v>
      </c>
      <c r="FN22" s="788">
        <f>IF(DT22/SUM(DT:DT)*'I-Project Contingency'!$F$98=0,0,DT22/SUM(DT:DT)*'I-Project Contingency'!$F$98)</f>
        <v>0</v>
      </c>
      <c r="FO22" s="788">
        <f>IF(DU22/SUM(DU:DU)*'I-Project Contingency'!$F$99=0,0,DU22/SUM(DU:DU)*'I-Project Contingency'!$F$99)</f>
        <v>0</v>
      </c>
      <c r="FP22" s="788">
        <f>IF(DV22/SUM(DV:DV)*'I-Project Contingency'!$F$100=0,0,DV22/SUM(DV:DV)*'I-Project Contingency'!$F$100)</f>
        <v>0</v>
      </c>
      <c r="FQ22" s="788">
        <f>IF(DW22/SUM(DW:DW)*'I-Project Contingency'!$F$101=0,0,DW22/SUM(DW:DW)*'I-Project Contingency'!$F$101)</f>
        <v>0</v>
      </c>
      <c r="FR22" s="788">
        <f>IF(DX22/SUM(DX:DX)*'I-Project Contingency'!$F$102=0,0,DX22/SUM(DX:DX)*'I-Project Contingency'!$F$102)</f>
        <v>0</v>
      </c>
      <c r="FS22" s="788">
        <f>IF(DY22/SUM(DY:DY)*'I-Project Contingency'!$F$103=0,0,DY22/SUM(DY:DY)*'I-Project Contingency'!$F$103)</f>
        <v>0</v>
      </c>
      <c r="FT22" s="788">
        <f>IF(DZ22/SUM(DZ:DZ)*'I-Project Contingency'!$F$104=0,0,DZ22/SUM(DZ:DZ)*'I-Project Contingency'!$F$104)</f>
        <v>0</v>
      </c>
      <c r="FU22" s="788">
        <f>IF(EA22/SUM(EA:EA)*'I-Project Contingency'!$F$105=0,0,EA22/SUM(EA:EA)*'I-Project Contingency'!$F$105)</f>
        <v>0</v>
      </c>
      <c r="FV22" s="788">
        <f>IF(EB22/SUM(EB:EB)*'I-Project Contingency'!$F$106=0,0,EB22/SUM(EB:EB)*'I-Project Contingency'!$F$106)</f>
        <v>0</v>
      </c>
      <c r="FW22" s="335">
        <f t="shared" si="13"/>
        <v>5</v>
      </c>
      <c r="FX22" s="336" t="str">
        <f t="shared" si="14"/>
        <v xml:space="preserve">5 - </v>
      </c>
      <c r="FY22" s="330">
        <f t="shared" si="15"/>
        <v>0</v>
      </c>
      <c r="FZ22" s="330">
        <f t="shared" si="16"/>
        <v>0</v>
      </c>
      <c r="GA22" s="332">
        <f t="shared" si="17"/>
        <v>0</v>
      </c>
      <c r="GB22" s="332">
        <f t="shared" si="18"/>
        <v>0</v>
      </c>
    </row>
    <row r="23" spans="1:184" ht="30" x14ac:dyDescent="0.25">
      <c r="A23" s="163">
        <f t="shared" si="23"/>
        <v>6</v>
      </c>
      <c r="B23" s="727" t="s">
        <v>728</v>
      </c>
      <c r="C23" s="729"/>
      <c r="D23" s="729"/>
      <c r="E23" s="729"/>
      <c r="F23" s="728" t="s">
        <v>728</v>
      </c>
      <c r="G23" s="728" t="s">
        <v>728</v>
      </c>
      <c r="H23" s="157" t="str">
        <f>IFERROR(IF('H-Risk Register-Model'!F23="Certain","Relook at Basis of Estimate",INDEX('G-Assumptions'!$F$8:$J$11,MATCH(F23,'G-Assumptions'!$D$8:$D$11,0),MATCH(G23,'G-Assumptions'!$F$6:$J$6,0))),"Unrated")</f>
        <v>Unrated</v>
      </c>
      <c r="I23" s="728" t="s">
        <v>728</v>
      </c>
      <c r="J23" s="157" t="str">
        <f>IFERROR(IF('H-Risk Register-Model'!F23="Certain","Relook at Basis of Estimate",INDEX('G-Assumptions'!$F$8:$J$11,MATCH(F23,'G-Assumptions'!$D$8:$D$11,0),MATCH(I23,'G-Assumptions'!$F$6:$J$6,0))),"Unrated")</f>
        <v>Unrated</v>
      </c>
      <c r="K23" s="728" t="s">
        <v>728</v>
      </c>
      <c r="L23" s="728" t="s">
        <v>728</v>
      </c>
      <c r="M23" s="728"/>
      <c r="N23" s="731" t="s">
        <v>728</v>
      </c>
      <c r="O23" s="731" t="s">
        <v>728</v>
      </c>
      <c r="P23" s="732"/>
      <c r="Q23" s="732"/>
      <c r="R23" s="732"/>
      <c r="S23" s="733"/>
      <c r="T23" s="733"/>
      <c r="U23" s="733"/>
      <c r="V23" s="734"/>
      <c r="W23" s="732"/>
      <c r="X23" s="732"/>
      <c r="Y23" s="735">
        <v>1</v>
      </c>
      <c r="Z23" s="736">
        <v>1</v>
      </c>
      <c r="AA23" s="166">
        <f t="shared" si="19"/>
        <v>0</v>
      </c>
      <c r="AB23" s="166">
        <f t="shared" si="20"/>
        <v>0</v>
      </c>
      <c r="AC23" s="166">
        <f t="shared" si="21"/>
        <v>0</v>
      </c>
      <c r="AD23" s="166"/>
      <c r="AE23" s="164">
        <f t="shared" si="22"/>
        <v>0</v>
      </c>
      <c r="AF23" s="167"/>
      <c r="AG23" s="165">
        <f t="shared" si="5"/>
        <v>0</v>
      </c>
      <c r="AH23" s="729"/>
      <c r="AI23" s="729"/>
      <c r="AJ23" s="8"/>
      <c r="AK23" s="495" t="str">
        <f t="shared" si="6"/>
        <v>No</v>
      </c>
      <c r="AL23" s="496">
        <f>'I-Project Contingency'!$I$4</f>
        <v>9000000</v>
      </c>
      <c r="AM23" s="326">
        <f>'I-Project Contingency'!$I$11</f>
        <v>23.978102189781023</v>
      </c>
      <c r="AN23" s="325">
        <f t="shared" si="7"/>
        <v>0</v>
      </c>
      <c r="AO23" s="326">
        <f t="shared" si="8"/>
        <v>0</v>
      </c>
      <c r="AP23" s="641" t="str">
        <f t="shared" si="9"/>
        <v/>
      </c>
      <c r="AQ23" s="641" t="str">
        <f t="shared" si="10"/>
        <v/>
      </c>
      <c r="AR23" s="497" t="str">
        <f t="shared" si="11"/>
        <v/>
      </c>
      <c r="AS23" s="497" t="str">
        <f t="shared" si="12"/>
        <v/>
      </c>
      <c r="AT23" s="8"/>
      <c r="AU23" s="329">
        <f>'I-Project Contingency'!$O$4-AE23</f>
        <v>0</v>
      </c>
      <c r="AV23" s="330">
        <v>-240515.59579276721</v>
      </c>
      <c r="AW23" s="330">
        <v>28172.931401335634</v>
      </c>
      <c r="AX23" s="330">
        <v>193478.84467429668</v>
      </c>
      <c r="AY23" s="330">
        <v>361668.20104834624</v>
      </c>
      <c r="AZ23" s="330">
        <v>524446.91524262261</v>
      </c>
      <c r="BA23" s="330">
        <v>704023.56387635041</v>
      </c>
      <c r="BB23" s="330">
        <v>886394.06956240814</v>
      </c>
      <c r="BC23" s="330">
        <v>1079363.7165157665</v>
      </c>
      <c r="BD23" s="330">
        <v>1280180.1532065615</v>
      </c>
      <c r="BE23" s="330">
        <v>1485323.8019108465</v>
      </c>
      <c r="BF23" s="330">
        <v>1703758.8827524669</v>
      </c>
      <c r="BG23" s="330">
        <v>1949523.4346483489</v>
      </c>
      <c r="BH23" s="330">
        <v>2177897.1603371189</v>
      </c>
      <c r="BI23" s="330">
        <v>2429374.4260425912</v>
      </c>
      <c r="BJ23" s="330">
        <v>2717092.7449284913</v>
      </c>
      <c r="BK23" s="330">
        <v>3010093.6968918457</v>
      </c>
      <c r="BL23" s="330">
        <v>3325414.5894657462</v>
      </c>
      <c r="BM23" s="330">
        <v>3690425.9159493577</v>
      </c>
      <c r="BN23" s="330">
        <v>4143935.1706127762</v>
      </c>
      <c r="BO23" s="330">
        <v>4722651.1159141911</v>
      </c>
      <c r="BP23" s="330">
        <v>5992048.8629153483</v>
      </c>
      <c r="BQ23" s="330">
        <f>'I-Project Contingency'!$E$61-AV23</f>
        <v>0</v>
      </c>
      <c r="BR23" s="330">
        <f>'I-Project Contingency'!$E$62-AW23</f>
        <v>0</v>
      </c>
      <c r="BS23" s="330">
        <f>'I-Project Contingency'!$E$63-AX23</f>
        <v>0</v>
      </c>
      <c r="BT23" s="330">
        <f>'I-Project Contingency'!$E$64-AY23</f>
        <v>0</v>
      </c>
      <c r="BU23" s="330">
        <f>'I-Project Contingency'!$E$65-AZ23</f>
        <v>0</v>
      </c>
      <c r="BV23" s="330">
        <f>'I-Project Contingency'!$E$66-BA23</f>
        <v>0</v>
      </c>
      <c r="BW23" s="330">
        <f>'I-Project Contingency'!$E$67-BB23</f>
        <v>0</v>
      </c>
      <c r="BX23" s="330">
        <f>'I-Project Contingency'!$E$68-BC23</f>
        <v>0</v>
      </c>
      <c r="BY23" s="330">
        <f>'I-Project Contingency'!$E$69-BD23</f>
        <v>0</v>
      </c>
      <c r="BZ23" s="330">
        <f>'I-Project Contingency'!$E$70-BE23</f>
        <v>0</v>
      </c>
      <c r="CA23" s="330">
        <f>'I-Project Contingency'!$E$71-BF23</f>
        <v>0</v>
      </c>
      <c r="CB23" s="330">
        <f>'I-Project Contingency'!$E$72-BG23</f>
        <v>0</v>
      </c>
      <c r="CC23" s="330">
        <f>'I-Project Contingency'!$E$73-BH23</f>
        <v>0</v>
      </c>
      <c r="CD23" s="330">
        <f>'I-Project Contingency'!$E$74-BI23</f>
        <v>0</v>
      </c>
      <c r="CE23" s="330">
        <f>'I-Project Contingency'!$E$75-BJ23</f>
        <v>0</v>
      </c>
      <c r="CF23" s="330">
        <f>'I-Project Contingency'!$E$76-BK23</f>
        <v>0</v>
      </c>
      <c r="CG23" s="330">
        <f>'I-Project Contingency'!$E$77-BL23</f>
        <v>0</v>
      </c>
      <c r="CH23" s="784">
        <f>'I-Project Contingency'!$E$78-BM23</f>
        <v>0</v>
      </c>
      <c r="CI23" s="330">
        <f>'I-Project Contingency'!$E$79-BN23</f>
        <v>0</v>
      </c>
      <c r="CJ23" s="330">
        <f>'I-Project Contingency'!$E$80-BO23</f>
        <v>0</v>
      </c>
      <c r="CK23" s="330">
        <f>'I-Project Contingency'!$E$81-BP23</f>
        <v>0</v>
      </c>
      <c r="CL23" s="331">
        <f>'I-Project Contingency'!$O$5-AG23</f>
        <v>0</v>
      </c>
      <c r="CM23" s="332">
        <v>-0.98711802853447173</v>
      </c>
      <c r="CN23" s="332">
        <v>-0.19547704728364468</v>
      </c>
      <c r="CO23" s="332">
        <v>0.126462150308498</v>
      </c>
      <c r="CP23" s="332">
        <v>0.45967989154545902</v>
      </c>
      <c r="CQ23" s="332">
        <v>0.78297319902744</v>
      </c>
      <c r="CR23" s="332">
        <v>1.0957191966482109</v>
      </c>
      <c r="CS23" s="332">
        <v>1.4418405003536849</v>
      </c>
      <c r="CT23" s="332">
        <v>1.801002404194165</v>
      </c>
      <c r="CU23" s="332">
        <v>2.1797608166947349</v>
      </c>
      <c r="CV23" s="332">
        <v>2.5671680610072478</v>
      </c>
      <c r="CW23" s="332">
        <v>2.9690760644797152</v>
      </c>
      <c r="CX23" s="332">
        <v>3.3964145469774811</v>
      </c>
      <c r="CY23" s="332">
        <v>3.864536087769562</v>
      </c>
      <c r="CZ23" s="332">
        <v>4.3569836138896116</v>
      </c>
      <c r="DA23" s="332">
        <v>4.8862357851222598</v>
      </c>
      <c r="DB23" s="332">
        <v>5.438836997347547</v>
      </c>
      <c r="DC23" s="332">
        <v>6.047993455908566</v>
      </c>
      <c r="DD23" s="785">
        <v>6.720204953601761</v>
      </c>
      <c r="DE23" s="333">
        <v>7.55131678090412</v>
      </c>
      <c r="DF23" s="332">
        <v>8.661446370835737</v>
      </c>
      <c r="DG23" s="332">
        <v>11.206316207857133</v>
      </c>
      <c r="DH23" s="332">
        <f>'I-Project Contingency'!$E$86-CM23</f>
        <v>0</v>
      </c>
      <c r="DI23" s="332">
        <f>'I-Project Contingency'!$E$87-CN23</f>
        <v>0</v>
      </c>
      <c r="DJ23" s="332">
        <f>'I-Project Contingency'!$E$88-CO23</f>
        <v>0</v>
      </c>
      <c r="DK23" s="332">
        <f>'I-Project Contingency'!$E$89-CP23</f>
        <v>0</v>
      </c>
      <c r="DL23" s="332">
        <f>'I-Project Contingency'!$E$90-CQ23</f>
        <v>0</v>
      </c>
      <c r="DM23" s="332">
        <f>'I-Project Contingency'!$E$91-CR23</f>
        <v>0</v>
      </c>
      <c r="DN23" s="332">
        <f>'I-Project Contingency'!$E$92-CS23</f>
        <v>0</v>
      </c>
      <c r="DO23" s="332">
        <f>'I-Project Contingency'!$E$93-CT23</f>
        <v>0</v>
      </c>
      <c r="DP23" s="332">
        <f>'I-Project Contingency'!$E$94-CU23</f>
        <v>0</v>
      </c>
      <c r="DQ23" s="332">
        <f>'I-Project Contingency'!$E$95-CV23</f>
        <v>0</v>
      </c>
      <c r="DR23" s="332">
        <f>'I-Project Contingency'!$E$96-CW23</f>
        <v>0</v>
      </c>
      <c r="DS23" s="332">
        <f>'I-Project Contingency'!$E$97-CX23</f>
        <v>0</v>
      </c>
      <c r="DT23" s="332">
        <f>'I-Project Contingency'!$E$98-CY23</f>
        <v>0</v>
      </c>
      <c r="DU23" s="332">
        <f>'I-Project Contingency'!$E$99-CZ23</f>
        <v>0</v>
      </c>
      <c r="DV23" s="332">
        <f>'I-Project Contingency'!$E$100-DA23</f>
        <v>0</v>
      </c>
      <c r="DW23" s="332">
        <f>'I-Project Contingency'!$E$101-DB23</f>
        <v>0</v>
      </c>
      <c r="DX23" s="332">
        <f>'I-Project Contingency'!$E$102-DC23</f>
        <v>0</v>
      </c>
      <c r="DY23" s="332">
        <f>'I-Project Contingency'!$E$103-DD23</f>
        <v>0</v>
      </c>
      <c r="DZ23" s="332">
        <f>'I-Project Contingency'!$E$104-DE23</f>
        <v>0</v>
      </c>
      <c r="EA23" s="332">
        <f>'I-Project Contingency'!$E$105-DF23</f>
        <v>0</v>
      </c>
      <c r="EB23" s="332">
        <f>'I-Project Contingency'!$E$106-DG23</f>
        <v>0</v>
      </c>
      <c r="EC23" s="334">
        <f>IF(EE23="N/A","N/A",ABS(INDEX(EE23:EY23,1,MATCH("ROM Cost Risk @ "&amp;'D-Project Data'!$C$6*100&amp;"%",$EE$17:$EY$17,0))))</f>
        <v>0</v>
      </c>
      <c r="ED23" s="335">
        <f>IF(EC23="N/A","N/A",RANK(EC23,$EC$18:$EC$117,0)+COUNTIF($EC$18:EC23,EC23)-1)</f>
        <v>6</v>
      </c>
      <c r="EE23" s="334">
        <f>IF(BQ23/SUM(BQ:BQ)*'I-Project Contingency'!$F$61=0,0,BQ23/SUM(BQ:BQ)*'I-Project Contingency'!$F$61)</f>
        <v>0</v>
      </c>
      <c r="EF23" s="334">
        <f>IF(BR23/SUM(BR:BR)*'I-Project Contingency'!$F$62=0,0,BR23/SUM(BR:BR)*'I-Project Contingency'!$F$62)</f>
        <v>0</v>
      </c>
      <c r="EG23" s="334">
        <f>IF(BS23/SUM(BS:BS)*'I-Project Contingency'!$F$63=0,0,BS23/SUM(BS:BS)*'I-Project Contingency'!$F$63)</f>
        <v>0</v>
      </c>
      <c r="EH23" s="334">
        <f>IF(BT23/SUM(BT:BT)*'I-Project Contingency'!$F$64=0,0,BT23/SUM(BT:BT)*'I-Project Contingency'!$F$64)</f>
        <v>0</v>
      </c>
      <c r="EI23" s="334">
        <f>IF(BU23/SUM(BU:BU)*'I-Project Contingency'!$F$65=0,0,BU23/SUM(BU:BU)*'I-Project Contingency'!$F$65)</f>
        <v>0</v>
      </c>
      <c r="EJ23" s="334">
        <f>IF(BV23/SUM(BV:BV)*'I-Project Contingency'!$F$66=0,0,BV23/SUM(BV:BV)*'I-Project Contingency'!$F$66)</f>
        <v>0</v>
      </c>
      <c r="EK23" s="334">
        <f>IF(BW23/SUM(BW:BW)*'I-Project Contingency'!$F$67=0,0,BW23/SUM(BW:BW)*'I-Project Contingency'!$F$67)</f>
        <v>0</v>
      </c>
      <c r="EL23" s="334">
        <f>IF(BX23/SUM(BX:BX)*'I-Project Contingency'!$F$68=0,0,BX23/SUM(BX:BX)*'I-Project Contingency'!$F$68)</f>
        <v>0</v>
      </c>
      <c r="EM23" s="334">
        <f>IF(BY23/SUM(BY:BY)*'I-Project Contingency'!$F$69=0,0,BY23/SUM(BY:BY)*'I-Project Contingency'!$F$69)</f>
        <v>0</v>
      </c>
      <c r="EN23" s="334">
        <f>IF(BZ23/SUM(BZ:BZ)*'I-Project Contingency'!$F$70=0,0,BZ23/SUM(BZ:BZ)*'I-Project Contingency'!$F$70)</f>
        <v>0</v>
      </c>
      <c r="EO23" s="334">
        <f>IF(CA23/SUM(CA:CA)*'I-Project Contingency'!$F$71=0,0,CA23/SUM(CA:CA)*'I-Project Contingency'!$F$71)</f>
        <v>0</v>
      </c>
      <c r="EP23" s="334">
        <f>IF(CB23/SUM(CB:CB)*'I-Project Contingency'!$F$72=0,0,CB23/SUM(CB:CB)*'I-Project Contingency'!$F$72)</f>
        <v>0</v>
      </c>
      <c r="EQ23" s="334">
        <f>IF(CC23/SUM(CC:CC)*'I-Project Contingency'!$F$73=0,0,CC23/SUM(CC:CC)*'I-Project Contingency'!$F$73)</f>
        <v>0</v>
      </c>
      <c r="ER23" s="334">
        <f>IF(CD23/SUM(CD:CD)*'I-Project Contingency'!$F$74=0,0,CD23/SUM(CD:CD)*'I-Project Contingency'!$F$74)</f>
        <v>0</v>
      </c>
      <c r="ES23" s="334">
        <f>IF(CE23/SUM(CE:CE)*'I-Project Contingency'!$F$75=0,0,CE23/SUM(CE:CE)*'I-Project Contingency'!$F$75)</f>
        <v>0</v>
      </c>
      <c r="ET23" s="334">
        <f>IF(CF23/SUM(CF:CF)*'I-Project Contingency'!$F$76=0,0,CF23/SUM(CF:CF)*'I-Project Contingency'!$F$76)</f>
        <v>0</v>
      </c>
      <c r="EU23" s="334">
        <f>IF(CG23/SUM(CG:CG)*'I-Project Contingency'!$F$77=0,0,CG23/SUM(CG:CG)*'I-Project Contingency'!$F$77)</f>
        <v>0</v>
      </c>
      <c r="EV23" s="787">
        <f>IF(CH23/SUM(CH:CH)*'I-Project Contingency'!$F$78=0,0,CH23/SUM(CH:CH)*'I-Project Contingency'!$F$78)</f>
        <v>0</v>
      </c>
      <c r="EW23" s="787">
        <f>IF(CI23/SUM(CI:CI)*'I-Project Contingency'!$F$79=0,0,CI23/SUM(CI:CI)*'I-Project Contingency'!$F$79)</f>
        <v>0</v>
      </c>
      <c r="EX23" s="787">
        <f>IF(CJ23/SUM(CJ:CJ)*'I-Project Contingency'!$F$80=0,0,CJ23/SUM(CJ:CJ)*'I-Project Contingency'!$F$80)</f>
        <v>0</v>
      </c>
      <c r="EY23" s="787">
        <f>IF(CK23/SUM(CK:CK)*'I-Project Contingency'!$F$81=0,0,CK23/SUM(CK:CK)*'I-Project Contingency'!$F$81)</f>
        <v>0</v>
      </c>
      <c r="EZ23" s="333">
        <f>IF(FB23="N/A","N/A",ABS(INDEX(FB23:FV23,1,MATCH("ROM Schedule Risk @ "&amp;'D-Project Data'!$C$6*100&amp;"%",$FB$17:$FV$17,0))))</f>
        <v>0</v>
      </c>
      <c r="FA23" s="335">
        <f>IF(EZ23="N/A","N/A",RANK(EZ23,$EZ$18:$EZ$117,0)+COUNTIF($FB$18:FB23,FB23)-1)</f>
        <v>6</v>
      </c>
      <c r="FB23" s="788">
        <f>IF(DH23/SUM(DH:DH)*'I-Project Contingency'!$F$86=0,0,DH23/SUM(DH:DH)*'I-Project Contingency'!$F$86)</f>
        <v>0</v>
      </c>
      <c r="FC23" s="788">
        <f>IF(DI23/SUM(DI:DI)*'I-Project Contingency'!$F$87=0,0,DI23/SUM(DI:DI)*'I-Project Contingency'!$F$87)</f>
        <v>0</v>
      </c>
      <c r="FD23" s="788">
        <f>IF(DJ23/SUM(DJ:DJ)*'I-Project Contingency'!$F$88=0,0,DJ23/SUM(DJ:DJ)*'I-Project Contingency'!$F$88)</f>
        <v>0</v>
      </c>
      <c r="FE23" s="788">
        <f>IF(DK23/SUM(DK:DK)*'I-Project Contingency'!$F$89=0,0,DK23/SUM(DK:DK)*'I-Project Contingency'!$F$89)</f>
        <v>0</v>
      </c>
      <c r="FF23" s="788">
        <f>IF(DL23/SUM(DL:DL)*'I-Project Contingency'!$F$90=0,0,DL23/SUM(DL:DL)*'I-Project Contingency'!$F$90)</f>
        <v>0</v>
      </c>
      <c r="FG23" s="788">
        <f>IF(DM23/SUM(DM:DM)*'I-Project Contingency'!$F$91=0,0,DM23/SUM(DM:DM)*'I-Project Contingency'!$F$91)</f>
        <v>0</v>
      </c>
      <c r="FH23" s="788">
        <f>IF(DN23/SUM(DN:DN)*'I-Project Contingency'!$F$92=0,0,DN23/SUM(DN:DN)*'I-Project Contingency'!$F$92)</f>
        <v>0</v>
      </c>
      <c r="FI23" s="788">
        <f>IF(DO23/SUM(DO:DO)*'I-Project Contingency'!$F$93=0,0,DO23/SUM(DO:DO)*'I-Project Contingency'!$F$93)</f>
        <v>0</v>
      </c>
      <c r="FJ23" s="788">
        <f>IF(DP23/SUM(DP:DP)*'I-Project Contingency'!$F$94=0,0,DP23/SUM(DP:DP)*'I-Project Contingency'!$F$94)</f>
        <v>0</v>
      </c>
      <c r="FK23" s="788">
        <f>IF(DQ23/SUM(DQ:DQ)*'I-Project Contingency'!$F$95=0,0,DQ23/SUM(DQ:DQ)*'I-Project Contingency'!$F$95)</f>
        <v>0</v>
      </c>
      <c r="FL23" s="788">
        <f>IF(DR23/SUM(DR:DR)*'I-Project Contingency'!$F$96=0,0,DR23/SUM(DR:DR)*'I-Project Contingency'!$F$96)</f>
        <v>0</v>
      </c>
      <c r="FM23" s="788">
        <f>IF(DS23/SUM(DS:DS)*'I-Project Contingency'!$F$97=0,0,DS23/SUM(DS:DS)*'I-Project Contingency'!$F$97)</f>
        <v>0</v>
      </c>
      <c r="FN23" s="788">
        <f>IF(DT23/SUM(DT:DT)*'I-Project Contingency'!$F$98=0,0,DT23/SUM(DT:DT)*'I-Project Contingency'!$F$98)</f>
        <v>0</v>
      </c>
      <c r="FO23" s="788">
        <f>IF(DU23/SUM(DU:DU)*'I-Project Contingency'!$F$99=0,0,DU23/SUM(DU:DU)*'I-Project Contingency'!$F$99)</f>
        <v>0</v>
      </c>
      <c r="FP23" s="788">
        <f>IF(DV23/SUM(DV:DV)*'I-Project Contingency'!$F$100=0,0,DV23/SUM(DV:DV)*'I-Project Contingency'!$F$100)</f>
        <v>0</v>
      </c>
      <c r="FQ23" s="788">
        <f>IF(DW23/SUM(DW:DW)*'I-Project Contingency'!$F$101=0,0,DW23/SUM(DW:DW)*'I-Project Contingency'!$F$101)</f>
        <v>0</v>
      </c>
      <c r="FR23" s="788">
        <f>IF(DX23/SUM(DX:DX)*'I-Project Contingency'!$F$102=0,0,DX23/SUM(DX:DX)*'I-Project Contingency'!$F$102)</f>
        <v>0</v>
      </c>
      <c r="FS23" s="788">
        <f>IF(DY23/SUM(DY:DY)*'I-Project Contingency'!$F$103=0,0,DY23/SUM(DY:DY)*'I-Project Contingency'!$F$103)</f>
        <v>0</v>
      </c>
      <c r="FT23" s="788">
        <f>IF(DZ23/SUM(DZ:DZ)*'I-Project Contingency'!$F$104=0,0,DZ23/SUM(DZ:DZ)*'I-Project Contingency'!$F$104)</f>
        <v>0</v>
      </c>
      <c r="FU23" s="788">
        <f>IF(EA23/SUM(EA:EA)*'I-Project Contingency'!$F$105=0,0,EA23/SUM(EA:EA)*'I-Project Contingency'!$F$105)</f>
        <v>0</v>
      </c>
      <c r="FV23" s="788">
        <f>IF(EB23/SUM(EB:EB)*'I-Project Contingency'!$F$106=0,0,EB23/SUM(EB:EB)*'I-Project Contingency'!$F$106)</f>
        <v>0</v>
      </c>
      <c r="FW23" s="335">
        <f t="shared" si="13"/>
        <v>6</v>
      </c>
      <c r="FX23" s="336" t="str">
        <f t="shared" si="14"/>
        <v xml:space="preserve">6 - </v>
      </c>
      <c r="FY23" s="330">
        <f t="shared" si="15"/>
        <v>0</v>
      </c>
      <c r="FZ23" s="330">
        <f t="shared" si="16"/>
        <v>0</v>
      </c>
      <c r="GA23" s="332">
        <f t="shared" si="17"/>
        <v>0</v>
      </c>
      <c r="GB23" s="332">
        <f t="shared" si="18"/>
        <v>0</v>
      </c>
    </row>
    <row r="24" spans="1:184" ht="30" x14ac:dyDescent="0.25">
      <c r="A24" s="163">
        <f t="shared" si="23"/>
        <v>7</v>
      </c>
      <c r="B24" s="727" t="s">
        <v>728</v>
      </c>
      <c r="C24" s="729"/>
      <c r="D24" s="729"/>
      <c r="E24" s="729"/>
      <c r="F24" s="728" t="s">
        <v>728</v>
      </c>
      <c r="G24" s="728" t="s">
        <v>728</v>
      </c>
      <c r="H24" s="157" t="str">
        <f>IFERROR(IF('H-Risk Register-Model'!F24="Certain","Relook at Basis of Estimate",INDEX('G-Assumptions'!$F$8:$J$11,MATCH(F24,'G-Assumptions'!$D$8:$D$11,0),MATCH(G24,'G-Assumptions'!$F$6:$J$6,0))),"Unrated")</f>
        <v>Unrated</v>
      </c>
      <c r="I24" s="728" t="s">
        <v>728</v>
      </c>
      <c r="J24" s="157" t="str">
        <f>IFERROR(IF('H-Risk Register-Model'!F24="Certain","Relook at Basis of Estimate",INDEX('G-Assumptions'!$F$8:$J$11,MATCH(F24,'G-Assumptions'!$D$8:$D$11,0),MATCH(I24,'G-Assumptions'!$F$6:$J$6,0))),"Unrated")</f>
        <v>Unrated</v>
      </c>
      <c r="K24" s="728" t="s">
        <v>728</v>
      </c>
      <c r="L24" s="728" t="s">
        <v>728</v>
      </c>
      <c r="M24" s="728"/>
      <c r="N24" s="731" t="s">
        <v>728</v>
      </c>
      <c r="O24" s="731" t="s">
        <v>728</v>
      </c>
      <c r="P24" s="732"/>
      <c r="Q24" s="732"/>
      <c r="R24" s="732"/>
      <c r="S24" s="733"/>
      <c r="T24" s="733"/>
      <c r="U24" s="733"/>
      <c r="V24" s="734"/>
      <c r="W24" s="732"/>
      <c r="X24" s="732"/>
      <c r="Y24" s="735">
        <v>1</v>
      </c>
      <c r="Z24" s="736">
        <v>1</v>
      </c>
      <c r="AA24" s="166">
        <f t="shared" si="19"/>
        <v>0</v>
      </c>
      <c r="AB24" s="166">
        <f t="shared" si="20"/>
        <v>0</v>
      </c>
      <c r="AC24" s="166">
        <f t="shared" si="21"/>
        <v>0</v>
      </c>
      <c r="AD24" s="166"/>
      <c r="AE24" s="164">
        <f t="shared" si="22"/>
        <v>0</v>
      </c>
      <c r="AF24" s="167"/>
      <c r="AG24" s="165">
        <f t="shared" si="5"/>
        <v>0</v>
      </c>
      <c r="AH24" s="729"/>
      <c r="AI24" s="729"/>
      <c r="AJ24" s="8"/>
      <c r="AK24" s="495" t="str">
        <f t="shared" si="6"/>
        <v>No</v>
      </c>
      <c r="AL24" s="496">
        <f>'I-Project Contingency'!$I$4</f>
        <v>9000000</v>
      </c>
      <c r="AM24" s="326">
        <f>'I-Project Contingency'!$I$11</f>
        <v>23.978102189781023</v>
      </c>
      <c r="AN24" s="325">
        <f t="shared" si="7"/>
        <v>0</v>
      </c>
      <c r="AO24" s="326">
        <f t="shared" si="8"/>
        <v>0</v>
      </c>
      <c r="AP24" s="641" t="str">
        <f t="shared" si="9"/>
        <v/>
      </c>
      <c r="AQ24" s="641" t="str">
        <f t="shared" si="10"/>
        <v/>
      </c>
      <c r="AR24" s="497" t="str">
        <f t="shared" si="11"/>
        <v/>
      </c>
      <c r="AS24" s="497" t="str">
        <f t="shared" si="12"/>
        <v/>
      </c>
      <c r="AT24" s="8"/>
      <c r="AU24" s="329">
        <f>'I-Project Contingency'!$O$4-AE24</f>
        <v>0</v>
      </c>
      <c r="AV24" s="330">
        <v>-240515.59579276721</v>
      </c>
      <c r="AW24" s="330">
        <v>28172.931401335634</v>
      </c>
      <c r="AX24" s="330">
        <v>193478.84467429668</v>
      </c>
      <c r="AY24" s="330">
        <v>361668.20104834624</v>
      </c>
      <c r="AZ24" s="330">
        <v>524446.91524262261</v>
      </c>
      <c r="BA24" s="330">
        <v>704023.56387635041</v>
      </c>
      <c r="BB24" s="330">
        <v>886394.06956240814</v>
      </c>
      <c r="BC24" s="330">
        <v>1079363.7165157665</v>
      </c>
      <c r="BD24" s="330">
        <v>1280180.1532065615</v>
      </c>
      <c r="BE24" s="330">
        <v>1485323.8019108465</v>
      </c>
      <c r="BF24" s="330">
        <v>1703758.8827524669</v>
      </c>
      <c r="BG24" s="330">
        <v>1949523.4346483489</v>
      </c>
      <c r="BH24" s="330">
        <v>2177897.1603371189</v>
      </c>
      <c r="BI24" s="330">
        <v>2429374.4260425912</v>
      </c>
      <c r="BJ24" s="330">
        <v>2717092.7449284913</v>
      </c>
      <c r="BK24" s="330">
        <v>3010093.6968918457</v>
      </c>
      <c r="BL24" s="330">
        <v>3325414.5894657462</v>
      </c>
      <c r="BM24" s="330">
        <v>3690425.9159493577</v>
      </c>
      <c r="BN24" s="330">
        <v>4143935.1706127762</v>
      </c>
      <c r="BO24" s="330">
        <v>4722651.1159141911</v>
      </c>
      <c r="BP24" s="330">
        <v>5992048.8629153483</v>
      </c>
      <c r="BQ24" s="330">
        <f>'I-Project Contingency'!$E$61-AV24</f>
        <v>0</v>
      </c>
      <c r="BR24" s="330">
        <f>'I-Project Contingency'!$E$62-AW24</f>
        <v>0</v>
      </c>
      <c r="BS24" s="330">
        <f>'I-Project Contingency'!$E$63-AX24</f>
        <v>0</v>
      </c>
      <c r="BT24" s="330">
        <f>'I-Project Contingency'!$E$64-AY24</f>
        <v>0</v>
      </c>
      <c r="BU24" s="330">
        <f>'I-Project Contingency'!$E$65-AZ24</f>
        <v>0</v>
      </c>
      <c r="BV24" s="330">
        <f>'I-Project Contingency'!$E$66-BA24</f>
        <v>0</v>
      </c>
      <c r="BW24" s="330">
        <f>'I-Project Contingency'!$E$67-BB24</f>
        <v>0</v>
      </c>
      <c r="BX24" s="330">
        <f>'I-Project Contingency'!$E$68-BC24</f>
        <v>0</v>
      </c>
      <c r="BY24" s="330">
        <f>'I-Project Contingency'!$E$69-BD24</f>
        <v>0</v>
      </c>
      <c r="BZ24" s="330">
        <f>'I-Project Contingency'!$E$70-BE24</f>
        <v>0</v>
      </c>
      <c r="CA24" s="330">
        <f>'I-Project Contingency'!$E$71-BF24</f>
        <v>0</v>
      </c>
      <c r="CB24" s="330">
        <f>'I-Project Contingency'!$E$72-BG24</f>
        <v>0</v>
      </c>
      <c r="CC24" s="330">
        <f>'I-Project Contingency'!$E$73-BH24</f>
        <v>0</v>
      </c>
      <c r="CD24" s="330">
        <f>'I-Project Contingency'!$E$74-BI24</f>
        <v>0</v>
      </c>
      <c r="CE24" s="330">
        <f>'I-Project Contingency'!$E$75-BJ24</f>
        <v>0</v>
      </c>
      <c r="CF24" s="330">
        <f>'I-Project Contingency'!$E$76-BK24</f>
        <v>0</v>
      </c>
      <c r="CG24" s="330">
        <f>'I-Project Contingency'!$E$77-BL24</f>
        <v>0</v>
      </c>
      <c r="CH24" s="784">
        <f>'I-Project Contingency'!$E$78-BM24</f>
        <v>0</v>
      </c>
      <c r="CI24" s="330">
        <f>'I-Project Contingency'!$E$79-BN24</f>
        <v>0</v>
      </c>
      <c r="CJ24" s="330">
        <f>'I-Project Contingency'!$E$80-BO24</f>
        <v>0</v>
      </c>
      <c r="CK24" s="330">
        <f>'I-Project Contingency'!$E$81-BP24</f>
        <v>0</v>
      </c>
      <c r="CL24" s="331">
        <f>'I-Project Contingency'!$O$5-AG24</f>
        <v>0</v>
      </c>
      <c r="CM24" s="332">
        <v>-0.98711802853447173</v>
      </c>
      <c r="CN24" s="332">
        <v>-0.19547704728364468</v>
      </c>
      <c r="CO24" s="332">
        <v>0.126462150308498</v>
      </c>
      <c r="CP24" s="332">
        <v>0.45967989154545902</v>
      </c>
      <c r="CQ24" s="332">
        <v>0.78297319902744</v>
      </c>
      <c r="CR24" s="332">
        <v>1.0957191966482109</v>
      </c>
      <c r="CS24" s="332">
        <v>1.4418405003536849</v>
      </c>
      <c r="CT24" s="332">
        <v>1.801002404194165</v>
      </c>
      <c r="CU24" s="332">
        <v>2.1797608166947349</v>
      </c>
      <c r="CV24" s="332">
        <v>2.5671680610072478</v>
      </c>
      <c r="CW24" s="332">
        <v>2.9690760644797152</v>
      </c>
      <c r="CX24" s="332">
        <v>3.3964145469774811</v>
      </c>
      <c r="CY24" s="332">
        <v>3.864536087769562</v>
      </c>
      <c r="CZ24" s="332">
        <v>4.3569836138896116</v>
      </c>
      <c r="DA24" s="332">
        <v>4.8862357851222598</v>
      </c>
      <c r="DB24" s="332">
        <v>5.438836997347547</v>
      </c>
      <c r="DC24" s="332">
        <v>6.047993455908566</v>
      </c>
      <c r="DD24" s="785">
        <v>6.720204953601761</v>
      </c>
      <c r="DE24" s="333">
        <v>7.55131678090412</v>
      </c>
      <c r="DF24" s="332">
        <v>8.661446370835737</v>
      </c>
      <c r="DG24" s="332">
        <v>11.206316207857133</v>
      </c>
      <c r="DH24" s="332">
        <f>'I-Project Contingency'!$E$86-CM24</f>
        <v>0</v>
      </c>
      <c r="DI24" s="332">
        <f>'I-Project Contingency'!$E$87-CN24</f>
        <v>0</v>
      </c>
      <c r="DJ24" s="332">
        <f>'I-Project Contingency'!$E$88-CO24</f>
        <v>0</v>
      </c>
      <c r="DK24" s="332">
        <f>'I-Project Contingency'!$E$89-CP24</f>
        <v>0</v>
      </c>
      <c r="DL24" s="332">
        <f>'I-Project Contingency'!$E$90-CQ24</f>
        <v>0</v>
      </c>
      <c r="DM24" s="332">
        <f>'I-Project Contingency'!$E$91-CR24</f>
        <v>0</v>
      </c>
      <c r="DN24" s="332">
        <f>'I-Project Contingency'!$E$92-CS24</f>
        <v>0</v>
      </c>
      <c r="DO24" s="332">
        <f>'I-Project Contingency'!$E$93-CT24</f>
        <v>0</v>
      </c>
      <c r="DP24" s="332">
        <f>'I-Project Contingency'!$E$94-CU24</f>
        <v>0</v>
      </c>
      <c r="DQ24" s="332">
        <f>'I-Project Contingency'!$E$95-CV24</f>
        <v>0</v>
      </c>
      <c r="DR24" s="332">
        <f>'I-Project Contingency'!$E$96-CW24</f>
        <v>0</v>
      </c>
      <c r="DS24" s="332">
        <f>'I-Project Contingency'!$E$97-CX24</f>
        <v>0</v>
      </c>
      <c r="DT24" s="332">
        <f>'I-Project Contingency'!$E$98-CY24</f>
        <v>0</v>
      </c>
      <c r="DU24" s="332">
        <f>'I-Project Contingency'!$E$99-CZ24</f>
        <v>0</v>
      </c>
      <c r="DV24" s="332">
        <f>'I-Project Contingency'!$E$100-DA24</f>
        <v>0</v>
      </c>
      <c r="DW24" s="332">
        <f>'I-Project Contingency'!$E$101-DB24</f>
        <v>0</v>
      </c>
      <c r="DX24" s="332">
        <f>'I-Project Contingency'!$E$102-DC24</f>
        <v>0</v>
      </c>
      <c r="DY24" s="332">
        <f>'I-Project Contingency'!$E$103-DD24</f>
        <v>0</v>
      </c>
      <c r="DZ24" s="332">
        <f>'I-Project Contingency'!$E$104-DE24</f>
        <v>0</v>
      </c>
      <c r="EA24" s="332">
        <f>'I-Project Contingency'!$E$105-DF24</f>
        <v>0</v>
      </c>
      <c r="EB24" s="332">
        <f>'I-Project Contingency'!$E$106-DG24</f>
        <v>0</v>
      </c>
      <c r="EC24" s="334">
        <f>IF(EE24="N/A","N/A",ABS(INDEX(EE24:EY24,1,MATCH("ROM Cost Risk @ "&amp;'D-Project Data'!$C$6*100&amp;"%",$EE$17:$EY$17,0))))</f>
        <v>0</v>
      </c>
      <c r="ED24" s="335">
        <f>IF(EC24="N/A","N/A",RANK(EC24,$EC$18:$EC$117,0)+COUNTIF($EC$18:EC24,EC24)-1)</f>
        <v>7</v>
      </c>
      <c r="EE24" s="334">
        <f>IF(BQ24/SUM(BQ:BQ)*'I-Project Contingency'!$F$61=0,0,BQ24/SUM(BQ:BQ)*'I-Project Contingency'!$F$61)</f>
        <v>0</v>
      </c>
      <c r="EF24" s="334">
        <f>IF(BR24/SUM(BR:BR)*'I-Project Contingency'!$F$62=0,0,BR24/SUM(BR:BR)*'I-Project Contingency'!$F$62)</f>
        <v>0</v>
      </c>
      <c r="EG24" s="334">
        <f>IF(BS24/SUM(BS:BS)*'I-Project Contingency'!$F$63=0,0,BS24/SUM(BS:BS)*'I-Project Contingency'!$F$63)</f>
        <v>0</v>
      </c>
      <c r="EH24" s="334">
        <f>IF(BT24/SUM(BT:BT)*'I-Project Contingency'!$F$64=0,0,BT24/SUM(BT:BT)*'I-Project Contingency'!$F$64)</f>
        <v>0</v>
      </c>
      <c r="EI24" s="334">
        <f>IF(BU24/SUM(BU:BU)*'I-Project Contingency'!$F$65=0,0,BU24/SUM(BU:BU)*'I-Project Contingency'!$F$65)</f>
        <v>0</v>
      </c>
      <c r="EJ24" s="334">
        <f>IF(BV24/SUM(BV:BV)*'I-Project Contingency'!$F$66=0,0,BV24/SUM(BV:BV)*'I-Project Contingency'!$F$66)</f>
        <v>0</v>
      </c>
      <c r="EK24" s="334">
        <f>IF(BW24/SUM(BW:BW)*'I-Project Contingency'!$F$67=0,0,BW24/SUM(BW:BW)*'I-Project Contingency'!$F$67)</f>
        <v>0</v>
      </c>
      <c r="EL24" s="334">
        <f>IF(BX24/SUM(BX:BX)*'I-Project Contingency'!$F$68=0,0,BX24/SUM(BX:BX)*'I-Project Contingency'!$F$68)</f>
        <v>0</v>
      </c>
      <c r="EM24" s="334">
        <f>IF(BY24/SUM(BY:BY)*'I-Project Contingency'!$F$69=0,0,BY24/SUM(BY:BY)*'I-Project Contingency'!$F$69)</f>
        <v>0</v>
      </c>
      <c r="EN24" s="334">
        <f>IF(BZ24/SUM(BZ:BZ)*'I-Project Contingency'!$F$70=0,0,BZ24/SUM(BZ:BZ)*'I-Project Contingency'!$F$70)</f>
        <v>0</v>
      </c>
      <c r="EO24" s="334">
        <f>IF(CA24/SUM(CA:CA)*'I-Project Contingency'!$F$71=0,0,CA24/SUM(CA:CA)*'I-Project Contingency'!$F$71)</f>
        <v>0</v>
      </c>
      <c r="EP24" s="334">
        <f>IF(CB24/SUM(CB:CB)*'I-Project Contingency'!$F$72=0,0,CB24/SUM(CB:CB)*'I-Project Contingency'!$F$72)</f>
        <v>0</v>
      </c>
      <c r="EQ24" s="334">
        <f>IF(CC24/SUM(CC:CC)*'I-Project Contingency'!$F$73=0,0,CC24/SUM(CC:CC)*'I-Project Contingency'!$F$73)</f>
        <v>0</v>
      </c>
      <c r="ER24" s="334">
        <f>IF(CD24/SUM(CD:CD)*'I-Project Contingency'!$F$74=0,0,CD24/SUM(CD:CD)*'I-Project Contingency'!$F$74)</f>
        <v>0</v>
      </c>
      <c r="ES24" s="334">
        <f>IF(CE24/SUM(CE:CE)*'I-Project Contingency'!$F$75=0,0,CE24/SUM(CE:CE)*'I-Project Contingency'!$F$75)</f>
        <v>0</v>
      </c>
      <c r="ET24" s="334">
        <f>IF(CF24/SUM(CF:CF)*'I-Project Contingency'!$F$76=0,0,CF24/SUM(CF:CF)*'I-Project Contingency'!$F$76)</f>
        <v>0</v>
      </c>
      <c r="EU24" s="334">
        <f>IF(CG24/SUM(CG:CG)*'I-Project Contingency'!$F$77=0,0,CG24/SUM(CG:CG)*'I-Project Contingency'!$F$77)</f>
        <v>0</v>
      </c>
      <c r="EV24" s="787">
        <f>IF(CH24/SUM(CH:CH)*'I-Project Contingency'!$F$78=0,0,CH24/SUM(CH:CH)*'I-Project Contingency'!$F$78)</f>
        <v>0</v>
      </c>
      <c r="EW24" s="787">
        <f>IF(CI24/SUM(CI:CI)*'I-Project Contingency'!$F$79=0,0,CI24/SUM(CI:CI)*'I-Project Contingency'!$F$79)</f>
        <v>0</v>
      </c>
      <c r="EX24" s="787">
        <f>IF(CJ24/SUM(CJ:CJ)*'I-Project Contingency'!$F$80=0,0,CJ24/SUM(CJ:CJ)*'I-Project Contingency'!$F$80)</f>
        <v>0</v>
      </c>
      <c r="EY24" s="787">
        <f>IF(CK24/SUM(CK:CK)*'I-Project Contingency'!$F$81=0,0,CK24/SUM(CK:CK)*'I-Project Contingency'!$F$81)</f>
        <v>0</v>
      </c>
      <c r="EZ24" s="333">
        <f>IF(FB24="N/A","N/A",ABS(INDEX(FB24:FV24,1,MATCH("ROM Schedule Risk @ "&amp;'D-Project Data'!$C$6*100&amp;"%",$FB$17:$FV$17,0))))</f>
        <v>0</v>
      </c>
      <c r="FA24" s="335">
        <f>IF(EZ24="N/A","N/A",RANK(EZ24,$EZ$18:$EZ$117,0)+COUNTIF($FB$18:FB24,FB24)-1)</f>
        <v>7</v>
      </c>
      <c r="FB24" s="788">
        <f>IF(DH24/SUM(DH:DH)*'I-Project Contingency'!$F$86=0,0,DH24/SUM(DH:DH)*'I-Project Contingency'!$F$86)</f>
        <v>0</v>
      </c>
      <c r="FC24" s="788">
        <f>IF(DI24/SUM(DI:DI)*'I-Project Contingency'!$F$87=0,0,DI24/SUM(DI:DI)*'I-Project Contingency'!$F$87)</f>
        <v>0</v>
      </c>
      <c r="FD24" s="788">
        <f>IF(DJ24/SUM(DJ:DJ)*'I-Project Contingency'!$F$88=0,0,DJ24/SUM(DJ:DJ)*'I-Project Contingency'!$F$88)</f>
        <v>0</v>
      </c>
      <c r="FE24" s="788">
        <f>IF(DK24/SUM(DK:DK)*'I-Project Contingency'!$F$89=0,0,DK24/SUM(DK:DK)*'I-Project Contingency'!$F$89)</f>
        <v>0</v>
      </c>
      <c r="FF24" s="788">
        <f>IF(DL24/SUM(DL:DL)*'I-Project Contingency'!$F$90=0,0,DL24/SUM(DL:DL)*'I-Project Contingency'!$F$90)</f>
        <v>0</v>
      </c>
      <c r="FG24" s="788">
        <f>IF(DM24/SUM(DM:DM)*'I-Project Contingency'!$F$91=0,0,DM24/SUM(DM:DM)*'I-Project Contingency'!$F$91)</f>
        <v>0</v>
      </c>
      <c r="FH24" s="788">
        <f>IF(DN24/SUM(DN:DN)*'I-Project Contingency'!$F$92=0,0,DN24/SUM(DN:DN)*'I-Project Contingency'!$F$92)</f>
        <v>0</v>
      </c>
      <c r="FI24" s="788">
        <f>IF(DO24/SUM(DO:DO)*'I-Project Contingency'!$F$93=0,0,DO24/SUM(DO:DO)*'I-Project Contingency'!$F$93)</f>
        <v>0</v>
      </c>
      <c r="FJ24" s="788">
        <f>IF(DP24/SUM(DP:DP)*'I-Project Contingency'!$F$94=0,0,DP24/SUM(DP:DP)*'I-Project Contingency'!$F$94)</f>
        <v>0</v>
      </c>
      <c r="FK24" s="788">
        <f>IF(DQ24/SUM(DQ:DQ)*'I-Project Contingency'!$F$95=0,0,DQ24/SUM(DQ:DQ)*'I-Project Contingency'!$F$95)</f>
        <v>0</v>
      </c>
      <c r="FL24" s="788">
        <f>IF(DR24/SUM(DR:DR)*'I-Project Contingency'!$F$96=0,0,DR24/SUM(DR:DR)*'I-Project Contingency'!$F$96)</f>
        <v>0</v>
      </c>
      <c r="FM24" s="788">
        <f>IF(DS24/SUM(DS:DS)*'I-Project Contingency'!$F$97=0,0,DS24/SUM(DS:DS)*'I-Project Contingency'!$F$97)</f>
        <v>0</v>
      </c>
      <c r="FN24" s="788">
        <f>IF(DT24/SUM(DT:DT)*'I-Project Contingency'!$F$98=0,0,DT24/SUM(DT:DT)*'I-Project Contingency'!$F$98)</f>
        <v>0</v>
      </c>
      <c r="FO24" s="788">
        <f>IF(DU24/SUM(DU:DU)*'I-Project Contingency'!$F$99=0,0,DU24/SUM(DU:DU)*'I-Project Contingency'!$F$99)</f>
        <v>0</v>
      </c>
      <c r="FP24" s="788">
        <f>IF(DV24/SUM(DV:DV)*'I-Project Contingency'!$F$100=0,0,DV24/SUM(DV:DV)*'I-Project Contingency'!$F$100)</f>
        <v>0</v>
      </c>
      <c r="FQ24" s="788">
        <f>IF(DW24/SUM(DW:DW)*'I-Project Contingency'!$F$101=0,0,DW24/SUM(DW:DW)*'I-Project Contingency'!$F$101)</f>
        <v>0</v>
      </c>
      <c r="FR24" s="788">
        <f>IF(DX24/SUM(DX:DX)*'I-Project Contingency'!$F$102=0,0,DX24/SUM(DX:DX)*'I-Project Contingency'!$F$102)</f>
        <v>0</v>
      </c>
      <c r="FS24" s="788">
        <f>IF(DY24/SUM(DY:DY)*'I-Project Contingency'!$F$103=0,0,DY24/SUM(DY:DY)*'I-Project Contingency'!$F$103)</f>
        <v>0</v>
      </c>
      <c r="FT24" s="788">
        <f>IF(DZ24/SUM(DZ:DZ)*'I-Project Contingency'!$F$104=0,0,DZ24/SUM(DZ:DZ)*'I-Project Contingency'!$F$104)</f>
        <v>0</v>
      </c>
      <c r="FU24" s="788">
        <f>IF(EA24/SUM(EA:EA)*'I-Project Contingency'!$F$105=0,0,EA24/SUM(EA:EA)*'I-Project Contingency'!$F$105)</f>
        <v>0</v>
      </c>
      <c r="FV24" s="788">
        <f>IF(EB24/SUM(EB:EB)*'I-Project Contingency'!$F$106=0,0,EB24/SUM(EB:EB)*'I-Project Contingency'!$F$106)</f>
        <v>0</v>
      </c>
      <c r="FW24" s="335">
        <f t="shared" si="13"/>
        <v>7</v>
      </c>
      <c r="FX24" s="336" t="str">
        <f t="shared" si="14"/>
        <v xml:space="preserve">7 - </v>
      </c>
      <c r="FY24" s="330">
        <f t="shared" si="15"/>
        <v>0</v>
      </c>
      <c r="FZ24" s="330">
        <f t="shared" si="16"/>
        <v>0</v>
      </c>
      <c r="GA24" s="332">
        <f t="shared" si="17"/>
        <v>0</v>
      </c>
      <c r="GB24" s="332">
        <f t="shared" si="18"/>
        <v>0</v>
      </c>
    </row>
    <row r="25" spans="1:184" ht="30" x14ac:dyDescent="0.25">
      <c r="A25" s="163">
        <f t="shared" si="23"/>
        <v>8</v>
      </c>
      <c r="B25" s="727" t="s">
        <v>728</v>
      </c>
      <c r="C25" s="729"/>
      <c r="D25" s="729"/>
      <c r="E25" s="729"/>
      <c r="F25" s="728" t="s">
        <v>728</v>
      </c>
      <c r="G25" s="728" t="s">
        <v>728</v>
      </c>
      <c r="H25" s="157" t="str">
        <f>IFERROR(IF('H-Risk Register-Model'!F25="Certain","Relook at Basis of Estimate",INDEX('G-Assumptions'!$F$8:$J$11,MATCH(F25,'G-Assumptions'!$D$8:$D$11,0),MATCH(G25,'G-Assumptions'!$F$6:$J$6,0))),"Unrated")</f>
        <v>Unrated</v>
      </c>
      <c r="I25" s="728" t="s">
        <v>728</v>
      </c>
      <c r="J25" s="157" t="str">
        <f>IFERROR(IF('H-Risk Register-Model'!F25="Certain","Relook at Basis of Estimate",INDEX('G-Assumptions'!$F$8:$J$11,MATCH(F25,'G-Assumptions'!$D$8:$D$11,0),MATCH(I25,'G-Assumptions'!$F$6:$J$6,0))),"Unrated")</f>
        <v>Unrated</v>
      </c>
      <c r="K25" s="728" t="s">
        <v>728</v>
      </c>
      <c r="L25" s="728" t="s">
        <v>728</v>
      </c>
      <c r="M25" s="728"/>
      <c r="N25" s="731" t="s">
        <v>728</v>
      </c>
      <c r="O25" s="731" t="s">
        <v>728</v>
      </c>
      <c r="P25" s="732"/>
      <c r="Q25" s="732"/>
      <c r="R25" s="732"/>
      <c r="S25" s="733"/>
      <c r="T25" s="733"/>
      <c r="U25" s="733"/>
      <c r="V25" s="734"/>
      <c r="W25" s="732"/>
      <c r="X25" s="732"/>
      <c r="Y25" s="735">
        <v>1</v>
      </c>
      <c r="Z25" s="736">
        <v>1</v>
      </c>
      <c r="AA25" s="166">
        <f t="shared" si="19"/>
        <v>0</v>
      </c>
      <c r="AB25" s="166">
        <f t="shared" si="20"/>
        <v>0</v>
      </c>
      <c r="AC25" s="166">
        <f t="shared" si="21"/>
        <v>0</v>
      </c>
      <c r="AD25" s="166"/>
      <c r="AE25" s="164">
        <f t="shared" si="22"/>
        <v>0</v>
      </c>
      <c r="AF25" s="167"/>
      <c r="AG25" s="165">
        <f t="shared" si="5"/>
        <v>0</v>
      </c>
      <c r="AH25" s="729"/>
      <c r="AI25" s="729"/>
      <c r="AJ25" s="8"/>
      <c r="AK25" s="495" t="str">
        <f t="shared" si="6"/>
        <v>No</v>
      </c>
      <c r="AL25" s="496">
        <f>'I-Project Contingency'!$I$4</f>
        <v>9000000</v>
      </c>
      <c r="AM25" s="326">
        <f>'I-Project Contingency'!$I$11</f>
        <v>23.978102189781023</v>
      </c>
      <c r="AN25" s="325">
        <f t="shared" si="7"/>
        <v>0</v>
      </c>
      <c r="AO25" s="326">
        <f t="shared" si="8"/>
        <v>0</v>
      </c>
      <c r="AP25" s="641" t="str">
        <f t="shared" si="9"/>
        <v/>
      </c>
      <c r="AQ25" s="641" t="str">
        <f t="shared" si="10"/>
        <v/>
      </c>
      <c r="AR25" s="497" t="str">
        <f t="shared" si="11"/>
        <v/>
      </c>
      <c r="AS25" s="497" t="str">
        <f t="shared" si="12"/>
        <v/>
      </c>
      <c r="AT25" s="8"/>
      <c r="AU25" s="329">
        <f>'I-Project Contingency'!$O$4-AE25</f>
        <v>0</v>
      </c>
      <c r="AV25" s="330">
        <v>-240515.59579276721</v>
      </c>
      <c r="AW25" s="330">
        <v>28172.931401335634</v>
      </c>
      <c r="AX25" s="330">
        <v>193478.84467429668</v>
      </c>
      <c r="AY25" s="330">
        <v>361668.20104834624</v>
      </c>
      <c r="AZ25" s="330">
        <v>524446.91524262261</v>
      </c>
      <c r="BA25" s="330">
        <v>704023.56387635041</v>
      </c>
      <c r="BB25" s="330">
        <v>886394.06956240814</v>
      </c>
      <c r="BC25" s="330">
        <v>1079363.7165157665</v>
      </c>
      <c r="BD25" s="330">
        <v>1280180.1532065615</v>
      </c>
      <c r="BE25" s="330">
        <v>1485323.8019108465</v>
      </c>
      <c r="BF25" s="330">
        <v>1703758.8827524669</v>
      </c>
      <c r="BG25" s="330">
        <v>1949523.4346483489</v>
      </c>
      <c r="BH25" s="330">
        <v>2177897.1603371189</v>
      </c>
      <c r="BI25" s="330">
        <v>2429374.4260425912</v>
      </c>
      <c r="BJ25" s="330">
        <v>2717092.7449284913</v>
      </c>
      <c r="BK25" s="330">
        <v>3010093.6968918457</v>
      </c>
      <c r="BL25" s="330">
        <v>3325414.5894657462</v>
      </c>
      <c r="BM25" s="330">
        <v>3690425.9159493577</v>
      </c>
      <c r="BN25" s="330">
        <v>4143935.1706127762</v>
      </c>
      <c r="BO25" s="330">
        <v>4722651.1159141911</v>
      </c>
      <c r="BP25" s="330">
        <v>5992048.8629153483</v>
      </c>
      <c r="BQ25" s="330">
        <f>'I-Project Contingency'!$E$61-AV25</f>
        <v>0</v>
      </c>
      <c r="BR25" s="330">
        <f>'I-Project Contingency'!$E$62-AW25</f>
        <v>0</v>
      </c>
      <c r="BS25" s="330">
        <f>'I-Project Contingency'!$E$63-AX25</f>
        <v>0</v>
      </c>
      <c r="BT25" s="330">
        <f>'I-Project Contingency'!$E$64-AY25</f>
        <v>0</v>
      </c>
      <c r="BU25" s="330">
        <f>'I-Project Contingency'!$E$65-AZ25</f>
        <v>0</v>
      </c>
      <c r="BV25" s="330">
        <f>'I-Project Contingency'!$E$66-BA25</f>
        <v>0</v>
      </c>
      <c r="BW25" s="330">
        <f>'I-Project Contingency'!$E$67-BB25</f>
        <v>0</v>
      </c>
      <c r="BX25" s="330">
        <f>'I-Project Contingency'!$E$68-BC25</f>
        <v>0</v>
      </c>
      <c r="BY25" s="330">
        <f>'I-Project Contingency'!$E$69-BD25</f>
        <v>0</v>
      </c>
      <c r="BZ25" s="330">
        <f>'I-Project Contingency'!$E$70-BE25</f>
        <v>0</v>
      </c>
      <c r="CA25" s="330">
        <f>'I-Project Contingency'!$E$71-BF25</f>
        <v>0</v>
      </c>
      <c r="CB25" s="330">
        <f>'I-Project Contingency'!$E$72-BG25</f>
        <v>0</v>
      </c>
      <c r="CC25" s="330">
        <f>'I-Project Contingency'!$E$73-BH25</f>
        <v>0</v>
      </c>
      <c r="CD25" s="330">
        <f>'I-Project Contingency'!$E$74-BI25</f>
        <v>0</v>
      </c>
      <c r="CE25" s="330">
        <f>'I-Project Contingency'!$E$75-BJ25</f>
        <v>0</v>
      </c>
      <c r="CF25" s="330">
        <f>'I-Project Contingency'!$E$76-BK25</f>
        <v>0</v>
      </c>
      <c r="CG25" s="330">
        <f>'I-Project Contingency'!$E$77-BL25</f>
        <v>0</v>
      </c>
      <c r="CH25" s="784">
        <f>'I-Project Contingency'!$E$78-BM25</f>
        <v>0</v>
      </c>
      <c r="CI25" s="330">
        <f>'I-Project Contingency'!$E$79-BN25</f>
        <v>0</v>
      </c>
      <c r="CJ25" s="330">
        <f>'I-Project Contingency'!$E$80-BO25</f>
        <v>0</v>
      </c>
      <c r="CK25" s="330">
        <f>'I-Project Contingency'!$E$81-BP25</f>
        <v>0</v>
      </c>
      <c r="CL25" s="331">
        <f>'I-Project Contingency'!$O$5-AG25</f>
        <v>0</v>
      </c>
      <c r="CM25" s="332">
        <v>-0.98711802853447173</v>
      </c>
      <c r="CN25" s="332">
        <v>-0.19547704728364468</v>
      </c>
      <c r="CO25" s="332">
        <v>0.126462150308498</v>
      </c>
      <c r="CP25" s="332">
        <v>0.45967989154545902</v>
      </c>
      <c r="CQ25" s="332">
        <v>0.78297319902744</v>
      </c>
      <c r="CR25" s="332">
        <v>1.0957191966482109</v>
      </c>
      <c r="CS25" s="332">
        <v>1.4418405003536849</v>
      </c>
      <c r="CT25" s="332">
        <v>1.801002404194165</v>
      </c>
      <c r="CU25" s="332">
        <v>2.1797608166947349</v>
      </c>
      <c r="CV25" s="332">
        <v>2.5671680610072478</v>
      </c>
      <c r="CW25" s="332">
        <v>2.9690760644797152</v>
      </c>
      <c r="CX25" s="332">
        <v>3.3964145469774811</v>
      </c>
      <c r="CY25" s="332">
        <v>3.864536087769562</v>
      </c>
      <c r="CZ25" s="332">
        <v>4.3569836138896116</v>
      </c>
      <c r="DA25" s="332">
        <v>4.8862357851222598</v>
      </c>
      <c r="DB25" s="332">
        <v>5.438836997347547</v>
      </c>
      <c r="DC25" s="332">
        <v>6.047993455908566</v>
      </c>
      <c r="DD25" s="785">
        <v>6.720204953601761</v>
      </c>
      <c r="DE25" s="333">
        <v>7.55131678090412</v>
      </c>
      <c r="DF25" s="332">
        <v>8.661446370835737</v>
      </c>
      <c r="DG25" s="332">
        <v>11.206316207857133</v>
      </c>
      <c r="DH25" s="332">
        <f>'I-Project Contingency'!$E$86-CM25</f>
        <v>0</v>
      </c>
      <c r="DI25" s="332">
        <f>'I-Project Contingency'!$E$87-CN25</f>
        <v>0</v>
      </c>
      <c r="DJ25" s="332">
        <f>'I-Project Contingency'!$E$88-CO25</f>
        <v>0</v>
      </c>
      <c r="DK25" s="332">
        <f>'I-Project Contingency'!$E$89-CP25</f>
        <v>0</v>
      </c>
      <c r="DL25" s="332">
        <f>'I-Project Contingency'!$E$90-CQ25</f>
        <v>0</v>
      </c>
      <c r="DM25" s="332">
        <f>'I-Project Contingency'!$E$91-CR25</f>
        <v>0</v>
      </c>
      <c r="DN25" s="332">
        <f>'I-Project Contingency'!$E$92-CS25</f>
        <v>0</v>
      </c>
      <c r="DO25" s="332">
        <f>'I-Project Contingency'!$E$93-CT25</f>
        <v>0</v>
      </c>
      <c r="DP25" s="332">
        <f>'I-Project Contingency'!$E$94-CU25</f>
        <v>0</v>
      </c>
      <c r="DQ25" s="332">
        <f>'I-Project Contingency'!$E$95-CV25</f>
        <v>0</v>
      </c>
      <c r="DR25" s="332">
        <f>'I-Project Contingency'!$E$96-CW25</f>
        <v>0</v>
      </c>
      <c r="DS25" s="332">
        <f>'I-Project Contingency'!$E$97-CX25</f>
        <v>0</v>
      </c>
      <c r="DT25" s="332">
        <f>'I-Project Contingency'!$E$98-CY25</f>
        <v>0</v>
      </c>
      <c r="DU25" s="332">
        <f>'I-Project Contingency'!$E$99-CZ25</f>
        <v>0</v>
      </c>
      <c r="DV25" s="332">
        <f>'I-Project Contingency'!$E$100-DA25</f>
        <v>0</v>
      </c>
      <c r="DW25" s="332">
        <f>'I-Project Contingency'!$E$101-DB25</f>
        <v>0</v>
      </c>
      <c r="DX25" s="332">
        <f>'I-Project Contingency'!$E$102-DC25</f>
        <v>0</v>
      </c>
      <c r="DY25" s="332">
        <f>'I-Project Contingency'!$E$103-DD25</f>
        <v>0</v>
      </c>
      <c r="DZ25" s="332">
        <f>'I-Project Contingency'!$E$104-DE25</f>
        <v>0</v>
      </c>
      <c r="EA25" s="332">
        <f>'I-Project Contingency'!$E$105-DF25</f>
        <v>0</v>
      </c>
      <c r="EB25" s="332">
        <f>'I-Project Contingency'!$E$106-DG25</f>
        <v>0</v>
      </c>
      <c r="EC25" s="334">
        <f>IF(EE25="N/A","N/A",ABS(INDEX(EE25:EY25,1,MATCH("ROM Cost Risk @ "&amp;'D-Project Data'!$C$6*100&amp;"%",$EE$17:$EY$17,0))))</f>
        <v>0</v>
      </c>
      <c r="ED25" s="335">
        <f>IF(EC25="N/A","N/A",RANK(EC25,$EC$18:$EC$117,0)+COUNTIF($EC$18:EC25,EC25)-1)</f>
        <v>8</v>
      </c>
      <c r="EE25" s="334">
        <f>IF(BQ25/SUM(BQ:BQ)*'I-Project Contingency'!$F$61=0,0,BQ25/SUM(BQ:BQ)*'I-Project Contingency'!$F$61)</f>
        <v>0</v>
      </c>
      <c r="EF25" s="334">
        <f>IF(BR25/SUM(BR:BR)*'I-Project Contingency'!$F$62=0,0,BR25/SUM(BR:BR)*'I-Project Contingency'!$F$62)</f>
        <v>0</v>
      </c>
      <c r="EG25" s="334">
        <f>IF(BS25/SUM(BS:BS)*'I-Project Contingency'!$F$63=0,0,BS25/SUM(BS:BS)*'I-Project Contingency'!$F$63)</f>
        <v>0</v>
      </c>
      <c r="EH25" s="334">
        <f>IF(BT25/SUM(BT:BT)*'I-Project Contingency'!$F$64=0,0,BT25/SUM(BT:BT)*'I-Project Contingency'!$F$64)</f>
        <v>0</v>
      </c>
      <c r="EI25" s="334">
        <f>IF(BU25/SUM(BU:BU)*'I-Project Contingency'!$F$65=0,0,BU25/SUM(BU:BU)*'I-Project Contingency'!$F$65)</f>
        <v>0</v>
      </c>
      <c r="EJ25" s="334">
        <f>IF(BV25/SUM(BV:BV)*'I-Project Contingency'!$F$66=0,0,BV25/SUM(BV:BV)*'I-Project Contingency'!$F$66)</f>
        <v>0</v>
      </c>
      <c r="EK25" s="334">
        <f>IF(BW25/SUM(BW:BW)*'I-Project Contingency'!$F$67=0,0,BW25/SUM(BW:BW)*'I-Project Contingency'!$F$67)</f>
        <v>0</v>
      </c>
      <c r="EL25" s="334">
        <f>IF(BX25/SUM(BX:BX)*'I-Project Contingency'!$F$68=0,0,BX25/SUM(BX:BX)*'I-Project Contingency'!$F$68)</f>
        <v>0</v>
      </c>
      <c r="EM25" s="334">
        <f>IF(BY25/SUM(BY:BY)*'I-Project Contingency'!$F$69=0,0,BY25/SUM(BY:BY)*'I-Project Contingency'!$F$69)</f>
        <v>0</v>
      </c>
      <c r="EN25" s="334">
        <f>IF(BZ25/SUM(BZ:BZ)*'I-Project Contingency'!$F$70=0,0,BZ25/SUM(BZ:BZ)*'I-Project Contingency'!$F$70)</f>
        <v>0</v>
      </c>
      <c r="EO25" s="334">
        <f>IF(CA25/SUM(CA:CA)*'I-Project Contingency'!$F$71=0,0,CA25/SUM(CA:CA)*'I-Project Contingency'!$F$71)</f>
        <v>0</v>
      </c>
      <c r="EP25" s="334">
        <f>IF(CB25/SUM(CB:CB)*'I-Project Contingency'!$F$72=0,0,CB25/SUM(CB:CB)*'I-Project Contingency'!$F$72)</f>
        <v>0</v>
      </c>
      <c r="EQ25" s="334">
        <f>IF(CC25/SUM(CC:CC)*'I-Project Contingency'!$F$73=0,0,CC25/SUM(CC:CC)*'I-Project Contingency'!$F$73)</f>
        <v>0</v>
      </c>
      <c r="ER25" s="334">
        <f>IF(CD25/SUM(CD:CD)*'I-Project Contingency'!$F$74=0,0,CD25/SUM(CD:CD)*'I-Project Contingency'!$F$74)</f>
        <v>0</v>
      </c>
      <c r="ES25" s="334">
        <f>IF(CE25/SUM(CE:CE)*'I-Project Contingency'!$F$75=0,0,CE25/SUM(CE:CE)*'I-Project Contingency'!$F$75)</f>
        <v>0</v>
      </c>
      <c r="ET25" s="334">
        <f>IF(CF25/SUM(CF:CF)*'I-Project Contingency'!$F$76=0,0,CF25/SUM(CF:CF)*'I-Project Contingency'!$F$76)</f>
        <v>0</v>
      </c>
      <c r="EU25" s="334">
        <f>IF(CG25/SUM(CG:CG)*'I-Project Contingency'!$F$77=0,0,CG25/SUM(CG:CG)*'I-Project Contingency'!$F$77)</f>
        <v>0</v>
      </c>
      <c r="EV25" s="787">
        <f>IF(CH25/SUM(CH:CH)*'I-Project Contingency'!$F$78=0,0,CH25/SUM(CH:CH)*'I-Project Contingency'!$F$78)</f>
        <v>0</v>
      </c>
      <c r="EW25" s="787">
        <f>IF(CI25/SUM(CI:CI)*'I-Project Contingency'!$F$79=0,0,CI25/SUM(CI:CI)*'I-Project Contingency'!$F$79)</f>
        <v>0</v>
      </c>
      <c r="EX25" s="787">
        <f>IF(CJ25/SUM(CJ:CJ)*'I-Project Contingency'!$F$80=0,0,CJ25/SUM(CJ:CJ)*'I-Project Contingency'!$F$80)</f>
        <v>0</v>
      </c>
      <c r="EY25" s="787">
        <f>IF(CK25/SUM(CK:CK)*'I-Project Contingency'!$F$81=0,0,CK25/SUM(CK:CK)*'I-Project Contingency'!$F$81)</f>
        <v>0</v>
      </c>
      <c r="EZ25" s="333">
        <f>IF(FB25="N/A","N/A",ABS(INDEX(FB25:FV25,1,MATCH("ROM Schedule Risk @ "&amp;'D-Project Data'!$C$6*100&amp;"%",$FB$17:$FV$17,0))))</f>
        <v>0</v>
      </c>
      <c r="FA25" s="335">
        <f>IF(EZ25="N/A","N/A",RANK(EZ25,$EZ$18:$EZ$117,0)+COUNTIF($FB$18:FB25,FB25)-1)</f>
        <v>8</v>
      </c>
      <c r="FB25" s="788">
        <f>IF(DH25/SUM(DH:DH)*'I-Project Contingency'!$F$86=0,0,DH25/SUM(DH:DH)*'I-Project Contingency'!$F$86)</f>
        <v>0</v>
      </c>
      <c r="FC25" s="788">
        <f>IF(DI25/SUM(DI:DI)*'I-Project Contingency'!$F$87=0,0,DI25/SUM(DI:DI)*'I-Project Contingency'!$F$87)</f>
        <v>0</v>
      </c>
      <c r="FD25" s="788">
        <f>IF(DJ25/SUM(DJ:DJ)*'I-Project Contingency'!$F$88=0,0,DJ25/SUM(DJ:DJ)*'I-Project Contingency'!$F$88)</f>
        <v>0</v>
      </c>
      <c r="FE25" s="788">
        <f>IF(DK25/SUM(DK:DK)*'I-Project Contingency'!$F$89=0,0,DK25/SUM(DK:DK)*'I-Project Contingency'!$F$89)</f>
        <v>0</v>
      </c>
      <c r="FF25" s="788">
        <f>IF(DL25/SUM(DL:DL)*'I-Project Contingency'!$F$90=0,0,DL25/SUM(DL:DL)*'I-Project Contingency'!$F$90)</f>
        <v>0</v>
      </c>
      <c r="FG25" s="788">
        <f>IF(DM25/SUM(DM:DM)*'I-Project Contingency'!$F$91=0,0,DM25/SUM(DM:DM)*'I-Project Contingency'!$F$91)</f>
        <v>0</v>
      </c>
      <c r="FH25" s="788">
        <f>IF(DN25/SUM(DN:DN)*'I-Project Contingency'!$F$92=0,0,DN25/SUM(DN:DN)*'I-Project Contingency'!$F$92)</f>
        <v>0</v>
      </c>
      <c r="FI25" s="788">
        <f>IF(DO25/SUM(DO:DO)*'I-Project Contingency'!$F$93=0,0,DO25/SUM(DO:DO)*'I-Project Contingency'!$F$93)</f>
        <v>0</v>
      </c>
      <c r="FJ25" s="788">
        <f>IF(DP25/SUM(DP:DP)*'I-Project Contingency'!$F$94=0,0,DP25/SUM(DP:DP)*'I-Project Contingency'!$F$94)</f>
        <v>0</v>
      </c>
      <c r="FK25" s="788">
        <f>IF(DQ25/SUM(DQ:DQ)*'I-Project Contingency'!$F$95=0,0,DQ25/SUM(DQ:DQ)*'I-Project Contingency'!$F$95)</f>
        <v>0</v>
      </c>
      <c r="FL25" s="788">
        <f>IF(DR25/SUM(DR:DR)*'I-Project Contingency'!$F$96=0,0,DR25/SUM(DR:DR)*'I-Project Contingency'!$F$96)</f>
        <v>0</v>
      </c>
      <c r="FM25" s="788">
        <f>IF(DS25/SUM(DS:DS)*'I-Project Contingency'!$F$97=0,0,DS25/SUM(DS:DS)*'I-Project Contingency'!$F$97)</f>
        <v>0</v>
      </c>
      <c r="FN25" s="788">
        <f>IF(DT25/SUM(DT:DT)*'I-Project Contingency'!$F$98=0,0,DT25/SUM(DT:DT)*'I-Project Contingency'!$F$98)</f>
        <v>0</v>
      </c>
      <c r="FO25" s="788">
        <f>IF(DU25/SUM(DU:DU)*'I-Project Contingency'!$F$99=0,0,DU25/SUM(DU:DU)*'I-Project Contingency'!$F$99)</f>
        <v>0</v>
      </c>
      <c r="FP25" s="788">
        <f>IF(DV25/SUM(DV:DV)*'I-Project Contingency'!$F$100=0,0,DV25/SUM(DV:DV)*'I-Project Contingency'!$F$100)</f>
        <v>0</v>
      </c>
      <c r="FQ25" s="788">
        <f>IF(DW25/SUM(DW:DW)*'I-Project Contingency'!$F$101=0,0,DW25/SUM(DW:DW)*'I-Project Contingency'!$F$101)</f>
        <v>0</v>
      </c>
      <c r="FR25" s="788">
        <f>IF(DX25/SUM(DX:DX)*'I-Project Contingency'!$F$102=0,0,DX25/SUM(DX:DX)*'I-Project Contingency'!$F$102)</f>
        <v>0</v>
      </c>
      <c r="FS25" s="788">
        <f>IF(DY25/SUM(DY:DY)*'I-Project Contingency'!$F$103=0,0,DY25/SUM(DY:DY)*'I-Project Contingency'!$F$103)</f>
        <v>0</v>
      </c>
      <c r="FT25" s="788">
        <f>IF(DZ25/SUM(DZ:DZ)*'I-Project Contingency'!$F$104=0,0,DZ25/SUM(DZ:DZ)*'I-Project Contingency'!$F$104)</f>
        <v>0</v>
      </c>
      <c r="FU25" s="788">
        <f>IF(EA25/SUM(EA:EA)*'I-Project Contingency'!$F$105=0,0,EA25/SUM(EA:EA)*'I-Project Contingency'!$F$105)</f>
        <v>0</v>
      </c>
      <c r="FV25" s="788">
        <f>IF(EB25/SUM(EB:EB)*'I-Project Contingency'!$F$106=0,0,EB25/SUM(EB:EB)*'I-Project Contingency'!$F$106)</f>
        <v>0</v>
      </c>
      <c r="FW25" s="335">
        <f t="shared" si="13"/>
        <v>8</v>
      </c>
      <c r="FX25" s="336" t="str">
        <f t="shared" si="14"/>
        <v xml:space="preserve">8 - </v>
      </c>
      <c r="FY25" s="330">
        <f t="shared" si="15"/>
        <v>0</v>
      </c>
      <c r="FZ25" s="330">
        <f t="shared" si="16"/>
        <v>0</v>
      </c>
      <c r="GA25" s="332">
        <f t="shared" si="17"/>
        <v>0</v>
      </c>
      <c r="GB25" s="332">
        <f t="shared" si="18"/>
        <v>0</v>
      </c>
    </row>
    <row r="26" spans="1:184" ht="30" x14ac:dyDescent="0.25">
      <c r="A26" s="163">
        <f t="shared" si="23"/>
        <v>9</v>
      </c>
      <c r="B26" s="727" t="s">
        <v>728</v>
      </c>
      <c r="C26" s="729"/>
      <c r="D26" s="729"/>
      <c r="E26" s="729"/>
      <c r="F26" s="728" t="s">
        <v>728</v>
      </c>
      <c r="G26" s="728" t="s">
        <v>728</v>
      </c>
      <c r="H26" s="157" t="str">
        <f>IFERROR(IF('H-Risk Register-Model'!F26="Certain","Relook at Basis of Estimate",INDEX('G-Assumptions'!$F$8:$J$11,MATCH(F26,'G-Assumptions'!$D$8:$D$11,0),MATCH(G26,'G-Assumptions'!$F$6:$J$6,0))),"Unrated")</f>
        <v>Unrated</v>
      </c>
      <c r="I26" s="728" t="s">
        <v>728</v>
      </c>
      <c r="J26" s="157" t="str">
        <f>IFERROR(IF('H-Risk Register-Model'!F26="Certain","Relook at Basis of Estimate",INDEX('G-Assumptions'!$F$8:$J$11,MATCH(F26,'G-Assumptions'!$D$8:$D$11,0),MATCH(I26,'G-Assumptions'!$F$6:$J$6,0))),"Unrated")</f>
        <v>Unrated</v>
      </c>
      <c r="K26" s="728" t="s">
        <v>728</v>
      </c>
      <c r="L26" s="728" t="s">
        <v>728</v>
      </c>
      <c r="M26" s="728"/>
      <c r="N26" s="731" t="s">
        <v>728</v>
      </c>
      <c r="O26" s="731" t="s">
        <v>728</v>
      </c>
      <c r="P26" s="732"/>
      <c r="Q26" s="732"/>
      <c r="R26" s="732"/>
      <c r="S26" s="733"/>
      <c r="T26" s="733"/>
      <c r="U26" s="733"/>
      <c r="V26" s="734"/>
      <c r="W26" s="732"/>
      <c r="X26" s="732"/>
      <c r="Y26" s="735">
        <v>1</v>
      </c>
      <c r="Z26" s="736">
        <v>1</v>
      </c>
      <c r="AA26" s="166">
        <f t="shared" si="19"/>
        <v>0</v>
      </c>
      <c r="AB26" s="166">
        <f t="shared" si="20"/>
        <v>0</v>
      </c>
      <c r="AC26" s="166">
        <f t="shared" si="21"/>
        <v>0</v>
      </c>
      <c r="AD26" s="166"/>
      <c r="AE26" s="164">
        <f t="shared" si="22"/>
        <v>0</v>
      </c>
      <c r="AF26" s="167"/>
      <c r="AG26" s="165">
        <f t="shared" si="5"/>
        <v>0</v>
      </c>
      <c r="AH26" s="729"/>
      <c r="AI26" s="729"/>
      <c r="AJ26" s="8"/>
      <c r="AK26" s="495" t="str">
        <f t="shared" si="6"/>
        <v>No</v>
      </c>
      <c r="AL26" s="496">
        <f>'I-Project Contingency'!$I$4</f>
        <v>9000000</v>
      </c>
      <c r="AM26" s="326">
        <f>'I-Project Contingency'!$I$11</f>
        <v>23.978102189781023</v>
      </c>
      <c r="AN26" s="325">
        <f t="shared" si="7"/>
        <v>0</v>
      </c>
      <c r="AO26" s="326">
        <f t="shared" si="8"/>
        <v>0</v>
      </c>
      <c r="AP26" s="641" t="str">
        <f t="shared" si="9"/>
        <v/>
      </c>
      <c r="AQ26" s="641" t="str">
        <f t="shared" si="10"/>
        <v/>
      </c>
      <c r="AR26" s="497" t="str">
        <f t="shared" si="11"/>
        <v/>
      </c>
      <c r="AS26" s="497" t="str">
        <f t="shared" si="12"/>
        <v/>
      </c>
      <c r="AT26" s="8"/>
      <c r="AU26" s="329">
        <f>'I-Project Contingency'!$O$4-AE26</f>
        <v>0</v>
      </c>
      <c r="AV26" s="330">
        <v>-240515.59579276721</v>
      </c>
      <c r="AW26" s="330">
        <v>28172.931401335634</v>
      </c>
      <c r="AX26" s="330">
        <v>193478.84467429668</v>
      </c>
      <c r="AY26" s="330">
        <v>361668.20104834624</v>
      </c>
      <c r="AZ26" s="330">
        <v>524446.91524262261</v>
      </c>
      <c r="BA26" s="330">
        <v>704023.56387635041</v>
      </c>
      <c r="BB26" s="330">
        <v>886394.06956240814</v>
      </c>
      <c r="BC26" s="330">
        <v>1079363.7165157665</v>
      </c>
      <c r="BD26" s="330">
        <v>1280180.1532065615</v>
      </c>
      <c r="BE26" s="330">
        <v>1485323.8019108465</v>
      </c>
      <c r="BF26" s="330">
        <v>1703758.8827524669</v>
      </c>
      <c r="BG26" s="330">
        <v>1949523.4346483489</v>
      </c>
      <c r="BH26" s="330">
        <v>2177897.1603371189</v>
      </c>
      <c r="BI26" s="330">
        <v>2429374.4260425912</v>
      </c>
      <c r="BJ26" s="330">
        <v>2717092.7449284913</v>
      </c>
      <c r="BK26" s="330">
        <v>3010093.6968918457</v>
      </c>
      <c r="BL26" s="330">
        <v>3325414.5894657462</v>
      </c>
      <c r="BM26" s="330">
        <v>3690425.9159493577</v>
      </c>
      <c r="BN26" s="330">
        <v>4143935.1706127762</v>
      </c>
      <c r="BO26" s="330">
        <v>4722651.1159141911</v>
      </c>
      <c r="BP26" s="330">
        <v>5992048.8629153483</v>
      </c>
      <c r="BQ26" s="330">
        <f>'I-Project Contingency'!$E$61-AV26</f>
        <v>0</v>
      </c>
      <c r="BR26" s="330">
        <f>'I-Project Contingency'!$E$62-AW26</f>
        <v>0</v>
      </c>
      <c r="BS26" s="330">
        <f>'I-Project Contingency'!$E$63-AX26</f>
        <v>0</v>
      </c>
      <c r="BT26" s="330">
        <f>'I-Project Contingency'!$E$64-AY26</f>
        <v>0</v>
      </c>
      <c r="BU26" s="330">
        <f>'I-Project Contingency'!$E$65-AZ26</f>
        <v>0</v>
      </c>
      <c r="BV26" s="330">
        <f>'I-Project Contingency'!$E$66-BA26</f>
        <v>0</v>
      </c>
      <c r="BW26" s="330">
        <f>'I-Project Contingency'!$E$67-BB26</f>
        <v>0</v>
      </c>
      <c r="BX26" s="330">
        <f>'I-Project Contingency'!$E$68-BC26</f>
        <v>0</v>
      </c>
      <c r="BY26" s="330">
        <f>'I-Project Contingency'!$E$69-BD26</f>
        <v>0</v>
      </c>
      <c r="BZ26" s="330">
        <f>'I-Project Contingency'!$E$70-BE26</f>
        <v>0</v>
      </c>
      <c r="CA26" s="330">
        <f>'I-Project Contingency'!$E$71-BF26</f>
        <v>0</v>
      </c>
      <c r="CB26" s="330">
        <f>'I-Project Contingency'!$E$72-BG26</f>
        <v>0</v>
      </c>
      <c r="CC26" s="330">
        <f>'I-Project Contingency'!$E$73-BH26</f>
        <v>0</v>
      </c>
      <c r="CD26" s="330">
        <f>'I-Project Contingency'!$E$74-BI26</f>
        <v>0</v>
      </c>
      <c r="CE26" s="330">
        <f>'I-Project Contingency'!$E$75-BJ26</f>
        <v>0</v>
      </c>
      <c r="CF26" s="330">
        <f>'I-Project Contingency'!$E$76-BK26</f>
        <v>0</v>
      </c>
      <c r="CG26" s="330">
        <f>'I-Project Contingency'!$E$77-BL26</f>
        <v>0</v>
      </c>
      <c r="CH26" s="784">
        <f>'I-Project Contingency'!$E$78-BM26</f>
        <v>0</v>
      </c>
      <c r="CI26" s="330">
        <f>'I-Project Contingency'!$E$79-BN26</f>
        <v>0</v>
      </c>
      <c r="CJ26" s="330">
        <f>'I-Project Contingency'!$E$80-BO26</f>
        <v>0</v>
      </c>
      <c r="CK26" s="330">
        <f>'I-Project Contingency'!$E$81-BP26</f>
        <v>0</v>
      </c>
      <c r="CL26" s="331">
        <f>'I-Project Contingency'!$O$5-AG26</f>
        <v>0</v>
      </c>
      <c r="CM26" s="332">
        <v>-0.98711802853447173</v>
      </c>
      <c r="CN26" s="332">
        <v>-0.19547704728364468</v>
      </c>
      <c r="CO26" s="332">
        <v>0.126462150308498</v>
      </c>
      <c r="CP26" s="332">
        <v>0.45967989154545902</v>
      </c>
      <c r="CQ26" s="332">
        <v>0.78297319902744</v>
      </c>
      <c r="CR26" s="332">
        <v>1.0957191966482109</v>
      </c>
      <c r="CS26" s="332">
        <v>1.4418405003536849</v>
      </c>
      <c r="CT26" s="332">
        <v>1.801002404194165</v>
      </c>
      <c r="CU26" s="332">
        <v>2.1797608166947349</v>
      </c>
      <c r="CV26" s="332">
        <v>2.5671680610072478</v>
      </c>
      <c r="CW26" s="332">
        <v>2.9690760644797152</v>
      </c>
      <c r="CX26" s="332">
        <v>3.3964145469774811</v>
      </c>
      <c r="CY26" s="332">
        <v>3.864536087769562</v>
      </c>
      <c r="CZ26" s="332">
        <v>4.3569836138896116</v>
      </c>
      <c r="DA26" s="332">
        <v>4.8862357851222598</v>
      </c>
      <c r="DB26" s="332">
        <v>5.438836997347547</v>
      </c>
      <c r="DC26" s="332">
        <v>6.047993455908566</v>
      </c>
      <c r="DD26" s="785">
        <v>6.720204953601761</v>
      </c>
      <c r="DE26" s="333">
        <v>7.55131678090412</v>
      </c>
      <c r="DF26" s="332">
        <v>8.661446370835737</v>
      </c>
      <c r="DG26" s="332">
        <v>11.206316207857133</v>
      </c>
      <c r="DH26" s="332">
        <f>'I-Project Contingency'!$E$86-CM26</f>
        <v>0</v>
      </c>
      <c r="DI26" s="332">
        <f>'I-Project Contingency'!$E$87-CN26</f>
        <v>0</v>
      </c>
      <c r="DJ26" s="332">
        <f>'I-Project Contingency'!$E$88-CO26</f>
        <v>0</v>
      </c>
      <c r="DK26" s="332">
        <f>'I-Project Contingency'!$E$89-CP26</f>
        <v>0</v>
      </c>
      <c r="DL26" s="332">
        <f>'I-Project Contingency'!$E$90-CQ26</f>
        <v>0</v>
      </c>
      <c r="DM26" s="332">
        <f>'I-Project Contingency'!$E$91-CR26</f>
        <v>0</v>
      </c>
      <c r="DN26" s="332">
        <f>'I-Project Contingency'!$E$92-CS26</f>
        <v>0</v>
      </c>
      <c r="DO26" s="332">
        <f>'I-Project Contingency'!$E$93-CT26</f>
        <v>0</v>
      </c>
      <c r="DP26" s="332">
        <f>'I-Project Contingency'!$E$94-CU26</f>
        <v>0</v>
      </c>
      <c r="DQ26" s="332">
        <f>'I-Project Contingency'!$E$95-CV26</f>
        <v>0</v>
      </c>
      <c r="DR26" s="332">
        <f>'I-Project Contingency'!$E$96-CW26</f>
        <v>0</v>
      </c>
      <c r="DS26" s="332">
        <f>'I-Project Contingency'!$E$97-CX26</f>
        <v>0</v>
      </c>
      <c r="DT26" s="332">
        <f>'I-Project Contingency'!$E$98-CY26</f>
        <v>0</v>
      </c>
      <c r="DU26" s="332">
        <f>'I-Project Contingency'!$E$99-CZ26</f>
        <v>0</v>
      </c>
      <c r="DV26" s="332">
        <f>'I-Project Contingency'!$E$100-DA26</f>
        <v>0</v>
      </c>
      <c r="DW26" s="332">
        <f>'I-Project Contingency'!$E$101-DB26</f>
        <v>0</v>
      </c>
      <c r="DX26" s="332">
        <f>'I-Project Contingency'!$E$102-DC26</f>
        <v>0</v>
      </c>
      <c r="DY26" s="332">
        <f>'I-Project Contingency'!$E$103-DD26</f>
        <v>0</v>
      </c>
      <c r="DZ26" s="332">
        <f>'I-Project Contingency'!$E$104-DE26</f>
        <v>0</v>
      </c>
      <c r="EA26" s="332">
        <f>'I-Project Contingency'!$E$105-DF26</f>
        <v>0</v>
      </c>
      <c r="EB26" s="332">
        <f>'I-Project Contingency'!$E$106-DG26</f>
        <v>0</v>
      </c>
      <c r="EC26" s="334">
        <f>IF(EE26="N/A","N/A",ABS(INDEX(EE26:EY26,1,MATCH("ROM Cost Risk @ "&amp;'D-Project Data'!$C$6*100&amp;"%",$EE$17:$EY$17,0))))</f>
        <v>0</v>
      </c>
      <c r="ED26" s="335">
        <f>IF(EC26="N/A","N/A",RANK(EC26,$EC$18:$EC$117,0)+COUNTIF($EC$18:EC26,EC26)-1)</f>
        <v>9</v>
      </c>
      <c r="EE26" s="334">
        <f>IF(BQ26/SUM(BQ:BQ)*'I-Project Contingency'!$F$61=0,0,BQ26/SUM(BQ:BQ)*'I-Project Contingency'!$F$61)</f>
        <v>0</v>
      </c>
      <c r="EF26" s="334">
        <f>IF(BR26/SUM(BR:BR)*'I-Project Contingency'!$F$62=0,0,BR26/SUM(BR:BR)*'I-Project Contingency'!$F$62)</f>
        <v>0</v>
      </c>
      <c r="EG26" s="334">
        <f>IF(BS26/SUM(BS:BS)*'I-Project Contingency'!$F$63=0,0,BS26/SUM(BS:BS)*'I-Project Contingency'!$F$63)</f>
        <v>0</v>
      </c>
      <c r="EH26" s="334">
        <f>IF(BT26/SUM(BT:BT)*'I-Project Contingency'!$F$64=0,0,BT26/SUM(BT:BT)*'I-Project Contingency'!$F$64)</f>
        <v>0</v>
      </c>
      <c r="EI26" s="334">
        <f>IF(BU26/SUM(BU:BU)*'I-Project Contingency'!$F$65=0,0,BU26/SUM(BU:BU)*'I-Project Contingency'!$F$65)</f>
        <v>0</v>
      </c>
      <c r="EJ26" s="334">
        <f>IF(BV26/SUM(BV:BV)*'I-Project Contingency'!$F$66=0,0,BV26/SUM(BV:BV)*'I-Project Contingency'!$F$66)</f>
        <v>0</v>
      </c>
      <c r="EK26" s="334">
        <f>IF(BW26/SUM(BW:BW)*'I-Project Contingency'!$F$67=0,0,BW26/SUM(BW:BW)*'I-Project Contingency'!$F$67)</f>
        <v>0</v>
      </c>
      <c r="EL26" s="334">
        <f>IF(BX26/SUM(BX:BX)*'I-Project Contingency'!$F$68=0,0,BX26/SUM(BX:BX)*'I-Project Contingency'!$F$68)</f>
        <v>0</v>
      </c>
      <c r="EM26" s="334">
        <f>IF(BY26/SUM(BY:BY)*'I-Project Contingency'!$F$69=0,0,BY26/SUM(BY:BY)*'I-Project Contingency'!$F$69)</f>
        <v>0</v>
      </c>
      <c r="EN26" s="334">
        <f>IF(BZ26/SUM(BZ:BZ)*'I-Project Contingency'!$F$70=0,0,BZ26/SUM(BZ:BZ)*'I-Project Contingency'!$F$70)</f>
        <v>0</v>
      </c>
      <c r="EO26" s="334">
        <f>IF(CA26/SUM(CA:CA)*'I-Project Contingency'!$F$71=0,0,CA26/SUM(CA:CA)*'I-Project Contingency'!$F$71)</f>
        <v>0</v>
      </c>
      <c r="EP26" s="334">
        <f>IF(CB26/SUM(CB:CB)*'I-Project Contingency'!$F$72=0,0,CB26/SUM(CB:CB)*'I-Project Contingency'!$F$72)</f>
        <v>0</v>
      </c>
      <c r="EQ26" s="334">
        <f>IF(CC26/SUM(CC:CC)*'I-Project Contingency'!$F$73=0,0,CC26/SUM(CC:CC)*'I-Project Contingency'!$F$73)</f>
        <v>0</v>
      </c>
      <c r="ER26" s="334">
        <f>IF(CD26/SUM(CD:CD)*'I-Project Contingency'!$F$74=0,0,CD26/SUM(CD:CD)*'I-Project Contingency'!$F$74)</f>
        <v>0</v>
      </c>
      <c r="ES26" s="334">
        <f>IF(CE26/SUM(CE:CE)*'I-Project Contingency'!$F$75=0,0,CE26/SUM(CE:CE)*'I-Project Contingency'!$F$75)</f>
        <v>0</v>
      </c>
      <c r="ET26" s="334">
        <f>IF(CF26/SUM(CF:CF)*'I-Project Contingency'!$F$76=0,0,CF26/SUM(CF:CF)*'I-Project Contingency'!$F$76)</f>
        <v>0</v>
      </c>
      <c r="EU26" s="334">
        <f>IF(CG26/SUM(CG:CG)*'I-Project Contingency'!$F$77=0,0,CG26/SUM(CG:CG)*'I-Project Contingency'!$F$77)</f>
        <v>0</v>
      </c>
      <c r="EV26" s="787">
        <f>IF(CH26/SUM(CH:CH)*'I-Project Contingency'!$F$78=0,0,CH26/SUM(CH:CH)*'I-Project Contingency'!$F$78)</f>
        <v>0</v>
      </c>
      <c r="EW26" s="787">
        <f>IF(CI26/SUM(CI:CI)*'I-Project Contingency'!$F$79=0,0,CI26/SUM(CI:CI)*'I-Project Contingency'!$F$79)</f>
        <v>0</v>
      </c>
      <c r="EX26" s="787">
        <f>IF(CJ26/SUM(CJ:CJ)*'I-Project Contingency'!$F$80=0,0,CJ26/SUM(CJ:CJ)*'I-Project Contingency'!$F$80)</f>
        <v>0</v>
      </c>
      <c r="EY26" s="787">
        <f>IF(CK26/SUM(CK:CK)*'I-Project Contingency'!$F$81=0,0,CK26/SUM(CK:CK)*'I-Project Contingency'!$F$81)</f>
        <v>0</v>
      </c>
      <c r="EZ26" s="333">
        <f>IF(FB26="N/A","N/A",ABS(INDEX(FB26:FV26,1,MATCH("ROM Schedule Risk @ "&amp;'D-Project Data'!$C$6*100&amp;"%",$FB$17:$FV$17,0))))</f>
        <v>0</v>
      </c>
      <c r="FA26" s="335">
        <f>IF(EZ26="N/A","N/A",RANK(EZ26,$EZ$18:$EZ$117,0)+COUNTIF($FB$18:FB26,FB26)-1)</f>
        <v>9</v>
      </c>
      <c r="FB26" s="788">
        <f>IF(DH26/SUM(DH:DH)*'I-Project Contingency'!$F$86=0,0,DH26/SUM(DH:DH)*'I-Project Contingency'!$F$86)</f>
        <v>0</v>
      </c>
      <c r="FC26" s="788">
        <f>IF(DI26/SUM(DI:DI)*'I-Project Contingency'!$F$87=0,0,DI26/SUM(DI:DI)*'I-Project Contingency'!$F$87)</f>
        <v>0</v>
      </c>
      <c r="FD26" s="788">
        <f>IF(DJ26/SUM(DJ:DJ)*'I-Project Contingency'!$F$88=0,0,DJ26/SUM(DJ:DJ)*'I-Project Contingency'!$F$88)</f>
        <v>0</v>
      </c>
      <c r="FE26" s="788">
        <f>IF(DK26/SUM(DK:DK)*'I-Project Contingency'!$F$89=0,0,DK26/SUM(DK:DK)*'I-Project Contingency'!$F$89)</f>
        <v>0</v>
      </c>
      <c r="FF26" s="788">
        <f>IF(DL26/SUM(DL:DL)*'I-Project Contingency'!$F$90=0,0,DL26/SUM(DL:DL)*'I-Project Contingency'!$F$90)</f>
        <v>0</v>
      </c>
      <c r="FG26" s="788">
        <f>IF(DM26/SUM(DM:DM)*'I-Project Contingency'!$F$91=0,0,DM26/SUM(DM:DM)*'I-Project Contingency'!$F$91)</f>
        <v>0</v>
      </c>
      <c r="FH26" s="788">
        <f>IF(DN26/SUM(DN:DN)*'I-Project Contingency'!$F$92=0,0,DN26/SUM(DN:DN)*'I-Project Contingency'!$F$92)</f>
        <v>0</v>
      </c>
      <c r="FI26" s="788">
        <f>IF(DO26/SUM(DO:DO)*'I-Project Contingency'!$F$93=0,0,DO26/SUM(DO:DO)*'I-Project Contingency'!$F$93)</f>
        <v>0</v>
      </c>
      <c r="FJ26" s="788">
        <f>IF(DP26/SUM(DP:DP)*'I-Project Contingency'!$F$94=0,0,DP26/SUM(DP:DP)*'I-Project Contingency'!$F$94)</f>
        <v>0</v>
      </c>
      <c r="FK26" s="788">
        <f>IF(DQ26/SUM(DQ:DQ)*'I-Project Contingency'!$F$95=0,0,DQ26/SUM(DQ:DQ)*'I-Project Contingency'!$F$95)</f>
        <v>0</v>
      </c>
      <c r="FL26" s="788">
        <f>IF(DR26/SUM(DR:DR)*'I-Project Contingency'!$F$96=0,0,DR26/SUM(DR:DR)*'I-Project Contingency'!$F$96)</f>
        <v>0</v>
      </c>
      <c r="FM26" s="788">
        <f>IF(DS26/SUM(DS:DS)*'I-Project Contingency'!$F$97=0,0,DS26/SUM(DS:DS)*'I-Project Contingency'!$F$97)</f>
        <v>0</v>
      </c>
      <c r="FN26" s="788">
        <f>IF(DT26/SUM(DT:DT)*'I-Project Contingency'!$F$98=0,0,DT26/SUM(DT:DT)*'I-Project Contingency'!$F$98)</f>
        <v>0</v>
      </c>
      <c r="FO26" s="788">
        <f>IF(DU26/SUM(DU:DU)*'I-Project Contingency'!$F$99=0,0,DU26/SUM(DU:DU)*'I-Project Contingency'!$F$99)</f>
        <v>0</v>
      </c>
      <c r="FP26" s="788">
        <f>IF(DV26/SUM(DV:DV)*'I-Project Contingency'!$F$100=0,0,DV26/SUM(DV:DV)*'I-Project Contingency'!$F$100)</f>
        <v>0</v>
      </c>
      <c r="FQ26" s="788">
        <f>IF(DW26/SUM(DW:DW)*'I-Project Contingency'!$F$101=0,0,DW26/SUM(DW:DW)*'I-Project Contingency'!$F$101)</f>
        <v>0</v>
      </c>
      <c r="FR26" s="788">
        <f>IF(DX26/SUM(DX:DX)*'I-Project Contingency'!$F$102=0,0,DX26/SUM(DX:DX)*'I-Project Contingency'!$F$102)</f>
        <v>0</v>
      </c>
      <c r="FS26" s="788">
        <f>IF(DY26/SUM(DY:DY)*'I-Project Contingency'!$F$103=0,0,DY26/SUM(DY:DY)*'I-Project Contingency'!$F$103)</f>
        <v>0</v>
      </c>
      <c r="FT26" s="788">
        <f>IF(DZ26/SUM(DZ:DZ)*'I-Project Contingency'!$F$104=0,0,DZ26/SUM(DZ:DZ)*'I-Project Contingency'!$F$104)</f>
        <v>0</v>
      </c>
      <c r="FU26" s="788">
        <f>IF(EA26/SUM(EA:EA)*'I-Project Contingency'!$F$105=0,0,EA26/SUM(EA:EA)*'I-Project Contingency'!$F$105)</f>
        <v>0</v>
      </c>
      <c r="FV26" s="788">
        <f>IF(EB26/SUM(EB:EB)*'I-Project Contingency'!$F$106=0,0,EB26/SUM(EB:EB)*'I-Project Contingency'!$F$106)</f>
        <v>0</v>
      </c>
      <c r="FW26" s="335">
        <f t="shared" si="13"/>
        <v>9</v>
      </c>
      <c r="FX26" s="336" t="str">
        <f t="shared" si="14"/>
        <v xml:space="preserve">9 - </v>
      </c>
      <c r="FY26" s="330">
        <f t="shared" si="15"/>
        <v>0</v>
      </c>
      <c r="FZ26" s="330">
        <f t="shared" si="16"/>
        <v>0</v>
      </c>
      <c r="GA26" s="332">
        <f t="shared" si="17"/>
        <v>0</v>
      </c>
      <c r="GB26" s="332">
        <f t="shared" si="18"/>
        <v>0</v>
      </c>
    </row>
    <row r="27" spans="1:184" s="479" customFormat="1" ht="30" x14ac:dyDescent="0.25">
      <c r="A27" s="470">
        <f t="shared" si="23"/>
        <v>10</v>
      </c>
      <c r="B27" s="730" t="s">
        <v>728</v>
      </c>
      <c r="C27" s="729"/>
      <c r="D27" s="729"/>
      <c r="E27" s="729"/>
      <c r="F27" s="728" t="s">
        <v>728</v>
      </c>
      <c r="G27" s="728" t="s">
        <v>728</v>
      </c>
      <c r="H27" s="157" t="str">
        <f>IFERROR(IF('H-Risk Register-Model'!F27="Certain","Relook at Basis of Estimate",INDEX('G-Assumptions'!$F$8:$J$11,MATCH(F27,'G-Assumptions'!$D$8:$D$11,0),MATCH(G27,'G-Assumptions'!$F$6:$J$6,0))),"Unrated")</f>
        <v>Unrated</v>
      </c>
      <c r="I27" s="728" t="s">
        <v>728</v>
      </c>
      <c r="J27" s="157" t="str">
        <f>IFERROR(IF('H-Risk Register-Model'!F27="Certain","Relook at Basis of Estimate",INDEX('G-Assumptions'!$F$8:$J$11,MATCH(F27,'G-Assumptions'!$D$8:$D$11,0),MATCH(I27,'G-Assumptions'!$F$6:$J$6,0))),"Unrated")</f>
        <v>Unrated</v>
      </c>
      <c r="K27" s="728" t="s">
        <v>728</v>
      </c>
      <c r="L27" s="728" t="s">
        <v>728</v>
      </c>
      <c r="M27" s="728"/>
      <c r="N27" s="731" t="s">
        <v>728</v>
      </c>
      <c r="O27" s="731" t="s">
        <v>728</v>
      </c>
      <c r="P27" s="732"/>
      <c r="Q27" s="732"/>
      <c r="R27" s="732"/>
      <c r="S27" s="733"/>
      <c r="T27" s="733"/>
      <c r="U27" s="733"/>
      <c r="V27" s="734"/>
      <c r="W27" s="732"/>
      <c r="X27" s="732"/>
      <c r="Y27" s="735">
        <v>1</v>
      </c>
      <c r="Z27" s="737">
        <v>1</v>
      </c>
      <c r="AA27" s="166">
        <f t="shared" si="19"/>
        <v>0</v>
      </c>
      <c r="AB27" s="166">
        <f t="shared" si="20"/>
        <v>0</v>
      </c>
      <c r="AC27" s="166">
        <f t="shared" si="21"/>
        <v>0</v>
      </c>
      <c r="AD27" s="166"/>
      <c r="AE27" s="471">
        <f t="shared" si="22"/>
        <v>0</v>
      </c>
      <c r="AF27" s="167"/>
      <c r="AG27" s="472">
        <f t="shared" si="5"/>
        <v>0</v>
      </c>
      <c r="AH27" s="729"/>
      <c r="AI27" s="729"/>
      <c r="AJ27" s="473"/>
      <c r="AK27" s="498" t="str">
        <f t="shared" si="6"/>
        <v>No</v>
      </c>
      <c r="AL27" s="499">
        <f>'I-Project Contingency'!$I$4</f>
        <v>9000000</v>
      </c>
      <c r="AM27" s="326">
        <f>'I-Project Contingency'!$I$11</f>
        <v>23.978102189781023</v>
      </c>
      <c r="AN27" s="325">
        <f t="shared" si="7"/>
        <v>0</v>
      </c>
      <c r="AO27" s="326">
        <f t="shared" si="8"/>
        <v>0</v>
      </c>
      <c r="AP27" s="641" t="str">
        <f t="shared" si="9"/>
        <v/>
      </c>
      <c r="AQ27" s="641" t="str">
        <f t="shared" si="10"/>
        <v/>
      </c>
      <c r="AR27" s="500" t="str">
        <f t="shared" si="11"/>
        <v/>
      </c>
      <c r="AS27" s="500" t="str">
        <f t="shared" si="12"/>
        <v/>
      </c>
      <c r="AT27" s="473"/>
      <c r="AU27" s="329">
        <f>'I-Project Contingency'!$O$4-AE27</f>
        <v>0</v>
      </c>
      <c r="AV27" s="474">
        <v>-240515.59579276721</v>
      </c>
      <c r="AW27" s="474">
        <v>28172.931401335634</v>
      </c>
      <c r="AX27" s="474">
        <v>193478.84467429668</v>
      </c>
      <c r="AY27" s="474">
        <v>361668.20104834624</v>
      </c>
      <c r="AZ27" s="474">
        <v>524446.91524262261</v>
      </c>
      <c r="BA27" s="474">
        <v>704023.56387635041</v>
      </c>
      <c r="BB27" s="474">
        <v>886394.06956240814</v>
      </c>
      <c r="BC27" s="474">
        <v>1079363.7165157665</v>
      </c>
      <c r="BD27" s="474">
        <v>1280180.1532065615</v>
      </c>
      <c r="BE27" s="474">
        <v>1485323.8019108465</v>
      </c>
      <c r="BF27" s="474">
        <v>1703758.8827524669</v>
      </c>
      <c r="BG27" s="474">
        <v>1949523.4346483489</v>
      </c>
      <c r="BH27" s="474">
        <v>2177897.1603371189</v>
      </c>
      <c r="BI27" s="474">
        <v>2429374.4260425912</v>
      </c>
      <c r="BJ27" s="474">
        <v>2717092.7449284913</v>
      </c>
      <c r="BK27" s="474">
        <v>3010093.6968918457</v>
      </c>
      <c r="BL27" s="474">
        <v>3325414.5894657462</v>
      </c>
      <c r="BM27" s="474">
        <v>3690425.9159493577</v>
      </c>
      <c r="BN27" s="474">
        <v>4143935.1706127762</v>
      </c>
      <c r="BO27" s="474">
        <v>4722651.1159141911</v>
      </c>
      <c r="BP27" s="474">
        <v>5992048.8629153483</v>
      </c>
      <c r="BQ27" s="330">
        <f>'I-Project Contingency'!$E$61-AV27</f>
        <v>0</v>
      </c>
      <c r="BR27" s="330">
        <f>'I-Project Contingency'!$E$62-AW27</f>
        <v>0</v>
      </c>
      <c r="BS27" s="330">
        <f>'I-Project Contingency'!$E$63-AX27</f>
        <v>0</v>
      </c>
      <c r="BT27" s="330">
        <f>'I-Project Contingency'!$E$64-AY27</f>
        <v>0</v>
      </c>
      <c r="BU27" s="330">
        <f>'I-Project Contingency'!$E$65-AZ27</f>
        <v>0</v>
      </c>
      <c r="BV27" s="330">
        <f>'I-Project Contingency'!$E$66-BA27</f>
        <v>0</v>
      </c>
      <c r="BW27" s="330">
        <f>'I-Project Contingency'!$E$67-BB27</f>
        <v>0</v>
      </c>
      <c r="BX27" s="330">
        <f>'I-Project Contingency'!$E$68-BC27</f>
        <v>0</v>
      </c>
      <c r="BY27" s="330">
        <f>'I-Project Contingency'!$E$69-BD27</f>
        <v>0</v>
      </c>
      <c r="BZ27" s="330">
        <f>'I-Project Contingency'!$E$70-BE27</f>
        <v>0</v>
      </c>
      <c r="CA27" s="330">
        <f>'I-Project Contingency'!$E$71-BF27</f>
        <v>0</v>
      </c>
      <c r="CB27" s="330">
        <f>'I-Project Contingency'!$E$72-BG27</f>
        <v>0</v>
      </c>
      <c r="CC27" s="330">
        <f>'I-Project Contingency'!$E$73-BH27</f>
        <v>0</v>
      </c>
      <c r="CD27" s="330">
        <f>'I-Project Contingency'!$E$74-BI27</f>
        <v>0</v>
      </c>
      <c r="CE27" s="330">
        <f>'I-Project Contingency'!$E$75-BJ27</f>
        <v>0</v>
      </c>
      <c r="CF27" s="330">
        <f>'I-Project Contingency'!$E$76-BK27</f>
        <v>0</v>
      </c>
      <c r="CG27" s="330">
        <f>'I-Project Contingency'!$E$77-BL27</f>
        <v>0</v>
      </c>
      <c r="CH27" s="784">
        <f>'I-Project Contingency'!$E$78-BM27</f>
        <v>0</v>
      </c>
      <c r="CI27" s="330">
        <f>'I-Project Contingency'!$E$79-BN27</f>
        <v>0</v>
      </c>
      <c r="CJ27" s="330">
        <f>'I-Project Contingency'!$E$80-BO27</f>
        <v>0</v>
      </c>
      <c r="CK27" s="330">
        <f>'I-Project Contingency'!$E$81-BP27</f>
        <v>0</v>
      </c>
      <c r="CL27" s="331">
        <f>'I-Project Contingency'!$O$5-AG27</f>
        <v>0</v>
      </c>
      <c r="CM27" s="475">
        <v>-0.98711802853447173</v>
      </c>
      <c r="CN27" s="475">
        <v>-0.19547704728364468</v>
      </c>
      <c r="CO27" s="475">
        <v>0.126462150308498</v>
      </c>
      <c r="CP27" s="475">
        <v>0.45967989154545902</v>
      </c>
      <c r="CQ27" s="475">
        <v>0.78297319902744</v>
      </c>
      <c r="CR27" s="475">
        <v>1.0957191966482109</v>
      </c>
      <c r="CS27" s="475">
        <v>1.4418405003536849</v>
      </c>
      <c r="CT27" s="475">
        <v>1.801002404194165</v>
      </c>
      <c r="CU27" s="475">
        <v>2.1797608166947349</v>
      </c>
      <c r="CV27" s="475">
        <v>2.5671680610072478</v>
      </c>
      <c r="CW27" s="475">
        <v>2.9690760644797152</v>
      </c>
      <c r="CX27" s="475">
        <v>3.3964145469774811</v>
      </c>
      <c r="CY27" s="475">
        <v>3.864536087769562</v>
      </c>
      <c r="CZ27" s="475">
        <v>4.3569836138896116</v>
      </c>
      <c r="DA27" s="475">
        <v>4.8862357851222598</v>
      </c>
      <c r="DB27" s="475">
        <v>5.438836997347547</v>
      </c>
      <c r="DC27" s="475">
        <v>6.047993455908566</v>
      </c>
      <c r="DD27" s="786">
        <v>6.720204953601761</v>
      </c>
      <c r="DE27" s="476">
        <v>7.55131678090412</v>
      </c>
      <c r="DF27" s="475">
        <v>8.661446370835737</v>
      </c>
      <c r="DG27" s="475">
        <v>11.206316207857133</v>
      </c>
      <c r="DH27" s="332">
        <f>'I-Project Contingency'!$E$86-CM27</f>
        <v>0</v>
      </c>
      <c r="DI27" s="332">
        <f>'I-Project Contingency'!$E$87-CN27</f>
        <v>0</v>
      </c>
      <c r="DJ27" s="332">
        <f>'I-Project Contingency'!$E$88-CO27</f>
        <v>0</v>
      </c>
      <c r="DK27" s="332">
        <f>'I-Project Contingency'!$E$89-CP27</f>
        <v>0</v>
      </c>
      <c r="DL27" s="332">
        <f>'I-Project Contingency'!$E$90-CQ27</f>
        <v>0</v>
      </c>
      <c r="DM27" s="332">
        <f>'I-Project Contingency'!$E$91-CR27</f>
        <v>0</v>
      </c>
      <c r="DN27" s="332">
        <f>'I-Project Contingency'!$E$92-CS27</f>
        <v>0</v>
      </c>
      <c r="DO27" s="332">
        <f>'I-Project Contingency'!$E$93-CT27</f>
        <v>0</v>
      </c>
      <c r="DP27" s="332">
        <f>'I-Project Contingency'!$E$94-CU27</f>
        <v>0</v>
      </c>
      <c r="DQ27" s="332">
        <f>'I-Project Contingency'!$E$95-CV27</f>
        <v>0</v>
      </c>
      <c r="DR27" s="332">
        <f>'I-Project Contingency'!$E$96-CW27</f>
        <v>0</v>
      </c>
      <c r="DS27" s="332">
        <f>'I-Project Contingency'!$E$97-CX27</f>
        <v>0</v>
      </c>
      <c r="DT27" s="332">
        <f>'I-Project Contingency'!$E$98-CY27</f>
        <v>0</v>
      </c>
      <c r="DU27" s="332">
        <f>'I-Project Contingency'!$E$99-CZ27</f>
        <v>0</v>
      </c>
      <c r="DV27" s="332">
        <f>'I-Project Contingency'!$E$100-DA27</f>
        <v>0</v>
      </c>
      <c r="DW27" s="332">
        <f>'I-Project Contingency'!$E$101-DB27</f>
        <v>0</v>
      </c>
      <c r="DX27" s="332">
        <f>'I-Project Contingency'!$E$102-DC27</f>
        <v>0</v>
      </c>
      <c r="DY27" s="332">
        <f>'I-Project Contingency'!$E$103-DD27</f>
        <v>0</v>
      </c>
      <c r="DZ27" s="332">
        <f>'I-Project Contingency'!$E$104-DE27</f>
        <v>0</v>
      </c>
      <c r="EA27" s="332">
        <f>'I-Project Contingency'!$E$105-DF27</f>
        <v>0</v>
      </c>
      <c r="EB27" s="332">
        <f>'I-Project Contingency'!$E$106-DG27</f>
        <v>0</v>
      </c>
      <c r="EC27" s="334">
        <f>IF(EE27="N/A","N/A",ABS(INDEX(EE27:EY27,1,MATCH("ROM Cost Risk @ "&amp;'D-Project Data'!$C$6*100&amp;"%",$EE$17:$EY$17,0))))</f>
        <v>0</v>
      </c>
      <c r="ED27" s="335">
        <f>IF(EC27="N/A","N/A",RANK(EC27,$EC$18:$EC$117,0)+COUNTIF($EC$18:EC27,EC27)-1)</f>
        <v>10</v>
      </c>
      <c r="EE27" s="334">
        <f>IF(BQ27/SUM(BQ:BQ)*'I-Project Contingency'!$F$61=0,0,BQ27/SUM(BQ:BQ)*'I-Project Contingency'!$F$61)</f>
        <v>0</v>
      </c>
      <c r="EF27" s="334">
        <f>IF(BR27/SUM(BR:BR)*'I-Project Contingency'!$F$62=0,0,BR27/SUM(BR:BR)*'I-Project Contingency'!$F$62)</f>
        <v>0</v>
      </c>
      <c r="EG27" s="334">
        <f>IF(BS27/SUM(BS:BS)*'I-Project Contingency'!$F$63=0,0,BS27/SUM(BS:BS)*'I-Project Contingency'!$F$63)</f>
        <v>0</v>
      </c>
      <c r="EH27" s="334">
        <f>IF(BT27/SUM(BT:BT)*'I-Project Contingency'!$F$64=0,0,BT27/SUM(BT:BT)*'I-Project Contingency'!$F$64)</f>
        <v>0</v>
      </c>
      <c r="EI27" s="334">
        <f>IF(BU27/SUM(BU:BU)*'I-Project Contingency'!$F$65=0,0,BU27/SUM(BU:BU)*'I-Project Contingency'!$F$65)</f>
        <v>0</v>
      </c>
      <c r="EJ27" s="334">
        <f>IF(BV27/SUM(BV:BV)*'I-Project Contingency'!$F$66=0,0,BV27/SUM(BV:BV)*'I-Project Contingency'!$F$66)</f>
        <v>0</v>
      </c>
      <c r="EK27" s="334">
        <f>IF(BW27/SUM(BW:BW)*'I-Project Contingency'!$F$67=0,0,BW27/SUM(BW:BW)*'I-Project Contingency'!$F$67)</f>
        <v>0</v>
      </c>
      <c r="EL27" s="334">
        <f>IF(BX27/SUM(BX:BX)*'I-Project Contingency'!$F$68=0,0,BX27/SUM(BX:BX)*'I-Project Contingency'!$F$68)</f>
        <v>0</v>
      </c>
      <c r="EM27" s="334">
        <f>IF(BY27/SUM(BY:BY)*'I-Project Contingency'!$F$69=0,0,BY27/SUM(BY:BY)*'I-Project Contingency'!$F$69)</f>
        <v>0</v>
      </c>
      <c r="EN27" s="334">
        <f>IF(BZ27/SUM(BZ:BZ)*'I-Project Contingency'!$F$70=0,0,BZ27/SUM(BZ:BZ)*'I-Project Contingency'!$F$70)</f>
        <v>0</v>
      </c>
      <c r="EO27" s="334">
        <f>IF(CA27/SUM(CA:CA)*'I-Project Contingency'!$F$71=0,0,CA27/SUM(CA:CA)*'I-Project Contingency'!$F$71)</f>
        <v>0</v>
      </c>
      <c r="EP27" s="334">
        <f>IF(CB27/SUM(CB:CB)*'I-Project Contingency'!$F$72=0,0,CB27/SUM(CB:CB)*'I-Project Contingency'!$F$72)</f>
        <v>0</v>
      </c>
      <c r="EQ27" s="334">
        <f>IF(CC27/SUM(CC:CC)*'I-Project Contingency'!$F$73=0,0,CC27/SUM(CC:CC)*'I-Project Contingency'!$F$73)</f>
        <v>0</v>
      </c>
      <c r="ER27" s="334">
        <f>IF(CD27/SUM(CD:CD)*'I-Project Contingency'!$F$74=0,0,CD27/SUM(CD:CD)*'I-Project Contingency'!$F$74)</f>
        <v>0</v>
      </c>
      <c r="ES27" s="334">
        <f>IF(CE27/SUM(CE:CE)*'I-Project Contingency'!$F$75=0,0,CE27/SUM(CE:CE)*'I-Project Contingency'!$F$75)</f>
        <v>0</v>
      </c>
      <c r="ET27" s="334">
        <f>IF(CF27/SUM(CF:CF)*'I-Project Contingency'!$F$76=0,0,CF27/SUM(CF:CF)*'I-Project Contingency'!$F$76)</f>
        <v>0</v>
      </c>
      <c r="EU27" s="334">
        <f>IF(CG27/SUM(CG:CG)*'I-Project Contingency'!$F$77=0,0,CG27/SUM(CG:CG)*'I-Project Contingency'!$F$77)</f>
        <v>0</v>
      </c>
      <c r="EV27" s="787">
        <f>IF(CH27/SUM(CH:CH)*'I-Project Contingency'!$F$78=0,0,CH27/SUM(CH:CH)*'I-Project Contingency'!$F$78)</f>
        <v>0</v>
      </c>
      <c r="EW27" s="787">
        <f>IF(CI27/SUM(CI:CI)*'I-Project Contingency'!$F$79=0,0,CI27/SUM(CI:CI)*'I-Project Contingency'!$F$79)</f>
        <v>0</v>
      </c>
      <c r="EX27" s="787">
        <f>IF(CJ27/SUM(CJ:CJ)*'I-Project Contingency'!$F$80=0,0,CJ27/SUM(CJ:CJ)*'I-Project Contingency'!$F$80)</f>
        <v>0</v>
      </c>
      <c r="EY27" s="787">
        <f>IF(CK27/SUM(CK:CK)*'I-Project Contingency'!$F$81=0,0,CK27/SUM(CK:CK)*'I-Project Contingency'!$F$81)</f>
        <v>0</v>
      </c>
      <c r="EZ27" s="333">
        <f>IF(FB27="N/A","N/A",ABS(INDEX(FB27:FV27,1,MATCH("ROM Schedule Risk @ "&amp;'D-Project Data'!$C$6*100&amp;"%",$FB$17:$FV$17,0))))</f>
        <v>0</v>
      </c>
      <c r="FA27" s="335">
        <f>IF(EZ27="N/A","N/A",RANK(EZ27,$EZ$18:$EZ$117,0)+COUNTIF($FB$18:FB27,FB27)-1)</f>
        <v>10</v>
      </c>
      <c r="FB27" s="788">
        <f>IF(DH27/SUM(DH:DH)*'I-Project Contingency'!$F$86=0,0,DH27/SUM(DH:DH)*'I-Project Contingency'!$F$86)</f>
        <v>0</v>
      </c>
      <c r="FC27" s="788">
        <f>IF(DI27/SUM(DI:DI)*'I-Project Contingency'!$F$87=0,0,DI27/SUM(DI:DI)*'I-Project Contingency'!$F$87)</f>
        <v>0</v>
      </c>
      <c r="FD27" s="788">
        <f>IF(DJ27/SUM(DJ:DJ)*'I-Project Contingency'!$F$88=0,0,DJ27/SUM(DJ:DJ)*'I-Project Contingency'!$F$88)</f>
        <v>0</v>
      </c>
      <c r="FE27" s="788">
        <f>IF(DK27/SUM(DK:DK)*'I-Project Contingency'!$F$89=0,0,DK27/SUM(DK:DK)*'I-Project Contingency'!$F$89)</f>
        <v>0</v>
      </c>
      <c r="FF27" s="788">
        <f>IF(DL27/SUM(DL:DL)*'I-Project Contingency'!$F$90=0,0,DL27/SUM(DL:DL)*'I-Project Contingency'!$F$90)</f>
        <v>0</v>
      </c>
      <c r="FG27" s="788">
        <f>IF(DM27/SUM(DM:DM)*'I-Project Contingency'!$F$91=0,0,DM27/SUM(DM:DM)*'I-Project Contingency'!$F$91)</f>
        <v>0</v>
      </c>
      <c r="FH27" s="788">
        <f>IF(DN27/SUM(DN:DN)*'I-Project Contingency'!$F$92=0,0,DN27/SUM(DN:DN)*'I-Project Contingency'!$F$92)</f>
        <v>0</v>
      </c>
      <c r="FI27" s="788">
        <f>IF(DO27/SUM(DO:DO)*'I-Project Contingency'!$F$93=0,0,DO27/SUM(DO:DO)*'I-Project Contingency'!$F$93)</f>
        <v>0</v>
      </c>
      <c r="FJ27" s="788">
        <f>IF(DP27/SUM(DP:DP)*'I-Project Contingency'!$F$94=0,0,DP27/SUM(DP:DP)*'I-Project Contingency'!$F$94)</f>
        <v>0</v>
      </c>
      <c r="FK27" s="788">
        <f>IF(DQ27/SUM(DQ:DQ)*'I-Project Contingency'!$F$95=0,0,DQ27/SUM(DQ:DQ)*'I-Project Contingency'!$F$95)</f>
        <v>0</v>
      </c>
      <c r="FL27" s="788">
        <f>IF(DR27/SUM(DR:DR)*'I-Project Contingency'!$F$96=0,0,DR27/SUM(DR:DR)*'I-Project Contingency'!$F$96)</f>
        <v>0</v>
      </c>
      <c r="FM27" s="788">
        <f>IF(DS27/SUM(DS:DS)*'I-Project Contingency'!$F$97=0,0,DS27/SUM(DS:DS)*'I-Project Contingency'!$F$97)</f>
        <v>0</v>
      </c>
      <c r="FN27" s="788">
        <f>IF(DT27/SUM(DT:DT)*'I-Project Contingency'!$F$98=0,0,DT27/SUM(DT:DT)*'I-Project Contingency'!$F$98)</f>
        <v>0</v>
      </c>
      <c r="FO27" s="788">
        <f>IF(DU27/SUM(DU:DU)*'I-Project Contingency'!$F$99=0,0,DU27/SUM(DU:DU)*'I-Project Contingency'!$F$99)</f>
        <v>0</v>
      </c>
      <c r="FP27" s="788">
        <f>IF(DV27/SUM(DV:DV)*'I-Project Contingency'!$F$100=0,0,DV27/SUM(DV:DV)*'I-Project Contingency'!$F$100)</f>
        <v>0</v>
      </c>
      <c r="FQ27" s="788">
        <f>IF(DW27/SUM(DW:DW)*'I-Project Contingency'!$F$101=0,0,DW27/SUM(DW:DW)*'I-Project Contingency'!$F$101)</f>
        <v>0</v>
      </c>
      <c r="FR27" s="788">
        <f>IF(DX27/SUM(DX:DX)*'I-Project Contingency'!$F$102=0,0,DX27/SUM(DX:DX)*'I-Project Contingency'!$F$102)</f>
        <v>0</v>
      </c>
      <c r="FS27" s="788">
        <f>IF(DY27/SUM(DY:DY)*'I-Project Contingency'!$F$103=0,0,DY27/SUM(DY:DY)*'I-Project Contingency'!$F$103)</f>
        <v>0</v>
      </c>
      <c r="FT27" s="788">
        <f>IF(DZ27/SUM(DZ:DZ)*'I-Project Contingency'!$F$104=0,0,DZ27/SUM(DZ:DZ)*'I-Project Contingency'!$F$104)</f>
        <v>0</v>
      </c>
      <c r="FU27" s="788">
        <f>IF(EA27/SUM(EA:EA)*'I-Project Contingency'!$F$105=0,0,EA27/SUM(EA:EA)*'I-Project Contingency'!$F$105)</f>
        <v>0</v>
      </c>
      <c r="FV27" s="788">
        <f>IF(EB27/SUM(EB:EB)*'I-Project Contingency'!$F$106=0,0,EB27/SUM(EB:EB)*'I-Project Contingency'!$F$106)</f>
        <v>0</v>
      </c>
      <c r="FW27" s="477">
        <f t="shared" si="13"/>
        <v>10</v>
      </c>
      <c r="FX27" s="478" t="str">
        <f t="shared" si="14"/>
        <v xml:space="preserve">10 - </v>
      </c>
      <c r="FY27" s="474">
        <f t="shared" si="15"/>
        <v>0</v>
      </c>
      <c r="FZ27" s="474">
        <f t="shared" si="16"/>
        <v>0</v>
      </c>
      <c r="GA27" s="475">
        <f t="shared" si="17"/>
        <v>0</v>
      </c>
      <c r="GB27" s="475">
        <f t="shared" si="18"/>
        <v>0</v>
      </c>
    </row>
    <row r="28" spans="1:184" ht="30" x14ac:dyDescent="0.25">
      <c r="A28" s="163">
        <f t="shared" si="23"/>
        <v>11</v>
      </c>
      <c r="B28" s="727" t="s">
        <v>728</v>
      </c>
      <c r="C28" s="729"/>
      <c r="D28" s="729"/>
      <c r="E28" s="729"/>
      <c r="F28" s="728" t="s">
        <v>728</v>
      </c>
      <c r="G28" s="728" t="s">
        <v>728</v>
      </c>
      <c r="H28" s="157" t="str">
        <f>IFERROR(IF('H-Risk Register-Model'!F28="Certain","Relook at Basis of Estimate",INDEX('G-Assumptions'!$F$8:$J$11,MATCH(F28,'G-Assumptions'!$D$8:$D$11,0),MATCH(G28,'G-Assumptions'!$F$6:$J$6,0))),"Unrated")</f>
        <v>Unrated</v>
      </c>
      <c r="I28" s="728" t="s">
        <v>728</v>
      </c>
      <c r="J28" s="157" t="str">
        <f>IFERROR(IF('H-Risk Register-Model'!F28="Certain","Relook at Basis of Estimate",INDEX('G-Assumptions'!$F$8:$J$11,MATCH(F28,'G-Assumptions'!$D$8:$D$11,0),MATCH(I28,'G-Assumptions'!$F$6:$J$6,0))),"Unrated")</f>
        <v>Unrated</v>
      </c>
      <c r="K28" s="728" t="s">
        <v>728</v>
      </c>
      <c r="L28" s="728" t="s">
        <v>728</v>
      </c>
      <c r="M28" s="728"/>
      <c r="N28" s="731" t="s">
        <v>728</v>
      </c>
      <c r="O28" s="731" t="s">
        <v>728</v>
      </c>
      <c r="P28" s="732"/>
      <c r="Q28" s="732"/>
      <c r="R28" s="732"/>
      <c r="S28" s="733"/>
      <c r="T28" s="733"/>
      <c r="U28" s="733"/>
      <c r="V28" s="734"/>
      <c r="W28" s="732"/>
      <c r="X28" s="732"/>
      <c r="Y28" s="735">
        <v>1</v>
      </c>
      <c r="Z28" s="736">
        <v>1</v>
      </c>
      <c r="AA28" s="166">
        <f t="shared" si="19"/>
        <v>0</v>
      </c>
      <c r="AB28" s="166">
        <f t="shared" si="20"/>
        <v>0</v>
      </c>
      <c r="AC28" s="166">
        <f t="shared" si="21"/>
        <v>0</v>
      </c>
      <c r="AD28" s="166"/>
      <c r="AE28" s="164">
        <f t="shared" si="22"/>
        <v>0</v>
      </c>
      <c r="AF28" s="167"/>
      <c r="AG28" s="165">
        <f t="shared" si="5"/>
        <v>0</v>
      </c>
      <c r="AH28" s="729"/>
      <c r="AI28" s="729"/>
      <c r="AJ28" s="8"/>
      <c r="AK28" s="495" t="str">
        <f t="shared" si="6"/>
        <v>No</v>
      </c>
      <c r="AL28" s="496">
        <f>'I-Project Contingency'!$I$4</f>
        <v>9000000</v>
      </c>
      <c r="AM28" s="326">
        <f>'I-Project Contingency'!$I$11</f>
        <v>23.978102189781023</v>
      </c>
      <c r="AN28" s="325">
        <f t="shared" si="7"/>
        <v>0</v>
      </c>
      <c r="AO28" s="326">
        <f t="shared" si="8"/>
        <v>0</v>
      </c>
      <c r="AP28" s="641" t="str">
        <f t="shared" si="9"/>
        <v/>
      </c>
      <c r="AQ28" s="641" t="str">
        <f t="shared" si="10"/>
        <v/>
      </c>
      <c r="AR28" s="497" t="str">
        <f t="shared" si="11"/>
        <v/>
      </c>
      <c r="AS28" s="497" t="str">
        <f t="shared" si="12"/>
        <v/>
      </c>
      <c r="AT28" s="8"/>
      <c r="AU28" s="329">
        <f>'I-Project Contingency'!$O$4-AE28</f>
        <v>0</v>
      </c>
      <c r="AV28" s="330">
        <v>-240515.59579276721</v>
      </c>
      <c r="AW28" s="330">
        <v>28172.931401335634</v>
      </c>
      <c r="AX28" s="330">
        <v>193478.84467429668</v>
      </c>
      <c r="AY28" s="330">
        <v>361668.20104834624</v>
      </c>
      <c r="AZ28" s="330">
        <v>524446.91524262261</v>
      </c>
      <c r="BA28" s="330">
        <v>704023.56387635041</v>
      </c>
      <c r="BB28" s="330">
        <v>886394.06956240814</v>
      </c>
      <c r="BC28" s="330">
        <v>1079363.7165157665</v>
      </c>
      <c r="BD28" s="330">
        <v>1280180.1532065615</v>
      </c>
      <c r="BE28" s="330">
        <v>1485323.8019108465</v>
      </c>
      <c r="BF28" s="330">
        <v>1703758.8827524669</v>
      </c>
      <c r="BG28" s="330">
        <v>1949523.4346483489</v>
      </c>
      <c r="BH28" s="330">
        <v>2177897.1603371189</v>
      </c>
      <c r="BI28" s="330">
        <v>2429374.4260425912</v>
      </c>
      <c r="BJ28" s="330">
        <v>2717092.7449284913</v>
      </c>
      <c r="BK28" s="330">
        <v>3010093.6968918457</v>
      </c>
      <c r="BL28" s="330">
        <v>3325414.5894657462</v>
      </c>
      <c r="BM28" s="330">
        <v>3690425.9159493577</v>
      </c>
      <c r="BN28" s="330">
        <v>4143935.1706127762</v>
      </c>
      <c r="BO28" s="330">
        <v>4722651.1159141911</v>
      </c>
      <c r="BP28" s="330">
        <v>5992048.8629153483</v>
      </c>
      <c r="BQ28" s="330">
        <f>'I-Project Contingency'!$E$61-AV28</f>
        <v>0</v>
      </c>
      <c r="BR28" s="330">
        <f>'I-Project Contingency'!$E$62-AW28</f>
        <v>0</v>
      </c>
      <c r="BS28" s="330">
        <f>'I-Project Contingency'!$E$63-AX28</f>
        <v>0</v>
      </c>
      <c r="BT28" s="330">
        <f>'I-Project Contingency'!$E$64-AY28</f>
        <v>0</v>
      </c>
      <c r="BU28" s="330">
        <f>'I-Project Contingency'!$E$65-AZ28</f>
        <v>0</v>
      </c>
      <c r="BV28" s="330">
        <f>'I-Project Contingency'!$E$66-BA28</f>
        <v>0</v>
      </c>
      <c r="BW28" s="330">
        <f>'I-Project Contingency'!$E$67-BB28</f>
        <v>0</v>
      </c>
      <c r="BX28" s="330">
        <f>'I-Project Contingency'!$E$68-BC28</f>
        <v>0</v>
      </c>
      <c r="BY28" s="330">
        <f>'I-Project Contingency'!$E$69-BD28</f>
        <v>0</v>
      </c>
      <c r="BZ28" s="330">
        <f>'I-Project Contingency'!$E$70-BE28</f>
        <v>0</v>
      </c>
      <c r="CA28" s="330">
        <f>'I-Project Contingency'!$E$71-BF28</f>
        <v>0</v>
      </c>
      <c r="CB28" s="330">
        <f>'I-Project Contingency'!$E$72-BG28</f>
        <v>0</v>
      </c>
      <c r="CC28" s="330">
        <f>'I-Project Contingency'!$E$73-BH28</f>
        <v>0</v>
      </c>
      <c r="CD28" s="330">
        <f>'I-Project Contingency'!$E$74-BI28</f>
        <v>0</v>
      </c>
      <c r="CE28" s="330">
        <f>'I-Project Contingency'!$E$75-BJ28</f>
        <v>0</v>
      </c>
      <c r="CF28" s="330">
        <f>'I-Project Contingency'!$E$76-BK28</f>
        <v>0</v>
      </c>
      <c r="CG28" s="330">
        <f>'I-Project Contingency'!$E$77-BL28</f>
        <v>0</v>
      </c>
      <c r="CH28" s="784">
        <f>'I-Project Contingency'!$E$78-BM28</f>
        <v>0</v>
      </c>
      <c r="CI28" s="330">
        <f>'I-Project Contingency'!$E$79-BN28</f>
        <v>0</v>
      </c>
      <c r="CJ28" s="330">
        <f>'I-Project Contingency'!$E$80-BO28</f>
        <v>0</v>
      </c>
      <c r="CK28" s="330">
        <f>'I-Project Contingency'!$E$81-BP28</f>
        <v>0</v>
      </c>
      <c r="CL28" s="331">
        <f>'I-Project Contingency'!$O$5-AG28</f>
        <v>0</v>
      </c>
      <c r="CM28" s="332">
        <v>-0.98711802853447173</v>
      </c>
      <c r="CN28" s="332">
        <v>-0.19547704728364468</v>
      </c>
      <c r="CO28" s="332">
        <v>0.126462150308498</v>
      </c>
      <c r="CP28" s="332">
        <v>0.45967989154545902</v>
      </c>
      <c r="CQ28" s="332">
        <v>0.78297319902744</v>
      </c>
      <c r="CR28" s="332">
        <v>1.0957191966482109</v>
      </c>
      <c r="CS28" s="332">
        <v>1.4418405003536849</v>
      </c>
      <c r="CT28" s="332">
        <v>1.801002404194165</v>
      </c>
      <c r="CU28" s="332">
        <v>2.1797608166947349</v>
      </c>
      <c r="CV28" s="332">
        <v>2.5671680610072478</v>
      </c>
      <c r="CW28" s="332">
        <v>2.9690760644797152</v>
      </c>
      <c r="CX28" s="332">
        <v>3.3964145469774811</v>
      </c>
      <c r="CY28" s="332">
        <v>3.864536087769562</v>
      </c>
      <c r="CZ28" s="332">
        <v>4.3569836138896116</v>
      </c>
      <c r="DA28" s="332">
        <v>4.8862357851222598</v>
      </c>
      <c r="DB28" s="332">
        <v>5.438836997347547</v>
      </c>
      <c r="DC28" s="332">
        <v>6.047993455908566</v>
      </c>
      <c r="DD28" s="785">
        <v>6.720204953601761</v>
      </c>
      <c r="DE28" s="333">
        <v>7.55131678090412</v>
      </c>
      <c r="DF28" s="332">
        <v>8.661446370835737</v>
      </c>
      <c r="DG28" s="332">
        <v>11.206316207857133</v>
      </c>
      <c r="DH28" s="332">
        <f>'I-Project Contingency'!$E$86-CM28</f>
        <v>0</v>
      </c>
      <c r="DI28" s="332">
        <f>'I-Project Contingency'!$E$87-CN28</f>
        <v>0</v>
      </c>
      <c r="DJ28" s="332">
        <f>'I-Project Contingency'!$E$88-CO28</f>
        <v>0</v>
      </c>
      <c r="DK28" s="332">
        <f>'I-Project Contingency'!$E$89-CP28</f>
        <v>0</v>
      </c>
      <c r="DL28" s="332">
        <f>'I-Project Contingency'!$E$90-CQ28</f>
        <v>0</v>
      </c>
      <c r="DM28" s="332">
        <f>'I-Project Contingency'!$E$91-CR28</f>
        <v>0</v>
      </c>
      <c r="DN28" s="332">
        <f>'I-Project Contingency'!$E$92-CS28</f>
        <v>0</v>
      </c>
      <c r="DO28" s="332">
        <f>'I-Project Contingency'!$E$93-CT28</f>
        <v>0</v>
      </c>
      <c r="DP28" s="332">
        <f>'I-Project Contingency'!$E$94-CU28</f>
        <v>0</v>
      </c>
      <c r="DQ28" s="332">
        <f>'I-Project Contingency'!$E$95-CV28</f>
        <v>0</v>
      </c>
      <c r="DR28" s="332">
        <f>'I-Project Contingency'!$E$96-CW28</f>
        <v>0</v>
      </c>
      <c r="DS28" s="332">
        <f>'I-Project Contingency'!$E$97-CX28</f>
        <v>0</v>
      </c>
      <c r="DT28" s="332">
        <f>'I-Project Contingency'!$E$98-CY28</f>
        <v>0</v>
      </c>
      <c r="DU28" s="332">
        <f>'I-Project Contingency'!$E$99-CZ28</f>
        <v>0</v>
      </c>
      <c r="DV28" s="332">
        <f>'I-Project Contingency'!$E$100-DA28</f>
        <v>0</v>
      </c>
      <c r="DW28" s="332">
        <f>'I-Project Contingency'!$E$101-DB28</f>
        <v>0</v>
      </c>
      <c r="DX28" s="332">
        <f>'I-Project Contingency'!$E$102-DC28</f>
        <v>0</v>
      </c>
      <c r="DY28" s="332">
        <f>'I-Project Contingency'!$E$103-DD28</f>
        <v>0</v>
      </c>
      <c r="DZ28" s="332">
        <f>'I-Project Contingency'!$E$104-DE28</f>
        <v>0</v>
      </c>
      <c r="EA28" s="332">
        <f>'I-Project Contingency'!$E$105-DF28</f>
        <v>0</v>
      </c>
      <c r="EB28" s="332">
        <f>'I-Project Contingency'!$E$106-DG28</f>
        <v>0</v>
      </c>
      <c r="EC28" s="334">
        <f>IF(EE28="N/A","N/A",ABS(INDEX(EE28:EY28,1,MATCH("ROM Cost Risk @ "&amp;'D-Project Data'!$C$6*100&amp;"%",$EE$17:$EY$17,0))))</f>
        <v>0</v>
      </c>
      <c r="ED28" s="335">
        <f>IF(EC28="N/A","N/A",RANK(EC28,$EC$18:$EC$117,0)+COUNTIF($EC$18:EC28,EC28)-1)</f>
        <v>11</v>
      </c>
      <c r="EE28" s="334">
        <f>IF(BQ28/SUM(BQ:BQ)*'I-Project Contingency'!$F$61=0,0,BQ28/SUM(BQ:BQ)*'I-Project Contingency'!$F$61)</f>
        <v>0</v>
      </c>
      <c r="EF28" s="334">
        <f>IF(BR28/SUM(BR:BR)*'I-Project Contingency'!$F$62=0,0,BR28/SUM(BR:BR)*'I-Project Contingency'!$F$62)</f>
        <v>0</v>
      </c>
      <c r="EG28" s="334">
        <f>IF(BS28/SUM(BS:BS)*'I-Project Contingency'!$F$63=0,0,BS28/SUM(BS:BS)*'I-Project Contingency'!$F$63)</f>
        <v>0</v>
      </c>
      <c r="EH28" s="334">
        <f>IF(BT28/SUM(BT:BT)*'I-Project Contingency'!$F$64=0,0,BT28/SUM(BT:BT)*'I-Project Contingency'!$F$64)</f>
        <v>0</v>
      </c>
      <c r="EI28" s="334">
        <f>IF(BU28/SUM(BU:BU)*'I-Project Contingency'!$F$65=0,0,BU28/SUM(BU:BU)*'I-Project Contingency'!$F$65)</f>
        <v>0</v>
      </c>
      <c r="EJ28" s="334">
        <f>IF(BV28/SUM(BV:BV)*'I-Project Contingency'!$F$66=0,0,BV28/SUM(BV:BV)*'I-Project Contingency'!$F$66)</f>
        <v>0</v>
      </c>
      <c r="EK28" s="334">
        <f>IF(BW28/SUM(BW:BW)*'I-Project Contingency'!$F$67=0,0,BW28/SUM(BW:BW)*'I-Project Contingency'!$F$67)</f>
        <v>0</v>
      </c>
      <c r="EL28" s="334">
        <f>IF(BX28/SUM(BX:BX)*'I-Project Contingency'!$F$68=0,0,BX28/SUM(BX:BX)*'I-Project Contingency'!$F$68)</f>
        <v>0</v>
      </c>
      <c r="EM28" s="334">
        <f>IF(BY28/SUM(BY:BY)*'I-Project Contingency'!$F$69=0,0,BY28/SUM(BY:BY)*'I-Project Contingency'!$F$69)</f>
        <v>0</v>
      </c>
      <c r="EN28" s="334">
        <f>IF(BZ28/SUM(BZ:BZ)*'I-Project Contingency'!$F$70=0,0,BZ28/SUM(BZ:BZ)*'I-Project Contingency'!$F$70)</f>
        <v>0</v>
      </c>
      <c r="EO28" s="334">
        <f>IF(CA28/SUM(CA:CA)*'I-Project Contingency'!$F$71=0,0,CA28/SUM(CA:CA)*'I-Project Contingency'!$F$71)</f>
        <v>0</v>
      </c>
      <c r="EP28" s="334">
        <f>IF(CB28/SUM(CB:CB)*'I-Project Contingency'!$F$72=0,0,CB28/SUM(CB:CB)*'I-Project Contingency'!$F$72)</f>
        <v>0</v>
      </c>
      <c r="EQ28" s="334">
        <f>IF(CC28/SUM(CC:CC)*'I-Project Contingency'!$F$73=0,0,CC28/SUM(CC:CC)*'I-Project Contingency'!$F$73)</f>
        <v>0</v>
      </c>
      <c r="ER28" s="334">
        <f>IF(CD28/SUM(CD:CD)*'I-Project Contingency'!$F$74=0,0,CD28/SUM(CD:CD)*'I-Project Contingency'!$F$74)</f>
        <v>0</v>
      </c>
      <c r="ES28" s="334">
        <f>IF(CE28/SUM(CE:CE)*'I-Project Contingency'!$F$75=0,0,CE28/SUM(CE:CE)*'I-Project Contingency'!$F$75)</f>
        <v>0</v>
      </c>
      <c r="ET28" s="334">
        <f>IF(CF28/SUM(CF:CF)*'I-Project Contingency'!$F$76=0,0,CF28/SUM(CF:CF)*'I-Project Contingency'!$F$76)</f>
        <v>0</v>
      </c>
      <c r="EU28" s="334">
        <f>IF(CG28/SUM(CG:CG)*'I-Project Contingency'!$F$77=0,0,CG28/SUM(CG:CG)*'I-Project Contingency'!$F$77)</f>
        <v>0</v>
      </c>
      <c r="EV28" s="787">
        <f>IF(CH28/SUM(CH:CH)*'I-Project Contingency'!$F$78=0,0,CH28/SUM(CH:CH)*'I-Project Contingency'!$F$78)</f>
        <v>0</v>
      </c>
      <c r="EW28" s="787">
        <f>IF(CI28/SUM(CI:CI)*'I-Project Contingency'!$F$79=0,0,CI28/SUM(CI:CI)*'I-Project Contingency'!$F$79)</f>
        <v>0</v>
      </c>
      <c r="EX28" s="787">
        <f>IF(CJ28/SUM(CJ:CJ)*'I-Project Contingency'!$F$80=0,0,CJ28/SUM(CJ:CJ)*'I-Project Contingency'!$F$80)</f>
        <v>0</v>
      </c>
      <c r="EY28" s="787">
        <f>IF(CK28/SUM(CK:CK)*'I-Project Contingency'!$F$81=0,0,CK28/SUM(CK:CK)*'I-Project Contingency'!$F$81)</f>
        <v>0</v>
      </c>
      <c r="EZ28" s="333">
        <f>IF(FB28="N/A","N/A",ABS(INDEX(FB28:FV28,1,MATCH("ROM Schedule Risk @ "&amp;'D-Project Data'!$C$6*100&amp;"%",$FB$17:$FV$17,0))))</f>
        <v>0</v>
      </c>
      <c r="FA28" s="335">
        <f>IF(EZ28="N/A","N/A",RANK(EZ28,$EZ$18:$EZ$117,0)+COUNTIF($FB$18:FB28,FB28)-1)</f>
        <v>11</v>
      </c>
      <c r="FB28" s="788">
        <f>IF(DH28/SUM(DH:DH)*'I-Project Contingency'!$F$86=0,0,DH28/SUM(DH:DH)*'I-Project Contingency'!$F$86)</f>
        <v>0</v>
      </c>
      <c r="FC28" s="788">
        <f>IF(DI28/SUM(DI:DI)*'I-Project Contingency'!$F$87=0,0,DI28/SUM(DI:DI)*'I-Project Contingency'!$F$87)</f>
        <v>0</v>
      </c>
      <c r="FD28" s="788">
        <f>IF(DJ28/SUM(DJ:DJ)*'I-Project Contingency'!$F$88=0,0,DJ28/SUM(DJ:DJ)*'I-Project Contingency'!$F$88)</f>
        <v>0</v>
      </c>
      <c r="FE28" s="788">
        <f>IF(DK28/SUM(DK:DK)*'I-Project Contingency'!$F$89=0,0,DK28/SUM(DK:DK)*'I-Project Contingency'!$F$89)</f>
        <v>0</v>
      </c>
      <c r="FF28" s="788">
        <f>IF(DL28/SUM(DL:DL)*'I-Project Contingency'!$F$90=0,0,DL28/SUM(DL:DL)*'I-Project Contingency'!$F$90)</f>
        <v>0</v>
      </c>
      <c r="FG28" s="788">
        <f>IF(DM28/SUM(DM:DM)*'I-Project Contingency'!$F$91=0,0,DM28/SUM(DM:DM)*'I-Project Contingency'!$F$91)</f>
        <v>0</v>
      </c>
      <c r="FH28" s="788">
        <f>IF(DN28/SUM(DN:DN)*'I-Project Contingency'!$F$92=0,0,DN28/SUM(DN:DN)*'I-Project Contingency'!$F$92)</f>
        <v>0</v>
      </c>
      <c r="FI28" s="788">
        <f>IF(DO28/SUM(DO:DO)*'I-Project Contingency'!$F$93=0,0,DO28/SUM(DO:DO)*'I-Project Contingency'!$F$93)</f>
        <v>0</v>
      </c>
      <c r="FJ28" s="788">
        <f>IF(DP28/SUM(DP:DP)*'I-Project Contingency'!$F$94=0,0,DP28/SUM(DP:DP)*'I-Project Contingency'!$F$94)</f>
        <v>0</v>
      </c>
      <c r="FK28" s="788">
        <f>IF(DQ28/SUM(DQ:DQ)*'I-Project Contingency'!$F$95=0,0,DQ28/SUM(DQ:DQ)*'I-Project Contingency'!$F$95)</f>
        <v>0</v>
      </c>
      <c r="FL28" s="788">
        <f>IF(DR28/SUM(DR:DR)*'I-Project Contingency'!$F$96=0,0,DR28/SUM(DR:DR)*'I-Project Contingency'!$F$96)</f>
        <v>0</v>
      </c>
      <c r="FM28" s="788">
        <f>IF(DS28/SUM(DS:DS)*'I-Project Contingency'!$F$97=0,0,DS28/SUM(DS:DS)*'I-Project Contingency'!$F$97)</f>
        <v>0</v>
      </c>
      <c r="FN28" s="788">
        <f>IF(DT28/SUM(DT:DT)*'I-Project Contingency'!$F$98=0,0,DT28/SUM(DT:DT)*'I-Project Contingency'!$F$98)</f>
        <v>0</v>
      </c>
      <c r="FO28" s="788">
        <f>IF(DU28/SUM(DU:DU)*'I-Project Contingency'!$F$99=0,0,DU28/SUM(DU:DU)*'I-Project Contingency'!$F$99)</f>
        <v>0</v>
      </c>
      <c r="FP28" s="788">
        <f>IF(DV28/SUM(DV:DV)*'I-Project Contingency'!$F$100=0,0,DV28/SUM(DV:DV)*'I-Project Contingency'!$F$100)</f>
        <v>0</v>
      </c>
      <c r="FQ28" s="788">
        <f>IF(DW28/SUM(DW:DW)*'I-Project Contingency'!$F$101=0,0,DW28/SUM(DW:DW)*'I-Project Contingency'!$F$101)</f>
        <v>0</v>
      </c>
      <c r="FR28" s="788">
        <f>IF(DX28/SUM(DX:DX)*'I-Project Contingency'!$F$102=0,0,DX28/SUM(DX:DX)*'I-Project Contingency'!$F$102)</f>
        <v>0</v>
      </c>
      <c r="FS28" s="788">
        <f>IF(DY28/SUM(DY:DY)*'I-Project Contingency'!$F$103=0,0,DY28/SUM(DY:DY)*'I-Project Contingency'!$F$103)</f>
        <v>0</v>
      </c>
      <c r="FT28" s="788">
        <f>IF(DZ28/SUM(DZ:DZ)*'I-Project Contingency'!$F$104=0,0,DZ28/SUM(DZ:DZ)*'I-Project Contingency'!$F$104)</f>
        <v>0</v>
      </c>
      <c r="FU28" s="788">
        <f>IF(EA28/SUM(EA:EA)*'I-Project Contingency'!$F$105=0,0,EA28/SUM(EA:EA)*'I-Project Contingency'!$F$105)</f>
        <v>0</v>
      </c>
      <c r="FV28" s="788">
        <f>IF(EB28/SUM(EB:EB)*'I-Project Contingency'!$F$106=0,0,EB28/SUM(EB:EB)*'I-Project Contingency'!$F$106)</f>
        <v>0</v>
      </c>
      <c r="FW28" s="335">
        <f t="shared" si="13"/>
        <v>11</v>
      </c>
      <c r="FX28" s="336" t="str">
        <f t="shared" si="14"/>
        <v xml:space="preserve">11 - </v>
      </c>
      <c r="FY28" s="330">
        <f t="shared" si="15"/>
        <v>0</v>
      </c>
      <c r="FZ28" s="330">
        <f t="shared" si="16"/>
        <v>0</v>
      </c>
      <c r="GA28" s="332">
        <f t="shared" si="17"/>
        <v>0</v>
      </c>
      <c r="GB28" s="332">
        <f t="shared" si="18"/>
        <v>0</v>
      </c>
    </row>
    <row r="29" spans="1:184" ht="30" x14ac:dyDescent="0.25">
      <c r="A29" s="163">
        <f t="shared" si="23"/>
        <v>12</v>
      </c>
      <c r="B29" s="727" t="s">
        <v>728</v>
      </c>
      <c r="C29" s="729"/>
      <c r="D29" s="729"/>
      <c r="E29" s="729"/>
      <c r="F29" s="728" t="s">
        <v>728</v>
      </c>
      <c r="G29" s="728" t="s">
        <v>728</v>
      </c>
      <c r="H29" s="157" t="str">
        <f>IFERROR(IF('H-Risk Register-Model'!F29="Certain","Relook at Basis of Estimate",INDEX('G-Assumptions'!$F$8:$J$11,MATCH(F29,'G-Assumptions'!$D$8:$D$11,0),MATCH(G29,'G-Assumptions'!$F$6:$J$6,0))),"Unrated")</f>
        <v>Unrated</v>
      </c>
      <c r="I29" s="728" t="s">
        <v>728</v>
      </c>
      <c r="J29" s="157" t="str">
        <f>IFERROR(IF('H-Risk Register-Model'!F29="Certain","Relook at Basis of Estimate",INDEX('G-Assumptions'!$F$8:$J$11,MATCH(F29,'G-Assumptions'!$D$8:$D$11,0),MATCH(I29,'G-Assumptions'!$F$6:$J$6,0))),"Unrated")</f>
        <v>Unrated</v>
      </c>
      <c r="K29" s="728" t="s">
        <v>728</v>
      </c>
      <c r="L29" s="728" t="s">
        <v>728</v>
      </c>
      <c r="M29" s="728"/>
      <c r="N29" s="731" t="s">
        <v>728</v>
      </c>
      <c r="O29" s="731" t="s">
        <v>728</v>
      </c>
      <c r="P29" s="732"/>
      <c r="Q29" s="732"/>
      <c r="R29" s="732"/>
      <c r="S29" s="733"/>
      <c r="T29" s="733"/>
      <c r="U29" s="733"/>
      <c r="V29" s="734"/>
      <c r="W29" s="732"/>
      <c r="X29" s="732"/>
      <c r="Y29" s="735">
        <v>1</v>
      </c>
      <c r="Z29" s="736">
        <v>1</v>
      </c>
      <c r="AA29" s="166">
        <f t="shared" si="19"/>
        <v>0</v>
      </c>
      <c r="AB29" s="166">
        <f t="shared" si="20"/>
        <v>0</v>
      </c>
      <c r="AC29" s="166">
        <f t="shared" si="21"/>
        <v>0</v>
      </c>
      <c r="AD29" s="166"/>
      <c r="AE29" s="164">
        <f t="shared" si="22"/>
        <v>0</v>
      </c>
      <c r="AF29" s="167"/>
      <c r="AG29" s="165">
        <f t="shared" si="5"/>
        <v>0</v>
      </c>
      <c r="AH29" s="729"/>
      <c r="AI29" s="729"/>
      <c r="AJ29" s="8"/>
      <c r="AK29" s="495" t="str">
        <f t="shared" si="6"/>
        <v>No</v>
      </c>
      <c r="AL29" s="496">
        <f>'I-Project Contingency'!$I$4</f>
        <v>9000000</v>
      </c>
      <c r="AM29" s="326">
        <f>'I-Project Contingency'!$I$11</f>
        <v>23.978102189781023</v>
      </c>
      <c r="AN29" s="325">
        <f t="shared" si="7"/>
        <v>0</v>
      </c>
      <c r="AO29" s="326">
        <f t="shared" si="8"/>
        <v>0</v>
      </c>
      <c r="AP29" s="641" t="str">
        <f t="shared" si="9"/>
        <v/>
      </c>
      <c r="AQ29" s="641" t="str">
        <f t="shared" si="10"/>
        <v/>
      </c>
      <c r="AR29" s="497" t="str">
        <f t="shared" si="11"/>
        <v/>
      </c>
      <c r="AS29" s="497" t="str">
        <f t="shared" si="12"/>
        <v/>
      </c>
      <c r="AT29" s="8"/>
      <c r="AU29" s="329">
        <f>'I-Project Contingency'!$O$4-AE29</f>
        <v>0</v>
      </c>
      <c r="AV29" s="330">
        <v>-240515.59579276721</v>
      </c>
      <c r="AW29" s="330">
        <v>28172.931401335634</v>
      </c>
      <c r="AX29" s="330">
        <v>193478.84467429668</v>
      </c>
      <c r="AY29" s="330">
        <v>361668.20104834624</v>
      </c>
      <c r="AZ29" s="330">
        <v>524446.91524262261</v>
      </c>
      <c r="BA29" s="330">
        <v>704023.56387635041</v>
      </c>
      <c r="BB29" s="330">
        <v>886394.06956240814</v>
      </c>
      <c r="BC29" s="330">
        <v>1079363.7165157665</v>
      </c>
      <c r="BD29" s="330">
        <v>1280180.1532065615</v>
      </c>
      <c r="BE29" s="330">
        <v>1485323.8019108465</v>
      </c>
      <c r="BF29" s="330">
        <v>1703758.8827524669</v>
      </c>
      <c r="BG29" s="330">
        <v>1949523.4346483489</v>
      </c>
      <c r="BH29" s="330">
        <v>2177897.1603371189</v>
      </c>
      <c r="BI29" s="330">
        <v>2429374.4260425912</v>
      </c>
      <c r="BJ29" s="330">
        <v>2717092.7449284913</v>
      </c>
      <c r="BK29" s="330">
        <v>3010093.6968918457</v>
      </c>
      <c r="BL29" s="330">
        <v>3325414.5894657462</v>
      </c>
      <c r="BM29" s="330">
        <v>3690425.9159493577</v>
      </c>
      <c r="BN29" s="330">
        <v>4143935.1706127762</v>
      </c>
      <c r="BO29" s="330">
        <v>4722651.1159141911</v>
      </c>
      <c r="BP29" s="330">
        <v>5992048.8629153483</v>
      </c>
      <c r="BQ29" s="330">
        <f>'I-Project Contingency'!$E$61-AV29</f>
        <v>0</v>
      </c>
      <c r="BR29" s="330">
        <f>'I-Project Contingency'!$E$62-AW29</f>
        <v>0</v>
      </c>
      <c r="BS29" s="330">
        <f>'I-Project Contingency'!$E$63-AX29</f>
        <v>0</v>
      </c>
      <c r="BT29" s="330">
        <f>'I-Project Contingency'!$E$64-AY29</f>
        <v>0</v>
      </c>
      <c r="BU29" s="330">
        <f>'I-Project Contingency'!$E$65-AZ29</f>
        <v>0</v>
      </c>
      <c r="BV29" s="330">
        <f>'I-Project Contingency'!$E$66-BA29</f>
        <v>0</v>
      </c>
      <c r="BW29" s="330">
        <f>'I-Project Contingency'!$E$67-BB29</f>
        <v>0</v>
      </c>
      <c r="BX29" s="330">
        <f>'I-Project Contingency'!$E$68-BC29</f>
        <v>0</v>
      </c>
      <c r="BY29" s="330">
        <f>'I-Project Contingency'!$E$69-BD29</f>
        <v>0</v>
      </c>
      <c r="BZ29" s="330">
        <f>'I-Project Contingency'!$E$70-BE29</f>
        <v>0</v>
      </c>
      <c r="CA29" s="330">
        <f>'I-Project Contingency'!$E$71-BF29</f>
        <v>0</v>
      </c>
      <c r="CB29" s="330">
        <f>'I-Project Contingency'!$E$72-BG29</f>
        <v>0</v>
      </c>
      <c r="CC29" s="330">
        <f>'I-Project Contingency'!$E$73-BH29</f>
        <v>0</v>
      </c>
      <c r="CD29" s="330">
        <f>'I-Project Contingency'!$E$74-BI29</f>
        <v>0</v>
      </c>
      <c r="CE29" s="330">
        <f>'I-Project Contingency'!$E$75-BJ29</f>
        <v>0</v>
      </c>
      <c r="CF29" s="330">
        <f>'I-Project Contingency'!$E$76-BK29</f>
        <v>0</v>
      </c>
      <c r="CG29" s="330">
        <f>'I-Project Contingency'!$E$77-BL29</f>
        <v>0</v>
      </c>
      <c r="CH29" s="784">
        <f>'I-Project Contingency'!$E$78-BM29</f>
        <v>0</v>
      </c>
      <c r="CI29" s="330">
        <f>'I-Project Contingency'!$E$79-BN29</f>
        <v>0</v>
      </c>
      <c r="CJ29" s="330">
        <f>'I-Project Contingency'!$E$80-BO29</f>
        <v>0</v>
      </c>
      <c r="CK29" s="330">
        <f>'I-Project Contingency'!$E$81-BP29</f>
        <v>0</v>
      </c>
      <c r="CL29" s="331">
        <f>'I-Project Contingency'!$O$5-AG29</f>
        <v>0</v>
      </c>
      <c r="CM29" s="332">
        <v>-0.98711802853447173</v>
      </c>
      <c r="CN29" s="332">
        <v>-0.19547704728364468</v>
      </c>
      <c r="CO29" s="332">
        <v>0.126462150308498</v>
      </c>
      <c r="CP29" s="332">
        <v>0.45967989154545902</v>
      </c>
      <c r="CQ29" s="332">
        <v>0.78297319902744</v>
      </c>
      <c r="CR29" s="332">
        <v>1.0957191966482109</v>
      </c>
      <c r="CS29" s="332">
        <v>1.4418405003536849</v>
      </c>
      <c r="CT29" s="332">
        <v>1.801002404194165</v>
      </c>
      <c r="CU29" s="332">
        <v>2.1797608166947349</v>
      </c>
      <c r="CV29" s="332">
        <v>2.5671680610072478</v>
      </c>
      <c r="CW29" s="332">
        <v>2.9690760644797152</v>
      </c>
      <c r="CX29" s="332">
        <v>3.3964145469774811</v>
      </c>
      <c r="CY29" s="332">
        <v>3.864536087769562</v>
      </c>
      <c r="CZ29" s="332">
        <v>4.3569836138896116</v>
      </c>
      <c r="DA29" s="332">
        <v>4.8862357851222598</v>
      </c>
      <c r="DB29" s="332">
        <v>5.438836997347547</v>
      </c>
      <c r="DC29" s="332">
        <v>6.047993455908566</v>
      </c>
      <c r="DD29" s="785">
        <v>6.720204953601761</v>
      </c>
      <c r="DE29" s="333">
        <v>7.55131678090412</v>
      </c>
      <c r="DF29" s="332">
        <v>8.661446370835737</v>
      </c>
      <c r="DG29" s="332">
        <v>11.206316207857133</v>
      </c>
      <c r="DH29" s="332">
        <f>'I-Project Contingency'!$E$86-CM29</f>
        <v>0</v>
      </c>
      <c r="DI29" s="332">
        <f>'I-Project Contingency'!$E$87-CN29</f>
        <v>0</v>
      </c>
      <c r="DJ29" s="332">
        <f>'I-Project Contingency'!$E$88-CO29</f>
        <v>0</v>
      </c>
      <c r="DK29" s="332">
        <f>'I-Project Contingency'!$E$89-CP29</f>
        <v>0</v>
      </c>
      <c r="DL29" s="332">
        <f>'I-Project Contingency'!$E$90-CQ29</f>
        <v>0</v>
      </c>
      <c r="DM29" s="332">
        <f>'I-Project Contingency'!$E$91-CR29</f>
        <v>0</v>
      </c>
      <c r="DN29" s="332">
        <f>'I-Project Contingency'!$E$92-CS29</f>
        <v>0</v>
      </c>
      <c r="DO29" s="332">
        <f>'I-Project Contingency'!$E$93-CT29</f>
        <v>0</v>
      </c>
      <c r="DP29" s="332">
        <f>'I-Project Contingency'!$E$94-CU29</f>
        <v>0</v>
      </c>
      <c r="DQ29" s="332">
        <f>'I-Project Contingency'!$E$95-CV29</f>
        <v>0</v>
      </c>
      <c r="DR29" s="332">
        <f>'I-Project Contingency'!$E$96-CW29</f>
        <v>0</v>
      </c>
      <c r="DS29" s="332">
        <f>'I-Project Contingency'!$E$97-CX29</f>
        <v>0</v>
      </c>
      <c r="DT29" s="332">
        <f>'I-Project Contingency'!$E$98-CY29</f>
        <v>0</v>
      </c>
      <c r="DU29" s="332">
        <f>'I-Project Contingency'!$E$99-CZ29</f>
        <v>0</v>
      </c>
      <c r="DV29" s="332">
        <f>'I-Project Contingency'!$E$100-DA29</f>
        <v>0</v>
      </c>
      <c r="DW29" s="332">
        <f>'I-Project Contingency'!$E$101-DB29</f>
        <v>0</v>
      </c>
      <c r="DX29" s="332">
        <f>'I-Project Contingency'!$E$102-DC29</f>
        <v>0</v>
      </c>
      <c r="DY29" s="332">
        <f>'I-Project Contingency'!$E$103-DD29</f>
        <v>0</v>
      </c>
      <c r="DZ29" s="332">
        <f>'I-Project Contingency'!$E$104-DE29</f>
        <v>0</v>
      </c>
      <c r="EA29" s="332">
        <f>'I-Project Contingency'!$E$105-DF29</f>
        <v>0</v>
      </c>
      <c r="EB29" s="332">
        <f>'I-Project Contingency'!$E$106-DG29</f>
        <v>0</v>
      </c>
      <c r="EC29" s="334">
        <f>IF(EE29="N/A","N/A",ABS(INDEX(EE29:EY29,1,MATCH("ROM Cost Risk @ "&amp;'D-Project Data'!$C$6*100&amp;"%",$EE$17:$EY$17,0))))</f>
        <v>0</v>
      </c>
      <c r="ED29" s="335">
        <f>IF(EC29="N/A","N/A",RANK(EC29,$EC$18:$EC$117,0)+COUNTIF($EC$18:EC29,EC29)-1)</f>
        <v>12</v>
      </c>
      <c r="EE29" s="334">
        <f>IF(BQ29/SUM(BQ:BQ)*'I-Project Contingency'!$F$61=0,0,BQ29/SUM(BQ:BQ)*'I-Project Contingency'!$F$61)</f>
        <v>0</v>
      </c>
      <c r="EF29" s="334">
        <f>IF(BR29/SUM(BR:BR)*'I-Project Contingency'!$F$62=0,0,BR29/SUM(BR:BR)*'I-Project Contingency'!$F$62)</f>
        <v>0</v>
      </c>
      <c r="EG29" s="334">
        <f>IF(BS29/SUM(BS:BS)*'I-Project Contingency'!$F$63=0,0,BS29/SUM(BS:BS)*'I-Project Contingency'!$F$63)</f>
        <v>0</v>
      </c>
      <c r="EH29" s="334">
        <f>IF(BT29/SUM(BT:BT)*'I-Project Contingency'!$F$64=0,0,BT29/SUM(BT:BT)*'I-Project Contingency'!$F$64)</f>
        <v>0</v>
      </c>
      <c r="EI29" s="334">
        <f>IF(BU29/SUM(BU:BU)*'I-Project Contingency'!$F$65=0,0,BU29/SUM(BU:BU)*'I-Project Contingency'!$F$65)</f>
        <v>0</v>
      </c>
      <c r="EJ29" s="334">
        <f>IF(BV29/SUM(BV:BV)*'I-Project Contingency'!$F$66=0,0,BV29/SUM(BV:BV)*'I-Project Contingency'!$F$66)</f>
        <v>0</v>
      </c>
      <c r="EK29" s="334">
        <f>IF(BW29/SUM(BW:BW)*'I-Project Contingency'!$F$67=0,0,BW29/SUM(BW:BW)*'I-Project Contingency'!$F$67)</f>
        <v>0</v>
      </c>
      <c r="EL29" s="334">
        <f>IF(BX29/SUM(BX:BX)*'I-Project Contingency'!$F$68=0,0,BX29/SUM(BX:BX)*'I-Project Contingency'!$F$68)</f>
        <v>0</v>
      </c>
      <c r="EM29" s="334">
        <f>IF(BY29/SUM(BY:BY)*'I-Project Contingency'!$F$69=0,0,BY29/SUM(BY:BY)*'I-Project Contingency'!$F$69)</f>
        <v>0</v>
      </c>
      <c r="EN29" s="334">
        <f>IF(BZ29/SUM(BZ:BZ)*'I-Project Contingency'!$F$70=0,0,BZ29/SUM(BZ:BZ)*'I-Project Contingency'!$F$70)</f>
        <v>0</v>
      </c>
      <c r="EO29" s="334">
        <f>IF(CA29/SUM(CA:CA)*'I-Project Contingency'!$F$71=0,0,CA29/SUM(CA:CA)*'I-Project Contingency'!$F$71)</f>
        <v>0</v>
      </c>
      <c r="EP29" s="334">
        <f>IF(CB29/SUM(CB:CB)*'I-Project Contingency'!$F$72=0,0,CB29/SUM(CB:CB)*'I-Project Contingency'!$F$72)</f>
        <v>0</v>
      </c>
      <c r="EQ29" s="334">
        <f>IF(CC29/SUM(CC:CC)*'I-Project Contingency'!$F$73=0,0,CC29/SUM(CC:CC)*'I-Project Contingency'!$F$73)</f>
        <v>0</v>
      </c>
      <c r="ER29" s="334">
        <f>IF(CD29/SUM(CD:CD)*'I-Project Contingency'!$F$74=0,0,CD29/SUM(CD:CD)*'I-Project Contingency'!$F$74)</f>
        <v>0</v>
      </c>
      <c r="ES29" s="334">
        <f>IF(CE29/SUM(CE:CE)*'I-Project Contingency'!$F$75=0,0,CE29/SUM(CE:CE)*'I-Project Contingency'!$F$75)</f>
        <v>0</v>
      </c>
      <c r="ET29" s="334">
        <f>IF(CF29/SUM(CF:CF)*'I-Project Contingency'!$F$76=0,0,CF29/SUM(CF:CF)*'I-Project Contingency'!$F$76)</f>
        <v>0</v>
      </c>
      <c r="EU29" s="334">
        <f>IF(CG29/SUM(CG:CG)*'I-Project Contingency'!$F$77=0,0,CG29/SUM(CG:CG)*'I-Project Contingency'!$F$77)</f>
        <v>0</v>
      </c>
      <c r="EV29" s="787">
        <f>IF(CH29/SUM(CH:CH)*'I-Project Contingency'!$F$78=0,0,CH29/SUM(CH:CH)*'I-Project Contingency'!$F$78)</f>
        <v>0</v>
      </c>
      <c r="EW29" s="787">
        <f>IF(CI29/SUM(CI:CI)*'I-Project Contingency'!$F$79=0,0,CI29/SUM(CI:CI)*'I-Project Contingency'!$F$79)</f>
        <v>0</v>
      </c>
      <c r="EX29" s="787">
        <f>IF(CJ29/SUM(CJ:CJ)*'I-Project Contingency'!$F$80=0,0,CJ29/SUM(CJ:CJ)*'I-Project Contingency'!$F$80)</f>
        <v>0</v>
      </c>
      <c r="EY29" s="787">
        <f>IF(CK29/SUM(CK:CK)*'I-Project Contingency'!$F$81=0,0,CK29/SUM(CK:CK)*'I-Project Contingency'!$F$81)</f>
        <v>0</v>
      </c>
      <c r="EZ29" s="333">
        <f>IF(FB29="N/A","N/A",ABS(INDEX(FB29:FV29,1,MATCH("ROM Schedule Risk @ "&amp;'D-Project Data'!$C$6*100&amp;"%",$FB$17:$FV$17,0))))</f>
        <v>0</v>
      </c>
      <c r="FA29" s="335">
        <f>IF(EZ29="N/A","N/A",RANK(EZ29,$EZ$18:$EZ$117,0)+COUNTIF($FB$18:FB29,FB29)-1)</f>
        <v>12</v>
      </c>
      <c r="FB29" s="788">
        <f>IF(DH29/SUM(DH:DH)*'I-Project Contingency'!$F$86=0,0,DH29/SUM(DH:DH)*'I-Project Contingency'!$F$86)</f>
        <v>0</v>
      </c>
      <c r="FC29" s="788">
        <f>IF(DI29/SUM(DI:DI)*'I-Project Contingency'!$F$87=0,0,DI29/SUM(DI:DI)*'I-Project Contingency'!$F$87)</f>
        <v>0</v>
      </c>
      <c r="FD29" s="788">
        <f>IF(DJ29/SUM(DJ:DJ)*'I-Project Contingency'!$F$88=0,0,DJ29/SUM(DJ:DJ)*'I-Project Contingency'!$F$88)</f>
        <v>0</v>
      </c>
      <c r="FE29" s="788">
        <f>IF(DK29/SUM(DK:DK)*'I-Project Contingency'!$F$89=0,0,DK29/SUM(DK:DK)*'I-Project Contingency'!$F$89)</f>
        <v>0</v>
      </c>
      <c r="FF29" s="788">
        <f>IF(DL29/SUM(DL:DL)*'I-Project Contingency'!$F$90=0,0,DL29/SUM(DL:DL)*'I-Project Contingency'!$F$90)</f>
        <v>0</v>
      </c>
      <c r="FG29" s="788">
        <f>IF(DM29/SUM(DM:DM)*'I-Project Contingency'!$F$91=0,0,DM29/SUM(DM:DM)*'I-Project Contingency'!$F$91)</f>
        <v>0</v>
      </c>
      <c r="FH29" s="788">
        <f>IF(DN29/SUM(DN:DN)*'I-Project Contingency'!$F$92=0,0,DN29/SUM(DN:DN)*'I-Project Contingency'!$F$92)</f>
        <v>0</v>
      </c>
      <c r="FI29" s="788">
        <f>IF(DO29/SUM(DO:DO)*'I-Project Contingency'!$F$93=0,0,DO29/SUM(DO:DO)*'I-Project Contingency'!$F$93)</f>
        <v>0</v>
      </c>
      <c r="FJ29" s="788">
        <f>IF(DP29/SUM(DP:DP)*'I-Project Contingency'!$F$94=0,0,DP29/SUM(DP:DP)*'I-Project Contingency'!$F$94)</f>
        <v>0</v>
      </c>
      <c r="FK29" s="788">
        <f>IF(DQ29/SUM(DQ:DQ)*'I-Project Contingency'!$F$95=0,0,DQ29/SUM(DQ:DQ)*'I-Project Contingency'!$F$95)</f>
        <v>0</v>
      </c>
      <c r="FL29" s="788">
        <f>IF(DR29/SUM(DR:DR)*'I-Project Contingency'!$F$96=0,0,DR29/SUM(DR:DR)*'I-Project Contingency'!$F$96)</f>
        <v>0</v>
      </c>
      <c r="FM29" s="788">
        <f>IF(DS29/SUM(DS:DS)*'I-Project Contingency'!$F$97=0,0,DS29/SUM(DS:DS)*'I-Project Contingency'!$F$97)</f>
        <v>0</v>
      </c>
      <c r="FN29" s="788">
        <f>IF(DT29/SUM(DT:DT)*'I-Project Contingency'!$F$98=0,0,DT29/SUM(DT:DT)*'I-Project Contingency'!$F$98)</f>
        <v>0</v>
      </c>
      <c r="FO29" s="788">
        <f>IF(DU29/SUM(DU:DU)*'I-Project Contingency'!$F$99=0,0,DU29/SUM(DU:DU)*'I-Project Contingency'!$F$99)</f>
        <v>0</v>
      </c>
      <c r="FP29" s="788">
        <f>IF(DV29/SUM(DV:DV)*'I-Project Contingency'!$F$100=0,0,DV29/SUM(DV:DV)*'I-Project Contingency'!$F$100)</f>
        <v>0</v>
      </c>
      <c r="FQ29" s="788">
        <f>IF(DW29/SUM(DW:DW)*'I-Project Contingency'!$F$101=0,0,DW29/SUM(DW:DW)*'I-Project Contingency'!$F$101)</f>
        <v>0</v>
      </c>
      <c r="FR29" s="788">
        <f>IF(DX29/SUM(DX:DX)*'I-Project Contingency'!$F$102=0,0,DX29/SUM(DX:DX)*'I-Project Contingency'!$F$102)</f>
        <v>0</v>
      </c>
      <c r="FS29" s="788">
        <f>IF(DY29/SUM(DY:DY)*'I-Project Contingency'!$F$103=0,0,DY29/SUM(DY:DY)*'I-Project Contingency'!$F$103)</f>
        <v>0</v>
      </c>
      <c r="FT29" s="788">
        <f>IF(DZ29/SUM(DZ:DZ)*'I-Project Contingency'!$F$104=0,0,DZ29/SUM(DZ:DZ)*'I-Project Contingency'!$F$104)</f>
        <v>0</v>
      </c>
      <c r="FU29" s="788">
        <f>IF(EA29/SUM(EA:EA)*'I-Project Contingency'!$F$105=0,0,EA29/SUM(EA:EA)*'I-Project Contingency'!$F$105)</f>
        <v>0</v>
      </c>
      <c r="FV29" s="788">
        <f>IF(EB29/SUM(EB:EB)*'I-Project Contingency'!$F$106=0,0,EB29/SUM(EB:EB)*'I-Project Contingency'!$F$106)</f>
        <v>0</v>
      </c>
      <c r="FW29" s="335">
        <f t="shared" si="13"/>
        <v>12</v>
      </c>
      <c r="FX29" s="336" t="str">
        <f t="shared" si="14"/>
        <v xml:space="preserve">12 - </v>
      </c>
      <c r="FY29" s="330">
        <f t="shared" si="15"/>
        <v>0</v>
      </c>
      <c r="FZ29" s="330">
        <f t="shared" si="16"/>
        <v>0</v>
      </c>
      <c r="GA29" s="332">
        <f t="shared" si="17"/>
        <v>0</v>
      </c>
      <c r="GB29" s="332">
        <f t="shared" si="18"/>
        <v>0</v>
      </c>
    </row>
    <row r="30" spans="1:184" ht="30" x14ac:dyDescent="0.25">
      <c r="A30" s="163">
        <f t="shared" si="23"/>
        <v>13</v>
      </c>
      <c r="B30" s="727" t="s">
        <v>728</v>
      </c>
      <c r="C30" s="729"/>
      <c r="D30" s="729"/>
      <c r="E30" s="729"/>
      <c r="F30" s="728" t="s">
        <v>728</v>
      </c>
      <c r="G30" s="728" t="s">
        <v>728</v>
      </c>
      <c r="H30" s="157" t="str">
        <f>IFERROR(IF('H-Risk Register-Model'!F30="Certain","Relook at Basis of Estimate",INDEX('G-Assumptions'!$F$8:$J$11,MATCH(F30,'G-Assumptions'!$D$8:$D$11,0),MATCH(G30,'G-Assumptions'!$F$6:$J$6,0))),"Unrated")</f>
        <v>Unrated</v>
      </c>
      <c r="I30" s="728" t="s">
        <v>728</v>
      </c>
      <c r="J30" s="157" t="str">
        <f>IFERROR(IF('H-Risk Register-Model'!F30="Certain","Relook at Basis of Estimate",INDEX('G-Assumptions'!$F$8:$J$11,MATCH(F30,'G-Assumptions'!$D$8:$D$11,0),MATCH(I30,'G-Assumptions'!$F$6:$J$6,0))),"Unrated")</f>
        <v>Unrated</v>
      </c>
      <c r="K30" s="728" t="s">
        <v>728</v>
      </c>
      <c r="L30" s="728" t="s">
        <v>728</v>
      </c>
      <c r="M30" s="728"/>
      <c r="N30" s="731" t="s">
        <v>728</v>
      </c>
      <c r="O30" s="731" t="s">
        <v>728</v>
      </c>
      <c r="P30" s="732"/>
      <c r="Q30" s="732"/>
      <c r="R30" s="732"/>
      <c r="S30" s="733"/>
      <c r="T30" s="733"/>
      <c r="U30" s="733"/>
      <c r="V30" s="734"/>
      <c r="W30" s="732"/>
      <c r="X30" s="732"/>
      <c r="Y30" s="735">
        <v>1</v>
      </c>
      <c r="Z30" s="736">
        <v>1</v>
      </c>
      <c r="AA30" s="166">
        <f t="shared" si="19"/>
        <v>0</v>
      </c>
      <c r="AB30" s="166">
        <f t="shared" si="20"/>
        <v>0</v>
      </c>
      <c r="AC30" s="166">
        <f t="shared" si="21"/>
        <v>0</v>
      </c>
      <c r="AD30" s="166"/>
      <c r="AE30" s="164">
        <f t="shared" si="22"/>
        <v>0</v>
      </c>
      <c r="AF30" s="167"/>
      <c r="AG30" s="165">
        <f t="shared" si="5"/>
        <v>0</v>
      </c>
      <c r="AH30" s="729"/>
      <c r="AI30" s="729"/>
      <c r="AJ30" s="8"/>
      <c r="AK30" s="495" t="str">
        <f t="shared" si="6"/>
        <v>No</v>
      </c>
      <c r="AL30" s="496">
        <f>'I-Project Contingency'!$I$4</f>
        <v>9000000</v>
      </c>
      <c r="AM30" s="326">
        <f>'I-Project Contingency'!$I$11</f>
        <v>23.978102189781023</v>
      </c>
      <c r="AN30" s="325">
        <f t="shared" si="7"/>
        <v>0</v>
      </c>
      <c r="AO30" s="326">
        <f t="shared" si="8"/>
        <v>0</v>
      </c>
      <c r="AP30" s="641" t="str">
        <f t="shared" si="9"/>
        <v/>
      </c>
      <c r="AQ30" s="641" t="str">
        <f t="shared" si="10"/>
        <v/>
      </c>
      <c r="AR30" s="497" t="str">
        <f t="shared" si="11"/>
        <v/>
      </c>
      <c r="AS30" s="497" t="str">
        <f t="shared" si="12"/>
        <v/>
      </c>
      <c r="AT30" s="8"/>
      <c r="AU30" s="329">
        <f>'I-Project Contingency'!$O$4-AE30</f>
        <v>0</v>
      </c>
      <c r="AV30" s="330">
        <v>-240515.59579276721</v>
      </c>
      <c r="AW30" s="330">
        <v>28172.931401335634</v>
      </c>
      <c r="AX30" s="330">
        <v>193478.84467429668</v>
      </c>
      <c r="AY30" s="330">
        <v>361668.20104834624</v>
      </c>
      <c r="AZ30" s="330">
        <v>524446.91524262261</v>
      </c>
      <c r="BA30" s="330">
        <v>704023.56387635041</v>
      </c>
      <c r="BB30" s="330">
        <v>886394.06956240814</v>
      </c>
      <c r="BC30" s="330">
        <v>1079363.7165157665</v>
      </c>
      <c r="BD30" s="330">
        <v>1280180.1532065615</v>
      </c>
      <c r="BE30" s="330">
        <v>1485323.8019108465</v>
      </c>
      <c r="BF30" s="330">
        <v>1703758.8827524669</v>
      </c>
      <c r="BG30" s="330">
        <v>1949523.4346483489</v>
      </c>
      <c r="BH30" s="330">
        <v>2177897.1603371189</v>
      </c>
      <c r="BI30" s="330">
        <v>2429374.4260425912</v>
      </c>
      <c r="BJ30" s="330">
        <v>2717092.7449284913</v>
      </c>
      <c r="BK30" s="330">
        <v>3010093.6968918457</v>
      </c>
      <c r="BL30" s="330">
        <v>3325414.5894657462</v>
      </c>
      <c r="BM30" s="330">
        <v>3690425.9159493577</v>
      </c>
      <c r="BN30" s="330">
        <v>4143935.1706127762</v>
      </c>
      <c r="BO30" s="330">
        <v>4722651.1159141911</v>
      </c>
      <c r="BP30" s="330">
        <v>5992048.8629153483</v>
      </c>
      <c r="BQ30" s="330">
        <f>'I-Project Contingency'!$E$61-AV30</f>
        <v>0</v>
      </c>
      <c r="BR30" s="330">
        <f>'I-Project Contingency'!$E$62-AW30</f>
        <v>0</v>
      </c>
      <c r="BS30" s="330">
        <f>'I-Project Contingency'!$E$63-AX30</f>
        <v>0</v>
      </c>
      <c r="BT30" s="330">
        <f>'I-Project Contingency'!$E$64-AY30</f>
        <v>0</v>
      </c>
      <c r="BU30" s="330">
        <f>'I-Project Contingency'!$E$65-AZ30</f>
        <v>0</v>
      </c>
      <c r="BV30" s="330">
        <f>'I-Project Contingency'!$E$66-BA30</f>
        <v>0</v>
      </c>
      <c r="BW30" s="330">
        <f>'I-Project Contingency'!$E$67-BB30</f>
        <v>0</v>
      </c>
      <c r="BX30" s="330">
        <f>'I-Project Contingency'!$E$68-BC30</f>
        <v>0</v>
      </c>
      <c r="BY30" s="330">
        <f>'I-Project Contingency'!$E$69-BD30</f>
        <v>0</v>
      </c>
      <c r="BZ30" s="330">
        <f>'I-Project Contingency'!$E$70-BE30</f>
        <v>0</v>
      </c>
      <c r="CA30" s="330">
        <f>'I-Project Contingency'!$E$71-BF30</f>
        <v>0</v>
      </c>
      <c r="CB30" s="330">
        <f>'I-Project Contingency'!$E$72-BG30</f>
        <v>0</v>
      </c>
      <c r="CC30" s="330">
        <f>'I-Project Contingency'!$E$73-BH30</f>
        <v>0</v>
      </c>
      <c r="CD30" s="330">
        <f>'I-Project Contingency'!$E$74-BI30</f>
        <v>0</v>
      </c>
      <c r="CE30" s="330">
        <f>'I-Project Contingency'!$E$75-BJ30</f>
        <v>0</v>
      </c>
      <c r="CF30" s="330">
        <f>'I-Project Contingency'!$E$76-BK30</f>
        <v>0</v>
      </c>
      <c r="CG30" s="330">
        <f>'I-Project Contingency'!$E$77-BL30</f>
        <v>0</v>
      </c>
      <c r="CH30" s="784">
        <f>'I-Project Contingency'!$E$78-BM30</f>
        <v>0</v>
      </c>
      <c r="CI30" s="330">
        <f>'I-Project Contingency'!$E$79-BN30</f>
        <v>0</v>
      </c>
      <c r="CJ30" s="330">
        <f>'I-Project Contingency'!$E$80-BO30</f>
        <v>0</v>
      </c>
      <c r="CK30" s="330">
        <f>'I-Project Contingency'!$E$81-BP30</f>
        <v>0</v>
      </c>
      <c r="CL30" s="331">
        <f>'I-Project Contingency'!$O$5-AG30</f>
        <v>0</v>
      </c>
      <c r="CM30" s="332">
        <v>-0.98711802853447173</v>
      </c>
      <c r="CN30" s="332">
        <v>-0.19547704728364468</v>
      </c>
      <c r="CO30" s="332">
        <v>0.126462150308498</v>
      </c>
      <c r="CP30" s="332">
        <v>0.45967989154545902</v>
      </c>
      <c r="CQ30" s="332">
        <v>0.78297319902744</v>
      </c>
      <c r="CR30" s="332">
        <v>1.0957191966482109</v>
      </c>
      <c r="CS30" s="332">
        <v>1.4418405003536849</v>
      </c>
      <c r="CT30" s="332">
        <v>1.801002404194165</v>
      </c>
      <c r="CU30" s="332">
        <v>2.1797608166947349</v>
      </c>
      <c r="CV30" s="332">
        <v>2.5671680610072478</v>
      </c>
      <c r="CW30" s="332">
        <v>2.9690760644797152</v>
      </c>
      <c r="CX30" s="332">
        <v>3.3964145469774811</v>
      </c>
      <c r="CY30" s="332">
        <v>3.864536087769562</v>
      </c>
      <c r="CZ30" s="332">
        <v>4.3569836138896116</v>
      </c>
      <c r="DA30" s="332">
        <v>4.8862357851222598</v>
      </c>
      <c r="DB30" s="332">
        <v>5.438836997347547</v>
      </c>
      <c r="DC30" s="332">
        <v>6.047993455908566</v>
      </c>
      <c r="DD30" s="785">
        <v>6.720204953601761</v>
      </c>
      <c r="DE30" s="333">
        <v>7.55131678090412</v>
      </c>
      <c r="DF30" s="332">
        <v>8.661446370835737</v>
      </c>
      <c r="DG30" s="332">
        <v>11.206316207857133</v>
      </c>
      <c r="DH30" s="332">
        <f>'I-Project Contingency'!$E$86-CM30</f>
        <v>0</v>
      </c>
      <c r="DI30" s="332">
        <f>'I-Project Contingency'!$E$87-CN30</f>
        <v>0</v>
      </c>
      <c r="DJ30" s="332">
        <f>'I-Project Contingency'!$E$88-CO30</f>
        <v>0</v>
      </c>
      <c r="DK30" s="332">
        <f>'I-Project Contingency'!$E$89-CP30</f>
        <v>0</v>
      </c>
      <c r="DL30" s="332">
        <f>'I-Project Contingency'!$E$90-CQ30</f>
        <v>0</v>
      </c>
      <c r="DM30" s="332">
        <f>'I-Project Contingency'!$E$91-CR30</f>
        <v>0</v>
      </c>
      <c r="DN30" s="332">
        <f>'I-Project Contingency'!$E$92-CS30</f>
        <v>0</v>
      </c>
      <c r="DO30" s="332">
        <f>'I-Project Contingency'!$E$93-CT30</f>
        <v>0</v>
      </c>
      <c r="DP30" s="332">
        <f>'I-Project Contingency'!$E$94-CU30</f>
        <v>0</v>
      </c>
      <c r="DQ30" s="332">
        <f>'I-Project Contingency'!$E$95-CV30</f>
        <v>0</v>
      </c>
      <c r="DR30" s="332">
        <f>'I-Project Contingency'!$E$96-CW30</f>
        <v>0</v>
      </c>
      <c r="DS30" s="332">
        <f>'I-Project Contingency'!$E$97-CX30</f>
        <v>0</v>
      </c>
      <c r="DT30" s="332">
        <f>'I-Project Contingency'!$E$98-CY30</f>
        <v>0</v>
      </c>
      <c r="DU30" s="332">
        <f>'I-Project Contingency'!$E$99-CZ30</f>
        <v>0</v>
      </c>
      <c r="DV30" s="332">
        <f>'I-Project Contingency'!$E$100-DA30</f>
        <v>0</v>
      </c>
      <c r="DW30" s="332">
        <f>'I-Project Contingency'!$E$101-DB30</f>
        <v>0</v>
      </c>
      <c r="DX30" s="332">
        <f>'I-Project Contingency'!$E$102-DC30</f>
        <v>0</v>
      </c>
      <c r="DY30" s="332">
        <f>'I-Project Contingency'!$E$103-DD30</f>
        <v>0</v>
      </c>
      <c r="DZ30" s="332">
        <f>'I-Project Contingency'!$E$104-DE30</f>
        <v>0</v>
      </c>
      <c r="EA30" s="332">
        <f>'I-Project Contingency'!$E$105-DF30</f>
        <v>0</v>
      </c>
      <c r="EB30" s="332">
        <f>'I-Project Contingency'!$E$106-DG30</f>
        <v>0</v>
      </c>
      <c r="EC30" s="334">
        <f>IF(EE30="N/A","N/A",ABS(INDEX(EE30:EY30,1,MATCH("ROM Cost Risk @ "&amp;'D-Project Data'!$C$6*100&amp;"%",$EE$17:$EY$17,0))))</f>
        <v>0</v>
      </c>
      <c r="ED30" s="335">
        <f>IF(EC30="N/A","N/A",RANK(EC30,$EC$18:$EC$117,0)+COUNTIF($EC$18:EC30,EC30)-1)</f>
        <v>13</v>
      </c>
      <c r="EE30" s="334">
        <f>IF(BQ30/SUM(BQ:BQ)*'I-Project Contingency'!$F$61=0,0,BQ30/SUM(BQ:BQ)*'I-Project Contingency'!$F$61)</f>
        <v>0</v>
      </c>
      <c r="EF30" s="334">
        <f>IF(BR30/SUM(BR:BR)*'I-Project Contingency'!$F$62=0,0,BR30/SUM(BR:BR)*'I-Project Contingency'!$F$62)</f>
        <v>0</v>
      </c>
      <c r="EG30" s="334">
        <f>IF(BS30/SUM(BS:BS)*'I-Project Contingency'!$F$63=0,0,BS30/SUM(BS:BS)*'I-Project Contingency'!$F$63)</f>
        <v>0</v>
      </c>
      <c r="EH30" s="334">
        <f>IF(BT30/SUM(BT:BT)*'I-Project Contingency'!$F$64=0,0,BT30/SUM(BT:BT)*'I-Project Contingency'!$F$64)</f>
        <v>0</v>
      </c>
      <c r="EI30" s="334">
        <f>IF(BU30/SUM(BU:BU)*'I-Project Contingency'!$F$65=0,0,BU30/SUM(BU:BU)*'I-Project Contingency'!$F$65)</f>
        <v>0</v>
      </c>
      <c r="EJ30" s="334">
        <f>IF(BV30/SUM(BV:BV)*'I-Project Contingency'!$F$66=0,0,BV30/SUM(BV:BV)*'I-Project Contingency'!$F$66)</f>
        <v>0</v>
      </c>
      <c r="EK30" s="334">
        <f>IF(BW30/SUM(BW:BW)*'I-Project Contingency'!$F$67=0,0,BW30/SUM(BW:BW)*'I-Project Contingency'!$F$67)</f>
        <v>0</v>
      </c>
      <c r="EL30" s="334">
        <f>IF(BX30/SUM(BX:BX)*'I-Project Contingency'!$F$68=0,0,BX30/SUM(BX:BX)*'I-Project Contingency'!$F$68)</f>
        <v>0</v>
      </c>
      <c r="EM30" s="334">
        <f>IF(BY30/SUM(BY:BY)*'I-Project Contingency'!$F$69=0,0,BY30/SUM(BY:BY)*'I-Project Contingency'!$F$69)</f>
        <v>0</v>
      </c>
      <c r="EN30" s="334">
        <f>IF(BZ30/SUM(BZ:BZ)*'I-Project Contingency'!$F$70=0,0,BZ30/SUM(BZ:BZ)*'I-Project Contingency'!$F$70)</f>
        <v>0</v>
      </c>
      <c r="EO30" s="334">
        <f>IF(CA30/SUM(CA:CA)*'I-Project Contingency'!$F$71=0,0,CA30/SUM(CA:CA)*'I-Project Contingency'!$F$71)</f>
        <v>0</v>
      </c>
      <c r="EP30" s="334">
        <f>IF(CB30/SUM(CB:CB)*'I-Project Contingency'!$F$72=0,0,CB30/SUM(CB:CB)*'I-Project Contingency'!$F$72)</f>
        <v>0</v>
      </c>
      <c r="EQ30" s="334">
        <f>IF(CC30/SUM(CC:CC)*'I-Project Contingency'!$F$73=0,0,CC30/SUM(CC:CC)*'I-Project Contingency'!$F$73)</f>
        <v>0</v>
      </c>
      <c r="ER30" s="334">
        <f>IF(CD30/SUM(CD:CD)*'I-Project Contingency'!$F$74=0,0,CD30/SUM(CD:CD)*'I-Project Contingency'!$F$74)</f>
        <v>0</v>
      </c>
      <c r="ES30" s="334">
        <f>IF(CE30/SUM(CE:CE)*'I-Project Contingency'!$F$75=0,0,CE30/SUM(CE:CE)*'I-Project Contingency'!$F$75)</f>
        <v>0</v>
      </c>
      <c r="ET30" s="334">
        <f>IF(CF30/SUM(CF:CF)*'I-Project Contingency'!$F$76=0,0,CF30/SUM(CF:CF)*'I-Project Contingency'!$F$76)</f>
        <v>0</v>
      </c>
      <c r="EU30" s="334">
        <f>IF(CG30/SUM(CG:CG)*'I-Project Contingency'!$F$77=0,0,CG30/SUM(CG:CG)*'I-Project Contingency'!$F$77)</f>
        <v>0</v>
      </c>
      <c r="EV30" s="787">
        <f>IF(CH30/SUM(CH:CH)*'I-Project Contingency'!$F$78=0,0,CH30/SUM(CH:CH)*'I-Project Contingency'!$F$78)</f>
        <v>0</v>
      </c>
      <c r="EW30" s="787">
        <f>IF(CI30/SUM(CI:CI)*'I-Project Contingency'!$F$79=0,0,CI30/SUM(CI:CI)*'I-Project Contingency'!$F$79)</f>
        <v>0</v>
      </c>
      <c r="EX30" s="787">
        <f>IF(CJ30/SUM(CJ:CJ)*'I-Project Contingency'!$F$80=0,0,CJ30/SUM(CJ:CJ)*'I-Project Contingency'!$F$80)</f>
        <v>0</v>
      </c>
      <c r="EY30" s="787">
        <f>IF(CK30/SUM(CK:CK)*'I-Project Contingency'!$F$81=0,0,CK30/SUM(CK:CK)*'I-Project Contingency'!$F$81)</f>
        <v>0</v>
      </c>
      <c r="EZ30" s="333">
        <f>IF(FB30="N/A","N/A",ABS(INDEX(FB30:FV30,1,MATCH("ROM Schedule Risk @ "&amp;'D-Project Data'!$C$6*100&amp;"%",$FB$17:$FV$17,0))))</f>
        <v>0</v>
      </c>
      <c r="FA30" s="335">
        <f>IF(EZ30="N/A","N/A",RANK(EZ30,$EZ$18:$EZ$117,0)+COUNTIF($FB$18:FB30,FB30)-1)</f>
        <v>13</v>
      </c>
      <c r="FB30" s="788">
        <f>IF(DH30/SUM(DH:DH)*'I-Project Contingency'!$F$86=0,0,DH30/SUM(DH:DH)*'I-Project Contingency'!$F$86)</f>
        <v>0</v>
      </c>
      <c r="FC30" s="788">
        <f>IF(DI30/SUM(DI:DI)*'I-Project Contingency'!$F$87=0,0,DI30/SUM(DI:DI)*'I-Project Contingency'!$F$87)</f>
        <v>0</v>
      </c>
      <c r="FD30" s="788">
        <f>IF(DJ30/SUM(DJ:DJ)*'I-Project Contingency'!$F$88=0,0,DJ30/SUM(DJ:DJ)*'I-Project Contingency'!$F$88)</f>
        <v>0</v>
      </c>
      <c r="FE30" s="788">
        <f>IF(DK30/SUM(DK:DK)*'I-Project Contingency'!$F$89=0,0,DK30/SUM(DK:DK)*'I-Project Contingency'!$F$89)</f>
        <v>0</v>
      </c>
      <c r="FF30" s="788">
        <f>IF(DL30/SUM(DL:DL)*'I-Project Contingency'!$F$90=0,0,DL30/SUM(DL:DL)*'I-Project Contingency'!$F$90)</f>
        <v>0</v>
      </c>
      <c r="FG30" s="788">
        <f>IF(DM30/SUM(DM:DM)*'I-Project Contingency'!$F$91=0,0,DM30/SUM(DM:DM)*'I-Project Contingency'!$F$91)</f>
        <v>0</v>
      </c>
      <c r="FH30" s="788">
        <f>IF(DN30/SUM(DN:DN)*'I-Project Contingency'!$F$92=0,0,DN30/SUM(DN:DN)*'I-Project Contingency'!$F$92)</f>
        <v>0</v>
      </c>
      <c r="FI30" s="788">
        <f>IF(DO30/SUM(DO:DO)*'I-Project Contingency'!$F$93=0,0,DO30/SUM(DO:DO)*'I-Project Contingency'!$F$93)</f>
        <v>0</v>
      </c>
      <c r="FJ30" s="788">
        <f>IF(DP30/SUM(DP:DP)*'I-Project Contingency'!$F$94=0,0,DP30/SUM(DP:DP)*'I-Project Contingency'!$F$94)</f>
        <v>0</v>
      </c>
      <c r="FK30" s="788">
        <f>IF(DQ30/SUM(DQ:DQ)*'I-Project Contingency'!$F$95=0,0,DQ30/SUM(DQ:DQ)*'I-Project Contingency'!$F$95)</f>
        <v>0</v>
      </c>
      <c r="FL30" s="788">
        <f>IF(DR30/SUM(DR:DR)*'I-Project Contingency'!$F$96=0,0,DR30/SUM(DR:DR)*'I-Project Contingency'!$F$96)</f>
        <v>0</v>
      </c>
      <c r="FM30" s="788">
        <f>IF(DS30/SUM(DS:DS)*'I-Project Contingency'!$F$97=0,0,DS30/SUM(DS:DS)*'I-Project Contingency'!$F$97)</f>
        <v>0</v>
      </c>
      <c r="FN30" s="788">
        <f>IF(DT30/SUM(DT:DT)*'I-Project Contingency'!$F$98=0,0,DT30/SUM(DT:DT)*'I-Project Contingency'!$F$98)</f>
        <v>0</v>
      </c>
      <c r="FO30" s="788">
        <f>IF(DU30/SUM(DU:DU)*'I-Project Contingency'!$F$99=0,0,DU30/SUM(DU:DU)*'I-Project Contingency'!$F$99)</f>
        <v>0</v>
      </c>
      <c r="FP30" s="788">
        <f>IF(DV30/SUM(DV:DV)*'I-Project Contingency'!$F$100=0,0,DV30/SUM(DV:DV)*'I-Project Contingency'!$F$100)</f>
        <v>0</v>
      </c>
      <c r="FQ30" s="788">
        <f>IF(DW30/SUM(DW:DW)*'I-Project Contingency'!$F$101=0,0,DW30/SUM(DW:DW)*'I-Project Contingency'!$F$101)</f>
        <v>0</v>
      </c>
      <c r="FR30" s="788">
        <f>IF(DX30/SUM(DX:DX)*'I-Project Contingency'!$F$102=0,0,DX30/SUM(DX:DX)*'I-Project Contingency'!$F$102)</f>
        <v>0</v>
      </c>
      <c r="FS30" s="788">
        <f>IF(DY30/SUM(DY:DY)*'I-Project Contingency'!$F$103=0,0,DY30/SUM(DY:DY)*'I-Project Contingency'!$F$103)</f>
        <v>0</v>
      </c>
      <c r="FT30" s="788">
        <f>IF(DZ30/SUM(DZ:DZ)*'I-Project Contingency'!$F$104=0,0,DZ30/SUM(DZ:DZ)*'I-Project Contingency'!$F$104)</f>
        <v>0</v>
      </c>
      <c r="FU30" s="788">
        <f>IF(EA30/SUM(EA:EA)*'I-Project Contingency'!$F$105=0,0,EA30/SUM(EA:EA)*'I-Project Contingency'!$F$105)</f>
        <v>0</v>
      </c>
      <c r="FV30" s="788">
        <f>IF(EB30/SUM(EB:EB)*'I-Project Contingency'!$F$106=0,0,EB30/SUM(EB:EB)*'I-Project Contingency'!$F$106)</f>
        <v>0</v>
      </c>
      <c r="FW30" s="335">
        <f t="shared" si="13"/>
        <v>13</v>
      </c>
      <c r="FX30" s="336" t="str">
        <f t="shared" si="14"/>
        <v xml:space="preserve">13 - </v>
      </c>
      <c r="FY30" s="330">
        <f t="shared" si="15"/>
        <v>0</v>
      </c>
      <c r="FZ30" s="330">
        <f t="shared" si="16"/>
        <v>0</v>
      </c>
      <c r="GA30" s="332">
        <f t="shared" si="17"/>
        <v>0</v>
      </c>
      <c r="GB30" s="332">
        <f t="shared" si="18"/>
        <v>0</v>
      </c>
    </row>
    <row r="31" spans="1:184" ht="30" x14ac:dyDescent="0.25">
      <c r="A31" s="163">
        <f t="shared" si="23"/>
        <v>14</v>
      </c>
      <c r="B31" s="727" t="s">
        <v>728</v>
      </c>
      <c r="C31" s="729"/>
      <c r="D31" s="729"/>
      <c r="E31" s="729"/>
      <c r="F31" s="728" t="s">
        <v>728</v>
      </c>
      <c r="G31" s="728" t="s">
        <v>728</v>
      </c>
      <c r="H31" s="157" t="str">
        <f>IFERROR(IF('H-Risk Register-Model'!F31="Certain","Relook at Basis of Estimate",INDEX('G-Assumptions'!$F$8:$J$11,MATCH(F31,'G-Assumptions'!$D$8:$D$11,0),MATCH(G31,'G-Assumptions'!$F$6:$J$6,0))),"Unrated")</f>
        <v>Unrated</v>
      </c>
      <c r="I31" s="728" t="s">
        <v>728</v>
      </c>
      <c r="J31" s="157" t="str">
        <f>IFERROR(IF('H-Risk Register-Model'!F31="Certain","Relook at Basis of Estimate",INDEX('G-Assumptions'!$F$8:$J$11,MATCH(F31,'G-Assumptions'!$D$8:$D$11,0),MATCH(I31,'G-Assumptions'!$F$6:$J$6,0))),"Unrated")</f>
        <v>Unrated</v>
      </c>
      <c r="K31" s="728" t="s">
        <v>728</v>
      </c>
      <c r="L31" s="728" t="s">
        <v>728</v>
      </c>
      <c r="M31" s="728"/>
      <c r="N31" s="731" t="s">
        <v>728</v>
      </c>
      <c r="O31" s="731" t="s">
        <v>728</v>
      </c>
      <c r="P31" s="732"/>
      <c r="Q31" s="732"/>
      <c r="R31" s="732"/>
      <c r="S31" s="733"/>
      <c r="T31" s="733"/>
      <c r="U31" s="733"/>
      <c r="V31" s="734"/>
      <c r="W31" s="732"/>
      <c r="X31" s="732"/>
      <c r="Y31" s="735">
        <v>1</v>
      </c>
      <c r="Z31" s="736">
        <v>1</v>
      </c>
      <c r="AA31" s="166">
        <f t="shared" si="19"/>
        <v>0</v>
      </c>
      <c r="AB31" s="166">
        <f t="shared" si="20"/>
        <v>0</v>
      </c>
      <c r="AC31" s="166">
        <f t="shared" si="21"/>
        <v>0</v>
      </c>
      <c r="AD31" s="166"/>
      <c r="AE31" s="164">
        <f t="shared" si="22"/>
        <v>0</v>
      </c>
      <c r="AF31" s="167"/>
      <c r="AG31" s="165">
        <f t="shared" si="5"/>
        <v>0</v>
      </c>
      <c r="AH31" s="729"/>
      <c r="AI31" s="729"/>
      <c r="AJ31" s="8"/>
      <c r="AK31" s="495" t="str">
        <f t="shared" si="6"/>
        <v>No</v>
      </c>
      <c r="AL31" s="496">
        <f>'I-Project Contingency'!$I$4</f>
        <v>9000000</v>
      </c>
      <c r="AM31" s="326">
        <f>'I-Project Contingency'!$I$11</f>
        <v>23.978102189781023</v>
      </c>
      <c r="AN31" s="325">
        <f t="shared" si="7"/>
        <v>0</v>
      </c>
      <c r="AO31" s="326">
        <f t="shared" si="8"/>
        <v>0</v>
      </c>
      <c r="AP31" s="641" t="str">
        <f t="shared" si="9"/>
        <v/>
      </c>
      <c r="AQ31" s="641" t="str">
        <f t="shared" si="10"/>
        <v/>
      </c>
      <c r="AR31" s="497" t="str">
        <f t="shared" si="11"/>
        <v/>
      </c>
      <c r="AS31" s="497" t="str">
        <f t="shared" si="12"/>
        <v/>
      </c>
      <c r="AT31" s="8"/>
      <c r="AU31" s="329">
        <f>'I-Project Contingency'!$O$4-AE31</f>
        <v>0</v>
      </c>
      <c r="AV31" s="330">
        <v>-240515.59579276721</v>
      </c>
      <c r="AW31" s="330">
        <v>28172.931401335634</v>
      </c>
      <c r="AX31" s="330">
        <v>193478.84467429668</v>
      </c>
      <c r="AY31" s="330">
        <v>361668.20104834624</v>
      </c>
      <c r="AZ31" s="330">
        <v>524446.91524262261</v>
      </c>
      <c r="BA31" s="330">
        <v>704023.56387635041</v>
      </c>
      <c r="BB31" s="330">
        <v>886394.06956240814</v>
      </c>
      <c r="BC31" s="330">
        <v>1079363.7165157665</v>
      </c>
      <c r="BD31" s="330">
        <v>1280180.1532065615</v>
      </c>
      <c r="BE31" s="330">
        <v>1485323.8019108465</v>
      </c>
      <c r="BF31" s="330">
        <v>1703758.8827524669</v>
      </c>
      <c r="BG31" s="330">
        <v>1949523.4346483489</v>
      </c>
      <c r="BH31" s="330">
        <v>2177897.1603371189</v>
      </c>
      <c r="BI31" s="330">
        <v>2429374.4260425912</v>
      </c>
      <c r="BJ31" s="330">
        <v>2717092.7449284913</v>
      </c>
      <c r="BK31" s="330">
        <v>3010093.6968918457</v>
      </c>
      <c r="BL31" s="330">
        <v>3325414.5894657462</v>
      </c>
      <c r="BM31" s="330">
        <v>3690425.9159493577</v>
      </c>
      <c r="BN31" s="330">
        <v>4143935.1706127762</v>
      </c>
      <c r="BO31" s="330">
        <v>4722651.1159141911</v>
      </c>
      <c r="BP31" s="330">
        <v>5992048.8629153483</v>
      </c>
      <c r="BQ31" s="330">
        <f>'I-Project Contingency'!$E$61-AV31</f>
        <v>0</v>
      </c>
      <c r="BR31" s="330">
        <f>'I-Project Contingency'!$E$62-AW31</f>
        <v>0</v>
      </c>
      <c r="BS31" s="330">
        <f>'I-Project Contingency'!$E$63-AX31</f>
        <v>0</v>
      </c>
      <c r="BT31" s="330">
        <f>'I-Project Contingency'!$E$64-AY31</f>
        <v>0</v>
      </c>
      <c r="BU31" s="330">
        <f>'I-Project Contingency'!$E$65-AZ31</f>
        <v>0</v>
      </c>
      <c r="BV31" s="330">
        <f>'I-Project Contingency'!$E$66-BA31</f>
        <v>0</v>
      </c>
      <c r="BW31" s="330">
        <f>'I-Project Contingency'!$E$67-BB31</f>
        <v>0</v>
      </c>
      <c r="BX31" s="330">
        <f>'I-Project Contingency'!$E$68-BC31</f>
        <v>0</v>
      </c>
      <c r="BY31" s="330">
        <f>'I-Project Contingency'!$E$69-BD31</f>
        <v>0</v>
      </c>
      <c r="BZ31" s="330">
        <f>'I-Project Contingency'!$E$70-BE31</f>
        <v>0</v>
      </c>
      <c r="CA31" s="330">
        <f>'I-Project Contingency'!$E$71-BF31</f>
        <v>0</v>
      </c>
      <c r="CB31" s="330">
        <f>'I-Project Contingency'!$E$72-BG31</f>
        <v>0</v>
      </c>
      <c r="CC31" s="330">
        <f>'I-Project Contingency'!$E$73-BH31</f>
        <v>0</v>
      </c>
      <c r="CD31" s="330">
        <f>'I-Project Contingency'!$E$74-BI31</f>
        <v>0</v>
      </c>
      <c r="CE31" s="330">
        <f>'I-Project Contingency'!$E$75-BJ31</f>
        <v>0</v>
      </c>
      <c r="CF31" s="330">
        <f>'I-Project Contingency'!$E$76-BK31</f>
        <v>0</v>
      </c>
      <c r="CG31" s="330">
        <f>'I-Project Contingency'!$E$77-BL31</f>
        <v>0</v>
      </c>
      <c r="CH31" s="784">
        <f>'I-Project Contingency'!$E$78-BM31</f>
        <v>0</v>
      </c>
      <c r="CI31" s="330">
        <f>'I-Project Contingency'!$E$79-BN31</f>
        <v>0</v>
      </c>
      <c r="CJ31" s="330">
        <f>'I-Project Contingency'!$E$80-BO31</f>
        <v>0</v>
      </c>
      <c r="CK31" s="330">
        <f>'I-Project Contingency'!$E$81-BP31</f>
        <v>0</v>
      </c>
      <c r="CL31" s="331">
        <f>'I-Project Contingency'!$O$5-AG31</f>
        <v>0</v>
      </c>
      <c r="CM31" s="332">
        <v>-0.98711802853447173</v>
      </c>
      <c r="CN31" s="332">
        <v>-0.19547704728364468</v>
      </c>
      <c r="CO31" s="332">
        <v>0.126462150308498</v>
      </c>
      <c r="CP31" s="332">
        <v>0.45967989154545902</v>
      </c>
      <c r="CQ31" s="332">
        <v>0.78297319902744</v>
      </c>
      <c r="CR31" s="332">
        <v>1.0957191966482109</v>
      </c>
      <c r="CS31" s="332">
        <v>1.4418405003536849</v>
      </c>
      <c r="CT31" s="332">
        <v>1.801002404194165</v>
      </c>
      <c r="CU31" s="332">
        <v>2.1797608166947349</v>
      </c>
      <c r="CV31" s="332">
        <v>2.5671680610072478</v>
      </c>
      <c r="CW31" s="332">
        <v>2.9690760644797152</v>
      </c>
      <c r="CX31" s="332">
        <v>3.3964145469774811</v>
      </c>
      <c r="CY31" s="332">
        <v>3.864536087769562</v>
      </c>
      <c r="CZ31" s="332">
        <v>4.3569836138896116</v>
      </c>
      <c r="DA31" s="332">
        <v>4.8862357851222598</v>
      </c>
      <c r="DB31" s="332">
        <v>5.438836997347547</v>
      </c>
      <c r="DC31" s="332">
        <v>6.047993455908566</v>
      </c>
      <c r="DD31" s="785">
        <v>6.720204953601761</v>
      </c>
      <c r="DE31" s="333">
        <v>7.55131678090412</v>
      </c>
      <c r="DF31" s="332">
        <v>8.661446370835737</v>
      </c>
      <c r="DG31" s="332">
        <v>11.206316207857133</v>
      </c>
      <c r="DH31" s="332">
        <f>'I-Project Contingency'!$E$86-CM31</f>
        <v>0</v>
      </c>
      <c r="DI31" s="332">
        <f>'I-Project Contingency'!$E$87-CN31</f>
        <v>0</v>
      </c>
      <c r="DJ31" s="332">
        <f>'I-Project Contingency'!$E$88-CO31</f>
        <v>0</v>
      </c>
      <c r="DK31" s="332">
        <f>'I-Project Contingency'!$E$89-CP31</f>
        <v>0</v>
      </c>
      <c r="DL31" s="332">
        <f>'I-Project Contingency'!$E$90-CQ31</f>
        <v>0</v>
      </c>
      <c r="DM31" s="332">
        <f>'I-Project Contingency'!$E$91-CR31</f>
        <v>0</v>
      </c>
      <c r="DN31" s="332">
        <f>'I-Project Contingency'!$E$92-CS31</f>
        <v>0</v>
      </c>
      <c r="DO31" s="332">
        <f>'I-Project Contingency'!$E$93-CT31</f>
        <v>0</v>
      </c>
      <c r="DP31" s="332">
        <f>'I-Project Contingency'!$E$94-CU31</f>
        <v>0</v>
      </c>
      <c r="DQ31" s="332">
        <f>'I-Project Contingency'!$E$95-CV31</f>
        <v>0</v>
      </c>
      <c r="DR31" s="332">
        <f>'I-Project Contingency'!$E$96-CW31</f>
        <v>0</v>
      </c>
      <c r="DS31" s="332">
        <f>'I-Project Contingency'!$E$97-CX31</f>
        <v>0</v>
      </c>
      <c r="DT31" s="332">
        <f>'I-Project Contingency'!$E$98-CY31</f>
        <v>0</v>
      </c>
      <c r="DU31" s="332">
        <f>'I-Project Contingency'!$E$99-CZ31</f>
        <v>0</v>
      </c>
      <c r="DV31" s="332">
        <f>'I-Project Contingency'!$E$100-DA31</f>
        <v>0</v>
      </c>
      <c r="DW31" s="332">
        <f>'I-Project Contingency'!$E$101-DB31</f>
        <v>0</v>
      </c>
      <c r="DX31" s="332">
        <f>'I-Project Contingency'!$E$102-DC31</f>
        <v>0</v>
      </c>
      <c r="DY31" s="332">
        <f>'I-Project Contingency'!$E$103-DD31</f>
        <v>0</v>
      </c>
      <c r="DZ31" s="332">
        <f>'I-Project Contingency'!$E$104-DE31</f>
        <v>0</v>
      </c>
      <c r="EA31" s="332">
        <f>'I-Project Contingency'!$E$105-DF31</f>
        <v>0</v>
      </c>
      <c r="EB31" s="332">
        <f>'I-Project Contingency'!$E$106-DG31</f>
        <v>0</v>
      </c>
      <c r="EC31" s="334">
        <f>IF(EE31="N/A","N/A",ABS(INDEX(EE31:EY31,1,MATCH("ROM Cost Risk @ "&amp;'D-Project Data'!$C$6*100&amp;"%",$EE$17:$EY$17,0))))</f>
        <v>0</v>
      </c>
      <c r="ED31" s="335">
        <f>IF(EC31="N/A","N/A",RANK(EC31,$EC$18:$EC$117,0)+COUNTIF($EC$18:EC31,EC31)-1)</f>
        <v>14</v>
      </c>
      <c r="EE31" s="334">
        <f>IF(BQ31/SUM(BQ:BQ)*'I-Project Contingency'!$F$61=0,0,BQ31/SUM(BQ:BQ)*'I-Project Contingency'!$F$61)</f>
        <v>0</v>
      </c>
      <c r="EF31" s="334">
        <f>IF(BR31/SUM(BR:BR)*'I-Project Contingency'!$F$62=0,0,BR31/SUM(BR:BR)*'I-Project Contingency'!$F$62)</f>
        <v>0</v>
      </c>
      <c r="EG31" s="334">
        <f>IF(BS31/SUM(BS:BS)*'I-Project Contingency'!$F$63=0,0,BS31/SUM(BS:BS)*'I-Project Contingency'!$F$63)</f>
        <v>0</v>
      </c>
      <c r="EH31" s="334">
        <f>IF(BT31/SUM(BT:BT)*'I-Project Contingency'!$F$64=0,0,BT31/SUM(BT:BT)*'I-Project Contingency'!$F$64)</f>
        <v>0</v>
      </c>
      <c r="EI31" s="334">
        <f>IF(BU31/SUM(BU:BU)*'I-Project Contingency'!$F$65=0,0,BU31/SUM(BU:BU)*'I-Project Contingency'!$F$65)</f>
        <v>0</v>
      </c>
      <c r="EJ31" s="334">
        <f>IF(BV31/SUM(BV:BV)*'I-Project Contingency'!$F$66=0,0,BV31/SUM(BV:BV)*'I-Project Contingency'!$F$66)</f>
        <v>0</v>
      </c>
      <c r="EK31" s="334">
        <f>IF(BW31/SUM(BW:BW)*'I-Project Contingency'!$F$67=0,0,BW31/SUM(BW:BW)*'I-Project Contingency'!$F$67)</f>
        <v>0</v>
      </c>
      <c r="EL31" s="334">
        <f>IF(BX31/SUM(BX:BX)*'I-Project Contingency'!$F$68=0,0,BX31/SUM(BX:BX)*'I-Project Contingency'!$F$68)</f>
        <v>0</v>
      </c>
      <c r="EM31" s="334">
        <f>IF(BY31/SUM(BY:BY)*'I-Project Contingency'!$F$69=0,0,BY31/SUM(BY:BY)*'I-Project Contingency'!$F$69)</f>
        <v>0</v>
      </c>
      <c r="EN31" s="334">
        <f>IF(BZ31/SUM(BZ:BZ)*'I-Project Contingency'!$F$70=0,0,BZ31/SUM(BZ:BZ)*'I-Project Contingency'!$F$70)</f>
        <v>0</v>
      </c>
      <c r="EO31" s="334">
        <f>IF(CA31/SUM(CA:CA)*'I-Project Contingency'!$F$71=0,0,CA31/SUM(CA:CA)*'I-Project Contingency'!$F$71)</f>
        <v>0</v>
      </c>
      <c r="EP31" s="334">
        <f>IF(CB31/SUM(CB:CB)*'I-Project Contingency'!$F$72=0,0,CB31/SUM(CB:CB)*'I-Project Contingency'!$F$72)</f>
        <v>0</v>
      </c>
      <c r="EQ31" s="334">
        <f>IF(CC31/SUM(CC:CC)*'I-Project Contingency'!$F$73=0,0,CC31/SUM(CC:CC)*'I-Project Contingency'!$F$73)</f>
        <v>0</v>
      </c>
      <c r="ER31" s="334">
        <f>IF(CD31/SUM(CD:CD)*'I-Project Contingency'!$F$74=0,0,CD31/SUM(CD:CD)*'I-Project Contingency'!$F$74)</f>
        <v>0</v>
      </c>
      <c r="ES31" s="334">
        <f>IF(CE31/SUM(CE:CE)*'I-Project Contingency'!$F$75=0,0,CE31/SUM(CE:CE)*'I-Project Contingency'!$F$75)</f>
        <v>0</v>
      </c>
      <c r="ET31" s="334">
        <f>IF(CF31/SUM(CF:CF)*'I-Project Contingency'!$F$76=0,0,CF31/SUM(CF:CF)*'I-Project Contingency'!$F$76)</f>
        <v>0</v>
      </c>
      <c r="EU31" s="334">
        <f>IF(CG31/SUM(CG:CG)*'I-Project Contingency'!$F$77=0,0,CG31/SUM(CG:CG)*'I-Project Contingency'!$F$77)</f>
        <v>0</v>
      </c>
      <c r="EV31" s="787">
        <f>IF(CH31/SUM(CH:CH)*'I-Project Contingency'!$F$78=0,0,CH31/SUM(CH:CH)*'I-Project Contingency'!$F$78)</f>
        <v>0</v>
      </c>
      <c r="EW31" s="787">
        <f>IF(CI31/SUM(CI:CI)*'I-Project Contingency'!$F$79=0,0,CI31/SUM(CI:CI)*'I-Project Contingency'!$F$79)</f>
        <v>0</v>
      </c>
      <c r="EX31" s="787">
        <f>IF(CJ31/SUM(CJ:CJ)*'I-Project Contingency'!$F$80=0,0,CJ31/SUM(CJ:CJ)*'I-Project Contingency'!$F$80)</f>
        <v>0</v>
      </c>
      <c r="EY31" s="787">
        <f>IF(CK31/SUM(CK:CK)*'I-Project Contingency'!$F$81=0,0,CK31/SUM(CK:CK)*'I-Project Contingency'!$F$81)</f>
        <v>0</v>
      </c>
      <c r="EZ31" s="333">
        <f>IF(FB31="N/A","N/A",ABS(INDEX(FB31:FV31,1,MATCH("ROM Schedule Risk @ "&amp;'D-Project Data'!$C$6*100&amp;"%",$FB$17:$FV$17,0))))</f>
        <v>0</v>
      </c>
      <c r="FA31" s="335">
        <f>IF(EZ31="N/A","N/A",RANK(EZ31,$EZ$18:$EZ$117,0)+COUNTIF($FB$18:FB31,FB31)-1)</f>
        <v>14</v>
      </c>
      <c r="FB31" s="788">
        <f>IF(DH31/SUM(DH:DH)*'I-Project Contingency'!$F$86=0,0,DH31/SUM(DH:DH)*'I-Project Contingency'!$F$86)</f>
        <v>0</v>
      </c>
      <c r="FC31" s="788">
        <f>IF(DI31/SUM(DI:DI)*'I-Project Contingency'!$F$87=0,0,DI31/SUM(DI:DI)*'I-Project Contingency'!$F$87)</f>
        <v>0</v>
      </c>
      <c r="FD31" s="788">
        <f>IF(DJ31/SUM(DJ:DJ)*'I-Project Contingency'!$F$88=0,0,DJ31/SUM(DJ:DJ)*'I-Project Contingency'!$F$88)</f>
        <v>0</v>
      </c>
      <c r="FE31" s="788">
        <f>IF(DK31/SUM(DK:DK)*'I-Project Contingency'!$F$89=0,0,DK31/SUM(DK:DK)*'I-Project Contingency'!$F$89)</f>
        <v>0</v>
      </c>
      <c r="FF31" s="788">
        <f>IF(DL31/SUM(DL:DL)*'I-Project Contingency'!$F$90=0,0,DL31/SUM(DL:DL)*'I-Project Contingency'!$F$90)</f>
        <v>0</v>
      </c>
      <c r="FG31" s="788">
        <f>IF(DM31/SUM(DM:DM)*'I-Project Contingency'!$F$91=0,0,DM31/SUM(DM:DM)*'I-Project Contingency'!$F$91)</f>
        <v>0</v>
      </c>
      <c r="FH31" s="788">
        <f>IF(DN31/SUM(DN:DN)*'I-Project Contingency'!$F$92=0,0,DN31/SUM(DN:DN)*'I-Project Contingency'!$F$92)</f>
        <v>0</v>
      </c>
      <c r="FI31" s="788">
        <f>IF(DO31/SUM(DO:DO)*'I-Project Contingency'!$F$93=0,0,DO31/SUM(DO:DO)*'I-Project Contingency'!$F$93)</f>
        <v>0</v>
      </c>
      <c r="FJ31" s="788">
        <f>IF(DP31/SUM(DP:DP)*'I-Project Contingency'!$F$94=0,0,DP31/SUM(DP:DP)*'I-Project Contingency'!$F$94)</f>
        <v>0</v>
      </c>
      <c r="FK31" s="788">
        <f>IF(DQ31/SUM(DQ:DQ)*'I-Project Contingency'!$F$95=0,0,DQ31/SUM(DQ:DQ)*'I-Project Contingency'!$F$95)</f>
        <v>0</v>
      </c>
      <c r="FL31" s="788">
        <f>IF(DR31/SUM(DR:DR)*'I-Project Contingency'!$F$96=0,0,DR31/SUM(DR:DR)*'I-Project Contingency'!$F$96)</f>
        <v>0</v>
      </c>
      <c r="FM31" s="788">
        <f>IF(DS31/SUM(DS:DS)*'I-Project Contingency'!$F$97=0,0,DS31/SUM(DS:DS)*'I-Project Contingency'!$F$97)</f>
        <v>0</v>
      </c>
      <c r="FN31" s="788">
        <f>IF(DT31/SUM(DT:DT)*'I-Project Contingency'!$F$98=0,0,DT31/SUM(DT:DT)*'I-Project Contingency'!$F$98)</f>
        <v>0</v>
      </c>
      <c r="FO31" s="788">
        <f>IF(DU31/SUM(DU:DU)*'I-Project Contingency'!$F$99=0,0,DU31/SUM(DU:DU)*'I-Project Contingency'!$F$99)</f>
        <v>0</v>
      </c>
      <c r="FP31" s="788">
        <f>IF(DV31/SUM(DV:DV)*'I-Project Contingency'!$F$100=0,0,DV31/SUM(DV:DV)*'I-Project Contingency'!$F$100)</f>
        <v>0</v>
      </c>
      <c r="FQ31" s="788">
        <f>IF(DW31/SUM(DW:DW)*'I-Project Contingency'!$F$101=0,0,DW31/SUM(DW:DW)*'I-Project Contingency'!$F$101)</f>
        <v>0</v>
      </c>
      <c r="FR31" s="788">
        <f>IF(DX31/SUM(DX:DX)*'I-Project Contingency'!$F$102=0,0,DX31/SUM(DX:DX)*'I-Project Contingency'!$F$102)</f>
        <v>0</v>
      </c>
      <c r="FS31" s="788">
        <f>IF(DY31/SUM(DY:DY)*'I-Project Contingency'!$F$103=0,0,DY31/SUM(DY:DY)*'I-Project Contingency'!$F$103)</f>
        <v>0</v>
      </c>
      <c r="FT31" s="788">
        <f>IF(DZ31/SUM(DZ:DZ)*'I-Project Contingency'!$F$104=0,0,DZ31/SUM(DZ:DZ)*'I-Project Contingency'!$F$104)</f>
        <v>0</v>
      </c>
      <c r="FU31" s="788">
        <f>IF(EA31/SUM(EA:EA)*'I-Project Contingency'!$F$105=0,0,EA31/SUM(EA:EA)*'I-Project Contingency'!$F$105)</f>
        <v>0</v>
      </c>
      <c r="FV31" s="788">
        <f>IF(EB31/SUM(EB:EB)*'I-Project Contingency'!$F$106=0,0,EB31/SUM(EB:EB)*'I-Project Contingency'!$F$106)</f>
        <v>0</v>
      </c>
      <c r="FW31" s="335">
        <f t="shared" si="13"/>
        <v>14</v>
      </c>
      <c r="FX31" s="336" t="str">
        <f t="shared" si="14"/>
        <v xml:space="preserve">14 - </v>
      </c>
      <c r="FY31" s="330">
        <f t="shared" si="15"/>
        <v>0</v>
      </c>
      <c r="FZ31" s="330">
        <f t="shared" si="16"/>
        <v>0</v>
      </c>
      <c r="GA31" s="332">
        <f t="shared" si="17"/>
        <v>0</v>
      </c>
      <c r="GB31" s="332">
        <f t="shared" si="18"/>
        <v>0</v>
      </c>
    </row>
    <row r="32" spans="1:184" ht="30" x14ac:dyDescent="0.25">
      <c r="A32" s="163">
        <f t="shared" si="23"/>
        <v>15</v>
      </c>
      <c r="B32" s="727" t="s">
        <v>728</v>
      </c>
      <c r="C32" s="729"/>
      <c r="D32" s="729"/>
      <c r="E32" s="729"/>
      <c r="F32" s="728" t="s">
        <v>728</v>
      </c>
      <c r="G32" s="728" t="s">
        <v>728</v>
      </c>
      <c r="H32" s="157" t="str">
        <f>IFERROR(IF('H-Risk Register-Model'!F32="Certain","Relook at Basis of Estimate",INDEX('G-Assumptions'!$F$8:$J$11,MATCH(F32,'G-Assumptions'!$D$8:$D$11,0),MATCH(G32,'G-Assumptions'!$F$6:$J$6,0))),"Unrated")</f>
        <v>Unrated</v>
      </c>
      <c r="I32" s="728" t="s">
        <v>728</v>
      </c>
      <c r="J32" s="157" t="str">
        <f>IFERROR(IF('H-Risk Register-Model'!F32="Certain","Relook at Basis of Estimate",INDEX('G-Assumptions'!$F$8:$J$11,MATCH(F32,'G-Assumptions'!$D$8:$D$11,0),MATCH(I32,'G-Assumptions'!$F$6:$J$6,0))),"Unrated")</f>
        <v>Unrated</v>
      </c>
      <c r="K32" s="728" t="s">
        <v>728</v>
      </c>
      <c r="L32" s="728" t="s">
        <v>728</v>
      </c>
      <c r="M32" s="728"/>
      <c r="N32" s="731" t="s">
        <v>728</v>
      </c>
      <c r="O32" s="731" t="s">
        <v>728</v>
      </c>
      <c r="P32" s="732"/>
      <c r="Q32" s="732"/>
      <c r="R32" s="732"/>
      <c r="S32" s="733"/>
      <c r="T32" s="733"/>
      <c r="U32" s="733"/>
      <c r="V32" s="734"/>
      <c r="W32" s="732"/>
      <c r="X32" s="732"/>
      <c r="Y32" s="735">
        <v>1</v>
      </c>
      <c r="Z32" s="736">
        <v>1</v>
      </c>
      <c r="AA32" s="166">
        <f t="shared" si="19"/>
        <v>0</v>
      </c>
      <c r="AB32" s="166">
        <f t="shared" si="20"/>
        <v>0</v>
      </c>
      <c r="AC32" s="166">
        <f t="shared" si="21"/>
        <v>0</v>
      </c>
      <c r="AD32" s="166"/>
      <c r="AE32" s="164">
        <f t="shared" si="22"/>
        <v>0</v>
      </c>
      <c r="AF32" s="167"/>
      <c r="AG32" s="165">
        <f t="shared" si="5"/>
        <v>0</v>
      </c>
      <c r="AH32" s="729"/>
      <c r="AI32" s="729"/>
      <c r="AJ32" s="8"/>
      <c r="AK32" s="495" t="str">
        <f t="shared" si="6"/>
        <v>No</v>
      </c>
      <c r="AL32" s="496">
        <f>'I-Project Contingency'!$I$4</f>
        <v>9000000</v>
      </c>
      <c r="AM32" s="326">
        <f>'I-Project Contingency'!$I$11</f>
        <v>23.978102189781023</v>
      </c>
      <c r="AN32" s="325">
        <f t="shared" si="7"/>
        <v>0</v>
      </c>
      <c r="AO32" s="326">
        <f t="shared" si="8"/>
        <v>0</v>
      </c>
      <c r="AP32" s="641" t="str">
        <f t="shared" si="9"/>
        <v/>
      </c>
      <c r="AQ32" s="641" t="str">
        <f t="shared" si="10"/>
        <v/>
      </c>
      <c r="AR32" s="497" t="str">
        <f t="shared" si="11"/>
        <v/>
      </c>
      <c r="AS32" s="497" t="str">
        <f t="shared" si="12"/>
        <v/>
      </c>
      <c r="AT32" s="8"/>
      <c r="AU32" s="329">
        <f>'I-Project Contingency'!$O$4-AE32</f>
        <v>0</v>
      </c>
      <c r="AV32" s="330">
        <v>-240515.59579276721</v>
      </c>
      <c r="AW32" s="330">
        <v>28172.931401335634</v>
      </c>
      <c r="AX32" s="330">
        <v>193478.84467429668</v>
      </c>
      <c r="AY32" s="330">
        <v>361668.20104834624</v>
      </c>
      <c r="AZ32" s="330">
        <v>524446.91524262261</v>
      </c>
      <c r="BA32" s="330">
        <v>704023.56387635041</v>
      </c>
      <c r="BB32" s="330">
        <v>886394.06956240814</v>
      </c>
      <c r="BC32" s="330">
        <v>1079363.7165157665</v>
      </c>
      <c r="BD32" s="330">
        <v>1280180.1532065615</v>
      </c>
      <c r="BE32" s="330">
        <v>1485323.8019108465</v>
      </c>
      <c r="BF32" s="330">
        <v>1703758.8827524669</v>
      </c>
      <c r="BG32" s="330">
        <v>1949523.4346483489</v>
      </c>
      <c r="BH32" s="330">
        <v>2177897.1603371189</v>
      </c>
      <c r="BI32" s="330">
        <v>2429374.4260425912</v>
      </c>
      <c r="BJ32" s="330">
        <v>2717092.7449284913</v>
      </c>
      <c r="BK32" s="330">
        <v>3010093.6968918457</v>
      </c>
      <c r="BL32" s="330">
        <v>3325414.5894657462</v>
      </c>
      <c r="BM32" s="330">
        <v>3690425.9159493577</v>
      </c>
      <c r="BN32" s="330">
        <v>4143935.1706127762</v>
      </c>
      <c r="BO32" s="330">
        <v>4722651.1159141911</v>
      </c>
      <c r="BP32" s="330">
        <v>5992048.8629153483</v>
      </c>
      <c r="BQ32" s="330">
        <f>'I-Project Contingency'!$E$61-AV32</f>
        <v>0</v>
      </c>
      <c r="BR32" s="330">
        <f>'I-Project Contingency'!$E$62-AW32</f>
        <v>0</v>
      </c>
      <c r="BS32" s="330">
        <f>'I-Project Contingency'!$E$63-AX32</f>
        <v>0</v>
      </c>
      <c r="BT32" s="330">
        <f>'I-Project Contingency'!$E$64-AY32</f>
        <v>0</v>
      </c>
      <c r="BU32" s="330">
        <f>'I-Project Contingency'!$E$65-AZ32</f>
        <v>0</v>
      </c>
      <c r="BV32" s="330">
        <f>'I-Project Contingency'!$E$66-BA32</f>
        <v>0</v>
      </c>
      <c r="BW32" s="330">
        <f>'I-Project Contingency'!$E$67-BB32</f>
        <v>0</v>
      </c>
      <c r="BX32" s="330">
        <f>'I-Project Contingency'!$E$68-BC32</f>
        <v>0</v>
      </c>
      <c r="BY32" s="330">
        <f>'I-Project Contingency'!$E$69-BD32</f>
        <v>0</v>
      </c>
      <c r="BZ32" s="330">
        <f>'I-Project Contingency'!$E$70-BE32</f>
        <v>0</v>
      </c>
      <c r="CA32" s="330">
        <f>'I-Project Contingency'!$E$71-BF32</f>
        <v>0</v>
      </c>
      <c r="CB32" s="330">
        <f>'I-Project Contingency'!$E$72-BG32</f>
        <v>0</v>
      </c>
      <c r="CC32" s="330">
        <f>'I-Project Contingency'!$E$73-BH32</f>
        <v>0</v>
      </c>
      <c r="CD32" s="330">
        <f>'I-Project Contingency'!$E$74-BI32</f>
        <v>0</v>
      </c>
      <c r="CE32" s="330">
        <f>'I-Project Contingency'!$E$75-BJ32</f>
        <v>0</v>
      </c>
      <c r="CF32" s="330">
        <f>'I-Project Contingency'!$E$76-BK32</f>
        <v>0</v>
      </c>
      <c r="CG32" s="330">
        <f>'I-Project Contingency'!$E$77-BL32</f>
        <v>0</v>
      </c>
      <c r="CH32" s="784">
        <f>'I-Project Contingency'!$E$78-BM32</f>
        <v>0</v>
      </c>
      <c r="CI32" s="330">
        <f>'I-Project Contingency'!$E$79-BN32</f>
        <v>0</v>
      </c>
      <c r="CJ32" s="330">
        <f>'I-Project Contingency'!$E$80-BO32</f>
        <v>0</v>
      </c>
      <c r="CK32" s="330">
        <f>'I-Project Contingency'!$E$81-BP32</f>
        <v>0</v>
      </c>
      <c r="CL32" s="331">
        <f>'I-Project Contingency'!$O$5-AG32</f>
        <v>0</v>
      </c>
      <c r="CM32" s="332">
        <v>-0.98711802853447173</v>
      </c>
      <c r="CN32" s="332">
        <v>-0.19547704728364468</v>
      </c>
      <c r="CO32" s="332">
        <v>0.126462150308498</v>
      </c>
      <c r="CP32" s="332">
        <v>0.45967989154545902</v>
      </c>
      <c r="CQ32" s="332">
        <v>0.78297319902744</v>
      </c>
      <c r="CR32" s="332">
        <v>1.0957191966482109</v>
      </c>
      <c r="CS32" s="332">
        <v>1.4418405003536849</v>
      </c>
      <c r="CT32" s="332">
        <v>1.801002404194165</v>
      </c>
      <c r="CU32" s="332">
        <v>2.1797608166947349</v>
      </c>
      <c r="CV32" s="332">
        <v>2.5671680610072478</v>
      </c>
      <c r="CW32" s="332">
        <v>2.9690760644797152</v>
      </c>
      <c r="CX32" s="332">
        <v>3.3964145469774811</v>
      </c>
      <c r="CY32" s="332">
        <v>3.864536087769562</v>
      </c>
      <c r="CZ32" s="332">
        <v>4.3569836138896116</v>
      </c>
      <c r="DA32" s="332">
        <v>4.8862357851222598</v>
      </c>
      <c r="DB32" s="332">
        <v>5.438836997347547</v>
      </c>
      <c r="DC32" s="332">
        <v>6.047993455908566</v>
      </c>
      <c r="DD32" s="785">
        <v>6.720204953601761</v>
      </c>
      <c r="DE32" s="333">
        <v>7.55131678090412</v>
      </c>
      <c r="DF32" s="332">
        <v>8.661446370835737</v>
      </c>
      <c r="DG32" s="332">
        <v>11.206316207857133</v>
      </c>
      <c r="DH32" s="332">
        <f>'I-Project Contingency'!$E$86-CM32</f>
        <v>0</v>
      </c>
      <c r="DI32" s="332">
        <f>'I-Project Contingency'!$E$87-CN32</f>
        <v>0</v>
      </c>
      <c r="DJ32" s="332">
        <f>'I-Project Contingency'!$E$88-CO32</f>
        <v>0</v>
      </c>
      <c r="DK32" s="332">
        <f>'I-Project Contingency'!$E$89-CP32</f>
        <v>0</v>
      </c>
      <c r="DL32" s="332">
        <f>'I-Project Contingency'!$E$90-CQ32</f>
        <v>0</v>
      </c>
      <c r="DM32" s="332">
        <f>'I-Project Contingency'!$E$91-CR32</f>
        <v>0</v>
      </c>
      <c r="DN32" s="332">
        <f>'I-Project Contingency'!$E$92-CS32</f>
        <v>0</v>
      </c>
      <c r="DO32" s="332">
        <f>'I-Project Contingency'!$E$93-CT32</f>
        <v>0</v>
      </c>
      <c r="DP32" s="332">
        <f>'I-Project Contingency'!$E$94-CU32</f>
        <v>0</v>
      </c>
      <c r="DQ32" s="332">
        <f>'I-Project Contingency'!$E$95-CV32</f>
        <v>0</v>
      </c>
      <c r="DR32" s="332">
        <f>'I-Project Contingency'!$E$96-CW32</f>
        <v>0</v>
      </c>
      <c r="DS32" s="332">
        <f>'I-Project Contingency'!$E$97-CX32</f>
        <v>0</v>
      </c>
      <c r="DT32" s="332">
        <f>'I-Project Contingency'!$E$98-CY32</f>
        <v>0</v>
      </c>
      <c r="DU32" s="332">
        <f>'I-Project Contingency'!$E$99-CZ32</f>
        <v>0</v>
      </c>
      <c r="DV32" s="332">
        <f>'I-Project Contingency'!$E$100-DA32</f>
        <v>0</v>
      </c>
      <c r="DW32" s="332">
        <f>'I-Project Contingency'!$E$101-DB32</f>
        <v>0</v>
      </c>
      <c r="DX32" s="332">
        <f>'I-Project Contingency'!$E$102-DC32</f>
        <v>0</v>
      </c>
      <c r="DY32" s="332">
        <f>'I-Project Contingency'!$E$103-DD32</f>
        <v>0</v>
      </c>
      <c r="DZ32" s="332">
        <f>'I-Project Contingency'!$E$104-DE32</f>
        <v>0</v>
      </c>
      <c r="EA32" s="332">
        <f>'I-Project Contingency'!$E$105-DF32</f>
        <v>0</v>
      </c>
      <c r="EB32" s="332">
        <f>'I-Project Contingency'!$E$106-DG32</f>
        <v>0</v>
      </c>
      <c r="EC32" s="334">
        <f>IF(EE32="N/A","N/A",ABS(INDEX(EE32:EY32,1,MATCH("ROM Cost Risk @ "&amp;'D-Project Data'!$C$6*100&amp;"%",$EE$17:$EY$17,0))))</f>
        <v>0</v>
      </c>
      <c r="ED32" s="335">
        <f>IF(EC32="N/A","N/A",RANK(EC32,$EC$18:$EC$117,0)+COUNTIF($EC$18:EC32,EC32)-1)</f>
        <v>15</v>
      </c>
      <c r="EE32" s="334">
        <f>IF(BQ32/SUM(BQ:BQ)*'I-Project Contingency'!$F$61=0,0,BQ32/SUM(BQ:BQ)*'I-Project Contingency'!$F$61)</f>
        <v>0</v>
      </c>
      <c r="EF32" s="334">
        <f>IF(BR32/SUM(BR:BR)*'I-Project Contingency'!$F$62=0,0,BR32/SUM(BR:BR)*'I-Project Contingency'!$F$62)</f>
        <v>0</v>
      </c>
      <c r="EG32" s="334">
        <f>IF(BS32/SUM(BS:BS)*'I-Project Contingency'!$F$63=0,0,BS32/SUM(BS:BS)*'I-Project Contingency'!$F$63)</f>
        <v>0</v>
      </c>
      <c r="EH32" s="334">
        <f>IF(BT32/SUM(BT:BT)*'I-Project Contingency'!$F$64=0,0,BT32/SUM(BT:BT)*'I-Project Contingency'!$F$64)</f>
        <v>0</v>
      </c>
      <c r="EI32" s="334">
        <f>IF(BU32/SUM(BU:BU)*'I-Project Contingency'!$F$65=0,0,BU32/SUM(BU:BU)*'I-Project Contingency'!$F$65)</f>
        <v>0</v>
      </c>
      <c r="EJ32" s="334">
        <f>IF(BV32/SUM(BV:BV)*'I-Project Contingency'!$F$66=0,0,BV32/SUM(BV:BV)*'I-Project Contingency'!$F$66)</f>
        <v>0</v>
      </c>
      <c r="EK32" s="334">
        <f>IF(BW32/SUM(BW:BW)*'I-Project Contingency'!$F$67=0,0,BW32/SUM(BW:BW)*'I-Project Contingency'!$F$67)</f>
        <v>0</v>
      </c>
      <c r="EL32" s="334">
        <f>IF(BX32/SUM(BX:BX)*'I-Project Contingency'!$F$68=0,0,BX32/SUM(BX:BX)*'I-Project Contingency'!$F$68)</f>
        <v>0</v>
      </c>
      <c r="EM32" s="334">
        <f>IF(BY32/SUM(BY:BY)*'I-Project Contingency'!$F$69=0,0,BY32/SUM(BY:BY)*'I-Project Contingency'!$F$69)</f>
        <v>0</v>
      </c>
      <c r="EN32" s="334">
        <f>IF(BZ32/SUM(BZ:BZ)*'I-Project Contingency'!$F$70=0,0,BZ32/SUM(BZ:BZ)*'I-Project Contingency'!$F$70)</f>
        <v>0</v>
      </c>
      <c r="EO32" s="334">
        <f>IF(CA32/SUM(CA:CA)*'I-Project Contingency'!$F$71=0,0,CA32/SUM(CA:CA)*'I-Project Contingency'!$F$71)</f>
        <v>0</v>
      </c>
      <c r="EP32" s="334">
        <f>IF(CB32/SUM(CB:CB)*'I-Project Contingency'!$F$72=0,0,CB32/SUM(CB:CB)*'I-Project Contingency'!$F$72)</f>
        <v>0</v>
      </c>
      <c r="EQ32" s="334">
        <f>IF(CC32/SUM(CC:CC)*'I-Project Contingency'!$F$73=0,0,CC32/SUM(CC:CC)*'I-Project Contingency'!$F$73)</f>
        <v>0</v>
      </c>
      <c r="ER32" s="334">
        <f>IF(CD32/SUM(CD:CD)*'I-Project Contingency'!$F$74=0,0,CD32/SUM(CD:CD)*'I-Project Contingency'!$F$74)</f>
        <v>0</v>
      </c>
      <c r="ES32" s="334">
        <f>IF(CE32/SUM(CE:CE)*'I-Project Contingency'!$F$75=0,0,CE32/SUM(CE:CE)*'I-Project Contingency'!$F$75)</f>
        <v>0</v>
      </c>
      <c r="ET32" s="334">
        <f>IF(CF32/SUM(CF:CF)*'I-Project Contingency'!$F$76=0,0,CF32/SUM(CF:CF)*'I-Project Contingency'!$F$76)</f>
        <v>0</v>
      </c>
      <c r="EU32" s="334">
        <f>IF(CG32/SUM(CG:CG)*'I-Project Contingency'!$F$77=0,0,CG32/SUM(CG:CG)*'I-Project Contingency'!$F$77)</f>
        <v>0</v>
      </c>
      <c r="EV32" s="787">
        <f>IF(CH32/SUM(CH:CH)*'I-Project Contingency'!$F$78=0,0,CH32/SUM(CH:CH)*'I-Project Contingency'!$F$78)</f>
        <v>0</v>
      </c>
      <c r="EW32" s="787">
        <f>IF(CI32/SUM(CI:CI)*'I-Project Contingency'!$F$79=0,0,CI32/SUM(CI:CI)*'I-Project Contingency'!$F$79)</f>
        <v>0</v>
      </c>
      <c r="EX32" s="787">
        <f>IF(CJ32/SUM(CJ:CJ)*'I-Project Contingency'!$F$80=0,0,CJ32/SUM(CJ:CJ)*'I-Project Contingency'!$F$80)</f>
        <v>0</v>
      </c>
      <c r="EY32" s="787">
        <f>IF(CK32/SUM(CK:CK)*'I-Project Contingency'!$F$81=0,0,CK32/SUM(CK:CK)*'I-Project Contingency'!$F$81)</f>
        <v>0</v>
      </c>
      <c r="EZ32" s="333">
        <f>IF(FB32="N/A","N/A",ABS(INDEX(FB32:FV32,1,MATCH("ROM Schedule Risk @ "&amp;'D-Project Data'!$C$6*100&amp;"%",$FB$17:$FV$17,0))))</f>
        <v>0</v>
      </c>
      <c r="FA32" s="335">
        <f>IF(EZ32="N/A","N/A",RANK(EZ32,$EZ$18:$EZ$117,0)+COUNTIF($FB$18:FB32,FB32)-1)</f>
        <v>15</v>
      </c>
      <c r="FB32" s="788">
        <f>IF(DH32/SUM(DH:DH)*'I-Project Contingency'!$F$86=0,0,DH32/SUM(DH:DH)*'I-Project Contingency'!$F$86)</f>
        <v>0</v>
      </c>
      <c r="FC32" s="788">
        <f>IF(DI32/SUM(DI:DI)*'I-Project Contingency'!$F$87=0,0,DI32/SUM(DI:DI)*'I-Project Contingency'!$F$87)</f>
        <v>0</v>
      </c>
      <c r="FD32" s="788">
        <f>IF(DJ32/SUM(DJ:DJ)*'I-Project Contingency'!$F$88=0,0,DJ32/SUM(DJ:DJ)*'I-Project Contingency'!$F$88)</f>
        <v>0</v>
      </c>
      <c r="FE32" s="788">
        <f>IF(DK32/SUM(DK:DK)*'I-Project Contingency'!$F$89=0,0,DK32/SUM(DK:DK)*'I-Project Contingency'!$F$89)</f>
        <v>0</v>
      </c>
      <c r="FF32" s="788">
        <f>IF(DL32/SUM(DL:DL)*'I-Project Contingency'!$F$90=0,0,DL32/SUM(DL:DL)*'I-Project Contingency'!$F$90)</f>
        <v>0</v>
      </c>
      <c r="FG32" s="788">
        <f>IF(DM32/SUM(DM:DM)*'I-Project Contingency'!$F$91=0,0,DM32/SUM(DM:DM)*'I-Project Contingency'!$F$91)</f>
        <v>0</v>
      </c>
      <c r="FH32" s="788">
        <f>IF(DN32/SUM(DN:DN)*'I-Project Contingency'!$F$92=0,0,DN32/SUM(DN:DN)*'I-Project Contingency'!$F$92)</f>
        <v>0</v>
      </c>
      <c r="FI32" s="788">
        <f>IF(DO32/SUM(DO:DO)*'I-Project Contingency'!$F$93=0,0,DO32/SUM(DO:DO)*'I-Project Contingency'!$F$93)</f>
        <v>0</v>
      </c>
      <c r="FJ32" s="788">
        <f>IF(DP32/SUM(DP:DP)*'I-Project Contingency'!$F$94=0,0,DP32/SUM(DP:DP)*'I-Project Contingency'!$F$94)</f>
        <v>0</v>
      </c>
      <c r="FK32" s="788">
        <f>IF(DQ32/SUM(DQ:DQ)*'I-Project Contingency'!$F$95=0,0,DQ32/SUM(DQ:DQ)*'I-Project Contingency'!$F$95)</f>
        <v>0</v>
      </c>
      <c r="FL32" s="788">
        <f>IF(DR32/SUM(DR:DR)*'I-Project Contingency'!$F$96=0,0,DR32/SUM(DR:DR)*'I-Project Contingency'!$F$96)</f>
        <v>0</v>
      </c>
      <c r="FM32" s="788">
        <f>IF(DS32/SUM(DS:DS)*'I-Project Contingency'!$F$97=0,0,DS32/SUM(DS:DS)*'I-Project Contingency'!$F$97)</f>
        <v>0</v>
      </c>
      <c r="FN32" s="788">
        <f>IF(DT32/SUM(DT:DT)*'I-Project Contingency'!$F$98=0,0,DT32/SUM(DT:DT)*'I-Project Contingency'!$F$98)</f>
        <v>0</v>
      </c>
      <c r="FO32" s="788">
        <f>IF(DU32/SUM(DU:DU)*'I-Project Contingency'!$F$99=0,0,DU32/SUM(DU:DU)*'I-Project Contingency'!$F$99)</f>
        <v>0</v>
      </c>
      <c r="FP32" s="788">
        <f>IF(DV32/SUM(DV:DV)*'I-Project Contingency'!$F$100=0,0,DV32/SUM(DV:DV)*'I-Project Contingency'!$F$100)</f>
        <v>0</v>
      </c>
      <c r="FQ32" s="788">
        <f>IF(DW32/SUM(DW:DW)*'I-Project Contingency'!$F$101=0,0,DW32/SUM(DW:DW)*'I-Project Contingency'!$F$101)</f>
        <v>0</v>
      </c>
      <c r="FR32" s="788">
        <f>IF(DX32/SUM(DX:DX)*'I-Project Contingency'!$F$102=0,0,DX32/SUM(DX:DX)*'I-Project Contingency'!$F$102)</f>
        <v>0</v>
      </c>
      <c r="FS32" s="788">
        <f>IF(DY32/SUM(DY:DY)*'I-Project Contingency'!$F$103=0,0,DY32/SUM(DY:DY)*'I-Project Contingency'!$F$103)</f>
        <v>0</v>
      </c>
      <c r="FT32" s="788">
        <f>IF(DZ32/SUM(DZ:DZ)*'I-Project Contingency'!$F$104=0,0,DZ32/SUM(DZ:DZ)*'I-Project Contingency'!$F$104)</f>
        <v>0</v>
      </c>
      <c r="FU32" s="788">
        <f>IF(EA32/SUM(EA:EA)*'I-Project Contingency'!$F$105=0,0,EA32/SUM(EA:EA)*'I-Project Contingency'!$F$105)</f>
        <v>0</v>
      </c>
      <c r="FV32" s="788">
        <f>IF(EB32/SUM(EB:EB)*'I-Project Contingency'!$F$106=0,0,EB32/SUM(EB:EB)*'I-Project Contingency'!$F$106)</f>
        <v>0</v>
      </c>
      <c r="FW32" s="335">
        <f t="shared" si="13"/>
        <v>15</v>
      </c>
      <c r="FX32" s="336" t="str">
        <f t="shared" si="14"/>
        <v xml:space="preserve">15 - </v>
      </c>
      <c r="FY32" s="330">
        <f t="shared" si="15"/>
        <v>0</v>
      </c>
      <c r="FZ32" s="330">
        <f t="shared" si="16"/>
        <v>0</v>
      </c>
      <c r="GA32" s="332">
        <f t="shared" si="17"/>
        <v>0</v>
      </c>
      <c r="GB32" s="332">
        <f t="shared" si="18"/>
        <v>0</v>
      </c>
    </row>
    <row r="33" spans="1:184" ht="30" x14ac:dyDescent="0.25">
      <c r="A33" s="163">
        <f t="shared" si="23"/>
        <v>16</v>
      </c>
      <c r="B33" s="727" t="s">
        <v>728</v>
      </c>
      <c r="C33" s="729"/>
      <c r="D33" s="729"/>
      <c r="E33" s="729"/>
      <c r="F33" s="728" t="s">
        <v>728</v>
      </c>
      <c r="G33" s="728" t="s">
        <v>728</v>
      </c>
      <c r="H33" s="157" t="str">
        <f>IFERROR(IF('H-Risk Register-Model'!F33="Certain","Relook at Basis of Estimate",INDEX('G-Assumptions'!$F$8:$J$11,MATCH(F33,'G-Assumptions'!$D$8:$D$11,0),MATCH(G33,'G-Assumptions'!$F$6:$J$6,0))),"Unrated")</f>
        <v>Unrated</v>
      </c>
      <c r="I33" s="728" t="s">
        <v>728</v>
      </c>
      <c r="J33" s="157" t="str">
        <f>IFERROR(IF('H-Risk Register-Model'!F33="Certain","Relook at Basis of Estimate",INDEX('G-Assumptions'!$F$8:$J$11,MATCH(F33,'G-Assumptions'!$D$8:$D$11,0),MATCH(I33,'G-Assumptions'!$F$6:$J$6,0))),"Unrated")</f>
        <v>Unrated</v>
      </c>
      <c r="K33" s="728" t="s">
        <v>728</v>
      </c>
      <c r="L33" s="728" t="s">
        <v>728</v>
      </c>
      <c r="M33" s="728"/>
      <c r="N33" s="731" t="s">
        <v>728</v>
      </c>
      <c r="O33" s="731" t="s">
        <v>728</v>
      </c>
      <c r="P33" s="732"/>
      <c r="Q33" s="732"/>
      <c r="R33" s="732"/>
      <c r="S33" s="733"/>
      <c r="T33" s="733"/>
      <c r="U33" s="733"/>
      <c r="V33" s="734"/>
      <c r="W33" s="732"/>
      <c r="X33" s="732"/>
      <c r="Y33" s="735">
        <v>1</v>
      </c>
      <c r="Z33" s="736">
        <v>1</v>
      </c>
      <c r="AA33" s="166">
        <f t="shared" si="19"/>
        <v>0</v>
      </c>
      <c r="AB33" s="166">
        <f t="shared" si="20"/>
        <v>0</v>
      </c>
      <c r="AC33" s="166">
        <f t="shared" si="21"/>
        <v>0</v>
      </c>
      <c r="AD33" s="166"/>
      <c r="AE33" s="164">
        <f t="shared" si="22"/>
        <v>0</v>
      </c>
      <c r="AF33" s="167"/>
      <c r="AG33" s="165">
        <f t="shared" si="5"/>
        <v>0</v>
      </c>
      <c r="AH33" s="729"/>
      <c r="AI33" s="729"/>
      <c r="AJ33" s="8"/>
      <c r="AK33" s="495" t="str">
        <f t="shared" si="6"/>
        <v>No</v>
      </c>
      <c r="AL33" s="496">
        <f>'I-Project Contingency'!$I$4</f>
        <v>9000000</v>
      </c>
      <c r="AM33" s="326">
        <f>'I-Project Contingency'!$I$11</f>
        <v>23.978102189781023</v>
      </c>
      <c r="AN33" s="325">
        <f t="shared" si="7"/>
        <v>0</v>
      </c>
      <c r="AO33" s="326">
        <f t="shared" si="8"/>
        <v>0</v>
      </c>
      <c r="AP33" s="641" t="str">
        <f t="shared" si="9"/>
        <v/>
      </c>
      <c r="AQ33" s="641" t="str">
        <f t="shared" si="10"/>
        <v/>
      </c>
      <c r="AR33" s="497" t="str">
        <f t="shared" si="11"/>
        <v/>
      </c>
      <c r="AS33" s="497" t="str">
        <f t="shared" si="12"/>
        <v/>
      </c>
      <c r="AT33" s="8"/>
      <c r="AU33" s="329">
        <f>'I-Project Contingency'!$O$4-AE33</f>
        <v>0</v>
      </c>
      <c r="AV33" s="330">
        <v>-240515.59579276721</v>
      </c>
      <c r="AW33" s="330">
        <v>28172.931401335634</v>
      </c>
      <c r="AX33" s="330">
        <v>193478.84467429668</v>
      </c>
      <c r="AY33" s="330">
        <v>361668.20104834624</v>
      </c>
      <c r="AZ33" s="330">
        <v>524446.91524262261</v>
      </c>
      <c r="BA33" s="330">
        <v>704023.56387635041</v>
      </c>
      <c r="BB33" s="330">
        <v>886394.06956240814</v>
      </c>
      <c r="BC33" s="330">
        <v>1079363.7165157665</v>
      </c>
      <c r="BD33" s="330">
        <v>1280180.1532065615</v>
      </c>
      <c r="BE33" s="330">
        <v>1485323.8019108465</v>
      </c>
      <c r="BF33" s="330">
        <v>1703758.8827524669</v>
      </c>
      <c r="BG33" s="330">
        <v>1949523.4346483489</v>
      </c>
      <c r="BH33" s="330">
        <v>2177897.1603371189</v>
      </c>
      <c r="BI33" s="330">
        <v>2429374.4260425912</v>
      </c>
      <c r="BJ33" s="330">
        <v>2717092.7449284913</v>
      </c>
      <c r="BK33" s="330">
        <v>3010093.6968918457</v>
      </c>
      <c r="BL33" s="330">
        <v>3325414.5894657462</v>
      </c>
      <c r="BM33" s="330">
        <v>3690425.9159493577</v>
      </c>
      <c r="BN33" s="330">
        <v>4143935.1706127762</v>
      </c>
      <c r="BO33" s="330">
        <v>4722651.1159141911</v>
      </c>
      <c r="BP33" s="330">
        <v>5992048.8629153483</v>
      </c>
      <c r="BQ33" s="330">
        <f>'I-Project Contingency'!$E$61-AV33</f>
        <v>0</v>
      </c>
      <c r="BR33" s="330">
        <f>'I-Project Contingency'!$E$62-AW33</f>
        <v>0</v>
      </c>
      <c r="BS33" s="330">
        <f>'I-Project Contingency'!$E$63-AX33</f>
        <v>0</v>
      </c>
      <c r="BT33" s="330">
        <f>'I-Project Contingency'!$E$64-AY33</f>
        <v>0</v>
      </c>
      <c r="BU33" s="330">
        <f>'I-Project Contingency'!$E$65-AZ33</f>
        <v>0</v>
      </c>
      <c r="BV33" s="330">
        <f>'I-Project Contingency'!$E$66-BA33</f>
        <v>0</v>
      </c>
      <c r="BW33" s="330">
        <f>'I-Project Contingency'!$E$67-BB33</f>
        <v>0</v>
      </c>
      <c r="BX33" s="330">
        <f>'I-Project Contingency'!$E$68-BC33</f>
        <v>0</v>
      </c>
      <c r="BY33" s="330">
        <f>'I-Project Contingency'!$E$69-BD33</f>
        <v>0</v>
      </c>
      <c r="BZ33" s="330">
        <f>'I-Project Contingency'!$E$70-BE33</f>
        <v>0</v>
      </c>
      <c r="CA33" s="330">
        <f>'I-Project Contingency'!$E$71-BF33</f>
        <v>0</v>
      </c>
      <c r="CB33" s="330">
        <f>'I-Project Contingency'!$E$72-BG33</f>
        <v>0</v>
      </c>
      <c r="CC33" s="330">
        <f>'I-Project Contingency'!$E$73-BH33</f>
        <v>0</v>
      </c>
      <c r="CD33" s="330">
        <f>'I-Project Contingency'!$E$74-BI33</f>
        <v>0</v>
      </c>
      <c r="CE33" s="330">
        <f>'I-Project Contingency'!$E$75-BJ33</f>
        <v>0</v>
      </c>
      <c r="CF33" s="330">
        <f>'I-Project Contingency'!$E$76-BK33</f>
        <v>0</v>
      </c>
      <c r="CG33" s="330">
        <f>'I-Project Contingency'!$E$77-BL33</f>
        <v>0</v>
      </c>
      <c r="CH33" s="784">
        <f>'I-Project Contingency'!$E$78-BM33</f>
        <v>0</v>
      </c>
      <c r="CI33" s="330">
        <f>'I-Project Contingency'!$E$79-BN33</f>
        <v>0</v>
      </c>
      <c r="CJ33" s="330">
        <f>'I-Project Contingency'!$E$80-BO33</f>
        <v>0</v>
      </c>
      <c r="CK33" s="330">
        <f>'I-Project Contingency'!$E$81-BP33</f>
        <v>0</v>
      </c>
      <c r="CL33" s="331">
        <f>'I-Project Contingency'!$O$5-AG33</f>
        <v>0</v>
      </c>
      <c r="CM33" s="332">
        <v>-0.98711802853447173</v>
      </c>
      <c r="CN33" s="332">
        <v>-0.19547704728364468</v>
      </c>
      <c r="CO33" s="332">
        <v>0.126462150308498</v>
      </c>
      <c r="CP33" s="332">
        <v>0.45967989154545902</v>
      </c>
      <c r="CQ33" s="332">
        <v>0.78297319902744</v>
      </c>
      <c r="CR33" s="332">
        <v>1.0957191966482109</v>
      </c>
      <c r="CS33" s="332">
        <v>1.4418405003536849</v>
      </c>
      <c r="CT33" s="332">
        <v>1.801002404194165</v>
      </c>
      <c r="CU33" s="332">
        <v>2.1797608166947349</v>
      </c>
      <c r="CV33" s="332">
        <v>2.5671680610072478</v>
      </c>
      <c r="CW33" s="332">
        <v>2.9690760644797152</v>
      </c>
      <c r="CX33" s="332">
        <v>3.3964145469774811</v>
      </c>
      <c r="CY33" s="332">
        <v>3.864536087769562</v>
      </c>
      <c r="CZ33" s="332">
        <v>4.3569836138896116</v>
      </c>
      <c r="DA33" s="332">
        <v>4.8862357851222598</v>
      </c>
      <c r="DB33" s="332">
        <v>5.438836997347547</v>
      </c>
      <c r="DC33" s="332">
        <v>6.047993455908566</v>
      </c>
      <c r="DD33" s="785">
        <v>6.720204953601761</v>
      </c>
      <c r="DE33" s="333">
        <v>7.55131678090412</v>
      </c>
      <c r="DF33" s="332">
        <v>8.661446370835737</v>
      </c>
      <c r="DG33" s="332">
        <v>11.206316207857133</v>
      </c>
      <c r="DH33" s="332">
        <f>'I-Project Contingency'!$E$86-CM33</f>
        <v>0</v>
      </c>
      <c r="DI33" s="332">
        <f>'I-Project Contingency'!$E$87-CN33</f>
        <v>0</v>
      </c>
      <c r="DJ33" s="332">
        <f>'I-Project Contingency'!$E$88-CO33</f>
        <v>0</v>
      </c>
      <c r="DK33" s="332">
        <f>'I-Project Contingency'!$E$89-CP33</f>
        <v>0</v>
      </c>
      <c r="DL33" s="332">
        <f>'I-Project Contingency'!$E$90-CQ33</f>
        <v>0</v>
      </c>
      <c r="DM33" s="332">
        <f>'I-Project Contingency'!$E$91-CR33</f>
        <v>0</v>
      </c>
      <c r="DN33" s="332">
        <f>'I-Project Contingency'!$E$92-CS33</f>
        <v>0</v>
      </c>
      <c r="DO33" s="332">
        <f>'I-Project Contingency'!$E$93-CT33</f>
        <v>0</v>
      </c>
      <c r="DP33" s="332">
        <f>'I-Project Contingency'!$E$94-CU33</f>
        <v>0</v>
      </c>
      <c r="DQ33" s="332">
        <f>'I-Project Contingency'!$E$95-CV33</f>
        <v>0</v>
      </c>
      <c r="DR33" s="332">
        <f>'I-Project Contingency'!$E$96-CW33</f>
        <v>0</v>
      </c>
      <c r="DS33" s="332">
        <f>'I-Project Contingency'!$E$97-CX33</f>
        <v>0</v>
      </c>
      <c r="DT33" s="332">
        <f>'I-Project Contingency'!$E$98-CY33</f>
        <v>0</v>
      </c>
      <c r="DU33" s="332">
        <f>'I-Project Contingency'!$E$99-CZ33</f>
        <v>0</v>
      </c>
      <c r="DV33" s="332">
        <f>'I-Project Contingency'!$E$100-DA33</f>
        <v>0</v>
      </c>
      <c r="DW33" s="332">
        <f>'I-Project Contingency'!$E$101-DB33</f>
        <v>0</v>
      </c>
      <c r="DX33" s="332">
        <f>'I-Project Contingency'!$E$102-DC33</f>
        <v>0</v>
      </c>
      <c r="DY33" s="332">
        <f>'I-Project Contingency'!$E$103-DD33</f>
        <v>0</v>
      </c>
      <c r="DZ33" s="332">
        <f>'I-Project Contingency'!$E$104-DE33</f>
        <v>0</v>
      </c>
      <c r="EA33" s="332">
        <f>'I-Project Contingency'!$E$105-DF33</f>
        <v>0</v>
      </c>
      <c r="EB33" s="332">
        <f>'I-Project Contingency'!$E$106-DG33</f>
        <v>0</v>
      </c>
      <c r="EC33" s="334">
        <f>IF(EE33="N/A","N/A",ABS(INDEX(EE33:EY33,1,MATCH("ROM Cost Risk @ "&amp;'D-Project Data'!$C$6*100&amp;"%",$EE$17:$EY$17,0))))</f>
        <v>0</v>
      </c>
      <c r="ED33" s="335">
        <f>IF(EC33="N/A","N/A",RANK(EC33,$EC$18:$EC$117,0)+COUNTIF($EC$18:EC33,EC33)-1)</f>
        <v>16</v>
      </c>
      <c r="EE33" s="334">
        <f>IF(BQ33/SUM(BQ:BQ)*'I-Project Contingency'!$F$61=0,0,BQ33/SUM(BQ:BQ)*'I-Project Contingency'!$F$61)</f>
        <v>0</v>
      </c>
      <c r="EF33" s="334">
        <f>IF(BR33/SUM(BR:BR)*'I-Project Contingency'!$F$62=0,0,BR33/SUM(BR:BR)*'I-Project Contingency'!$F$62)</f>
        <v>0</v>
      </c>
      <c r="EG33" s="334">
        <f>IF(BS33/SUM(BS:BS)*'I-Project Contingency'!$F$63=0,0,BS33/SUM(BS:BS)*'I-Project Contingency'!$F$63)</f>
        <v>0</v>
      </c>
      <c r="EH33" s="334">
        <f>IF(BT33/SUM(BT:BT)*'I-Project Contingency'!$F$64=0,0,BT33/SUM(BT:BT)*'I-Project Contingency'!$F$64)</f>
        <v>0</v>
      </c>
      <c r="EI33" s="334">
        <f>IF(BU33/SUM(BU:BU)*'I-Project Contingency'!$F$65=0,0,BU33/SUM(BU:BU)*'I-Project Contingency'!$F$65)</f>
        <v>0</v>
      </c>
      <c r="EJ33" s="334">
        <f>IF(BV33/SUM(BV:BV)*'I-Project Contingency'!$F$66=0,0,BV33/SUM(BV:BV)*'I-Project Contingency'!$F$66)</f>
        <v>0</v>
      </c>
      <c r="EK33" s="334">
        <f>IF(BW33/SUM(BW:BW)*'I-Project Contingency'!$F$67=0,0,BW33/SUM(BW:BW)*'I-Project Contingency'!$F$67)</f>
        <v>0</v>
      </c>
      <c r="EL33" s="334">
        <f>IF(BX33/SUM(BX:BX)*'I-Project Contingency'!$F$68=0,0,BX33/SUM(BX:BX)*'I-Project Contingency'!$F$68)</f>
        <v>0</v>
      </c>
      <c r="EM33" s="334">
        <f>IF(BY33/SUM(BY:BY)*'I-Project Contingency'!$F$69=0,0,BY33/SUM(BY:BY)*'I-Project Contingency'!$F$69)</f>
        <v>0</v>
      </c>
      <c r="EN33" s="334">
        <f>IF(BZ33/SUM(BZ:BZ)*'I-Project Contingency'!$F$70=0,0,BZ33/SUM(BZ:BZ)*'I-Project Contingency'!$F$70)</f>
        <v>0</v>
      </c>
      <c r="EO33" s="334">
        <f>IF(CA33/SUM(CA:CA)*'I-Project Contingency'!$F$71=0,0,CA33/SUM(CA:CA)*'I-Project Contingency'!$F$71)</f>
        <v>0</v>
      </c>
      <c r="EP33" s="334">
        <f>IF(CB33/SUM(CB:CB)*'I-Project Contingency'!$F$72=0,0,CB33/SUM(CB:CB)*'I-Project Contingency'!$F$72)</f>
        <v>0</v>
      </c>
      <c r="EQ33" s="334">
        <f>IF(CC33/SUM(CC:CC)*'I-Project Contingency'!$F$73=0,0,CC33/SUM(CC:CC)*'I-Project Contingency'!$F$73)</f>
        <v>0</v>
      </c>
      <c r="ER33" s="334">
        <f>IF(CD33/SUM(CD:CD)*'I-Project Contingency'!$F$74=0,0,CD33/SUM(CD:CD)*'I-Project Contingency'!$F$74)</f>
        <v>0</v>
      </c>
      <c r="ES33" s="334">
        <f>IF(CE33/SUM(CE:CE)*'I-Project Contingency'!$F$75=0,0,CE33/SUM(CE:CE)*'I-Project Contingency'!$F$75)</f>
        <v>0</v>
      </c>
      <c r="ET33" s="334">
        <f>IF(CF33/SUM(CF:CF)*'I-Project Contingency'!$F$76=0,0,CF33/SUM(CF:CF)*'I-Project Contingency'!$F$76)</f>
        <v>0</v>
      </c>
      <c r="EU33" s="334">
        <f>IF(CG33/SUM(CG:CG)*'I-Project Contingency'!$F$77=0,0,CG33/SUM(CG:CG)*'I-Project Contingency'!$F$77)</f>
        <v>0</v>
      </c>
      <c r="EV33" s="787">
        <f>IF(CH33/SUM(CH:CH)*'I-Project Contingency'!$F$78=0,0,CH33/SUM(CH:CH)*'I-Project Contingency'!$F$78)</f>
        <v>0</v>
      </c>
      <c r="EW33" s="787">
        <f>IF(CI33/SUM(CI:CI)*'I-Project Contingency'!$F$79=0,0,CI33/SUM(CI:CI)*'I-Project Contingency'!$F$79)</f>
        <v>0</v>
      </c>
      <c r="EX33" s="787">
        <f>IF(CJ33/SUM(CJ:CJ)*'I-Project Contingency'!$F$80=0,0,CJ33/SUM(CJ:CJ)*'I-Project Contingency'!$F$80)</f>
        <v>0</v>
      </c>
      <c r="EY33" s="787">
        <f>IF(CK33/SUM(CK:CK)*'I-Project Contingency'!$F$81=0,0,CK33/SUM(CK:CK)*'I-Project Contingency'!$F$81)</f>
        <v>0</v>
      </c>
      <c r="EZ33" s="333">
        <f>IF(FB33="N/A","N/A",ABS(INDEX(FB33:FV33,1,MATCH("ROM Schedule Risk @ "&amp;'D-Project Data'!$C$6*100&amp;"%",$FB$17:$FV$17,0))))</f>
        <v>0</v>
      </c>
      <c r="FA33" s="335">
        <f>IF(EZ33="N/A","N/A",RANK(EZ33,$EZ$18:$EZ$117,0)+COUNTIF($FB$18:FB33,FB33)-1)</f>
        <v>16</v>
      </c>
      <c r="FB33" s="788">
        <f>IF(DH33/SUM(DH:DH)*'I-Project Contingency'!$F$86=0,0,DH33/SUM(DH:DH)*'I-Project Contingency'!$F$86)</f>
        <v>0</v>
      </c>
      <c r="FC33" s="788">
        <f>IF(DI33/SUM(DI:DI)*'I-Project Contingency'!$F$87=0,0,DI33/SUM(DI:DI)*'I-Project Contingency'!$F$87)</f>
        <v>0</v>
      </c>
      <c r="FD33" s="788">
        <f>IF(DJ33/SUM(DJ:DJ)*'I-Project Contingency'!$F$88=0,0,DJ33/SUM(DJ:DJ)*'I-Project Contingency'!$F$88)</f>
        <v>0</v>
      </c>
      <c r="FE33" s="788">
        <f>IF(DK33/SUM(DK:DK)*'I-Project Contingency'!$F$89=0,0,DK33/SUM(DK:DK)*'I-Project Contingency'!$F$89)</f>
        <v>0</v>
      </c>
      <c r="FF33" s="788">
        <f>IF(DL33/SUM(DL:DL)*'I-Project Contingency'!$F$90=0,0,DL33/SUM(DL:DL)*'I-Project Contingency'!$F$90)</f>
        <v>0</v>
      </c>
      <c r="FG33" s="788">
        <f>IF(DM33/SUM(DM:DM)*'I-Project Contingency'!$F$91=0,0,DM33/SUM(DM:DM)*'I-Project Contingency'!$F$91)</f>
        <v>0</v>
      </c>
      <c r="FH33" s="788">
        <f>IF(DN33/SUM(DN:DN)*'I-Project Contingency'!$F$92=0,0,DN33/SUM(DN:DN)*'I-Project Contingency'!$F$92)</f>
        <v>0</v>
      </c>
      <c r="FI33" s="788">
        <f>IF(DO33/SUM(DO:DO)*'I-Project Contingency'!$F$93=0,0,DO33/SUM(DO:DO)*'I-Project Contingency'!$F$93)</f>
        <v>0</v>
      </c>
      <c r="FJ33" s="788">
        <f>IF(DP33/SUM(DP:DP)*'I-Project Contingency'!$F$94=0,0,DP33/SUM(DP:DP)*'I-Project Contingency'!$F$94)</f>
        <v>0</v>
      </c>
      <c r="FK33" s="788">
        <f>IF(DQ33/SUM(DQ:DQ)*'I-Project Contingency'!$F$95=0,0,DQ33/SUM(DQ:DQ)*'I-Project Contingency'!$F$95)</f>
        <v>0</v>
      </c>
      <c r="FL33" s="788">
        <f>IF(DR33/SUM(DR:DR)*'I-Project Contingency'!$F$96=0,0,DR33/SUM(DR:DR)*'I-Project Contingency'!$F$96)</f>
        <v>0</v>
      </c>
      <c r="FM33" s="788">
        <f>IF(DS33/SUM(DS:DS)*'I-Project Contingency'!$F$97=0,0,DS33/SUM(DS:DS)*'I-Project Contingency'!$F$97)</f>
        <v>0</v>
      </c>
      <c r="FN33" s="788">
        <f>IF(DT33/SUM(DT:DT)*'I-Project Contingency'!$F$98=0,0,DT33/SUM(DT:DT)*'I-Project Contingency'!$F$98)</f>
        <v>0</v>
      </c>
      <c r="FO33" s="788">
        <f>IF(DU33/SUM(DU:DU)*'I-Project Contingency'!$F$99=0,0,DU33/SUM(DU:DU)*'I-Project Contingency'!$F$99)</f>
        <v>0</v>
      </c>
      <c r="FP33" s="788">
        <f>IF(DV33/SUM(DV:DV)*'I-Project Contingency'!$F$100=0,0,DV33/SUM(DV:DV)*'I-Project Contingency'!$F$100)</f>
        <v>0</v>
      </c>
      <c r="FQ33" s="788">
        <f>IF(DW33/SUM(DW:DW)*'I-Project Contingency'!$F$101=0,0,DW33/SUM(DW:DW)*'I-Project Contingency'!$F$101)</f>
        <v>0</v>
      </c>
      <c r="FR33" s="788">
        <f>IF(DX33/SUM(DX:DX)*'I-Project Contingency'!$F$102=0,0,DX33/SUM(DX:DX)*'I-Project Contingency'!$F$102)</f>
        <v>0</v>
      </c>
      <c r="FS33" s="788">
        <f>IF(DY33/SUM(DY:DY)*'I-Project Contingency'!$F$103=0,0,DY33/SUM(DY:DY)*'I-Project Contingency'!$F$103)</f>
        <v>0</v>
      </c>
      <c r="FT33" s="788">
        <f>IF(DZ33/SUM(DZ:DZ)*'I-Project Contingency'!$F$104=0,0,DZ33/SUM(DZ:DZ)*'I-Project Contingency'!$F$104)</f>
        <v>0</v>
      </c>
      <c r="FU33" s="788">
        <f>IF(EA33/SUM(EA:EA)*'I-Project Contingency'!$F$105=0,0,EA33/SUM(EA:EA)*'I-Project Contingency'!$F$105)</f>
        <v>0</v>
      </c>
      <c r="FV33" s="788">
        <f>IF(EB33/SUM(EB:EB)*'I-Project Contingency'!$F$106=0,0,EB33/SUM(EB:EB)*'I-Project Contingency'!$F$106)</f>
        <v>0</v>
      </c>
      <c r="FW33" s="335">
        <f t="shared" si="13"/>
        <v>16</v>
      </c>
      <c r="FX33" s="336" t="str">
        <f t="shared" si="14"/>
        <v xml:space="preserve">16 - </v>
      </c>
      <c r="FY33" s="330">
        <f t="shared" si="15"/>
        <v>0</v>
      </c>
      <c r="FZ33" s="330">
        <f t="shared" si="16"/>
        <v>0</v>
      </c>
      <c r="GA33" s="332">
        <f t="shared" si="17"/>
        <v>0</v>
      </c>
      <c r="GB33" s="332">
        <f t="shared" si="18"/>
        <v>0</v>
      </c>
    </row>
    <row r="34" spans="1:184" ht="30" x14ac:dyDescent="0.25">
      <c r="A34" s="163">
        <f t="shared" si="23"/>
        <v>17</v>
      </c>
      <c r="B34" s="727" t="s">
        <v>728</v>
      </c>
      <c r="C34" s="729"/>
      <c r="D34" s="729"/>
      <c r="E34" s="729"/>
      <c r="F34" s="728" t="s">
        <v>728</v>
      </c>
      <c r="G34" s="728" t="s">
        <v>728</v>
      </c>
      <c r="H34" s="157" t="str">
        <f>IFERROR(IF('H-Risk Register-Model'!F34="Certain","Relook at Basis of Estimate",INDEX('G-Assumptions'!$F$8:$J$11,MATCH(F34,'G-Assumptions'!$D$8:$D$11,0),MATCH(G34,'G-Assumptions'!$F$6:$J$6,0))),"Unrated")</f>
        <v>Unrated</v>
      </c>
      <c r="I34" s="728" t="s">
        <v>728</v>
      </c>
      <c r="J34" s="157" t="str">
        <f>IFERROR(IF('H-Risk Register-Model'!F34="Certain","Relook at Basis of Estimate",INDEX('G-Assumptions'!$F$8:$J$11,MATCH(F34,'G-Assumptions'!$D$8:$D$11,0),MATCH(I34,'G-Assumptions'!$F$6:$J$6,0))),"Unrated")</f>
        <v>Unrated</v>
      </c>
      <c r="K34" s="728" t="s">
        <v>728</v>
      </c>
      <c r="L34" s="728" t="s">
        <v>728</v>
      </c>
      <c r="M34" s="728"/>
      <c r="N34" s="731" t="s">
        <v>728</v>
      </c>
      <c r="O34" s="731" t="s">
        <v>728</v>
      </c>
      <c r="P34" s="732"/>
      <c r="Q34" s="732"/>
      <c r="R34" s="732"/>
      <c r="S34" s="733"/>
      <c r="T34" s="733"/>
      <c r="U34" s="733"/>
      <c r="V34" s="734"/>
      <c r="W34" s="732"/>
      <c r="X34" s="732"/>
      <c r="Y34" s="735">
        <v>1</v>
      </c>
      <c r="Z34" s="736">
        <v>1</v>
      </c>
      <c r="AA34" s="166">
        <f t="shared" si="19"/>
        <v>0</v>
      </c>
      <c r="AB34" s="166">
        <f t="shared" si="20"/>
        <v>0</v>
      </c>
      <c r="AC34" s="166">
        <f t="shared" si="21"/>
        <v>0</v>
      </c>
      <c r="AD34" s="166"/>
      <c r="AE34" s="164">
        <f t="shared" si="22"/>
        <v>0</v>
      </c>
      <c r="AF34" s="167"/>
      <c r="AG34" s="165">
        <f t="shared" si="5"/>
        <v>0</v>
      </c>
      <c r="AH34" s="729"/>
      <c r="AI34" s="729"/>
      <c r="AJ34" s="8"/>
      <c r="AK34" s="495" t="str">
        <f t="shared" si="6"/>
        <v>No</v>
      </c>
      <c r="AL34" s="496">
        <f>'I-Project Contingency'!$I$4</f>
        <v>9000000</v>
      </c>
      <c r="AM34" s="326">
        <f>'I-Project Contingency'!$I$11</f>
        <v>23.978102189781023</v>
      </c>
      <c r="AN34" s="325">
        <f t="shared" si="7"/>
        <v>0</v>
      </c>
      <c r="AO34" s="326">
        <f t="shared" si="8"/>
        <v>0</v>
      </c>
      <c r="AP34" s="641" t="str">
        <f t="shared" si="9"/>
        <v/>
      </c>
      <c r="AQ34" s="641" t="str">
        <f t="shared" si="10"/>
        <v/>
      </c>
      <c r="AR34" s="497" t="str">
        <f t="shared" si="11"/>
        <v/>
      </c>
      <c r="AS34" s="497" t="str">
        <f t="shared" si="12"/>
        <v/>
      </c>
      <c r="AT34" s="8"/>
      <c r="AU34" s="329">
        <f>'I-Project Contingency'!$O$4-AE34</f>
        <v>0</v>
      </c>
      <c r="AV34" s="330">
        <v>-240515.59579276721</v>
      </c>
      <c r="AW34" s="330">
        <v>28172.931401335634</v>
      </c>
      <c r="AX34" s="330">
        <v>193478.84467429668</v>
      </c>
      <c r="AY34" s="330">
        <v>361668.20104834624</v>
      </c>
      <c r="AZ34" s="330">
        <v>524446.91524262261</v>
      </c>
      <c r="BA34" s="330">
        <v>704023.56387635041</v>
      </c>
      <c r="BB34" s="330">
        <v>886394.06956240814</v>
      </c>
      <c r="BC34" s="330">
        <v>1079363.7165157665</v>
      </c>
      <c r="BD34" s="330">
        <v>1280180.1532065615</v>
      </c>
      <c r="BE34" s="330">
        <v>1485323.8019108465</v>
      </c>
      <c r="BF34" s="330">
        <v>1703758.8827524669</v>
      </c>
      <c r="BG34" s="330">
        <v>1949523.4346483489</v>
      </c>
      <c r="BH34" s="330">
        <v>2177897.1603371189</v>
      </c>
      <c r="BI34" s="330">
        <v>2429374.4260425912</v>
      </c>
      <c r="BJ34" s="330">
        <v>2717092.7449284913</v>
      </c>
      <c r="BK34" s="330">
        <v>3010093.6968918457</v>
      </c>
      <c r="BL34" s="330">
        <v>3325414.5894657462</v>
      </c>
      <c r="BM34" s="330">
        <v>3690425.9159493577</v>
      </c>
      <c r="BN34" s="330">
        <v>4143935.1706127762</v>
      </c>
      <c r="BO34" s="330">
        <v>4722651.1159141911</v>
      </c>
      <c r="BP34" s="330">
        <v>5992048.8629153483</v>
      </c>
      <c r="BQ34" s="330">
        <f>'I-Project Contingency'!$E$61-AV34</f>
        <v>0</v>
      </c>
      <c r="BR34" s="330">
        <f>'I-Project Contingency'!$E$62-AW34</f>
        <v>0</v>
      </c>
      <c r="BS34" s="330">
        <f>'I-Project Contingency'!$E$63-AX34</f>
        <v>0</v>
      </c>
      <c r="BT34" s="330">
        <f>'I-Project Contingency'!$E$64-AY34</f>
        <v>0</v>
      </c>
      <c r="BU34" s="330">
        <f>'I-Project Contingency'!$E$65-AZ34</f>
        <v>0</v>
      </c>
      <c r="BV34" s="330">
        <f>'I-Project Contingency'!$E$66-BA34</f>
        <v>0</v>
      </c>
      <c r="BW34" s="330">
        <f>'I-Project Contingency'!$E$67-BB34</f>
        <v>0</v>
      </c>
      <c r="BX34" s="330">
        <f>'I-Project Contingency'!$E$68-BC34</f>
        <v>0</v>
      </c>
      <c r="BY34" s="330">
        <f>'I-Project Contingency'!$E$69-BD34</f>
        <v>0</v>
      </c>
      <c r="BZ34" s="330">
        <f>'I-Project Contingency'!$E$70-BE34</f>
        <v>0</v>
      </c>
      <c r="CA34" s="330">
        <f>'I-Project Contingency'!$E$71-BF34</f>
        <v>0</v>
      </c>
      <c r="CB34" s="330">
        <f>'I-Project Contingency'!$E$72-BG34</f>
        <v>0</v>
      </c>
      <c r="CC34" s="330">
        <f>'I-Project Contingency'!$E$73-BH34</f>
        <v>0</v>
      </c>
      <c r="CD34" s="330">
        <f>'I-Project Contingency'!$E$74-BI34</f>
        <v>0</v>
      </c>
      <c r="CE34" s="330">
        <f>'I-Project Contingency'!$E$75-BJ34</f>
        <v>0</v>
      </c>
      <c r="CF34" s="330">
        <f>'I-Project Contingency'!$E$76-BK34</f>
        <v>0</v>
      </c>
      <c r="CG34" s="330">
        <f>'I-Project Contingency'!$E$77-BL34</f>
        <v>0</v>
      </c>
      <c r="CH34" s="784">
        <f>'I-Project Contingency'!$E$78-BM34</f>
        <v>0</v>
      </c>
      <c r="CI34" s="330">
        <f>'I-Project Contingency'!$E$79-BN34</f>
        <v>0</v>
      </c>
      <c r="CJ34" s="330">
        <f>'I-Project Contingency'!$E$80-BO34</f>
        <v>0</v>
      </c>
      <c r="CK34" s="330">
        <f>'I-Project Contingency'!$E$81-BP34</f>
        <v>0</v>
      </c>
      <c r="CL34" s="331">
        <f>'I-Project Contingency'!$O$5-AG34</f>
        <v>0</v>
      </c>
      <c r="CM34" s="332">
        <v>-0.98711802853447173</v>
      </c>
      <c r="CN34" s="332">
        <v>-0.19547704728364468</v>
      </c>
      <c r="CO34" s="332">
        <v>0.126462150308498</v>
      </c>
      <c r="CP34" s="332">
        <v>0.45967989154545902</v>
      </c>
      <c r="CQ34" s="332">
        <v>0.78297319902744</v>
      </c>
      <c r="CR34" s="332">
        <v>1.0957191966482109</v>
      </c>
      <c r="CS34" s="332">
        <v>1.4418405003536849</v>
      </c>
      <c r="CT34" s="332">
        <v>1.801002404194165</v>
      </c>
      <c r="CU34" s="332">
        <v>2.1797608166947349</v>
      </c>
      <c r="CV34" s="332">
        <v>2.5671680610072478</v>
      </c>
      <c r="CW34" s="332">
        <v>2.9690760644797152</v>
      </c>
      <c r="CX34" s="332">
        <v>3.3964145469774811</v>
      </c>
      <c r="CY34" s="332">
        <v>3.864536087769562</v>
      </c>
      <c r="CZ34" s="332">
        <v>4.3569836138896116</v>
      </c>
      <c r="DA34" s="332">
        <v>4.8862357851222598</v>
      </c>
      <c r="DB34" s="332">
        <v>5.438836997347547</v>
      </c>
      <c r="DC34" s="332">
        <v>6.047993455908566</v>
      </c>
      <c r="DD34" s="785">
        <v>6.720204953601761</v>
      </c>
      <c r="DE34" s="333">
        <v>7.55131678090412</v>
      </c>
      <c r="DF34" s="332">
        <v>8.661446370835737</v>
      </c>
      <c r="DG34" s="332">
        <v>11.206316207857133</v>
      </c>
      <c r="DH34" s="332">
        <f>'I-Project Contingency'!$E$86-CM34</f>
        <v>0</v>
      </c>
      <c r="DI34" s="332">
        <f>'I-Project Contingency'!$E$87-CN34</f>
        <v>0</v>
      </c>
      <c r="DJ34" s="332">
        <f>'I-Project Contingency'!$E$88-CO34</f>
        <v>0</v>
      </c>
      <c r="DK34" s="332">
        <f>'I-Project Contingency'!$E$89-CP34</f>
        <v>0</v>
      </c>
      <c r="DL34" s="332">
        <f>'I-Project Contingency'!$E$90-CQ34</f>
        <v>0</v>
      </c>
      <c r="DM34" s="332">
        <f>'I-Project Contingency'!$E$91-CR34</f>
        <v>0</v>
      </c>
      <c r="DN34" s="332">
        <f>'I-Project Contingency'!$E$92-CS34</f>
        <v>0</v>
      </c>
      <c r="DO34" s="332">
        <f>'I-Project Contingency'!$E$93-CT34</f>
        <v>0</v>
      </c>
      <c r="DP34" s="332">
        <f>'I-Project Contingency'!$E$94-CU34</f>
        <v>0</v>
      </c>
      <c r="DQ34" s="332">
        <f>'I-Project Contingency'!$E$95-CV34</f>
        <v>0</v>
      </c>
      <c r="DR34" s="332">
        <f>'I-Project Contingency'!$E$96-CW34</f>
        <v>0</v>
      </c>
      <c r="DS34" s="332">
        <f>'I-Project Contingency'!$E$97-CX34</f>
        <v>0</v>
      </c>
      <c r="DT34" s="332">
        <f>'I-Project Contingency'!$E$98-CY34</f>
        <v>0</v>
      </c>
      <c r="DU34" s="332">
        <f>'I-Project Contingency'!$E$99-CZ34</f>
        <v>0</v>
      </c>
      <c r="DV34" s="332">
        <f>'I-Project Contingency'!$E$100-DA34</f>
        <v>0</v>
      </c>
      <c r="DW34" s="332">
        <f>'I-Project Contingency'!$E$101-DB34</f>
        <v>0</v>
      </c>
      <c r="DX34" s="332">
        <f>'I-Project Contingency'!$E$102-DC34</f>
        <v>0</v>
      </c>
      <c r="DY34" s="332">
        <f>'I-Project Contingency'!$E$103-DD34</f>
        <v>0</v>
      </c>
      <c r="DZ34" s="332">
        <f>'I-Project Contingency'!$E$104-DE34</f>
        <v>0</v>
      </c>
      <c r="EA34" s="332">
        <f>'I-Project Contingency'!$E$105-DF34</f>
        <v>0</v>
      </c>
      <c r="EB34" s="332">
        <f>'I-Project Contingency'!$E$106-DG34</f>
        <v>0</v>
      </c>
      <c r="EC34" s="334">
        <f>IF(EE34="N/A","N/A",ABS(INDEX(EE34:EY34,1,MATCH("ROM Cost Risk @ "&amp;'D-Project Data'!$C$6*100&amp;"%",$EE$17:$EY$17,0))))</f>
        <v>0</v>
      </c>
      <c r="ED34" s="335">
        <f>IF(EC34="N/A","N/A",RANK(EC34,$EC$18:$EC$117,0)+COUNTIF($EC$18:EC34,EC34)-1)</f>
        <v>17</v>
      </c>
      <c r="EE34" s="334">
        <f>IF(BQ34/SUM(BQ:BQ)*'I-Project Contingency'!$F$61=0,0,BQ34/SUM(BQ:BQ)*'I-Project Contingency'!$F$61)</f>
        <v>0</v>
      </c>
      <c r="EF34" s="334">
        <f>IF(BR34/SUM(BR:BR)*'I-Project Contingency'!$F$62=0,0,BR34/SUM(BR:BR)*'I-Project Contingency'!$F$62)</f>
        <v>0</v>
      </c>
      <c r="EG34" s="334">
        <f>IF(BS34/SUM(BS:BS)*'I-Project Contingency'!$F$63=0,0,BS34/SUM(BS:BS)*'I-Project Contingency'!$F$63)</f>
        <v>0</v>
      </c>
      <c r="EH34" s="334">
        <f>IF(BT34/SUM(BT:BT)*'I-Project Contingency'!$F$64=0,0,BT34/SUM(BT:BT)*'I-Project Contingency'!$F$64)</f>
        <v>0</v>
      </c>
      <c r="EI34" s="334">
        <f>IF(BU34/SUM(BU:BU)*'I-Project Contingency'!$F$65=0,0,BU34/SUM(BU:BU)*'I-Project Contingency'!$F$65)</f>
        <v>0</v>
      </c>
      <c r="EJ34" s="334">
        <f>IF(BV34/SUM(BV:BV)*'I-Project Contingency'!$F$66=0,0,BV34/SUM(BV:BV)*'I-Project Contingency'!$F$66)</f>
        <v>0</v>
      </c>
      <c r="EK34" s="334">
        <f>IF(BW34/SUM(BW:BW)*'I-Project Contingency'!$F$67=0,0,BW34/SUM(BW:BW)*'I-Project Contingency'!$F$67)</f>
        <v>0</v>
      </c>
      <c r="EL34" s="334">
        <f>IF(BX34/SUM(BX:BX)*'I-Project Contingency'!$F$68=0,0,BX34/SUM(BX:BX)*'I-Project Contingency'!$F$68)</f>
        <v>0</v>
      </c>
      <c r="EM34" s="334">
        <f>IF(BY34/SUM(BY:BY)*'I-Project Contingency'!$F$69=0,0,BY34/SUM(BY:BY)*'I-Project Contingency'!$F$69)</f>
        <v>0</v>
      </c>
      <c r="EN34" s="334">
        <f>IF(BZ34/SUM(BZ:BZ)*'I-Project Contingency'!$F$70=0,0,BZ34/SUM(BZ:BZ)*'I-Project Contingency'!$F$70)</f>
        <v>0</v>
      </c>
      <c r="EO34" s="334">
        <f>IF(CA34/SUM(CA:CA)*'I-Project Contingency'!$F$71=0,0,CA34/SUM(CA:CA)*'I-Project Contingency'!$F$71)</f>
        <v>0</v>
      </c>
      <c r="EP34" s="334">
        <f>IF(CB34/SUM(CB:CB)*'I-Project Contingency'!$F$72=0,0,CB34/SUM(CB:CB)*'I-Project Contingency'!$F$72)</f>
        <v>0</v>
      </c>
      <c r="EQ34" s="334">
        <f>IF(CC34/SUM(CC:CC)*'I-Project Contingency'!$F$73=0,0,CC34/SUM(CC:CC)*'I-Project Contingency'!$F$73)</f>
        <v>0</v>
      </c>
      <c r="ER34" s="334">
        <f>IF(CD34/SUM(CD:CD)*'I-Project Contingency'!$F$74=0,0,CD34/SUM(CD:CD)*'I-Project Contingency'!$F$74)</f>
        <v>0</v>
      </c>
      <c r="ES34" s="334">
        <f>IF(CE34/SUM(CE:CE)*'I-Project Contingency'!$F$75=0,0,CE34/SUM(CE:CE)*'I-Project Contingency'!$F$75)</f>
        <v>0</v>
      </c>
      <c r="ET34" s="334">
        <f>IF(CF34/SUM(CF:CF)*'I-Project Contingency'!$F$76=0,0,CF34/SUM(CF:CF)*'I-Project Contingency'!$F$76)</f>
        <v>0</v>
      </c>
      <c r="EU34" s="334">
        <f>IF(CG34/SUM(CG:CG)*'I-Project Contingency'!$F$77=0,0,CG34/SUM(CG:CG)*'I-Project Contingency'!$F$77)</f>
        <v>0</v>
      </c>
      <c r="EV34" s="787">
        <f>IF(CH34/SUM(CH:CH)*'I-Project Contingency'!$F$78=0,0,CH34/SUM(CH:CH)*'I-Project Contingency'!$F$78)</f>
        <v>0</v>
      </c>
      <c r="EW34" s="787">
        <f>IF(CI34/SUM(CI:CI)*'I-Project Contingency'!$F$79=0,0,CI34/SUM(CI:CI)*'I-Project Contingency'!$F$79)</f>
        <v>0</v>
      </c>
      <c r="EX34" s="787">
        <f>IF(CJ34/SUM(CJ:CJ)*'I-Project Contingency'!$F$80=0,0,CJ34/SUM(CJ:CJ)*'I-Project Contingency'!$F$80)</f>
        <v>0</v>
      </c>
      <c r="EY34" s="787">
        <f>IF(CK34/SUM(CK:CK)*'I-Project Contingency'!$F$81=0,0,CK34/SUM(CK:CK)*'I-Project Contingency'!$F$81)</f>
        <v>0</v>
      </c>
      <c r="EZ34" s="333">
        <f>IF(FB34="N/A","N/A",ABS(INDEX(FB34:FV34,1,MATCH("ROM Schedule Risk @ "&amp;'D-Project Data'!$C$6*100&amp;"%",$FB$17:$FV$17,0))))</f>
        <v>0</v>
      </c>
      <c r="FA34" s="335">
        <f>IF(EZ34="N/A","N/A",RANK(EZ34,$EZ$18:$EZ$117,0)+COUNTIF($FB$18:FB34,FB34)-1)</f>
        <v>17</v>
      </c>
      <c r="FB34" s="788">
        <f>IF(DH34/SUM(DH:DH)*'I-Project Contingency'!$F$86=0,0,DH34/SUM(DH:DH)*'I-Project Contingency'!$F$86)</f>
        <v>0</v>
      </c>
      <c r="FC34" s="788">
        <f>IF(DI34/SUM(DI:DI)*'I-Project Contingency'!$F$87=0,0,DI34/SUM(DI:DI)*'I-Project Contingency'!$F$87)</f>
        <v>0</v>
      </c>
      <c r="FD34" s="788">
        <f>IF(DJ34/SUM(DJ:DJ)*'I-Project Contingency'!$F$88=0,0,DJ34/SUM(DJ:DJ)*'I-Project Contingency'!$F$88)</f>
        <v>0</v>
      </c>
      <c r="FE34" s="788">
        <f>IF(DK34/SUM(DK:DK)*'I-Project Contingency'!$F$89=0,0,DK34/SUM(DK:DK)*'I-Project Contingency'!$F$89)</f>
        <v>0</v>
      </c>
      <c r="FF34" s="788">
        <f>IF(DL34/SUM(DL:DL)*'I-Project Contingency'!$F$90=0,0,DL34/SUM(DL:DL)*'I-Project Contingency'!$F$90)</f>
        <v>0</v>
      </c>
      <c r="FG34" s="788">
        <f>IF(DM34/SUM(DM:DM)*'I-Project Contingency'!$F$91=0,0,DM34/SUM(DM:DM)*'I-Project Contingency'!$F$91)</f>
        <v>0</v>
      </c>
      <c r="FH34" s="788">
        <f>IF(DN34/SUM(DN:DN)*'I-Project Contingency'!$F$92=0,0,DN34/SUM(DN:DN)*'I-Project Contingency'!$F$92)</f>
        <v>0</v>
      </c>
      <c r="FI34" s="788">
        <f>IF(DO34/SUM(DO:DO)*'I-Project Contingency'!$F$93=0,0,DO34/SUM(DO:DO)*'I-Project Contingency'!$F$93)</f>
        <v>0</v>
      </c>
      <c r="FJ34" s="788">
        <f>IF(DP34/SUM(DP:DP)*'I-Project Contingency'!$F$94=0,0,DP34/SUM(DP:DP)*'I-Project Contingency'!$F$94)</f>
        <v>0</v>
      </c>
      <c r="FK34" s="788">
        <f>IF(DQ34/SUM(DQ:DQ)*'I-Project Contingency'!$F$95=0,0,DQ34/SUM(DQ:DQ)*'I-Project Contingency'!$F$95)</f>
        <v>0</v>
      </c>
      <c r="FL34" s="788">
        <f>IF(DR34/SUM(DR:DR)*'I-Project Contingency'!$F$96=0,0,DR34/SUM(DR:DR)*'I-Project Contingency'!$F$96)</f>
        <v>0</v>
      </c>
      <c r="FM34" s="788">
        <f>IF(DS34/SUM(DS:DS)*'I-Project Contingency'!$F$97=0,0,DS34/SUM(DS:DS)*'I-Project Contingency'!$F$97)</f>
        <v>0</v>
      </c>
      <c r="FN34" s="788">
        <f>IF(DT34/SUM(DT:DT)*'I-Project Contingency'!$F$98=0,0,DT34/SUM(DT:DT)*'I-Project Contingency'!$F$98)</f>
        <v>0</v>
      </c>
      <c r="FO34" s="788">
        <f>IF(DU34/SUM(DU:DU)*'I-Project Contingency'!$F$99=0,0,DU34/SUM(DU:DU)*'I-Project Contingency'!$F$99)</f>
        <v>0</v>
      </c>
      <c r="FP34" s="788">
        <f>IF(DV34/SUM(DV:DV)*'I-Project Contingency'!$F$100=0,0,DV34/SUM(DV:DV)*'I-Project Contingency'!$F$100)</f>
        <v>0</v>
      </c>
      <c r="FQ34" s="788">
        <f>IF(DW34/SUM(DW:DW)*'I-Project Contingency'!$F$101=0,0,DW34/SUM(DW:DW)*'I-Project Contingency'!$F$101)</f>
        <v>0</v>
      </c>
      <c r="FR34" s="788">
        <f>IF(DX34/SUM(DX:DX)*'I-Project Contingency'!$F$102=0,0,DX34/SUM(DX:DX)*'I-Project Contingency'!$F$102)</f>
        <v>0</v>
      </c>
      <c r="FS34" s="788">
        <f>IF(DY34/SUM(DY:DY)*'I-Project Contingency'!$F$103=0,0,DY34/SUM(DY:DY)*'I-Project Contingency'!$F$103)</f>
        <v>0</v>
      </c>
      <c r="FT34" s="788">
        <f>IF(DZ34/SUM(DZ:DZ)*'I-Project Contingency'!$F$104=0,0,DZ34/SUM(DZ:DZ)*'I-Project Contingency'!$F$104)</f>
        <v>0</v>
      </c>
      <c r="FU34" s="788">
        <f>IF(EA34/SUM(EA:EA)*'I-Project Contingency'!$F$105=0,0,EA34/SUM(EA:EA)*'I-Project Contingency'!$F$105)</f>
        <v>0</v>
      </c>
      <c r="FV34" s="788">
        <f>IF(EB34/SUM(EB:EB)*'I-Project Contingency'!$F$106=0,0,EB34/SUM(EB:EB)*'I-Project Contingency'!$F$106)</f>
        <v>0</v>
      </c>
      <c r="FW34" s="335">
        <f t="shared" si="13"/>
        <v>17</v>
      </c>
      <c r="FX34" s="336" t="str">
        <f t="shared" si="14"/>
        <v xml:space="preserve">17 - </v>
      </c>
      <c r="FY34" s="330">
        <f t="shared" si="15"/>
        <v>0</v>
      </c>
      <c r="FZ34" s="330">
        <f t="shared" si="16"/>
        <v>0</v>
      </c>
      <c r="GA34" s="332">
        <f t="shared" si="17"/>
        <v>0</v>
      </c>
      <c r="GB34" s="332">
        <f t="shared" si="18"/>
        <v>0</v>
      </c>
    </row>
    <row r="35" spans="1:184" ht="30" x14ac:dyDescent="0.25">
      <c r="A35" s="163">
        <f t="shared" si="23"/>
        <v>18</v>
      </c>
      <c r="B35" s="727" t="s">
        <v>728</v>
      </c>
      <c r="C35" s="729"/>
      <c r="D35" s="729"/>
      <c r="E35" s="729"/>
      <c r="F35" s="728" t="s">
        <v>728</v>
      </c>
      <c r="G35" s="728" t="s">
        <v>728</v>
      </c>
      <c r="H35" s="157" t="str">
        <f>IFERROR(IF('H-Risk Register-Model'!F35="Certain","Relook at Basis of Estimate",INDEX('G-Assumptions'!$F$8:$J$11,MATCH(F35,'G-Assumptions'!$D$8:$D$11,0),MATCH(G35,'G-Assumptions'!$F$6:$J$6,0))),"Unrated")</f>
        <v>Unrated</v>
      </c>
      <c r="I35" s="728" t="s">
        <v>728</v>
      </c>
      <c r="J35" s="157" t="str">
        <f>IFERROR(IF('H-Risk Register-Model'!F35="Certain","Relook at Basis of Estimate",INDEX('G-Assumptions'!$F$8:$J$11,MATCH(F35,'G-Assumptions'!$D$8:$D$11,0),MATCH(I35,'G-Assumptions'!$F$6:$J$6,0))),"Unrated")</f>
        <v>Unrated</v>
      </c>
      <c r="K35" s="728" t="s">
        <v>728</v>
      </c>
      <c r="L35" s="728" t="s">
        <v>728</v>
      </c>
      <c r="M35" s="728"/>
      <c r="N35" s="731" t="s">
        <v>728</v>
      </c>
      <c r="O35" s="731" t="s">
        <v>728</v>
      </c>
      <c r="P35" s="732"/>
      <c r="Q35" s="732"/>
      <c r="R35" s="732"/>
      <c r="S35" s="733"/>
      <c r="T35" s="733"/>
      <c r="U35" s="733"/>
      <c r="V35" s="734"/>
      <c r="W35" s="732"/>
      <c r="X35" s="732"/>
      <c r="Y35" s="735">
        <v>1</v>
      </c>
      <c r="Z35" s="736">
        <v>1</v>
      </c>
      <c r="AA35" s="166">
        <f t="shared" si="19"/>
        <v>0</v>
      </c>
      <c r="AB35" s="166">
        <f t="shared" si="20"/>
        <v>0</v>
      </c>
      <c r="AC35" s="166">
        <f t="shared" si="21"/>
        <v>0</v>
      </c>
      <c r="AD35" s="166"/>
      <c r="AE35" s="164">
        <f t="shared" si="22"/>
        <v>0</v>
      </c>
      <c r="AF35" s="167"/>
      <c r="AG35" s="165">
        <f t="shared" si="5"/>
        <v>0</v>
      </c>
      <c r="AH35" s="729"/>
      <c r="AI35" s="729"/>
      <c r="AJ35" s="8"/>
      <c r="AK35" s="495" t="str">
        <f t="shared" si="6"/>
        <v>No</v>
      </c>
      <c r="AL35" s="496">
        <f>'I-Project Contingency'!$I$4</f>
        <v>9000000</v>
      </c>
      <c r="AM35" s="326">
        <f>'I-Project Contingency'!$I$11</f>
        <v>23.978102189781023</v>
      </c>
      <c r="AN35" s="325">
        <f t="shared" si="7"/>
        <v>0</v>
      </c>
      <c r="AO35" s="326">
        <f t="shared" si="8"/>
        <v>0</v>
      </c>
      <c r="AP35" s="641" t="str">
        <f t="shared" si="9"/>
        <v/>
      </c>
      <c r="AQ35" s="641" t="str">
        <f t="shared" si="10"/>
        <v/>
      </c>
      <c r="AR35" s="497" t="str">
        <f t="shared" si="11"/>
        <v/>
      </c>
      <c r="AS35" s="497" t="str">
        <f t="shared" si="12"/>
        <v/>
      </c>
      <c r="AT35" s="8"/>
      <c r="AU35" s="329">
        <f>'I-Project Contingency'!$O$4-AE35</f>
        <v>0</v>
      </c>
      <c r="AV35" s="330">
        <v>-240515.59579276721</v>
      </c>
      <c r="AW35" s="330">
        <v>28172.931401335634</v>
      </c>
      <c r="AX35" s="330">
        <v>193478.84467429668</v>
      </c>
      <c r="AY35" s="330">
        <v>361668.20104834624</v>
      </c>
      <c r="AZ35" s="330">
        <v>524446.91524262261</v>
      </c>
      <c r="BA35" s="330">
        <v>704023.56387635041</v>
      </c>
      <c r="BB35" s="330">
        <v>886394.06956240814</v>
      </c>
      <c r="BC35" s="330">
        <v>1079363.7165157665</v>
      </c>
      <c r="BD35" s="330">
        <v>1280180.1532065615</v>
      </c>
      <c r="BE35" s="330">
        <v>1485323.8019108465</v>
      </c>
      <c r="BF35" s="330">
        <v>1703758.8827524669</v>
      </c>
      <c r="BG35" s="330">
        <v>1949523.4346483489</v>
      </c>
      <c r="BH35" s="330">
        <v>2177897.1603371189</v>
      </c>
      <c r="BI35" s="330">
        <v>2429374.4260425912</v>
      </c>
      <c r="BJ35" s="330">
        <v>2717092.7449284913</v>
      </c>
      <c r="BK35" s="330">
        <v>3010093.6968918457</v>
      </c>
      <c r="BL35" s="330">
        <v>3325414.5894657462</v>
      </c>
      <c r="BM35" s="330">
        <v>3690425.9159493577</v>
      </c>
      <c r="BN35" s="330">
        <v>4143935.1706127762</v>
      </c>
      <c r="BO35" s="330">
        <v>4722651.1159141911</v>
      </c>
      <c r="BP35" s="330">
        <v>5992048.8629153483</v>
      </c>
      <c r="BQ35" s="330">
        <f>'I-Project Contingency'!$E$61-AV35</f>
        <v>0</v>
      </c>
      <c r="BR35" s="330">
        <f>'I-Project Contingency'!$E$62-AW35</f>
        <v>0</v>
      </c>
      <c r="BS35" s="330">
        <f>'I-Project Contingency'!$E$63-AX35</f>
        <v>0</v>
      </c>
      <c r="BT35" s="330">
        <f>'I-Project Contingency'!$E$64-AY35</f>
        <v>0</v>
      </c>
      <c r="BU35" s="330">
        <f>'I-Project Contingency'!$E$65-AZ35</f>
        <v>0</v>
      </c>
      <c r="BV35" s="330">
        <f>'I-Project Contingency'!$E$66-BA35</f>
        <v>0</v>
      </c>
      <c r="BW35" s="330">
        <f>'I-Project Contingency'!$E$67-BB35</f>
        <v>0</v>
      </c>
      <c r="BX35" s="330">
        <f>'I-Project Contingency'!$E$68-BC35</f>
        <v>0</v>
      </c>
      <c r="BY35" s="330">
        <f>'I-Project Contingency'!$E$69-BD35</f>
        <v>0</v>
      </c>
      <c r="BZ35" s="330">
        <f>'I-Project Contingency'!$E$70-BE35</f>
        <v>0</v>
      </c>
      <c r="CA35" s="330">
        <f>'I-Project Contingency'!$E$71-BF35</f>
        <v>0</v>
      </c>
      <c r="CB35" s="330">
        <f>'I-Project Contingency'!$E$72-BG35</f>
        <v>0</v>
      </c>
      <c r="CC35" s="330">
        <f>'I-Project Contingency'!$E$73-BH35</f>
        <v>0</v>
      </c>
      <c r="CD35" s="330">
        <f>'I-Project Contingency'!$E$74-BI35</f>
        <v>0</v>
      </c>
      <c r="CE35" s="330">
        <f>'I-Project Contingency'!$E$75-BJ35</f>
        <v>0</v>
      </c>
      <c r="CF35" s="330">
        <f>'I-Project Contingency'!$E$76-BK35</f>
        <v>0</v>
      </c>
      <c r="CG35" s="330">
        <f>'I-Project Contingency'!$E$77-BL35</f>
        <v>0</v>
      </c>
      <c r="CH35" s="784">
        <f>'I-Project Contingency'!$E$78-BM35</f>
        <v>0</v>
      </c>
      <c r="CI35" s="330">
        <f>'I-Project Contingency'!$E$79-BN35</f>
        <v>0</v>
      </c>
      <c r="CJ35" s="330">
        <f>'I-Project Contingency'!$E$80-BO35</f>
        <v>0</v>
      </c>
      <c r="CK35" s="330">
        <f>'I-Project Contingency'!$E$81-BP35</f>
        <v>0</v>
      </c>
      <c r="CL35" s="331">
        <f>'I-Project Contingency'!$O$5-AG35</f>
        <v>0</v>
      </c>
      <c r="CM35" s="332">
        <v>-0.98711802853447173</v>
      </c>
      <c r="CN35" s="332">
        <v>-0.19547704728364468</v>
      </c>
      <c r="CO35" s="332">
        <v>0.126462150308498</v>
      </c>
      <c r="CP35" s="332">
        <v>0.45967989154545902</v>
      </c>
      <c r="CQ35" s="332">
        <v>0.78297319902744</v>
      </c>
      <c r="CR35" s="332">
        <v>1.0957191966482109</v>
      </c>
      <c r="CS35" s="332">
        <v>1.4418405003536849</v>
      </c>
      <c r="CT35" s="332">
        <v>1.801002404194165</v>
      </c>
      <c r="CU35" s="332">
        <v>2.1797608166947349</v>
      </c>
      <c r="CV35" s="332">
        <v>2.5671680610072478</v>
      </c>
      <c r="CW35" s="332">
        <v>2.9690760644797152</v>
      </c>
      <c r="CX35" s="332">
        <v>3.3964145469774811</v>
      </c>
      <c r="CY35" s="332">
        <v>3.864536087769562</v>
      </c>
      <c r="CZ35" s="332">
        <v>4.3569836138896116</v>
      </c>
      <c r="DA35" s="332">
        <v>4.8862357851222598</v>
      </c>
      <c r="DB35" s="332">
        <v>5.438836997347547</v>
      </c>
      <c r="DC35" s="332">
        <v>6.047993455908566</v>
      </c>
      <c r="DD35" s="785">
        <v>6.720204953601761</v>
      </c>
      <c r="DE35" s="333">
        <v>7.55131678090412</v>
      </c>
      <c r="DF35" s="332">
        <v>8.661446370835737</v>
      </c>
      <c r="DG35" s="332">
        <v>11.206316207857133</v>
      </c>
      <c r="DH35" s="332">
        <f>'I-Project Contingency'!$E$86-CM35</f>
        <v>0</v>
      </c>
      <c r="DI35" s="332">
        <f>'I-Project Contingency'!$E$87-CN35</f>
        <v>0</v>
      </c>
      <c r="DJ35" s="332">
        <f>'I-Project Contingency'!$E$88-CO35</f>
        <v>0</v>
      </c>
      <c r="DK35" s="332">
        <f>'I-Project Contingency'!$E$89-CP35</f>
        <v>0</v>
      </c>
      <c r="DL35" s="332">
        <f>'I-Project Contingency'!$E$90-CQ35</f>
        <v>0</v>
      </c>
      <c r="DM35" s="332">
        <f>'I-Project Contingency'!$E$91-CR35</f>
        <v>0</v>
      </c>
      <c r="DN35" s="332">
        <f>'I-Project Contingency'!$E$92-CS35</f>
        <v>0</v>
      </c>
      <c r="DO35" s="332">
        <f>'I-Project Contingency'!$E$93-CT35</f>
        <v>0</v>
      </c>
      <c r="DP35" s="332">
        <f>'I-Project Contingency'!$E$94-CU35</f>
        <v>0</v>
      </c>
      <c r="DQ35" s="332">
        <f>'I-Project Contingency'!$E$95-CV35</f>
        <v>0</v>
      </c>
      <c r="DR35" s="332">
        <f>'I-Project Contingency'!$E$96-CW35</f>
        <v>0</v>
      </c>
      <c r="DS35" s="332">
        <f>'I-Project Contingency'!$E$97-CX35</f>
        <v>0</v>
      </c>
      <c r="DT35" s="332">
        <f>'I-Project Contingency'!$E$98-CY35</f>
        <v>0</v>
      </c>
      <c r="DU35" s="332">
        <f>'I-Project Contingency'!$E$99-CZ35</f>
        <v>0</v>
      </c>
      <c r="DV35" s="332">
        <f>'I-Project Contingency'!$E$100-DA35</f>
        <v>0</v>
      </c>
      <c r="DW35" s="332">
        <f>'I-Project Contingency'!$E$101-DB35</f>
        <v>0</v>
      </c>
      <c r="DX35" s="332">
        <f>'I-Project Contingency'!$E$102-DC35</f>
        <v>0</v>
      </c>
      <c r="DY35" s="332">
        <f>'I-Project Contingency'!$E$103-DD35</f>
        <v>0</v>
      </c>
      <c r="DZ35" s="332">
        <f>'I-Project Contingency'!$E$104-DE35</f>
        <v>0</v>
      </c>
      <c r="EA35" s="332">
        <f>'I-Project Contingency'!$E$105-DF35</f>
        <v>0</v>
      </c>
      <c r="EB35" s="332">
        <f>'I-Project Contingency'!$E$106-DG35</f>
        <v>0</v>
      </c>
      <c r="EC35" s="334">
        <f>IF(EE35="N/A","N/A",ABS(INDEX(EE35:EY35,1,MATCH("ROM Cost Risk @ "&amp;'D-Project Data'!$C$6*100&amp;"%",$EE$17:$EY$17,0))))</f>
        <v>0</v>
      </c>
      <c r="ED35" s="335">
        <f>IF(EC35="N/A","N/A",RANK(EC35,$EC$18:$EC$117,0)+COUNTIF($EC$18:EC35,EC35)-1)</f>
        <v>18</v>
      </c>
      <c r="EE35" s="334">
        <f>IF(BQ35/SUM(BQ:BQ)*'I-Project Contingency'!$F$61=0,0,BQ35/SUM(BQ:BQ)*'I-Project Contingency'!$F$61)</f>
        <v>0</v>
      </c>
      <c r="EF35" s="334">
        <f>IF(BR35/SUM(BR:BR)*'I-Project Contingency'!$F$62=0,0,BR35/SUM(BR:BR)*'I-Project Contingency'!$F$62)</f>
        <v>0</v>
      </c>
      <c r="EG35" s="334">
        <f>IF(BS35/SUM(BS:BS)*'I-Project Contingency'!$F$63=0,0,BS35/SUM(BS:BS)*'I-Project Contingency'!$F$63)</f>
        <v>0</v>
      </c>
      <c r="EH35" s="334">
        <f>IF(BT35/SUM(BT:BT)*'I-Project Contingency'!$F$64=0,0,BT35/SUM(BT:BT)*'I-Project Contingency'!$F$64)</f>
        <v>0</v>
      </c>
      <c r="EI35" s="334">
        <f>IF(BU35/SUM(BU:BU)*'I-Project Contingency'!$F$65=0,0,BU35/SUM(BU:BU)*'I-Project Contingency'!$F$65)</f>
        <v>0</v>
      </c>
      <c r="EJ35" s="334">
        <f>IF(BV35/SUM(BV:BV)*'I-Project Contingency'!$F$66=0,0,BV35/SUM(BV:BV)*'I-Project Contingency'!$F$66)</f>
        <v>0</v>
      </c>
      <c r="EK35" s="334">
        <f>IF(BW35/SUM(BW:BW)*'I-Project Contingency'!$F$67=0,0,BW35/SUM(BW:BW)*'I-Project Contingency'!$F$67)</f>
        <v>0</v>
      </c>
      <c r="EL35" s="334">
        <f>IF(BX35/SUM(BX:BX)*'I-Project Contingency'!$F$68=0,0,BX35/SUM(BX:BX)*'I-Project Contingency'!$F$68)</f>
        <v>0</v>
      </c>
      <c r="EM35" s="334">
        <f>IF(BY35/SUM(BY:BY)*'I-Project Contingency'!$F$69=0,0,BY35/SUM(BY:BY)*'I-Project Contingency'!$F$69)</f>
        <v>0</v>
      </c>
      <c r="EN35" s="334">
        <f>IF(BZ35/SUM(BZ:BZ)*'I-Project Contingency'!$F$70=0,0,BZ35/SUM(BZ:BZ)*'I-Project Contingency'!$F$70)</f>
        <v>0</v>
      </c>
      <c r="EO35" s="334">
        <f>IF(CA35/SUM(CA:CA)*'I-Project Contingency'!$F$71=0,0,CA35/SUM(CA:CA)*'I-Project Contingency'!$F$71)</f>
        <v>0</v>
      </c>
      <c r="EP35" s="334">
        <f>IF(CB35/SUM(CB:CB)*'I-Project Contingency'!$F$72=0,0,CB35/SUM(CB:CB)*'I-Project Contingency'!$F$72)</f>
        <v>0</v>
      </c>
      <c r="EQ35" s="334">
        <f>IF(CC35/SUM(CC:CC)*'I-Project Contingency'!$F$73=0,0,CC35/SUM(CC:CC)*'I-Project Contingency'!$F$73)</f>
        <v>0</v>
      </c>
      <c r="ER35" s="334">
        <f>IF(CD35/SUM(CD:CD)*'I-Project Contingency'!$F$74=0,0,CD35/SUM(CD:CD)*'I-Project Contingency'!$F$74)</f>
        <v>0</v>
      </c>
      <c r="ES35" s="334">
        <f>IF(CE35/SUM(CE:CE)*'I-Project Contingency'!$F$75=0,0,CE35/SUM(CE:CE)*'I-Project Contingency'!$F$75)</f>
        <v>0</v>
      </c>
      <c r="ET35" s="334">
        <f>IF(CF35/SUM(CF:CF)*'I-Project Contingency'!$F$76=0,0,CF35/SUM(CF:CF)*'I-Project Contingency'!$F$76)</f>
        <v>0</v>
      </c>
      <c r="EU35" s="334">
        <f>IF(CG35/SUM(CG:CG)*'I-Project Contingency'!$F$77=0,0,CG35/SUM(CG:CG)*'I-Project Contingency'!$F$77)</f>
        <v>0</v>
      </c>
      <c r="EV35" s="787">
        <f>IF(CH35/SUM(CH:CH)*'I-Project Contingency'!$F$78=0,0,CH35/SUM(CH:CH)*'I-Project Contingency'!$F$78)</f>
        <v>0</v>
      </c>
      <c r="EW35" s="787">
        <f>IF(CI35/SUM(CI:CI)*'I-Project Contingency'!$F$79=0,0,CI35/SUM(CI:CI)*'I-Project Contingency'!$F$79)</f>
        <v>0</v>
      </c>
      <c r="EX35" s="787">
        <f>IF(CJ35/SUM(CJ:CJ)*'I-Project Contingency'!$F$80=0,0,CJ35/SUM(CJ:CJ)*'I-Project Contingency'!$F$80)</f>
        <v>0</v>
      </c>
      <c r="EY35" s="787">
        <f>IF(CK35/SUM(CK:CK)*'I-Project Contingency'!$F$81=0,0,CK35/SUM(CK:CK)*'I-Project Contingency'!$F$81)</f>
        <v>0</v>
      </c>
      <c r="EZ35" s="333">
        <f>IF(FB35="N/A","N/A",ABS(INDEX(FB35:FV35,1,MATCH("ROM Schedule Risk @ "&amp;'D-Project Data'!$C$6*100&amp;"%",$FB$17:$FV$17,0))))</f>
        <v>0</v>
      </c>
      <c r="FA35" s="335">
        <f>IF(EZ35="N/A","N/A",RANK(EZ35,$EZ$18:$EZ$117,0)+COUNTIF($FB$18:FB35,FB35)-1)</f>
        <v>18</v>
      </c>
      <c r="FB35" s="788">
        <f>IF(DH35/SUM(DH:DH)*'I-Project Contingency'!$F$86=0,0,DH35/SUM(DH:DH)*'I-Project Contingency'!$F$86)</f>
        <v>0</v>
      </c>
      <c r="FC35" s="788">
        <f>IF(DI35/SUM(DI:DI)*'I-Project Contingency'!$F$87=0,0,DI35/SUM(DI:DI)*'I-Project Contingency'!$F$87)</f>
        <v>0</v>
      </c>
      <c r="FD35" s="788">
        <f>IF(DJ35/SUM(DJ:DJ)*'I-Project Contingency'!$F$88=0,0,DJ35/SUM(DJ:DJ)*'I-Project Contingency'!$F$88)</f>
        <v>0</v>
      </c>
      <c r="FE35" s="788">
        <f>IF(DK35/SUM(DK:DK)*'I-Project Contingency'!$F$89=0,0,DK35/SUM(DK:DK)*'I-Project Contingency'!$F$89)</f>
        <v>0</v>
      </c>
      <c r="FF35" s="788">
        <f>IF(DL35/SUM(DL:DL)*'I-Project Contingency'!$F$90=0,0,DL35/SUM(DL:DL)*'I-Project Contingency'!$F$90)</f>
        <v>0</v>
      </c>
      <c r="FG35" s="788">
        <f>IF(DM35/SUM(DM:DM)*'I-Project Contingency'!$F$91=0,0,DM35/SUM(DM:DM)*'I-Project Contingency'!$F$91)</f>
        <v>0</v>
      </c>
      <c r="FH35" s="788">
        <f>IF(DN35/SUM(DN:DN)*'I-Project Contingency'!$F$92=0,0,DN35/SUM(DN:DN)*'I-Project Contingency'!$F$92)</f>
        <v>0</v>
      </c>
      <c r="FI35" s="788">
        <f>IF(DO35/SUM(DO:DO)*'I-Project Contingency'!$F$93=0,0,DO35/SUM(DO:DO)*'I-Project Contingency'!$F$93)</f>
        <v>0</v>
      </c>
      <c r="FJ35" s="788">
        <f>IF(DP35/SUM(DP:DP)*'I-Project Contingency'!$F$94=0,0,DP35/SUM(DP:DP)*'I-Project Contingency'!$F$94)</f>
        <v>0</v>
      </c>
      <c r="FK35" s="788">
        <f>IF(DQ35/SUM(DQ:DQ)*'I-Project Contingency'!$F$95=0,0,DQ35/SUM(DQ:DQ)*'I-Project Contingency'!$F$95)</f>
        <v>0</v>
      </c>
      <c r="FL35" s="788">
        <f>IF(DR35/SUM(DR:DR)*'I-Project Contingency'!$F$96=0,0,DR35/SUM(DR:DR)*'I-Project Contingency'!$F$96)</f>
        <v>0</v>
      </c>
      <c r="FM35" s="788">
        <f>IF(DS35/SUM(DS:DS)*'I-Project Contingency'!$F$97=0,0,DS35/SUM(DS:DS)*'I-Project Contingency'!$F$97)</f>
        <v>0</v>
      </c>
      <c r="FN35" s="788">
        <f>IF(DT35/SUM(DT:DT)*'I-Project Contingency'!$F$98=0,0,DT35/SUM(DT:DT)*'I-Project Contingency'!$F$98)</f>
        <v>0</v>
      </c>
      <c r="FO35" s="788">
        <f>IF(DU35/SUM(DU:DU)*'I-Project Contingency'!$F$99=0,0,DU35/SUM(DU:DU)*'I-Project Contingency'!$F$99)</f>
        <v>0</v>
      </c>
      <c r="FP35" s="788">
        <f>IF(DV35/SUM(DV:DV)*'I-Project Contingency'!$F$100=0,0,DV35/SUM(DV:DV)*'I-Project Contingency'!$F$100)</f>
        <v>0</v>
      </c>
      <c r="FQ35" s="788">
        <f>IF(DW35/SUM(DW:DW)*'I-Project Contingency'!$F$101=0,0,DW35/SUM(DW:DW)*'I-Project Contingency'!$F$101)</f>
        <v>0</v>
      </c>
      <c r="FR35" s="788">
        <f>IF(DX35/SUM(DX:DX)*'I-Project Contingency'!$F$102=0,0,DX35/SUM(DX:DX)*'I-Project Contingency'!$F$102)</f>
        <v>0</v>
      </c>
      <c r="FS35" s="788">
        <f>IF(DY35/SUM(DY:DY)*'I-Project Contingency'!$F$103=0,0,DY35/SUM(DY:DY)*'I-Project Contingency'!$F$103)</f>
        <v>0</v>
      </c>
      <c r="FT35" s="788">
        <f>IF(DZ35/SUM(DZ:DZ)*'I-Project Contingency'!$F$104=0,0,DZ35/SUM(DZ:DZ)*'I-Project Contingency'!$F$104)</f>
        <v>0</v>
      </c>
      <c r="FU35" s="788">
        <f>IF(EA35/SUM(EA:EA)*'I-Project Contingency'!$F$105=0,0,EA35/SUM(EA:EA)*'I-Project Contingency'!$F$105)</f>
        <v>0</v>
      </c>
      <c r="FV35" s="788">
        <f>IF(EB35/SUM(EB:EB)*'I-Project Contingency'!$F$106=0,0,EB35/SUM(EB:EB)*'I-Project Contingency'!$F$106)</f>
        <v>0</v>
      </c>
      <c r="FW35" s="335">
        <f t="shared" si="13"/>
        <v>18</v>
      </c>
      <c r="FX35" s="336" t="str">
        <f t="shared" si="14"/>
        <v xml:space="preserve">18 - </v>
      </c>
      <c r="FY35" s="330">
        <f t="shared" si="15"/>
        <v>0</v>
      </c>
      <c r="FZ35" s="330">
        <f t="shared" si="16"/>
        <v>0</v>
      </c>
      <c r="GA35" s="332">
        <f t="shared" si="17"/>
        <v>0</v>
      </c>
      <c r="GB35" s="332">
        <f t="shared" si="18"/>
        <v>0</v>
      </c>
    </row>
    <row r="36" spans="1:184" ht="30" x14ac:dyDescent="0.25">
      <c r="A36" s="163">
        <f t="shared" si="23"/>
        <v>19</v>
      </c>
      <c r="B36" s="727" t="s">
        <v>728</v>
      </c>
      <c r="C36" s="729"/>
      <c r="D36" s="729"/>
      <c r="E36" s="729"/>
      <c r="F36" s="728" t="s">
        <v>728</v>
      </c>
      <c r="G36" s="728" t="s">
        <v>728</v>
      </c>
      <c r="H36" s="157" t="str">
        <f>IFERROR(IF('H-Risk Register-Model'!F36="Certain","Relook at Basis of Estimate",INDEX('G-Assumptions'!$F$8:$J$11,MATCH(F36,'G-Assumptions'!$D$8:$D$11,0),MATCH(G36,'G-Assumptions'!$F$6:$J$6,0))),"Unrated")</f>
        <v>Unrated</v>
      </c>
      <c r="I36" s="728" t="s">
        <v>728</v>
      </c>
      <c r="J36" s="157" t="str">
        <f>IFERROR(IF('H-Risk Register-Model'!F36="Certain","Relook at Basis of Estimate",INDEX('G-Assumptions'!$F$8:$J$11,MATCH(F36,'G-Assumptions'!$D$8:$D$11,0),MATCH(I36,'G-Assumptions'!$F$6:$J$6,0))),"Unrated")</f>
        <v>Unrated</v>
      </c>
      <c r="K36" s="728" t="s">
        <v>728</v>
      </c>
      <c r="L36" s="728" t="s">
        <v>728</v>
      </c>
      <c r="M36" s="728"/>
      <c r="N36" s="731" t="s">
        <v>728</v>
      </c>
      <c r="O36" s="731" t="s">
        <v>728</v>
      </c>
      <c r="P36" s="732"/>
      <c r="Q36" s="732"/>
      <c r="R36" s="732"/>
      <c r="S36" s="733"/>
      <c r="T36" s="733"/>
      <c r="U36" s="733"/>
      <c r="V36" s="734"/>
      <c r="W36" s="732"/>
      <c r="X36" s="732"/>
      <c r="Y36" s="735">
        <v>1</v>
      </c>
      <c r="Z36" s="736">
        <v>1</v>
      </c>
      <c r="AA36" s="166">
        <f t="shared" si="19"/>
        <v>0</v>
      </c>
      <c r="AB36" s="166">
        <f t="shared" si="20"/>
        <v>0</v>
      </c>
      <c r="AC36" s="166">
        <f t="shared" si="21"/>
        <v>0</v>
      </c>
      <c r="AD36" s="166"/>
      <c r="AE36" s="164">
        <f t="shared" si="22"/>
        <v>0</v>
      </c>
      <c r="AF36" s="167"/>
      <c r="AG36" s="165">
        <f t="shared" si="5"/>
        <v>0</v>
      </c>
      <c r="AH36" s="729"/>
      <c r="AI36" s="729"/>
      <c r="AJ36" s="8"/>
      <c r="AK36" s="495" t="str">
        <f t="shared" si="6"/>
        <v>No</v>
      </c>
      <c r="AL36" s="496">
        <f>'I-Project Contingency'!$I$4</f>
        <v>9000000</v>
      </c>
      <c r="AM36" s="326">
        <f>'I-Project Contingency'!$I$11</f>
        <v>23.978102189781023</v>
      </c>
      <c r="AN36" s="325">
        <f t="shared" si="7"/>
        <v>0</v>
      </c>
      <c r="AO36" s="326">
        <f t="shared" si="8"/>
        <v>0</v>
      </c>
      <c r="AP36" s="641" t="str">
        <f t="shared" si="9"/>
        <v/>
      </c>
      <c r="AQ36" s="641" t="str">
        <f t="shared" si="10"/>
        <v/>
      </c>
      <c r="AR36" s="497" t="str">
        <f t="shared" si="11"/>
        <v/>
      </c>
      <c r="AS36" s="497" t="str">
        <f t="shared" si="12"/>
        <v/>
      </c>
      <c r="AT36" s="8"/>
      <c r="AU36" s="329">
        <f>'I-Project Contingency'!$O$4-AE36</f>
        <v>0</v>
      </c>
      <c r="AV36" s="330">
        <v>-240515.59579276721</v>
      </c>
      <c r="AW36" s="330">
        <v>28172.931401335634</v>
      </c>
      <c r="AX36" s="330">
        <v>193478.84467429668</v>
      </c>
      <c r="AY36" s="330">
        <v>361668.20104834624</v>
      </c>
      <c r="AZ36" s="330">
        <v>524446.91524262261</v>
      </c>
      <c r="BA36" s="330">
        <v>704023.56387635041</v>
      </c>
      <c r="BB36" s="330">
        <v>886394.06956240814</v>
      </c>
      <c r="BC36" s="330">
        <v>1079363.7165157665</v>
      </c>
      <c r="BD36" s="330">
        <v>1280180.1532065615</v>
      </c>
      <c r="BE36" s="330">
        <v>1485323.8019108465</v>
      </c>
      <c r="BF36" s="330">
        <v>1703758.8827524669</v>
      </c>
      <c r="BG36" s="330">
        <v>1949523.4346483489</v>
      </c>
      <c r="BH36" s="330">
        <v>2177897.1603371189</v>
      </c>
      <c r="BI36" s="330">
        <v>2429374.4260425912</v>
      </c>
      <c r="BJ36" s="330">
        <v>2717092.7449284913</v>
      </c>
      <c r="BK36" s="330">
        <v>3010093.6968918457</v>
      </c>
      <c r="BL36" s="330">
        <v>3325414.5894657462</v>
      </c>
      <c r="BM36" s="330">
        <v>3690425.9159493577</v>
      </c>
      <c r="BN36" s="330">
        <v>4143935.1706127762</v>
      </c>
      <c r="BO36" s="330">
        <v>4722651.1159141911</v>
      </c>
      <c r="BP36" s="330">
        <v>5992048.8629153483</v>
      </c>
      <c r="BQ36" s="330">
        <f>'I-Project Contingency'!$E$61-AV36</f>
        <v>0</v>
      </c>
      <c r="BR36" s="330">
        <f>'I-Project Contingency'!$E$62-AW36</f>
        <v>0</v>
      </c>
      <c r="BS36" s="330">
        <f>'I-Project Contingency'!$E$63-AX36</f>
        <v>0</v>
      </c>
      <c r="BT36" s="330">
        <f>'I-Project Contingency'!$E$64-AY36</f>
        <v>0</v>
      </c>
      <c r="BU36" s="330">
        <f>'I-Project Contingency'!$E$65-AZ36</f>
        <v>0</v>
      </c>
      <c r="BV36" s="330">
        <f>'I-Project Contingency'!$E$66-BA36</f>
        <v>0</v>
      </c>
      <c r="BW36" s="330">
        <f>'I-Project Contingency'!$E$67-BB36</f>
        <v>0</v>
      </c>
      <c r="BX36" s="330">
        <f>'I-Project Contingency'!$E$68-BC36</f>
        <v>0</v>
      </c>
      <c r="BY36" s="330">
        <f>'I-Project Contingency'!$E$69-BD36</f>
        <v>0</v>
      </c>
      <c r="BZ36" s="330">
        <f>'I-Project Contingency'!$E$70-BE36</f>
        <v>0</v>
      </c>
      <c r="CA36" s="330">
        <f>'I-Project Contingency'!$E$71-BF36</f>
        <v>0</v>
      </c>
      <c r="CB36" s="330">
        <f>'I-Project Contingency'!$E$72-BG36</f>
        <v>0</v>
      </c>
      <c r="CC36" s="330">
        <f>'I-Project Contingency'!$E$73-BH36</f>
        <v>0</v>
      </c>
      <c r="CD36" s="330">
        <f>'I-Project Contingency'!$E$74-BI36</f>
        <v>0</v>
      </c>
      <c r="CE36" s="330">
        <f>'I-Project Contingency'!$E$75-BJ36</f>
        <v>0</v>
      </c>
      <c r="CF36" s="330">
        <f>'I-Project Contingency'!$E$76-BK36</f>
        <v>0</v>
      </c>
      <c r="CG36" s="330">
        <f>'I-Project Contingency'!$E$77-BL36</f>
        <v>0</v>
      </c>
      <c r="CH36" s="784">
        <f>'I-Project Contingency'!$E$78-BM36</f>
        <v>0</v>
      </c>
      <c r="CI36" s="330">
        <f>'I-Project Contingency'!$E$79-BN36</f>
        <v>0</v>
      </c>
      <c r="CJ36" s="330">
        <f>'I-Project Contingency'!$E$80-BO36</f>
        <v>0</v>
      </c>
      <c r="CK36" s="330">
        <f>'I-Project Contingency'!$E$81-BP36</f>
        <v>0</v>
      </c>
      <c r="CL36" s="331">
        <f>'I-Project Contingency'!$O$5-AG36</f>
        <v>0</v>
      </c>
      <c r="CM36" s="332">
        <v>-0.98711802853447173</v>
      </c>
      <c r="CN36" s="332">
        <v>-0.19547704728364468</v>
      </c>
      <c r="CO36" s="332">
        <v>0.126462150308498</v>
      </c>
      <c r="CP36" s="332">
        <v>0.45967989154545902</v>
      </c>
      <c r="CQ36" s="332">
        <v>0.78297319902744</v>
      </c>
      <c r="CR36" s="332">
        <v>1.0957191966482109</v>
      </c>
      <c r="CS36" s="332">
        <v>1.4418405003536849</v>
      </c>
      <c r="CT36" s="332">
        <v>1.801002404194165</v>
      </c>
      <c r="CU36" s="332">
        <v>2.1797608166947349</v>
      </c>
      <c r="CV36" s="332">
        <v>2.5671680610072478</v>
      </c>
      <c r="CW36" s="332">
        <v>2.9690760644797152</v>
      </c>
      <c r="CX36" s="332">
        <v>3.3964145469774811</v>
      </c>
      <c r="CY36" s="332">
        <v>3.864536087769562</v>
      </c>
      <c r="CZ36" s="332">
        <v>4.3569836138896116</v>
      </c>
      <c r="DA36" s="332">
        <v>4.8862357851222598</v>
      </c>
      <c r="DB36" s="332">
        <v>5.438836997347547</v>
      </c>
      <c r="DC36" s="332">
        <v>6.047993455908566</v>
      </c>
      <c r="DD36" s="785">
        <v>6.720204953601761</v>
      </c>
      <c r="DE36" s="333">
        <v>7.55131678090412</v>
      </c>
      <c r="DF36" s="332">
        <v>8.661446370835737</v>
      </c>
      <c r="DG36" s="332">
        <v>11.206316207857133</v>
      </c>
      <c r="DH36" s="332">
        <f>'I-Project Contingency'!$E$86-CM36</f>
        <v>0</v>
      </c>
      <c r="DI36" s="332">
        <f>'I-Project Contingency'!$E$87-CN36</f>
        <v>0</v>
      </c>
      <c r="DJ36" s="332">
        <f>'I-Project Contingency'!$E$88-CO36</f>
        <v>0</v>
      </c>
      <c r="DK36" s="332">
        <f>'I-Project Contingency'!$E$89-CP36</f>
        <v>0</v>
      </c>
      <c r="DL36" s="332">
        <f>'I-Project Contingency'!$E$90-CQ36</f>
        <v>0</v>
      </c>
      <c r="DM36" s="332">
        <f>'I-Project Contingency'!$E$91-CR36</f>
        <v>0</v>
      </c>
      <c r="DN36" s="332">
        <f>'I-Project Contingency'!$E$92-CS36</f>
        <v>0</v>
      </c>
      <c r="DO36" s="332">
        <f>'I-Project Contingency'!$E$93-CT36</f>
        <v>0</v>
      </c>
      <c r="DP36" s="332">
        <f>'I-Project Contingency'!$E$94-CU36</f>
        <v>0</v>
      </c>
      <c r="DQ36" s="332">
        <f>'I-Project Contingency'!$E$95-CV36</f>
        <v>0</v>
      </c>
      <c r="DR36" s="332">
        <f>'I-Project Contingency'!$E$96-CW36</f>
        <v>0</v>
      </c>
      <c r="DS36" s="332">
        <f>'I-Project Contingency'!$E$97-CX36</f>
        <v>0</v>
      </c>
      <c r="DT36" s="332">
        <f>'I-Project Contingency'!$E$98-CY36</f>
        <v>0</v>
      </c>
      <c r="DU36" s="332">
        <f>'I-Project Contingency'!$E$99-CZ36</f>
        <v>0</v>
      </c>
      <c r="DV36" s="332">
        <f>'I-Project Contingency'!$E$100-DA36</f>
        <v>0</v>
      </c>
      <c r="DW36" s="332">
        <f>'I-Project Contingency'!$E$101-DB36</f>
        <v>0</v>
      </c>
      <c r="DX36" s="332">
        <f>'I-Project Contingency'!$E$102-DC36</f>
        <v>0</v>
      </c>
      <c r="DY36" s="332">
        <f>'I-Project Contingency'!$E$103-DD36</f>
        <v>0</v>
      </c>
      <c r="DZ36" s="332">
        <f>'I-Project Contingency'!$E$104-DE36</f>
        <v>0</v>
      </c>
      <c r="EA36" s="332">
        <f>'I-Project Contingency'!$E$105-DF36</f>
        <v>0</v>
      </c>
      <c r="EB36" s="332">
        <f>'I-Project Contingency'!$E$106-DG36</f>
        <v>0</v>
      </c>
      <c r="EC36" s="334">
        <f>IF(EE36="N/A","N/A",ABS(INDEX(EE36:EY36,1,MATCH("ROM Cost Risk @ "&amp;'D-Project Data'!$C$6*100&amp;"%",$EE$17:$EY$17,0))))</f>
        <v>0</v>
      </c>
      <c r="ED36" s="335">
        <f>IF(EC36="N/A","N/A",RANK(EC36,$EC$18:$EC$117,0)+COUNTIF($EC$18:EC36,EC36)-1)</f>
        <v>19</v>
      </c>
      <c r="EE36" s="334">
        <f>IF(BQ36/SUM(BQ:BQ)*'I-Project Contingency'!$F$61=0,0,BQ36/SUM(BQ:BQ)*'I-Project Contingency'!$F$61)</f>
        <v>0</v>
      </c>
      <c r="EF36" s="334">
        <f>IF(BR36/SUM(BR:BR)*'I-Project Contingency'!$F$62=0,0,BR36/SUM(BR:BR)*'I-Project Contingency'!$F$62)</f>
        <v>0</v>
      </c>
      <c r="EG36" s="334">
        <f>IF(BS36/SUM(BS:BS)*'I-Project Contingency'!$F$63=0,0,BS36/SUM(BS:BS)*'I-Project Contingency'!$F$63)</f>
        <v>0</v>
      </c>
      <c r="EH36" s="334">
        <f>IF(BT36/SUM(BT:BT)*'I-Project Contingency'!$F$64=0,0,BT36/SUM(BT:BT)*'I-Project Contingency'!$F$64)</f>
        <v>0</v>
      </c>
      <c r="EI36" s="334">
        <f>IF(BU36/SUM(BU:BU)*'I-Project Contingency'!$F$65=0,0,BU36/SUM(BU:BU)*'I-Project Contingency'!$F$65)</f>
        <v>0</v>
      </c>
      <c r="EJ36" s="334">
        <f>IF(BV36/SUM(BV:BV)*'I-Project Contingency'!$F$66=0,0,BV36/SUM(BV:BV)*'I-Project Contingency'!$F$66)</f>
        <v>0</v>
      </c>
      <c r="EK36" s="334">
        <f>IF(BW36/SUM(BW:BW)*'I-Project Contingency'!$F$67=0,0,BW36/SUM(BW:BW)*'I-Project Contingency'!$F$67)</f>
        <v>0</v>
      </c>
      <c r="EL36" s="334">
        <f>IF(BX36/SUM(BX:BX)*'I-Project Contingency'!$F$68=0,0,BX36/SUM(BX:BX)*'I-Project Contingency'!$F$68)</f>
        <v>0</v>
      </c>
      <c r="EM36" s="334">
        <f>IF(BY36/SUM(BY:BY)*'I-Project Contingency'!$F$69=0,0,BY36/SUM(BY:BY)*'I-Project Contingency'!$F$69)</f>
        <v>0</v>
      </c>
      <c r="EN36" s="334">
        <f>IF(BZ36/SUM(BZ:BZ)*'I-Project Contingency'!$F$70=0,0,BZ36/SUM(BZ:BZ)*'I-Project Contingency'!$F$70)</f>
        <v>0</v>
      </c>
      <c r="EO36" s="334">
        <f>IF(CA36/SUM(CA:CA)*'I-Project Contingency'!$F$71=0,0,CA36/SUM(CA:CA)*'I-Project Contingency'!$F$71)</f>
        <v>0</v>
      </c>
      <c r="EP36" s="334">
        <f>IF(CB36/SUM(CB:CB)*'I-Project Contingency'!$F$72=0,0,CB36/SUM(CB:CB)*'I-Project Contingency'!$F$72)</f>
        <v>0</v>
      </c>
      <c r="EQ36" s="334">
        <f>IF(CC36/SUM(CC:CC)*'I-Project Contingency'!$F$73=0,0,CC36/SUM(CC:CC)*'I-Project Contingency'!$F$73)</f>
        <v>0</v>
      </c>
      <c r="ER36" s="334">
        <f>IF(CD36/SUM(CD:CD)*'I-Project Contingency'!$F$74=0,0,CD36/SUM(CD:CD)*'I-Project Contingency'!$F$74)</f>
        <v>0</v>
      </c>
      <c r="ES36" s="334">
        <f>IF(CE36/SUM(CE:CE)*'I-Project Contingency'!$F$75=0,0,CE36/SUM(CE:CE)*'I-Project Contingency'!$F$75)</f>
        <v>0</v>
      </c>
      <c r="ET36" s="334">
        <f>IF(CF36/SUM(CF:CF)*'I-Project Contingency'!$F$76=0,0,CF36/SUM(CF:CF)*'I-Project Contingency'!$F$76)</f>
        <v>0</v>
      </c>
      <c r="EU36" s="334">
        <f>IF(CG36/SUM(CG:CG)*'I-Project Contingency'!$F$77=0,0,CG36/SUM(CG:CG)*'I-Project Contingency'!$F$77)</f>
        <v>0</v>
      </c>
      <c r="EV36" s="787">
        <f>IF(CH36/SUM(CH:CH)*'I-Project Contingency'!$F$78=0,0,CH36/SUM(CH:CH)*'I-Project Contingency'!$F$78)</f>
        <v>0</v>
      </c>
      <c r="EW36" s="787">
        <f>IF(CI36/SUM(CI:CI)*'I-Project Contingency'!$F$79=0,0,CI36/SUM(CI:CI)*'I-Project Contingency'!$F$79)</f>
        <v>0</v>
      </c>
      <c r="EX36" s="787">
        <f>IF(CJ36/SUM(CJ:CJ)*'I-Project Contingency'!$F$80=0,0,CJ36/SUM(CJ:CJ)*'I-Project Contingency'!$F$80)</f>
        <v>0</v>
      </c>
      <c r="EY36" s="787">
        <f>IF(CK36/SUM(CK:CK)*'I-Project Contingency'!$F$81=0,0,CK36/SUM(CK:CK)*'I-Project Contingency'!$F$81)</f>
        <v>0</v>
      </c>
      <c r="EZ36" s="333">
        <f>IF(FB36="N/A","N/A",ABS(INDEX(FB36:FV36,1,MATCH("ROM Schedule Risk @ "&amp;'D-Project Data'!$C$6*100&amp;"%",$FB$17:$FV$17,0))))</f>
        <v>0</v>
      </c>
      <c r="FA36" s="335">
        <f>IF(EZ36="N/A","N/A",RANK(EZ36,$EZ$18:$EZ$117,0)+COUNTIF($FB$18:FB36,FB36)-1)</f>
        <v>19</v>
      </c>
      <c r="FB36" s="788">
        <f>IF(DH36/SUM(DH:DH)*'I-Project Contingency'!$F$86=0,0,DH36/SUM(DH:DH)*'I-Project Contingency'!$F$86)</f>
        <v>0</v>
      </c>
      <c r="FC36" s="788">
        <f>IF(DI36/SUM(DI:DI)*'I-Project Contingency'!$F$87=0,0,DI36/SUM(DI:DI)*'I-Project Contingency'!$F$87)</f>
        <v>0</v>
      </c>
      <c r="FD36" s="788">
        <f>IF(DJ36/SUM(DJ:DJ)*'I-Project Contingency'!$F$88=0,0,DJ36/SUM(DJ:DJ)*'I-Project Contingency'!$F$88)</f>
        <v>0</v>
      </c>
      <c r="FE36" s="788">
        <f>IF(DK36/SUM(DK:DK)*'I-Project Contingency'!$F$89=0,0,DK36/SUM(DK:DK)*'I-Project Contingency'!$F$89)</f>
        <v>0</v>
      </c>
      <c r="FF36" s="788">
        <f>IF(DL36/SUM(DL:DL)*'I-Project Contingency'!$F$90=0,0,DL36/SUM(DL:DL)*'I-Project Contingency'!$F$90)</f>
        <v>0</v>
      </c>
      <c r="FG36" s="788">
        <f>IF(DM36/SUM(DM:DM)*'I-Project Contingency'!$F$91=0,0,DM36/SUM(DM:DM)*'I-Project Contingency'!$F$91)</f>
        <v>0</v>
      </c>
      <c r="FH36" s="788">
        <f>IF(DN36/SUM(DN:DN)*'I-Project Contingency'!$F$92=0,0,DN36/SUM(DN:DN)*'I-Project Contingency'!$F$92)</f>
        <v>0</v>
      </c>
      <c r="FI36" s="788">
        <f>IF(DO36/SUM(DO:DO)*'I-Project Contingency'!$F$93=0,0,DO36/SUM(DO:DO)*'I-Project Contingency'!$F$93)</f>
        <v>0</v>
      </c>
      <c r="FJ36" s="788">
        <f>IF(DP36/SUM(DP:DP)*'I-Project Contingency'!$F$94=0,0,DP36/SUM(DP:DP)*'I-Project Contingency'!$F$94)</f>
        <v>0</v>
      </c>
      <c r="FK36" s="788">
        <f>IF(DQ36/SUM(DQ:DQ)*'I-Project Contingency'!$F$95=0,0,DQ36/SUM(DQ:DQ)*'I-Project Contingency'!$F$95)</f>
        <v>0</v>
      </c>
      <c r="FL36" s="788">
        <f>IF(DR36/SUM(DR:DR)*'I-Project Contingency'!$F$96=0,0,DR36/SUM(DR:DR)*'I-Project Contingency'!$F$96)</f>
        <v>0</v>
      </c>
      <c r="FM36" s="788">
        <f>IF(DS36/SUM(DS:DS)*'I-Project Contingency'!$F$97=0,0,DS36/SUM(DS:DS)*'I-Project Contingency'!$F$97)</f>
        <v>0</v>
      </c>
      <c r="FN36" s="788">
        <f>IF(DT36/SUM(DT:DT)*'I-Project Contingency'!$F$98=0,0,DT36/SUM(DT:DT)*'I-Project Contingency'!$F$98)</f>
        <v>0</v>
      </c>
      <c r="FO36" s="788">
        <f>IF(DU36/SUM(DU:DU)*'I-Project Contingency'!$F$99=0,0,DU36/SUM(DU:DU)*'I-Project Contingency'!$F$99)</f>
        <v>0</v>
      </c>
      <c r="FP36" s="788">
        <f>IF(DV36/SUM(DV:DV)*'I-Project Contingency'!$F$100=0,0,DV36/SUM(DV:DV)*'I-Project Contingency'!$F$100)</f>
        <v>0</v>
      </c>
      <c r="FQ36" s="788">
        <f>IF(DW36/SUM(DW:DW)*'I-Project Contingency'!$F$101=0,0,DW36/SUM(DW:DW)*'I-Project Contingency'!$F$101)</f>
        <v>0</v>
      </c>
      <c r="FR36" s="788">
        <f>IF(DX36/SUM(DX:DX)*'I-Project Contingency'!$F$102=0,0,DX36/SUM(DX:DX)*'I-Project Contingency'!$F$102)</f>
        <v>0</v>
      </c>
      <c r="FS36" s="788">
        <f>IF(DY36/SUM(DY:DY)*'I-Project Contingency'!$F$103=0,0,DY36/SUM(DY:DY)*'I-Project Contingency'!$F$103)</f>
        <v>0</v>
      </c>
      <c r="FT36" s="788">
        <f>IF(DZ36/SUM(DZ:DZ)*'I-Project Contingency'!$F$104=0,0,DZ36/SUM(DZ:DZ)*'I-Project Contingency'!$F$104)</f>
        <v>0</v>
      </c>
      <c r="FU36" s="788">
        <f>IF(EA36/SUM(EA:EA)*'I-Project Contingency'!$F$105=0,0,EA36/SUM(EA:EA)*'I-Project Contingency'!$F$105)</f>
        <v>0</v>
      </c>
      <c r="FV36" s="788">
        <f>IF(EB36/SUM(EB:EB)*'I-Project Contingency'!$F$106=0,0,EB36/SUM(EB:EB)*'I-Project Contingency'!$F$106)</f>
        <v>0</v>
      </c>
      <c r="FW36" s="335">
        <f t="shared" si="13"/>
        <v>19</v>
      </c>
      <c r="FX36" s="336" t="str">
        <f t="shared" si="14"/>
        <v xml:space="preserve">19 - </v>
      </c>
      <c r="FY36" s="330">
        <f t="shared" si="15"/>
        <v>0</v>
      </c>
      <c r="FZ36" s="330">
        <f t="shared" si="16"/>
        <v>0</v>
      </c>
      <c r="GA36" s="332">
        <f t="shared" si="17"/>
        <v>0</v>
      </c>
      <c r="GB36" s="332">
        <f t="shared" si="18"/>
        <v>0</v>
      </c>
    </row>
    <row r="37" spans="1:184" ht="30" x14ac:dyDescent="0.25">
      <c r="A37" s="163">
        <f t="shared" si="23"/>
        <v>20</v>
      </c>
      <c r="B37" s="727" t="s">
        <v>728</v>
      </c>
      <c r="C37" s="729"/>
      <c r="D37" s="729"/>
      <c r="E37" s="729"/>
      <c r="F37" s="728" t="s">
        <v>728</v>
      </c>
      <c r="G37" s="728" t="s">
        <v>728</v>
      </c>
      <c r="H37" s="157" t="str">
        <f>IFERROR(IF('H-Risk Register-Model'!F37="Certain","Relook at Basis of Estimate",INDEX('G-Assumptions'!$F$8:$J$11,MATCH(F37,'G-Assumptions'!$D$8:$D$11,0),MATCH(G37,'G-Assumptions'!$F$6:$J$6,0))),"Unrated")</f>
        <v>Unrated</v>
      </c>
      <c r="I37" s="728" t="s">
        <v>728</v>
      </c>
      <c r="J37" s="157" t="str">
        <f>IFERROR(IF('H-Risk Register-Model'!F37="Certain","Relook at Basis of Estimate",INDEX('G-Assumptions'!$F$8:$J$11,MATCH(F37,'G-Assumptions'!$D$8:$D$11,0),MATCH(I37,'G-Assumptions'!$F$6:$J$6,0))),"Unrated")</f>
        <v>Unrated</v>
      </c>
      <c r="K37" s="728" t="s">
        <v>728</v>
      </c>
      <c r="L37" s="728" t="s">
        <v>728</v>
      </c>
      <c r="M37" s="728"/>
      <c r="N37" s="731" t="s">
        <v>728</v>
      </c>
      <c r="O37" s="731" t="s">
        <v>728</v>
      </c>
      <c r="P37" s="732"/>
      <c r="Q37" s="732"/>
      <c r="R37" s="732"/>
      <c r="S37" s="733"/>
      <c r="T37" s="733"/>
      <c r="U37" s="733"/>
      <c r="V37" s="734"/>
      <c r="W37" s="732"/>
      <c r="X37" s="732"/>
      <c r="Y37" s="735">
        <v>1</v>
      </c>
      <c r="Z37" s="736">
        <v>1</v>
      </c>
      <c r="AA37" s="166">
        <f t="shared" si="19"/>
        <v>0</v>
      </c>
      <c r="AB37" s="166">
        <f t="shared" si="20"/>
        <v>0</v>
      </c>
      <c r="AC37" s="166">
        <f t="shared" si="21"/>
        <v>0</v>
      </c>
      <c r="AD37" s="166"/>
      <c r="AE37" s="164">
        <f t="shared" si="22"/>
        <v>0</v>
      </c>
      <c r="AF37" s="167"/>
      <c r="AG37" s="165">
        <f t="shared" si="5"/>
        <v>0</v>
      </c>
      <c r="AH37" s="729"/>
      <c r="AI37" s="729"/>
      <c r="AJ37" s="8"/>
      <c r="AK37" s="495" t="str">
        <f t="shared" si="6"/>
        <v>No</v>
      </c>
      <c r="AL37" s="496">
        <f>'I-Project Contingency'!$I$4</f>
        <v>9000000</v>
      </c>
      <c r="AM37" s="326">
        <f>'I-Project Contingency'!$I$11</f>
        <v>23.978102189781023</v>
      </c>
      <c r="AN37" s="325">
        <f t="shared" si="7"/>
        <v>0</v>
      </c>
      <c r="AO37" s="326">
        <f t="shared" si="8"/>
        <v>0</v>
      </c>
      <c r="AP37" s="641" t="str">
        <f t="shared" si="9"/>
        <v/>
      </c>
      <c r="AQ37" s="641" t="str">
        <f t="shared" si="10"/>
        <v/>
      </c>
      <c r="AR37" s="497" t="str">
        <f t="shared" si="11"/>
        <v/>
      </c>
      <c r="AS37" s="497" t="str">
        <f t="shared" si="12"/>
        <v/>
      </c>
      <c r="AT37" s="8"/>
      <c r="AU37" s="329">
        <f>'I-Project Contingency'!$O$4-AE37</f>
        <v>0</v>
      </c>
      <c r="AV37" s="330">
        <v>-240515.59579276721</v>
      </c>
      <c r="AW37" s="330">
        <v>28172.931401335634</v>
      </c>
      <c r="AX37" s="330">
        <v>193478.84467429668</v>
      </c>
      <c r="AY37" s="330">
        <v>361668.20104834624</v>
      </c>
      <c r="AZ37" s="330">
        <v>524446.91524262261</v>
      </c>
      <c r="BA37" s="330">
        <v>704023.56387635041</v>
      </c>
      <c r="BB37" s="330">
        <v>886394.06956240814</v>
      </c>
      <c r="BC37" s="330">
        <v>1079363.7165157665</v>
      </c>
      <c r="BD37" s="330">
        <v>1280180.1532065615</v>
      </c>
      <c r="BE37" s="330">
        <v>1485323.8019108465</v>
      </c>
      <c r="BF37" s="330">
        <v>1703758.8827524669</v>
      </c>
      <c r="BG37" s="330">
        <v>1949523.4346483489</v>
      </c>
      <c r="BH37" s="330">
        <v>2177897.1603371189</v>
      </c>
      <c r="BI37" s="330">
        <v>2429374.4260425912</v>
      </c>
      <c r="BJ37" s="330">
        <v>2717092.7449284913</v>
      </c>
      <c r="BK37" s="330">
        <v>3010093.6968918457</v>
      </c>
      <c r="BL37" s="330">
        <v>3325414.5894657462</v>
      </c>
      <c r="BM37" s="330">
        <v>3690425.9159493577</v>
      </c>
      <c r="BN37" s="330">
        <v>4143935.1706127762</v>
      </c>
      <c r="BO37" s="330">
        <v>4722651.1159141911</v>
      </c>
      <c r="BP37" s="330">
        <v>5992048.8629153483</v>
      </c>
      <c r="BQ37" s="330">
        <f>'I-Project Contingency'!$E$61-AV37</f>
        <v>0</v>
      </c>
      <c r="BR37" s="330">
        <f>'I-Project Contingency'!$E$62-AW37</f>
        <v>0</v>
      </c>
      <c r="BS37" s="330">
        <f>'I-Project Contingency'!$E$63-AX37</f>
        <v>0</v>
      </c>
      <c r="BT37" s="330">
        <f>'I-Project Contingency'!$E$64-AY37</f>
        <v>0</v>
      </c>
      <c r="BU37" s="330">
        <f>'I-Project Contingency'!$E$65-AZ37</f>
        <v>0</v>
      </c>
      <c r="BV37" s="330">
        <f>'I-Project Contingency'!$E$66-BA37</f>
        <v>0</v>
      </c>
      <c r="BW37" s="330">
        <f>'I-Project Contingency'!$E$67-BB37</f>
        <v>0</v>
      </c>
      <c r="BX37" s="330">
        <f>'I-Project Contingency'!$E$68-BC37</f>
        <v>0</v>
      </c>
      <c r="BY37" s="330">
        <f>'I-Project Contingency'!$E$69-BD37</f>
        <v>0</v>
      </c>
      <c r="BZ37" s="330">
        <f>'I-Project Contingency'!$E$70-BE37</f>
        <v>0</v>
      </c>
      <c r="CA37" s="330">
        <f>'I-Project Contingency'!$E$71-BF37</f>
        <v>0</v>
      </c>
      <c r="CB37" s="330">
        <f>'I-Project Contingency'!$E$72-BG37</f>
        <v>0</v>
      </c>
      <c r="CC37" s="330">
        <f>'I-Project Contingency'!$E$73-BH37</f>
        <v>0</v>
      </c>
      <c r="CD37" s="330">
        <f>'I-Project Contingency'!$E$74-BI37</f>
        <v>0</v>
      </c>
      <c r="CE37" s="330">
        <f>'I-Project Contingency'!$E$75-BJ37</f>
        <v>0</v>
      </c>
      <c r="CF37" s="330">
        <f>'I-Project Contingency'!$E$76-BK37</f>
        <v>0</v>
      </c>
      <c r="CG37" s="330">
        <f>'I-Project Contingency'!$E$77-BL37</f>
        <v>0</v>
      </c>
      <c r="CH37" s="784">
        <f>'I-Project Contingency'!$E$78-BM37</f>
        <v>0</v>
      </c>
      <c r="CI37" s="330">
        <f>'I-Project Contingency'!$E$79-BN37</f>
        <v>0</v>
      </c>
      <c r="CJ37" s="330">
        <f>'I-Project Contingency'!$E$80-BO37</f>
        <v>0</v>
      </c>
      <c r="CK37" s="330">
        <f>'I-Project Contingency'!$E$81-BP37</f>
        <v>0</v>
      </c>
      <c r="CL37" s="331">
        <f>'I-Project Contingency'!$O$5-AG37</f>
        <v>0</v>
      </c>
      <c r="CM37" s="332">
        <v>-0.98711802853447173</v>
      </c>
      <c r="CN37" s="332">
        <v>-0.19547704728364468</v>
      </c>
      <c r="CO37" s="332">
        <v>0.126462150308498</v>
      </c>
      <c r="CP37" s="332">
        <v>0.45967989154545902</v>
      </c>
      <c r="CQ37" s="332">
        <v>0.78297319902744</v>
      </c>
      <c r="CR37" s="332">
        <v>1.0957191966482109</v>
      </c>
      <c r="CS37" s="332">
        <v>1.4418405003536849</v>
      </c>
      <c r="CT37" s="332">
        <v>1.801002404194165</v>
      </c>
      <c r="CU37" s="332">
        <v>2.1797608166947349</v>
      </c>
      <c r="CV37" s="332">
        <v>2.5671680610072478</v>
      </c>
      <c r="CW37" s="332">
        <v>2.9690760644797152</v>
      </c>
      <c r="CX37" s="332">
        <v>3.3964145469774811</v>
      </c>
      <c r="CY37" s="332">
        <v>3.864536087769562</v>
      </c>
      <c r="CZ37" s="332">
        <v>4.3569836138896116</v>
      </c>
      <c r="DA37" s="332">
        <v>4.8862357851222598</v>
      </c>
      <c r="DB37" s="332">
        <v>5.438836997347547</v>
      </c>
      <c r="DC37" s="332">
        <v>6.047993455908566</v>
      </c>
      <c r="DD37" s="785">
        <v>6.720204953601761</v>
      </c>
      <c r="DE37" s="333">
        <v>7.55131678090412</v>
      </c>
      <c r="DF37" s="332">
        <v>8.661446370835737</v>
      </c>
      <c r="DG37" s="332">
        <v>11.206316207857133</v>
      </c>
      <c r="DH37" s="332">
        <f>'I-Project Contingency'!$E$86-CM37</f>
        <v>0</v>
      </c>
      <c r="DI37" s="332">
        <f>'I-Project Contingency'!$E$87-CN37</f>
        <v>0</v>
      </c>
      <c r="DJ37" s="332">
        <f>'I-Project Contingency'!$E$88-CO37</f>
        <v>0</v>
      </c>
      <c r="DK37" s="332">
        <f>'I-Project Contingency'!$E$89-CP37</f>
        <v>0</v>
      </c>
      <c r="DL37" s="332">
        <f>'I-Project Contingency'!$E$90-CQ37</f>
        <v>0</v>
      </c>
      <c r="DM37" s="332">
        <f>'I-Project Contingency'!$E$91-CR37</f>
        <v>0</v>
      </c>
      <c r="DN37" s="332">
        <f>'I-Project Contingency'!$E$92-CS37</f>
        <v>0</v>
      </c>
      <c r="DO37" s="332">
        <f>'I-Project Contingency'!$E$93-CT37</f>
        <v>0</v>
      </c>
      <c r="DP37" s="332">
        <f>'I-Project Contingency'!$E$94-CU37</f>
        <v>0</v>
      </c>
      <c r="DQ37" s="332">
        <f>'I-Project Contingency'!$E$95-CV37</f>
        <v>0</v>
      </c>
      <c r="DR37" s="332">
        <f>'I-Project Contingency'!$E$96-CW37</f>
        <v>0</v>
      </c>
      <c r="DS37" s="332">
        <f>'I-Project Contingency'!$E$97-CX37</f>
        <v>0</v>
      </c>
      <c r="DT37" s="332">
        <f>'I-Project Contingency'!$E$98-CY37</f>
        <v>0</v>
      </c>
      <c r="DU37" s="332">
        <f>'I-Project Contingency'!$E$99-CZ37</f>
        <v>0</v>
      </c>
      <c r="DV37" s="332">
        <f>'I-Project Contingency'!$E$100-DA37</f>
        <v>0</v>
      </c>
      <c r="DW37" s="332">
        <f>'I-Project Contingency'!$E$101-DB37</f>
        <v>0</v>
      </c>
      <c r="DX37" s="332">
        <f>'I-Project Contingency'!$E$102-DC37</f>
        <v>0</v>
      </c>
      <c r="DY37" s="332">
        <f>'I-Project Contingency'!$E$103-DD37</f>
        <v>0</v>
      </c>
      <c r="DZ37" s="332">
        <f>'I-Project Contingency'!$E$104-DE37</f>
        <v>0</v>
      </c>
      <c r="EA37" s="332">
        <f>'I-Project Contingency'!$E$105-DF37</f>
        <v>0</v>
      </c>
      <c r="EB37" s="332">
        <f>'I-Project Contingency'!$E$106-DG37</f>
        <v>0</v>
      </c>
      <c r="EC37" s="334">
        <f>IF(EE37="N/A","N/A",ABS(INDEX(EE37:EY37,1,MATCH("ROM Cost Risk @ "&amp;'D-Project Data'!$C$6*100&amp;"%",$EE$17:$EY$17,0))))</f>
        <v>0</v>
      </c>
      <c r="ED37" s="335">
        <f>IF(EC37="N/A","N/A",RANK(EC37,$EC$18:$EC$117,0)+COUNTIF($EC$18:EC37,EC37)-1)</f>
        <v>20</v>
      </c>
      <c r="EE37" s="334">
        <f>IF(BQ37/SUM(BQ:BQ)*'I-Project Contingency'!$F$61=0,0,BQ37/SUM(BQ:BQ)*'I-Project Contingency'!$F$61)</f>
        <v>0</v>
      </c>
      <c r="EF37" s="334">
        <f>IF(BR37/SUM(BR:BR)*'I-Project Contingency'!$F$62=0,0,BR37/SUM(BR:BR)*'I-Project Contingency'!$F$62)</f>
        <v>0</v>
      </c>
      <c r="EG37" s="334">
        <f>IF(BS37/SUM(BS:BS)*'I-Project Contingency'!$F$63=0,0,BS37/SUM(BS:BS)*'I-Project Contingency'!$F$63)</f>
        <v>0</v>
      </c>
      <c r="EH37" s="334">
        <f>IF(BT37/SUM(BT:BT)*'I-Project Contingency'!$F$64=0,0,BT37/SUM(BT:BT)*'I-Project Contingency'!$F$64)</f>
        <v>0</v>
      </c>
      <c r="EI37" s="334">
        <f>IF(BU37/SUM(BU:BU)*'I-Project Contingency'!$F$65=0,0,BU37/SUM(BU:BU)*'I-Project Contingency'!$F$65)</f>
        <v>0</v>
      </c>
      <c r="EJ37" s="334">
        <f>IF(BV37/SUM(BV:BV)*'I-Project Contingency'!$F$66=0,0,BV37/SUM(BV:BV)*'I-Project Contingency'!$F$66)</f>
        <v>0</v>
      </c>
      <c r="EK37" s="334">
        <f>IF(BW37/SUM(BW:BW)*'I-Project Contingency'!$F$67=0,0,BW37/SUM(BW:BW)*'I-Project Contingency'!$F$67)</f>
        <v>0</v>
      </c>
      <c r="EL37" s="334">
        <f>IF(BX37/SUM(BX:BX)*'I-Project Contingency'!$F$68=0,0,BX37/SUM(BX:BX)*'I-Project Contingency'!$F$68)</f>
        <v>0</v>
      </c>
      <c r="EM37" s="334">
        <f>IF(BY37/SUM(BY:BY)*'I-Project Contingency'!$F$69=0,0,BY37/SUM(BY:BY)*'I-Project Contingency'!$F$69)</f>
        <v>0</v>
      </c>
      <c r="EN37" s="334">
        <f>IF(BZ37/SUM(BZ:BZ)*'I-Project Contingency'!$F$70=0,0,BZ37/SUM(BZ:BZ)*'I-Project Contingency'!$F$70)</f>
        <v>0</v>
      </c>
      <c r="EO37" s="334">
        <f>IF(CA37/SUM(CA:CA)*'I-Project Contingency'!$F$71=0,0,CA37/SUM(CA:CA)*'I-Project Contingency'!$F$71)</f>
        <v>0</v>
      </c>
      <c r="EP37" s="334">
        <f>IF(CB37/SUM(CB:CB)*'I-Project Contingency'!$F$72=0,0,CB37/SUM(CB:CB)*'I-Project Contingency'!$F$72)</f>
        <v>0</v>
      </c>
      <c r="EQ37" s="334">
        <f>IF(CC37/SUM(CC:CC)*'I-Project Contingency'!$F$73=0,0,CC37/SUM(CC:CC)*'I-Project Contingency'!$F$73)</f>
        <v>0</v>
      </c>
      <c r="ER37" s="334">
        <f>IF(CD37/SUM(CD:CD)*'I-Project Contingency'!$F$74=0,0,CD37/SUM(CD:CD)*'I-Project Contingency'!$F$74)</f>
        <v>0</v>
      </c>
      <c r="ES37" s="334">
        <f>IF(CE37/SUM(CE:CE)*'I-Project Contingency'!$F$75=0,0,CE37/SUM(CE:CE)*'I-Project Contingency'!$F$75)</f>
        <v>0</v>
      </c>
      <c r="ET37" s="334">
        <f>IF(CF37/SUM(CF:CF)*'I-Project Contingency'!$F$76=0,0,CF37/SUM(CF:CF)*'I-Project Contingency'!$F$76)</f>
        <v>0</v>
      </c>
      <c r="EU37" s="334">
        <f>IF(CG37/SUM(CG:CG)*'I-Project Contingency'!$F$77=0,0,CG37/SUM(CG:CG)*'I-Project Contingency'!$F$77)</f>
        <v>0</v>
      </c>
      <c r="EV37" s="787">
        <f>IF(CH37/SUM(CH:CH)*'I-Project Contingency'!$F$78=0,0,CH37/SUM(CH:CH)*'I-Project Contingency'!$F$78)</f>
        <v>0</v>
      </c>
      <c r="EW37" s="787">
        <f>IF(CI37/SUM(CI:CI)*'I-Project Contingency'!$F$79=0,0,CI37/SUM(CI:CI)*'I-Project Contingency'!$F$79)</f>
        <v>0</v>
      </c>
      <c r="EX37" s="787">
        <f>IF(CJ37/SUM(CJ:CJ)*'I-Project Contingency'!$F$80=0,0,CJ37/SUM(CJ:CJ)*'I-Project Contingency'!$F$80)</f>
        <v>0</v>
      </c>
      <c r="EY37" s="787">
        <f>IF(CK37/SUM(CK:CK)*'I-Project Contingency'!$F$81=0,0,CK37/SUM(CK:CK)*'I-Project Contingency'!$F$81)</f>
        <v>0</v>
      </c>
      <c r="EZ37" s="333">
        <f>IF(FB37="N/A","N/A",ABS(INDEX(FB37:FV37,1,MATCH("ROM Schedule Risk @ "&amp;'D-Project Data'!$C$6*100&amp;"%",$FB$17:$FV$17,0))))</f>
        <v>0</v>
      </c>
      <c r="FA37" s="335">
        <f>IF(EZ37="N/A","N/A",RANK(EZ37,$EZ$18:$EZ$117,0)+COUNTIF($FB$18:FB37,FB37)-1)</f>
        <v>20</v>
      </c>
      <c r="FB37" s="788">
        <f>IF(DH37/SUM(DH:DH)*'I-Project Contingency'!$F$86=0,0,DH37/SUM(DH:DH)*'I-Project Contingency'!$F$86)</f>
        <v>0</v>
      </c>
      <c r="FC37" s="788">
        <f>IF(DI37/SUM(DI:DI)*'I-Project Contingency'!$F$87=0,0,DI37/SUM(DI:DI)*'I-Project Contingency'!$F$87)</f>
        <v>0</v>
      </c>
      <c r="FD37" s="788">
        <f>IF(DJ37/SUM(DJ:DJ)*'I-Project Contingency'!$F$88=0,0,DJ37/SUM(DJ:DJ)*'I-Project Contingency'!$F$88)</f>
        <v>0</v>
      </c>
      <c r="FE37" s="788">
        <f>IF(DK37/SUM(DK:DK)*'I-Project Contingency'!$F$89=0,0,DK37/SUM(DK:DK)*'I-Project Contingency'!$F$89)</f>
        <v>0</v>
      </c>
      <c r="FF37" s="788">
        <f>IF(DL37/SUM(DL:DL)*'I-Project Contingency'!$F$90=0,0,DL37/SUM(DL:DL)*'I-Project Contingency'!$F$90)</f>
        <v>0</v>
      </c>
      <c r="FG37" s="788">
        <f>IF(DM37/SUM(DM:DM)*'I-Project Contingency'!$F$91=0,0,DM37/SUM(DM:DM)*'I-Project Contingency'!$F$91)</f>
        <v>0</v>
      </c>
      <c r="FH37" s="788">
        <f>IF(DN37/SUM(DN:DN)*'I-Project Contingency'!$F$92=0,0,DN37/SUM(DN:DN)*'I-Project Contingency'!$F$92)</f>
        <v>0</v>
      </c>
      <c r="FI37" s="788">
        <f>IF(DO37/SUM(DO:DO)*'I-Project Contingency'!$F$93=0,0,DO37/SUM(DO:DO)*'I-Project Contingency'!$F$93)</f>
        <v>0</v>
      </c>
      <c r="FJ37" s="788">
        <f>IF(DP37/SUM(DP:DP)*'I-Project Contingency'!$F$94=0,0,DP37/SUM(DP:DP)*'I-Project Contingency'!$F$94)</f>
        <v>0</v>
      </c>
      <c r="FK37" s="788">
        <f>IF(DQ37/SUM(DQ:DQ)*'I-Project Contingency'!$F$95=0,0,DQ37/SUM(DQ:DQ)*'I-Project Contingency'!$F$95)</f>
        <v>0</v>
      </c>
      <c r="FL37" s="788">
        <f>IF(DR37/SUM(DR:DR)*'I-Project Contingency'!$F$96=0,0,DR37/SUM(DR:DR)*'I-Project Contingency'!$F$96)</f>
        <v>0</v>
      </c>
      <c r="FM37" s="788">
        <f>IF(DS37/SUM(DS:DS)*'I-Project Contingency'!$F$97=0,0,DS37/SUM(DS:DS)*'I-Project Contingency'!$F$97)</f>
        <v>0</v>
      </c>
      <c r="FN37" s="788">
        <f>IF(DT37/SUM(DT:DT)*'I-Project Contingency'!$F$98=0,0,DT37/SUM(DT:DT)*'I-Project Contingency'!$F$98)</f>
        <v>0</v>
      </c>
      <c r="FO37" s="788">
        <f>IF(DU37/SUM(DU:DU)*'I-Project Contingency'!$F$99=0,0,DU37/SUM(DU:DU)*'I-Project Contingency'!$F$99)</f>
        <v>0</v>
      </c>
      <c r="FP37" s="788">
        <f>IF(DV37/SUM(DV:DV)*'I-Project Contingency'!$F$100=0,0,DV37/SUM(DV:DV)*'I-Project Contingency'!$F$100)</f>
        <v>0</v>
      </c>
      <c r="FQ37" s="788">
        <f>IF(DW37/SUM(DW:DW)*'I-Project Contingency'!$F$101=0,0,DW37/SUM(DW:DW)*'I-Project Contingency'!$F$101)</f>
        <v>0</v>
      </c>
      <c r="FR37" s="788">
        <f>IF(DX37/SUM(DX:DX)*'I-Project Contingency'!$F$102=0,0,DX37/SUM(DX:DX)*'I-Project Contingency'!$F$102)</f>
        <v>0</v>
      </c>
      <c r="FS37" s="788">
        <f>IF(DY37/SUM(DY:DY)*'I-Project Contingency'!$F$103=0,0,DY37/SUM(DY:DY)*'I-Project Contingency'!$F$103)</f>
        <v>0</v>
      </c>
      <c r="FT37" s="788">
        <f>IF(DZ37/SUM(DZ:DZ)*'I-Project Contingency'!$F$104=0,0,DZ37/SUM(DZ:DZ)*'I-Project Contingency'!$F$104)</f>
        <v>0</v>
      </c>
      <c r="FU37" s="788">
        <f>IF(EA37/SUM(EA:EA)*'I-Project Contingency'!$F$105=0,0,EA37/SUM(EA:EA)*'I-Project Contingency'!$F$105)</f>
        <v>0</v>
      </c>
      <c r="FV37" s="788">
        <f>IF(EB37/SUM(EB:EB)*'I-Project Contingency'!$F$106=0,0,EB37/SUM(EB:EB)*'I-Project Contingency'!$F$106)</f>
        <v>0</v>
      </c>
      <c r="FW37" s="335">
        <f t="shared" si="13"/>
        <v>20</v>
      </c>
      <c r="FX37" s="336" t="str">
        <f t="shared" si="14"/>
        <v xml:space="preserve">20 - </v>
      </c>
      <c r="FY37" s="330">
        <f t="shared" si="15"/>
        <v>0</v>
      </c>
      <c r="FZ37" s="330">
        <f t="shared" si="16"/>
        <v>0</v>
      </c>
      <c r="GA37" s="332">
        <f t="shared" si="17"/>
        <v>0</v>
      </c>
      <c r="GB37" s="332">
        <f t="shared" si="18"/>
        <v>0</v>
      </c>
    </row>
    <row r="38" spans="1:184" ht="30" x14ac:dyDescent="0.25">
      <c r="A38" s="163">
        <f t="shared" si="23"/>
        <v>21</v>
      </c>
      <c r="B38" s="727" t="s">
        <v>728</v>
      </c>
      <c r="C38" s="729"/>
      <c r="D38" s="729"/>
      <c r="E38" s="729"/>
      <c r="F38" s="728" t="s">
        <v>728</v>
      </c>
      <c r="G38" s="728" t="s">
        <v>728</v>
      </c>
      <c r="H38" s="157" t="str">
        <f>IFERROR(IF('H-Risk Register-Model'!F38="Certain","Relook at Basis of Estimate",INDEX('G-Assumptions'!$F$8:$J$11,MATCH(F38,'G-Assumptions'!$D$8:$D$11,0),MATCH(G38,'G-Assumptions'!$F$6:$J$6,0))),"Unrated")</f>
        <v>Unrated</v>
      </c>
      <c r="I38" s="728" t="s">
        <v>728</v>
      </c>
      <c r="J38" s="157" t="str">
        <f>IFERROR(IF('H-Risk Register-Model'!F38="Certain","Relook at Basis of Estimate",INDEX('G-Assumptions'!$F$8:$J$11,MATCH(F38,'G-Assumptions'!$D$8:$D$11,0),MATCH(I38,'G-Assumptions'!$F$6:$J$6,0))),"Unrated")</f>
        <v>Unrated</v>
      </c>
      <c r="K38" s="728" t="s">
        <v>728</v>
      </c>
      <c r="L38" s="728" t="s">
        <v>728</v>
      </c>
      <c r="M38" s="728"/>
      <c r="N38" s="731" t="s">
        <v>728</v>
      </c>
      <c r="O38" s="731" t="s">
        <v>728</v>
      </c>
      <c r="P38" s="732"/>
      <c r="Q38" s="732"/>
      <c r="R38" s="732"/>
      <c r="S38" s="733"/>
      <c r="T38" s="733"/>
      <c r="U38" s="733"/>
      <c r="V38" s="734"/>
      <c r="W38" s="732"/>
      <c r="X38" s="732"/>
      <c r="Y38" s="735">
        <v>1</v>
      </c>
      <c r="Z38" s="736">
        <v>1</v>
      </c>
      <c r="AA38" s="166">
        <f t="shared" si="19"/>
        <v>0</v>
      </c>
      <c r="AB38" s="166">
        <f t="shared" si="20"/>
        <v>0</v>
      </c>
      <c r="AC38" s="166">
        <f t="shared" si="21"/>
        <v>0</v>
      </c>
      <c r="AD38" s="166"/>
      <c r="AE38" s="164">
        <f t="shared" si="22"/>
        <v>0</v>
      </c>
      <c r="AF38" s="167"/>
      <c r="AG38" s="165">
        <f t="shared" si="5"/>
        <v>0</v>
      </c>
      <c r="AH38" s="729"/>
      <c r="AI38" s="729"/>
      <c r="AJ38" s="8"/>
      <c r="AK38" s="495" t="str">
        <f t="shared" si="6"/>
        <v>No</v>
      </c>
      <c r="AL38" s="496">
        <f>'I-Project Contingency'!$I$4</f>
        <v>9000000</v>
      </c>
      <c r="AM38" s="326">
        <f>'I-Project Contingency'!$I$11</f>
        <v>23.978102189781023</v>
      </c>
      <c r="AN38" s="325">
        <f t="shared" si="7"/>
        <v>0</v>
      </c>
      <c r="AO38" s="326">
        <f t="shared" si="8"/>
        <v>0</v>
      </c>
      <c r="AP38" s="641" t="str">
        <f t="shared" si="9"/>
        <v/>
      </c>
      <c r="AQ38" s="641" t="str">
        <f t="shared" si="10"/>
        <v/>
      </c>
      <c r="AR38" s="497" t="str">
        <f t="shared" si="11"/>
        <v/>
      </c>
      <c r="AS38" s="497" t="str">
        <f t="shared" si="12"/>
        <v/>
      </c>
      <c r="AT38" s="8"/>
      <c r="AU38" s="329">
        <f>'I-Project Contingency'!$O$4-AE38</f>
        <v>0</v>
      </c>
      <c r="AV38" s="330">
        <v>-240515.59579276721</v>
      </c>
      <c r="AW38" s="330">
        <v>28172.931401335634</v>
      </c>
      <c r="AX38" s="330">
        <v>193478.84467429668</v>
      </c>
      <c r="AY38" s="330">
        <v>361668.20104834624</v>
      </c>
      <c r="AZ38" s="330">
        <v>524446.91524262261</v>
      </c>
      <c r="BA38" s="330">
        <v>704023.56387635041</v>
      </c>
      <c r="BB38" s="330">
        <v>886394.06956240814</v>
      </c>
      <c r="BC38" s="330">
        <v>1079363.7165157665</v>
      </c>
      <c r="BD38" s="330">
        <v>1280180.1532065615</v>
      </c>
      <c r="BE38" s="330">
        <v>1485323.8019108465</v>
      </c>
      <c r="BF38" s="330">
        <v>1703758.8827524669</v>
      </c>
      <c r="BG38" s="330">
        <v>1949523.4346483489</v>
      </c>
      <c r="BH38" s="330">
        <v>2177897.1603371189</v>
      </c>
      <c r="BI38" s="330">
        <v>2429374.4260425912</v>
      </c>
      <c r="BJ38" s="330">
        <v>2717092.7449284913</v>
      </c>
      <c r="BK38" s="330">
        <v>3010093.6968918457</v>
      </c>
      <c r="BL38" s="330">
        <v>3325414.5894657462</v>
      </c>
      <c r="BM38" s="330">
        <v>3690425.9159493577</v>
      </c>
      <c r="BN38" s="330">
        <v>4143935.1706127762</v>
      </c>
      <c r="BO38" s="330">
        <v>4722651.1159141911</v>
      </c>
      <c r="BP38" s="330">
        <v>5992048.8629153483</v>
      </c>
      <c r="BQ38" s="330">
        <f>'I-Project Contingency'!$E$61-AV38</f>
        <v>0</v>
      </c>
      <c r="BR38" s="330">
        <f>'I-Project Contingency'!$E$62-AW38</f>
        <v>0</v>
      </c>
      <c r="BS38" s="330">
        <f>'I-Project Contingency'!$E$63-AX38</f>
        <v>0</v>
      </c>
      <c r="BT38" s="330">
        <f>'I-Project Contingency'!$E$64-AY38</f>
        <v>0</v>
      </c>
      <c r="BU38" s="330">
        <f>'I-Project Contingency'!$E$65-AZ38</f>
        <v>0</v>
      </c>
      <c r="BV38" s="330">
        <f>'I-Project Contingency'!$E$66-BA38</f>
        <v>0</v>
      </c>
      <c r="BW38" s="330">
        <f>'I-Project Contingency'!$E$67-BB38</f>
        <v>0</v>
      </c>
      <c r="BX38" s="330">
        <f>'I-Project Contingency'!$E$68-BC38</f>
        <v>0</v>
      </c>
      <c r="BY38" s="330">
        <f>'I-Project Contingency'!$E$69-BD38</f>
        <v>0</v>
      </c>
      <c r="BZ38" s="330">
        <f>'I-Project Contingency'!$E$70-BE38</f>
        <v>0</v>
      </c>
      <c r="CA38" s="330">
        <f>'I-Project Contingency'!$E$71-BF38</f>
        <v>0</v>
      </c>
      <c r="CB38" s="330">
        <f>'I-Project Contingency'!$E$72-BG38</f>
        <v>0</v>
      </c>
      <c r="CC38" s="330">
        <f>'I-Project Contingency'!$E$73-BH38</f>
        <v>0</v>
      </c>
      <c r="CD38" s="330">
        <f>'I-Project Contingency'!$E$74-BI38</f>
        <v>0</v>
      </c>
      <c r="CE38" s="330">
        <f>'I-Project Contingency'!$E$75-BJ38</f>
        <v>0</v>
      </c>
      <c r="CF38" s="330">
        <f>'I-Project Contingency'!$E$76-BK38</f>
        <v>0</v>
      </c>
      <c r="CG38" s="330">
        <f>'I-Project Contingency'!$E$77-BL38</f>
        <v>0</v>
      </c>
      <c r="CH38" s="784">
        <f>'I-Project Contingency'!$E$78-BM38</f>
        <v>0</v>
      </c>
      <c r="CI38" s="330">
        <f>'I-Project Contingency'!$E$79-BN38</f>
        <v>0</v>
      </c>
      <c r="CJ38" s="330">
        <f>'I-Project Contingency'!$E$80-BO38</f>
        <v>0</v>
      </c>
      <c r="CK38" s="330">
        <f>'I-Project Contingency'!$E$81-BP38</f>
        <v>0</v>
      </c>
      <c r="CL38" s="331">
        <f>'I-Project Contingency'!$O$5-AG38</f>
        <v>0</v>
      </c>
      <c r="CM38" s="332">
        <v>-0.98711802853447173</v>
      </c>
      <c r="CN38" s="332">
        <v>-0.19547704728364468</v>
      </c>
      <c r="CO38" s="332">
        <v>0.126462150308498</v>
      </c>
      <c r="CP38" s="332">
        <v>0.45967989154545902</v>
      </c>
      <c r="CQ38" s="332">
        <v>0.78297319902744</v>
      </c>
      <c r="CR38" s="332">
        <v>1.0957191966482109</v>
      </c>
      <c r="CS38" s="332">
        <v>1.4418405003536849</v>
      </c>
      <c r="CT38" s="332">
        <v>1.801002404194165</v>
      </c>
      <c r="CU38" s="332">
        <v>2.1797608166947349</v>
      </c>
      <c r="CV38" s="332">
        <v>2.5671680610072478</v>
      </c>
      <c r="CW38" s="332">
        <v>2.9690760644797152</v>
      </c>
      <c r="CX38" s="332">
        <v>3.3964145469774811</v>
      </c>
      <c r="CY38" s="332">
        <v>3.864536087769562</v>
      </c>
      <c r="CZ38" s="332">
        <v>4.3569836138896116</v>
      </c>
      <c r="DA38" s="332">
        <v>4.8862357851222598</v>
      </c>
      <c r="DB38" s="332">
        <v>5.438836997347547</v>
      </c>
      <c r="DC38" s="332">
        <v>6.047993455908566</v>
      </c>
      <c r="DD38" s="785">
        <v>6.720204953601761</v>
      </c>
      <c r="DE38" s="333">
        <v>7.55131678090412</v>
      </c>
      <c r="DF38" s="332">
        <v>8.661446370835737</v>
      </c>
      <c r="DG38" s="332">
        <v>11.206316207857133</v>
      </c>
      <c r="DH38" s="332">
        <f>'I-Project Contingency'!$E$86-CM38</f>
        <v>0</v>
      </c>
      <c r="DI38" s="332">
        <f>'I-Project Contingency'!$E$87-CN38</f>
        <v>0</v>
      </c>
      <c r="DJ38" s="332">
        <f>'I-Project Contingency'!$E$88-CO38</f>
        <v>0</v>
      </c>
      <c r="DK38" s="332">
        <f>'I-Project Contingency'!$E$89-CP38</f>
        <v>0</v>
      </c>
      <c r="DL38" s="332">
        <f>'I-Project Contingency'!$E$90-CQ38</f>
        <v>0</v>
      </c>
      <c r="DM38" s="332">
        <f>'I-Project Contingency'!$E$91-CR38</f>
        <v>0</v>
      </c>
      <c r="DN38" s="332">
        <f>'I-Project Contingency'!$E$92-CS38</f>
        <v>0</v>
      </c>
      <c r="DO38" s="332">
        <f>'I-Project Contingency'!$E$93-CT38</f>
        <v>0</v>
      </c>
      <c r="DP38" s="332">
        <f>'I-Project Contingency'!$E$94-CU38</f>
        <v>0</v>
      </c>
      <c r="DQ38" s="332">
        <f>'I-Project Contingency'!$E$95-CV38</f>
        <v>0</v>
      </c>
      <c r="DR38" s="332">
        <f>'I-Project Contingency'!$E$96-CW38</f>
        <v>0</v>
      </c>
      <c r="DS38" s="332">
        <f>'I-Project Contingency'!$E$97-CX38</f>
        <v>0</v>
      </c>
      <c r="DT38" s="332">
        <f>'I-Project Contingency'!$E$98-CY38</f>
        <v>0</v>
      </c>
      <c r="DU38" s="332">
        <f>'I-Project Contingency'!$E$99-CZ38</f>
        <v>0</v>
      </c>
      <c r="DV38" s="332">
        <f>'I-Project Contingency'!$E$100-DA38</f>
        <v>0</v>
      </c>
      <c r="DW38" s="332">
        <f>'I-Project Contingency'!$E$101-DB38</f>
        <v>0</v>
      </c>
      <c r="DX38" s="332">
        <f>'I-Project Contingency'!$E$102-DC38</f>
        <v>0</v>
      </c>
      <c r="DY38" s="332">
        <f>'I-Project Contingency'!$E$103-DD38</f>
        <v>0</v>
      </c>
      <c r="DZ38" s="332">
        <f>'I-Project Contingency'!$E$104-DE38</f>
        <v>0</v>
      </c>
      <c r="EA38" s="332">
        <f>'I-Project Contingency'!$E$105-DF38</f>
        <v>0</v>
      </c>
      <c r="EB38" s="332">
        <f>'I-Project Contingency'!$E$106-DG38</f>
        <v>0</v>
      </c>
      <c r="EC38" s="334">
        <f>IF(EE38="N/A","N/A",ABS(INDEX(EE38:EY38,1,MATCH("ROM Cost Risk @ "&amp;'D-Project Data'!$C$6*100&amp;"%",$EE$17:$EY$17,0))))</f>
        <v>0</v>
      </c>
      <c r="ED38" s="335">
        <f>IF(EC38="N/A","N/A",RANK(EC38,$EC$18:$EC$117,0)+COUNTIF($EC$18:EC38,EC38)-1)</f>
        <v>21</v>
      </c>
      <c r="EE38" s="334">
        <f>IF(BQ38/SUM(BQ:BQ)*'I-Project Contingency'!$F$61=0,0,BQ38/SUM(BQ:BQ)*'I-Project Contingency'!$F$61)</f>
        <v>0</v>
      </c>
      <c r="EF38" s="334">
        <f>IF(BR38/SUM(BR:BR)*'I-Project Contingency'!$F$62=0,0,BR38/SUM(BR:BR)*'I-Project Contingency'!$F$62)</f>
        <v>0</v>
      </c>
      <c r="EG38" s="334">
        <f>IF(BS38/SUM(BS:BS)*'I-Project Contingency'!$F$63=0,0,BS38/SUM(BS:BS)*'I-Project Contingency'!$F$63)</f>
        <v>0</v>
      </c>
      <c r="EH38" s="334">
        <f>IF(BT38/SUM(BT:BT)*'I-Project Contingency'!$F$64=0,0,BT38/SUM(BT:BT)*'I-Project Contingency'!$F$64)</f>
        <v>0</v>
      </c>
      <c r="EI38" s="334">
        <f>IF(BU38/SUM(BU:BU)*'I-Project Contingency'!$F$65=0,0,BU38/SUM(BU:BU)*'I-Project Contingency'!$F$65)</f>
        <v>0</v>
      </c>
      <c r="EJ38" s="334">
        <f>IF(BV38/SUM(BV:BV)*'I-Project Contingency'!$F$66=0,0,BV38/SUM(BV:BV)*'I-Project Contingency'!$F$66)</f>
        <v>0</v>
      </c>
      <c r="EK38" s="334">
        <f>IF(BW38/SUM(BW:BW)*'I-Project Contingency'!$F$67=0,0,BW38/SUM(BW:BW)*'I-Project Contingency'!$F$67)</f>
        <v>0</v>
      </c>
      <c r="EL38" s="334">
        <f>IF(BX38/SUM(BX:BX)*'I-Project Contingency'!$F$68=0,0,BX38/SUM(BX:BX)*'I-Project Contingency'!$F$68)</f>
        <v>0</v>
      </c>
      <c r="EM38" s="334">
        <f>IF(BY38/SUM(BY:BY)*'I-Project Contingency'!$F$69=0,0,BY38/SUM(BY:BY)*'I-Project Contingency'!$F$69)</f>
        <v>0</v>
      </c>
      <c r="EN38" s="334">
        <f>IF(BZ38/SUM(BZ:BZ)*'I-Project Contingency'!$F$70=0,0,BZ38/SUM(BZ:BZ)*'I-Project Contingency'!$F$70)</f>
        <v>0</v>
      </c>
      <c r="EO38" s="334">
        <f>IF(CA38/SUM(CA:CA)*'I-Project Contingency'!$F$71=0,0,CA38/SUM(CA:CA)*'I-Project Contingency'!$F$71)</f>
        <v>0</v>
      </c>
      <c r="EP38" s="334">
        <f>IF(CB38/SUM(CB:CB)*'I-Project Contingency'!$F$72=0,0,CB38/SUM(CB:CB)*'I-Project Contingency'!$F$72)</f>
        <v>0</v>
      </c>
      <c r="EQ38" s="334">
        <f>IF(CC38/SUM(CC:CC)*'I-Project Contingency'!$F$73=0,0,CC38/SUM(CC:CC)*'I-Project Contingency'!$F$73)</f>
        <v>0</v>
      </c>
      <c r="ER38" s="334">
        <f>IF(CD38/SUM(CD:CD)*'I-Project Contingency'!$F$74=0,0,CD38/SUM(CD:CD)*'I-Project Contingency'!$F$74)</f>
        <v>0</v>
      </c>
      <c r="ES38" s="334">
        <f>IF(CE38/SUM(CE:CE)*'I-Project Contingency'!$F$75=0,0,CE38/SUM(CE:CE)*'I-Project Contingency'!$F$75)</f>
        <v>0</v>
      </c>
      <c r="ET38" s="334">
        <f>IF(CF38/SUM(CF:CF)*'I-Project Contingency'!$F$76=0,0,CF38/SUM(CF:CF)*'I-Project Contingency'!$F$76)</f>
        <v>0</v>
      </c>
      <c r="EU38" s="334">
        <f>IF(CG38/SUM(CG:CG)*'I-Project Contingency'!$F$77=0,0,CG38/SUM(CG:CG)*'I-Project Contingency'!$F$77)</f>
        <v>0</v>
      </c>
      <c r="EV38" s="787">
        <f>IF(CH38/SUM(CH:CH)*'I-Project Contingency'!$F$78=0,0,CH38/SUM(CH:CH)*'I-Project Contingency'!$F$78)</f>
        <v>0</v>
      </c>
      <c r="EW38" s="787">
        <f>IF(CI38/SUM(CI:CI)*'I-Project Contingency'!$F$79=0,0,CI38/SUM(CI:CI)*'I-Project Contingency'!$F$79)</f>
        <v>0</v>
      </c>
      <c r="EX38" s="787">
        <f>IF(CJ38/SUM(CJ:CJ)*'I-Project Contingency'!$F$80=0,0,CJ38/SUM(CJ:CJ)*'I-Project Contingency'!$F$80)</f>
        <v>0</v>
      </c>
      <c r="EY38" s="787">
        <f>IF(CK38/SUM(CK:CK)*'I-Project Contingency'!$F$81=0,0,CK38/SUM(CK:CK)*'I-Project Contingency'!$F$81)</f>
        <v>0</v>
      </c>
      <c r="EZ38" s="333">
        <f>IF(FB38="N/A","N/A",ABS(INDEX(FB38:FV38,1,MATCH("ROM Schedule Risk @ "&amp;'D-Project Data'!$C$6*100&amp;"%",$FB$17:$FV$17,0))))</f>
        <v>0</v>
      </c>
      <c r="FA38" s="335">
        <f>IF(EZ38="N/A","N/A",RANK(EZ38,$EZ$18:$EZ$117,0)+COUNTIF($FB$18:FB38,FB38)-1)</f>
        <v>21</v>
      </c>
      <c r="FB38" s="788">
        <f>IF(DH38/SUM(DH:DH)*'I-Project Contingency'!$F$86=0,0,DH38/SUM(DH:DH)*'I-Project Contingency'!$F$86)</f>
        <v>0</v>
      </c>
      <c r="FC38" s="788">
        <f>IF(DI38/SUM(DI:DI)*'I-Project Contingency'!$F$87=0,0,DI38/SUM(DI:DI)*'I-Project Contingency'!$F$87)</f>
        <v>0</v>
      </c>
      <c r="FD38" s="788">
        <f>IF(DJ38/SUM(DJ:DJ)*'I-Project Contingency'!$F$88=0,0,DJ38/SUM(DJ:DJ)*'I-Project Contingency'!$F$88)</f>
        <v>0</v>
      </c>
      <c r="FE38" s="788">
        <f>IF(DK38/SUM(DK:DK)*'I-Project Contingency'!$F$89=0,0,DK38/SUM(DK:DK)*'I-Project Contingency'!$F$89)</f>
        <v>0</v>
      </c>
      <c r="FF38" s="788">
        <f>IF(DL38/SUM(DL:DL)*'I-Project Contingency'!$F$90=0,0,DL38/SUM(DL:DL)*'I-Project Contingency'!$F$90)</f>
        <v>0</v>
      </c>
      <c r="FG38" s="788">
        <f>IF(DM38/SUM(DM:DM)*'I-Project Contingency'!$F$91=0,0,DM38/SUM(DM:DM)*'I-Project Contingency'!$F$91)</f>
        <v>0</v>
      </c>
      <c r="FH38" s="788">
        <f>IF(DN38/SUM(DN:DN)*'I-Project Contingency'!$F$92=0,0,DN38/SUM(DN:DN)*'I-Project Contingency'!$F$92)</f>
        <v>0</v>
      </c>
      <c r="FI38" s="788">
        <f>IF(DO38/SUM(DO:DO)*'I-Project Contingency'!$F$93=0,0,DO38/SUM(DO:DO)*'I-Project Contingency'!$F$93)</f>
        <v>0</v>
      </c>
      <c r="FJ38" s="788">
        <f>IF(DP38/SUM(DP:DP)*'I-Project Contingency'!$F$94=0,0,DP38/SUM(DP:DP)*'I-Project Contingency'!$F$94)</f>
        <v>0</v>
      </c>
      <c r="FK38" s="788">
        <f>IF(DQ38/SUM(DQ:DQ)*'I-Project Contingency'!$F$95=0,0,DQ38/SUM(DQ:DQ)*'I-Project Contingency'!$F$95)</f>
        <v>0</v>
      </c>
      <c r="FL38" s="788">
        <f>IF(DR38/SUM(DR:DR)*'I-Project Contingency'!$F$96=0,0,DR38/SUM(DR:DR)*'I-Project Contingency'!$F$96)</f>
        <v>0</v>
      </c>
      <c r="FM38" s="788">
        <f>IF(DS38/SUM(DS:DS)*'I-Project Contingency'!$F$97=0,0,DS38/SUM(DS:DS)*'I-Project Contingency'!$F$97)</f>
        <v>0</v>
      </c>
      <c r="FN38" s="788">
        <f>IF(DT38/SUM(DT:DT)*'I-Project Contingency'!$F$98=0,0,DT38/SUM(DT:DT)*'I-Project Contingency'!$F$98)</f>
        <v>0</v>
      </c>
      <c r="FO38" s="788">
        <f>IF(DU38/SUM(DU:DU)*'I-Project Contingency'!$F$99=0,0,DU38/SUM(DU:DU)*'I-Project Contingency'!$F$99)</f>
        <v>0</v>
      </c>
      <c r="FP38" s="788">
        <f>IF(DV38/SUM(DV:DV)*'I-Project Contingency'!$F$100=0,0,DV38/SUM(DV:DV)*'I-Project Contingency'!$F$100)</f>
        <v>0</v>
      </c>
      <c r="FQ38" s="788">
        <f>IF(DW38/SUM(DW:DW)*'I-Project Contingency'!$F$101=0,0,DW38/SUM(DW:DW)*'I-Project Contingency'!$F$101)</f>
        <v>0</v>
      </c>
      <c r="FR38" s="788">
        <f>IF(DX38/SUM(DX:DX)*'I-Project Contingency'!$F$102=0,0,DX38/SUM(DX:DX)*'I-Project Contingency'!$F$102)</f>
        <v>0</v>
      </c>
      <c r="FS38" s="788">
        <f>IF(DY38/SUM(DY:DY)*'I-Project Contingency'!$F$103=0,0,DY38/SUM(DY:DY)*'I-Project Contingency'!$F$103)</f>
        <v>0</v>
      </c>
      <c r="FT38" s="788">
        <f>IF(DZ38/SUM(DZ:DZ)*'I-Project Contingency'!$F$104=0,0,DZ38/SUM(DZ:DZ)*'I-Project Contingency'!$F$104)</f>
        <v>0</v>
      </c>
      <c r="FU38" s="788">
        <f>IF(EA38/SUM(EA:EA)*'I-Project Contingency'!$F$105=0,0,EA38/SUM(EA:EA)*'I-Project Contingency'!$F$105)</f>
        <v>0</v>
      </c>
      <c r="FV38" s="788">
        <f>IF(EB38/SUM(EB:EB)*'I-Project Contingency'!$F$106=0,0,EB38/SUM(EB:EB)*'I-Project Contingency'!$F$106)</f>
        <v>0</v>
      </c>
      <c r="FW38" s="335">
        <f t="shared" si="13"/>
        <v>21</v>
      </c>
      <c r="FX38" s="336" t="str">
        <f t="shared" si="14"/>
        <v xml:space="preserve">21 - </v>
      </c>
      <c r="FY38" s="330">
        <f t="shared" si="15"/>
        <v>0</v>
      </c>
      <c r="FZ38" s="330">
        <f t="shared" si="16"/>
        <v>0</v>
      </c>
      <c r="GA38" s="332">
        <f t="shared" si="17"/>
        <v>0</v>
      </c>
      <c r="GB38" s="332">
        <f t="shared" si="18"/>
        <v>0</v>
      </c>
    </row>
    <row r="39" spans="1:184" ht="30" x14ac:dyDescent="0.25">
      <c r="A39" s="163">
        <f t="shared" si="23"/>
        <v>22</v>
      </c>
      <c r="B39" s="727" t="s">
        <v>728</v>
      </c>
      <c r="C39" s="729"/>
      <c r="D39" s="729"/>
      <c r="E39" s="729"/>
      <c r="F39" s="728" t="s">
        <v>728</v>
      </c>
      <c r="G39" s="728" t="s">
        <v>728</v>
      </c>
      <c r="H39" s="157" t="str">
        <f>IFERROR(IF('H-Risk Register-Model'!F39="Certain","Relook at Basis of Estimate",INDEX('G-Assumptions'!$F$8:$J$11,MATCH(F39,'G-Assumptions'!$D$8:$D$11,0),MATCH(G39,'G-Assumptions'!$F$6:$J$6,0))),"Unrated")</f>
        <v>Unrated</v>
      </c>
      <c r="I39" s="728" t="s">
        <v>728</v>
      </c>
      <c r="J39" s="157" t="str">
        <f>IFERROR(IF('H-Risk Register-Model'!F39="Certain","Relook at Basis of Estimate",INDEX('G-Assumptions'!$F$8:$J$11,MATCH(F39,'G-Assumptions'!$D$8:$D$11,0),MATCH(I39,'G-Assumptions'!$F$6:$J$6,0))),"Unrated")</f>
        <v>Unrated</v>
      </c>
      <c r="K39" s="728" t="s">
        <v>728</v>
      </c>
      <c r="L39" s="728" t="s">
        <v>728</v>
      </c>
      <c r="M39" s="728"/>
      <c r="N39" s="731" t="s">
        <v>728</v>
      </c>
      <c r="O39" s="731" t="s">
        <v>728</v>
      </c>
      <c r="P39" s="732"/>
      <c r="Q39" s="732"/>
      <c r="R39" s="732"/>
      <c r="S39" s="733"/>
      <c r="T39" s="733"/>
      <c r="U39" s="733"/>
      <c r="V39" s="734"/>
      <c r="W39" s="732"/>
      <c r="X39" s="732"/>
      <c r="Y39" s="735">
        <v>1</v>
      </c>
      <c r="Z39" s="736">
        <v>1</v>
      </c>
      <c r="AA39" s="166">
        <f t="shared" si="19"/>
        <v>0</v>
      </c>
      <c r="AB39" s="166">
        <f t="shared" si="20"/>
        <v>0</v>
      </c>
      <c r="AC39" s="166">
        <f t="shared" si="21"/>
        <v>0</v>
      </c>
      <c r="AD39" s="166"/>
      <c r="AE39" s="164">
        <f t="shared" si="22"/>
        <v>0</v>
      </c>
      <c r="AF39" s="167"/>
      <c r="AG39" s="165">
        <f t="shared" si="5"/>
        <v>0</v>
      </c>
      <c r="AH39" s="729"/>
      <c r="AI39" s="729"/>
      <c r="AJ39" s="8"/>
      <c r="AK39" s="495" t="str">
        <f t="shared" si="6"/>
        <v>No</v>
      </c>
      <c r="AL39" s="496">
        <f>'I-Project Contingency'!$I$4</f>
        <v>9000000</v>
      </c>
      <c r="AM39" s="326">
        <f>'I-Project Contingency'!$I$11</f>
        <v>23.978102189781023</v>
      </c>
      <c r="AN39" s="325">
        <f t="shared" si="7"/>
        <v>0</v>
      </c>
      <c r="AO39" s="326">
        <f t="shared" si="8"/>
        <v>0</v>
      </c>
      <c r="AP39" s="641" t="str">
        <f t="shared" si="9"/>
        <v/>
      </c>
      <c r="AQ39" s="641" t="str">
        <f t="shared" si="10"/>
        <v/>
      </c>
      <c r="AR39" s="497" t="str">
        <f t="shared" si="11"/>
        <v/>
      </c>
      <c r="AS39" s="497" t="str">
        <f t="shared" si="12"/>
        <v/>
      </c>
      <c r="AT39" s="8"/>
      <c r="AU39" s="329">
        <f>'I-Project Contingency'!$O$4-AE39</f>
        <v>0</v>
      </c>
      <c r="AV39" s="330">
        <v>-240515.59579276721</v>
      </c>
      <c r="AW39" s="330">
        <v>28172.931401335634</v>
      </c>
      <c r="AX39" s="330">
        <v>193478.84467429668</v>
      </c>
      <c r="AY39" s="330">
        <v>361668.20104834624</v>
      </c>
      <c r="AZ39" s="330">
        <v>524446.91524262261</v>
      </c>
      <c r="BA39" s="330">
        <v>704023.56387635041</v>
      </c>
      <c r="BB39" s="330">
        <v>886394.06956240814</v>
      </c>
      <c r="BC39" s="330">
        <v>1079363.7165157665</v>
      </c>
      <c r="BD39" s="330">
        <v>1280180.1532065615</v>
      </c>
      <c r="BE39" s="330">
        <v>1485323.8019108465</v>
      </c>
      <c r="BF39" s="330">
        <v>1703758.8827524669</v>
      </c>
      <c r="BG39" s="330">
        <v>1949523.4346483489</v>
      </c>
      <c r="BH39" s="330">
        <v>2177897.1603371189</v>
      </c>
      <c r="BI39" s="330">
        <v>2429374.4260425912</v>
      </c>
      <c r="BJ39" s="330">
        <v>2717092.7449284913</v>
      </c>
      <c r="BK39" s="330">
        <v>3010093.6968918457</v>
      </c>
      <c r="BL39" s="330">
        <v>3325414.5894657462</v>
      </c>
      <c r="BM39" s="330">
        <v>3690425.9159493577</v>
      </c>
      <c r="BN39" s="330">
        <v>4143935.1706127762</v>
      </c>
      <c r="BO39" s="330">
        <v>4722651.1159141911</v>
      </c>
      <c r="BP39" s="330">
        <v>5992048.8629153483</v>
      </c>
      <c r="BQ39" s="330">
        <f>'I-Project Contingency'!$E$61-AV39</f>
        <v>0</v>
      </c>
      <c r="BR39" s="330">
        <f>'I-Project Contingency'!$E$62-AW39</f>
        <v>0</v>
      </c>
      <c r="BS39" s="330">
        <f>'I-Project Contingency'!$E$63-AX39</f>
        <v>0</v>
      </c>
      <c r="BT39" s="330">
        <f>'I-Project Contingency'!$E$64-AY39</f>
        <v>0</v>
      </c>
      <c r="BU39" s="330">
        <f>'I-Project Contingency'!$E$65-AZ39</f>
        <v>0</v>
      </c>
      <c r="BV39" s="330">
        <f>'I-Project Contingency'!$E$66-BA39</f>
        <v>0</v>
      </c>
      <c r="BW39" s="330">
        <f>'I-Project Contingency'!$E$67-BB39</f>
        <v>0</v>
      </c>
      <c r="BX39" s="330">
        <f>'I-Project Contingency'!$E$68-BC39</f>
        <v>0</v>
      </c>
      <c r="BY39" s="330">
        <f>'I-Project Contingency'!$E$69-BD39</f>
        <v>0</v>
      </c>
      <c r="BZ39" s="330">
        <f>'I-Project Contingency'!$E$70-BE39</f>
        <v>0</v>
      </c>
      <c r="CA39" s="330">
        <f>'I-Project Contingency'!$E$71-BF39</f>
        <v>0</v>
      </c>
      <c r="CB39" s="330">
        <f>'I-Project Contingency'!$E$72-BG39</f>
        <v>0</v>
      </c>
      <c r="CC39" s="330">
        <f>'I-Project Contingency'!$E$73-BH39</f>
        <v>0</v>
      </c>
      <c r="CD39" s="330">
        <f>'I-Project Contingency'!$E$74-BI39</f>
        <v>0</v>
      </c>
      <c r="CE39" s="330">
        <f>'I-Project Contingency'!$E$75-BJ39</f>
        <v>0</v>
      </c>
      <c r="CF39" s="330">
        <f>'I-Project Contingency'!$E$76-BK39</f>
        <v>0</v>
      </c>
      <c r="CG39" s="330">
        <f>'I-Project Contingency'!$E$77-BL39</f>
        <v>0</v>
      </c>
      <c r="CH39" s="784">
        <f>'I-Project Contingency'!$E$78-BM39</f>
        <v>0</v>
      </c>
      <c r="CI39" s="330">
        <f>'I-Project Contingency'!$E$79-BN39</f>
        <v>0</v>
      </c>
      <c r="CJ39" s="330">
        <f>'I-Project Contingency'!$E$80-BO39</f>
        <v>0</v>
      </c>
      <c r="CK39" s="330">
        <f>'I-Project Contingency'!$E$81-BP39</f>
        <v>0</v>
      </c>
      <c r="CL39" s="331">
        <f>'I-Project Contingency'!$O$5-AG39</f>
        <v>0</v>
      </c>
      <c r="CM39" s="332">
        <v>-0.98711802853447173</v>
      </c>
      <c r="CN39" s="332">
        <v>-0.19547704728364468</v>
      </c>
      <c r="CO39" s="332">
        <v>0.126462150308498</v>
      </c>
      <c r="CP39" s="332">
        <v>0.45967989154545902</v>
      </c>
      <c r="CQ39" s="332">
        <v>0.78297319902744</v>
      </c>
      <c r="CR39" s="332">
        <v>1.0957191966482109</v>
      </c>
      <c r="CS39" s="332">
        <v>1.4418405003536849</v>
      </c>
      <c r="CT39" s="332">
        <v>1.801002404194165</v>
      </c>
      <c r="CU39" s="332">
        <v>2.1797608166947349</v>
      </c>
      <c r="CV39" s="332">
        <v>2.5671680610072478</v>
      </c>
      <c r="CW39" s="332">
        <v>2.9690760644797152</v>
      </c>
      <c r="CX39" s="332">
        <v>3.3964145469774811</v>
      </c>
      <c r="CY39" s="332">
        <v>3.864536087769562</v>
      </c>
      <c r="CZ39" s="332">
        <v>4.3569836138896116</v>
      </c>
      <c r="DA39" s="332">
        <v>4.8862357851222598</v>
      </c>
      <c r="DB39" s="332">
        <v>5.438836997347547</v>
      </c>
      <c r="DC39" s="332">
        <v>6.047993455908566</v>
      </c>
      <c r="DD39" s="785">
        <v>6.720204953601761</v>
      </c>
      <c r="DE39" s="333">
        <v>7.55131678090412</v>
      </c>
      <c r="DF39" s="332">
        <v>8.661446370835737</v>
      </c>
      <c r="DG39" s="332">
        <v>11.206316207857133</v>
      </c>
      <c r="DH39" s="332">
        <f>'I-Project Contingency'!$E$86-CM39</f>
        <v>0</v>
      </c>
      <c r="DI39" s="332">
        <f>'I-Project Contingency'!$E$87-CN39</f>
        <v>0</v>
      </c>
      <c r="DJ39" s="332">
        <f>'I-Project Contingency'!$E$88-CO39</f>
        <v>0</v>
      </c>
      <c r="DK39" s="332">
        <f>'I-Project Contingency'!$E$89-CP39</f>
        <v>0</v>
      </c>
      <c r="DL39" s="332">
        <f>'I-Project Contingency'!$E$90-CQ39</f>
        <v>0</v>
      </c>
      <c r="DM39" s="332">
        <f>'I-Project Contingency'!$E$91-CR39</f>
        <v>0</v>
      </c>
      <c r="DN39" s="332">
        <f>'I-Project Contingency'!$E$92-CS39</f>
        <v>0</v>
      </c>
      <c r="DO39" s="332">
        <f>'I-Project Contingency'!$E$93-CT39</f>
        <v>0</v>
      </c>
      <c r="DP39" s="332">
        <f>'I-Project Contingency'!$E$94-CU39</f>
        <v>0</v>
      </c>
      <c r="DQ39" s="332">
        <f>'I-Project Contingency'!$E$95-CV39</f>
        <v>0</v>
      </c>
      <c r="DR39" s="332">
        <f>'I-Project Contingency'!$E$96-CW39</f>
        <v>0</v>
      </c>
      <c r="DS39" s="332">
        <f>'I-Project Contingency'!$E$97-CX39</f>
        <v>0</v>
      </c>
      <c r="DT39" s="332">
        <f>'I-Project Contingency'!$E$98-CY39</f>
        <v>0</v>
      </c>
      <c r="DU39" s="332">
        <f>'I-Project Contingency'!$E$99-CZ39</f>
        <v>0</v>
      </c>
      <c r="DV39" s="332">
        <f>'I-Project Contingency'!$E$100-DA39</f>
        <v>0</v>
      </c>
      <c r="DW39" s="332">
        <f>'I-Project Contingency'!$E$101-DB39</f>
        <v>0</v>
      </c>
      <c r="DX39" s="332">
        <f>'I-Project Contingency'!$E$102-DC39</f>
        <v>0</v>
      </c>
      <c r="DY39" s="332">
        <f>'I-Project Contingency'!$E$103-DD39</f>
        <v>0</v>
      </c>
      <c r="DZ39" s="332">
        <f>'I-Project Contingency'!$E$104-DE39</f>
        <v>0</v>
      </c>
      <c r="EA39" s="332">
        <f>'I-Project Contingency'!$E$105-DF39</f>
        <v>0</v>
      </c>
      <c r="EB39" s="332">
        <f>'I-Project Contingency'!$E$106-DG39</f>
        <v>0</v>
      </c>
      <c r="EC39" s="334">
        <f>IF(EE39="N/A","N/A",ABS(INDEX(EE39:EY39,1,MATCH("ROM Cost Risk @ "&amp;'D-Project Data'!$C$6*100&amp;"%",$EE$17:$EY$17,0))))</f>
        <v>0</v>
      </c>
      <c r="ED39" s="335">
        <f>IF(EC39="N/A","N/A",RANK(EC39,$EC$18:$EC$117,0)+COUNTIF($EC$18:EC39,EC39)-1)</f>
        <v>22</v>
      </c>
      <c r="EE39" s="334">
        <f>IF(BQ39/SUM(BQ:BQ)*'I-Project Contingency'!$F$61=0,0,BQ39/SUM(BQ:BQ)*'I-Project Contingency'!$F$61)</f>
        <v>0</v>
      </c>
      <c r="EF39" s="334">
        <f>IF(BR39/SUM(BR:BR)*'I-Project Contingency'!$F$62=0,0,BR39/SUM(BR:BR)*'I-Project Contingency'!$F$62)</f>
        <v>0</v>
      </c>
      <c r="EG39" s="334">
        <f>IF(BS39/SUM(BS:BS)*'I-Project Contingency'!$F$63=0,0,BS39/SUM(BS:BS)*'I-Project Contingency'!$F$63)</f>
        <v>0</v>
      </c>
      <c r="EH39" s="334">
        <f>IF(BT39/SUM(BT:BT)*'I-Project Contingency'!$F$64=0,0,BT39/SUM(BT:BT)*'I-Project Contingency'!$F$64)</f>
        <v>0</v>
      </c>
      <c r="EI39" s="334">
        <f>IF(BU39/SUM(BU:BU)*'I-Project Contingency'!$F$65=0,0,BU39/SUM(BU:BU)*'I-Project Contingency'!$F$65)</f>
        <v>0</v>
      </c>
      <c r="EJ39" s="334">
        <f>IF(BV39/SUM(BV:BV)*'I-Project Contingency'!$F$66=0,0,BV39/SUM(BV:BV)*'I-Project Contingency'!$F$66)</f>
        <v>0</v>
      </c>
      <c r="EK39" s="334">
        <f>IF(BW39/SUM(BW:BW)*'I-Project Contingency'!$F$67=0,0,BW39/SUM(BW:BW)*'I-Project Contingency'!$F$67)</f>
        <v>0</v>
      </c>
      <c r="EL39" s="334">
        <f>IF(BX39/SUM(BX:BX)*'I-Project Contingency'!$F$68=0,0,BX39/SUM(BX:BX)*'I-Project Contingency'!$F$68)</f>
        <v>0</v>
      </c>
      <c r="EM39" s="334">
        <f>IF(BY39/SUM(BY:BY)*'I-Project Contingency'!$F$69=0,0,BY39/SUM(BY:BY)*'I-Project Contingency'!$F$69)</f>
        <v>0</v>
      </c>
      <c r="EN39" s="334">
        <f>IF(BZ39/SUM(BZ:BZ)*'I-Project Contingency'!$F$70=0,0,BZ39/SUM(BZ:BZ)*'I-Project Contingency'!$F$70)</f>
        <v>0</v>
      </c>
      <c r="EO39" s="334">
        <f>IF(CA39/SUM(CA:CA)*'I-Project Contingency'!$F$71=0,0,CA39/SUM(CA:CA)*'I-Project Contingency'!$F$71)</f>
        <v>0</v>
      </c>
      <c r="EP39" s="334">
        <f>IF(CB39/SUM(CB:CB)*'I-Project Contingency'!$F$72=0,0,CB39/SUM(CB:CB)*'I-Project Contingency'!$F$72)</f>
        <v>0</v>
      </c>
      <c r="EQ39" s="334">
        <f>IF(CC39/SUM(CC:CC)*'I-Project Contingency'!$F$73=0,0,CC39/SUM(CC:CC)*'I-Project Contingency'!$F$73)</f>
        <v>0</v>
      </c>
      <c r="ER39" s="334">
        <f>IF(CD39/SUM(CD:CD)*'I-Project Contingency'!$F$74=0,0,CD39/SUM(CD:CD)*'I-Project Contingency'!$F$74)</f>
        <v>0</v>
      </c>
      <c r="ES39" s="334">
        <f>IF(CE39/SUM(CE:CE)*'I-Project Contingency'!$F$75=0,0,CE39/SUM(CE:CE)*'I-Project Contingency'!$F$75)</f>
        <v>0</v>
      </c>
      <c r="ET39" s="334">
        <f>IF(CF39/SUM(CF:CF)*'I-Project Contingency'!$F$76=0,0,CF39/SUM(CF:CF)*'I-Project Contingency'!$F$76)</f>
        <v>0</v>
      </c>
      <c r="EU39" s="334">
        <f>IF(CG39/SUM(CG:CG)*'I-Project Contingency'!$F$77=0,0,CG39/SUM(CG:CG)*'I-Project Contingency'!$F$77)</f>
        <v>0</v>
      </c>
      <c r="EV39" s="787">
        <f>IF(CH39/SUM(CH:CH)*'I-Project Contingency'!$F$78=0,0,CH39/SUM(CH:CH)*'I-Project Contingency'!$F$78)</f>
        <v>0</v>
      </c>
      <c r="EW39" s="787">
        <f>IF(CI39/SUM(CI:CI)*'I-Project Contingency'!$F$79=0,0,CI39/SUM(CI:CI)*'I-Project Contingency'!$F$79)</f>
        <v>0</v>
      </c>
      <c r="EX39" s="787">
        <f>IF(CJ39/SUM(CJ:CJ)*'I-Project Contingency'!$F$80=0,0,CJ39/SUM(CJ:CJ)*'I-Project Contingency'!$F$80)</f>
        <v>0</v>
      </c>
      <c r="EY39" s="787">
        <f>IF(CK39/SUM(CK:CK)*'I-Project Contingency'!$F$81=0,0,CK39/SUM(CK:CK)*'I-Project Contingency'!$F$81)</f>
        <v>0</v>
      </c>
      <c r="EZ39" s="333">
        <f>IF(FB39="N/A","N/A",ABS(INDEX(FB39:FV39,1,MATCH("ROM Schedule Risk @ "&amp;'D-Project Data'!$C$6*100&amp;"%",$FB$17:$FV$17,0))))</f>
        <v>0</v>
      </c>
      <c r="FA39" s="335">
        <f>IF(EZ39="N/A","N/A",RANK(EZ39,$EZ$18:$EZ$117,0)+COUNTIF($FB$18:FB39,FB39)-1)</f>
        <v>22</v>
      </c>
      <c r="FB39" s="788">
        <f>IF(DH39/SUM(DH:DH)*'I-Project Contingency'!$F$86=0,0,DH39/SUM(DH:DH)*'I-Project Contingency'!$F$86)</f>
        <v>0</v>
      </c>
      <c r="FC39" s="788">
        <f>IF(DI39/SUM(DI:DI)*'I-Project Contingency'!$F$87=0,0,DI39/SUM(DI:DI)*'I-Project Contingency'!$F$87)</f>
        <v>0</v>
      </c>
      <c r="FD39" s="788">
        <f>IF(DJ39/SUM(DJ:DJ)*'I-Project Contingency'!$F$88=0,0,DJ39/SUM(DJ:DJ)*'I-Project Contingency'!$F$88)</f>
        <v>0</v>
      </c>
      <c r="FE39" s="788">
        <f>IF(DK39/SUM(DK:DK)*'I-Project Contingency'!$F$89=0,0,DK39/SUM(DK:DK)*'I-Project Contingency'!$F$89)</f>
        <v>0</v>
      </c>
      <c r="FF39" s="788">
        <f>IF(DL39/SUM(DL:DL)*'I-Project Contingency'!$F$90=0,0,DL39/SUM(DL:DL)*'I-Project Contingency'!$F$90)</f>
        <v>0</v>
      </c>
      <c r="FG39" s="788">
        <f>IF(DM39/SUM(DM:DM)*'I-Project Contingency'!$F$91=0,0,DM39/SUM(DM:DM)*'I-Project Contingency'!$F$91)</f>
        <v>0</v>
      </c>
      <c r="FH39" s="788">
        <f>IF(DN39/SUM(DN:DN)*'I-Project Contingency'!$F$92=0,0,DN39/SUM(DN:DN)*'I-Project Contingency'!$F$92)</f>
        <v>0</v>
      </c>
      <c r="FI39" s="788">
        <f>IF(DO39/SUM(DO:DO)*'I-Project Contingency'!$F$93=0,0,DO39/SUM(DO:DO)*'I-Project Contingency'!$F$93)</f>
        <v>0</v>
      </c>
      <c r="FJ39" s="788">
        <f>IF(DP39/SUM(DP:DP)*'I-Project Contingency'!$F$94=0,0,DP39/SUM(DP:DP)*'I-Project Contingency'!$F$94)</f>
        <v>0</v>
      </c>
      <c r="FK39" s="788">
        <f>IF(DQ39/SUM(DQ:DQ)*'I-Project Contingency'!$F$95=0,0,DQ39/SUM(DQ:DQ)*'I-Project Contingency'!$F$95)</f>
        <v>0</v>
      </c>
      <c r="FL39" s="788">
        <f>IF(DR39/SUM(DR:DR)*'I-Project Contingency'!$F$96=0,0,DR39/SUM(DR:DR)*'I-Project Contingency'!$F$96)</f>
        <v>0</v>
      </c>
      <c r="FM39" s="788">
        <f>IF(DS39/SUM(DS:DS)*'I-Project Contingency'!$F$97=0,0,DS39/SUM(DS:DS)*'I-Project Contingency'!$F$97)</f>
        <v>0</v>
      </c>
      <c r="FN39" s="788">
        <f>IF(DT39/SUM(DT:DT)*'I-Project Contingency'!$F$98=0,0,DT39/SUM(DT:DT)*'I-Project Contingency'!$F$98)</f>
        <v>0</v>
      </c>
      <c r="FO39" s="788">
        <f>IF(DU39/SUM(DU:DU)*'I-Project Contingency'!$F$99=0,0,DU39/SUM(DU:DU)*'I-Project Contingency'!$F$99)</f>
        <v>0</v>
      </c>
      <c r="FP39" s="788">
        <f>IF(DV39/SUM(DV:DV)*'I-Project Contingency'!$F$100=0,0,DV39/SUM(DV:DV)*'I-Project Contingency'!$F$100)</f>
        <v>0</v>
      </c>
      <c r="FQ39" s="788">
        <f>IF(DW39/SUM(DW:DW)*'I-Project Contingency'!$F$101=0,0,DW39/SUM(DW:DW)*'I-Project Contingency'!$F$101)</f>
        <v>0</v>
      </c>
      <c r="FR39" s="788">
        <f>IF(DX39/SUM(DX:DX)*'I-Project Contingency'!$F$102=0,0,DX39/SUM(DX:DX)*'I-Project Contingency'!$F$102)</f>
        <v>0</v>
      </c>
      <c r="FS39" s="788">
        <f>IF(DY39/SUM(DY:DY)*'I-Project Contingency'!$F$103=0,0,DY39/SUM(DY:DY)*'I-Project Contingency'!$F$103)</f>
        <v>0</v>
      </c>
      <c r="FT39" s="788">
        <f>IF(DZ39/SUM(DZ:DZ)*'I-Project Contingency'!$F$104=0,0,DZ39/SUM(DZ:DZ)*'I-Project Contingency'!$F$104)</f>
        <v>0</v>
      </c>
      <c r="FU39" s="788">
        <f>IF(EA39/SUM(EA:EA)*'I-Project Contingency'!$F$105=0,0,EA39/SUM(EA:EA)*'I-Project Contingency'!$F$105)</f>
        <v>0</v>
      </c>
      <c r="FV39" s="788">
        <f>IF(EB39/SUM(EB:EB)*'I-Project Contingency'!$F$106=0,0,EB39/SUM(EB:EB)*'I-Project Contingency'!$F$106)</f>
        <v>0</v>
      </c>
      <c r="FW39" s="335">
        <f t="shared" si="13"/>
        <v>22</v>
      </c>
      <c r="FX39" s="336" t="str">
        <f t="shared" si="14"/>
        <v xml:space="preserve">22 - </v>
      </c>
      <c r="FY39" s="330">
        <f t="shared" si="15"/>
        <v>0</v>
      </c>
      <c r="FZ39" s="330">
        <f t="shared" si="16"/>
        <v>0</v>
      </c>
      <c r="GA39" s="332">
        <f t="shared" si="17"/>
        <v>0</v>
      </c>
      <c r="GB39" s="332">
        <f t="shared" si="18"/>
        <v>0</v>
      </c>
    </row>
    <row r="40" spans="1:184" ht="30" x14ac:dyDescent="0.25">
      <c r="A40" s="163">
        <f t="shared" si="23"/>
        <v>23</v>
      </c>
      <c r="B40" s="727" t="s">
        <v>728</v>
      </c>
      <c r="C40" s="729"/>
      <c r="D40" s="729"/>
      <c r="E40" s="729"/>
      <c r="F40" s="728" t="s">
        <v>728</v>
      </c>
      <c r="G40" s="728" t="s">
        <v>728</v>
      </c>
      <c r="H40" s="157" t="str">
        <f>IFERROR(IF('H-Risk Register-Model'!F40="Certain","Relook at Basis of Estimate",INDEX('G-Assumptions'!$F$8:$J$11,MATCH(F40,'G-Assumptions'!$D$8:$D$11,0),MATCH(G40,'G-Assumptions'!$F$6:$J$6,0))),"Unrated")</f>
        <v>Unrated</v>
      </c>
      <c r="I40" s="728" t="s">
        <v>728</v>
      </c>
      <c r="J40" s="157" t="str">
        <f>IFERROR(IF('H-Risk Register-Model'!F40="Certain","Relook at Basis of Estimate",INDEX('G-Assumptions'!$F$8:$J$11,MATCH(F40,'G-Assumptions'!$D$8:$D$11,0),MATCH(I40,'G-Assumptions'!$F$6:$J$6,0))),"Unrated")</f>
        <v>Unrated</v>
      </c>
      <c r="K40" s="728" t="s">
        <v>728</v>
      </c>
      <c r="L40" s="728" t="s">
        <v>728</v>
      </c>
      <c r="M40" s="728"/>
      <c r="N40" s="731" t="s">
        <v>728</v>
      </c>
      <c r="O40" s="731" t="s">
        <v>728</v>
      </c>
      <c r="P40" s="732"/>
      <c r="Q40" s="732"/>
      <c r="R40" s="732"/>
      <c r="S40" s="733"/>
      <c r="T40" s="733"/>
      <c r="U40" s="733"/>
      <c r="V40" s="734"/>
      <c r="W40" s="732"/>
      <c r="X40" s="732"/>
      <c r="Y40" s="735">
        <v>1</v>
      </c>
      <c r="Z40" s="736">
        <v>1</v>
      </c>
      <c r="AA40" s="166">
        <f t="shared" si="19"/>
        <v>0</v>
      </c>
      <c r="AB40" s="166">
        <f t="shared" si="20"/>
        <v>0</v>
      </c>
      <c r="AC40" s="166">
        <f t="shared" si="21"/>
        <v>0</v>
      </c>
      <c r="AD40" s="166"/>
      <c r="AE40" s="164">
        <f t="shared" si="22"/>
        <v>0</v>
      </c>
      <c r="AF40" s="167"/>
      <c r="AG40" s="165">
        <f t="shared" si="5"/>
        <v>0</v>
      </c>
      <c r="AH40" s="729"/>
      <c r="AI40" s="729"/>
      <c r="AJ40" s="8"/>
      <c r="AK40" s="495" t="str">
        <f t="shared" si="6"/>
        <v>No</v>
      </c>
      <c r="AL40" s="496">
        <f>'I-Project Contingency'!$I$4</f>
        <v>9000000</v>
      </c>
      <c r="AM40" s="326">
        <f>'I-Project Contingency'!$I$11</f>
        <v>23.978102189781023</v>
      </c>
      <c r="AN40" s="325">
        <f t="shared" si="7"/>
        <v>0</v>
      </c>
      <c r="AO40" s="326">
        <f t="shared" si="8"/>
        <v>0</v>
      </c>
      <c r="AP40" s="641" t="str">
        <f t="shared" si="9"/>
        <v/>
      </c>
      <c r="AQ40" s="641" t="str">
        <f t="shared" si="10"/>
        <v/>
      </c>
      <c r="AR40" s="497" t="str">
        <f t="shared" si="11"/>
        <v/>
      </c>
      <c r="AS40" s="497" t="str">
        <f t="shared" si="12"/>
        <v/>
      </c>
      <c r="AT40" s="8"/>
      <c r="AU40" s="329">
        <f>'I-Project Contingency'!$O$4-AE40</f>
        <v>0</v>
      </c>
      <c r="AV40" s="330">
        <v>-240515.59579276721</v>
      </c>
      <c r="AW40" s="330">
        <v>28172.931401335634</v>
      </c>
      <c r="AX40" s="330">
        <v>193478.84467429668</v>
      </c>
      <c r="AY40" s="330">
        <v>361668.20104834624</v>
      </c>
      <c r="AZ40" s="330">
        <v>524446.91524262261</v>
      </c>
      <c r="BA40" s="330">
        <v>704023.56387635041</v>
      </c>
      <c r="BB40" s="330">
        <v>886394.06956240814</v>
      </c>
      <c r="BC40" s="330">
        <v>1079363.7165157665</v>
      </c>
      <c r="BD40" s="330">
        <v>1280180.1532065615</v>
      </c>
      <c r="BE40" s="330">
        <v>1485323.8019108465</v>
      </c>
      <c r="BF40" s="330">
        <v>1703758.8827524669</v>
      </c>
      <c r="BG40" s="330">
        <v>1949523.4346483489</v>
      </c>
      <c r="BH40" s="330">
        <v>2177897.1603371189</v>
      </c>
      <c r="BI40" s="330">
        <v>2429374.4260425912</v>
      </c>
      <c r="BJ40" s="330">
        <v>2717092.7449284913</v>
      </c>
      <c r="BK40" s="330">
        <v>3010093.6968918457</v>
      </c>
      <c r="BL40" s="330">
        <v>3325414.5894657462</v>
      </c>
      <c r="BM40" s="330">
        <v>3690425.9159493577</v>
      </c>
      <c r="BN40" s="330">
        <v>4143935.1706127762</v>
      </c>
      <c r="BO40" s="330">
        <v>4722651.1159141911</v>
      </c>
      <c r="BP40" s="330">
        <v>5992048.8629153483</v>
      </c>
      <c r="BQ40" s="330">
        <f>'I-Project Contingency'!$E$61-AV40</f>
        <v>0</v>
      </c>
      <c r="BR40" s="330">
        <f>'I-Project Contingency'!$E$62-AW40</f>
        <v>0</v>
      </c>
      <c r="BS40" s="330">
        <f>'I-Project Contingency'!$E$63-AX40</f>
        <v>0</v>
      </c>
      <c r="BT40" s="330">
        <f>'I-Project Contingency'!$E$64-AY40</f>
        <v>0</v>
      </c>
      <c r="BU40" s="330">
        <f>'I-Project Contingency'!$E$65-AZ40</f>
        <v>0</v>
      </c>
      <c r="BV40" s="330">
        <f>'I-Project Contingency'!$E$66-BA40</f>
        <v>0</v>
      </c>
      <c r="BW40" s="330">
        <f>'I-Project Contingency'!$E$67-BB40</f>
        <v>0</v>
      </c>
      <c r="BX40" s="330">
        <f>'I-Project Contingency'!$E$68-BC40</f>
        <v>0</v>
      </c>
      <c r="BY40" s="330">
        <f>'I-Project Contingency'!$E$69-BD40</f>
        <v>0</v>
      </c>
      <c r="BZ40" s="330">
        <f>'I-Project Contingency'!$E$70-BE40</f>
        <v>0</v>
      </c>
      <c r="CA40" s="330">
        <f>'I-Project Contingency'!$E$71-BF40</f>
        <v>0</v>
      </c>
      <c r="CB40" s="330">
        <f>'I-Project Contingency'!$E$72-BG40</f>
        <v>0</v>
      </c>
      <c r="CC40" s="330">
        <f>'I-Project Contingency'!$E$73-BH40</f>
        <v>0</v>
      </c>
      <c r="CD40" s="330">
        <f>'I-Project Contingency'!$E$74-BI40</f>
        <v>0</v>
      </c>
      <c r="CE40" s="330">
        <f>'I-Project Contingency'!$E$75-BJ40</f>
        <v>0</v>
      </c>
      <c r="CF40" s="330">
        <f>'I-Project Contingency'!$E$76-BK40</f>
        <v>0</v>
      </c>
      <c r="CG40" s="330">
        <f>'I-Project Contingency'!$E$77-BL40</f>
        <v>0</v>
      </c>
      <c r="CH40" s="784">
        <f>'I-Project Contingency'!$E$78-BM40</f>
        <v>0</v>
      </c>
      <c r="CI40" s="330">
        <f>'I-Project Contingency'!$E$79-BN40</f>
        <v>0</v>
      </c>
      <c r="CJ40" s="330">
        <f>'I-Project Contingency'!$E$80-BO40</f>
        <v>0</v>
      </c>
      <c r="CK40" s="330">
        <f>'I-Project Contingency'!$E$81-BP40</f>
        <v>0</v>
      </c>
      <c r="CL40" s="331">
        <f>'I-Project Contingency'!$O$5-AG40</f>
        <v>0</v>
      </c>
      <c r="CM40" s="332">
        <v>-0.98711802853447173</v>
      </c>
      <c r="CN40" s="332">
        <v>-0.19547704728364468</v>
      </c>
      <c r="CO40" s="332">
        <v>0.126462150308498</v>
      </c>
      <c r="CP40" s="332">
        <v>0.45967989154545902</v>
      </c>
      <c r="CQ40" s="332">
        <v>0.78297319902744</v>
      </c>
      <c r="CR40" s="332">
        <v>1.0957191966482109</v>
      </c>
      <c r="CS40" s="332">
        <v>1.4418405003536849</v>
      </c>
      <c r="CT40" s="332">
        <v>1.801002404194165</v>
      </c>
      <c r="CU40" s="332">
        <v>2.1797608166947349</v>
      </c>
      <c r="CV40" s="332">
        <v>2.5671680610072478</v>
      </c>
      <c r="CW40" s="332">
        <v>2.9690760644797152</v>
      </c>
      <c r="CX40" s="332">
        <v>3.3964145469774811</v>
      </c>
      <c r="CY40" s="332">
        <v>3.864536087769562</v>
      </c>
      <c r="CZ40" s="332">
        <v>4.3569836138896116</v>
      </c>
      <c r="DA40" s="332">
        <v>4.8862357851222598</v>
      </c>
      <c r="DB40" s="332">
        <v>5.438836997347547</v>
      </c>
      <c r="DC40" s="332">
        <v>6.047993455908566</v>
      </c>
      <c r="DD40" s="785">
        <v>6.720204953601761</v>
      </c>
      <c r="DE40" s="333">
        <v>7.55131678090412</v>
      </c>
      <c r="DF40" s="332">
        <v>8.661446370835737</v>
      </c>
      <c r="DG40" s="332">
        <v>11.206316207857133</v>
      </c>
      <c r="DH40" s="332">
        <f>'I-Project Contingency'!$E$86-CM40</f>
        <v>0</v>
      </c>
      <c r="DI40" s="332">
        <f>'I-Project Contingency'!$E$87-CN40</f>
        <v>0</v>
      </c>
      <c r="DJ40" s="332">
        <f>'I-Project Contingency'!$E$88-CO40</f>
        <v>0</v>
      </c>
      <c r="DK40" s="332">
        <f>'I-Project Contingency'!$E$89-CP40</f>
        <v>0</v>
      </c>
      <c r="DL40" s="332">
        <f>'I-Project Contingency'!$E$90-CQ40</f>
        <v>0</v>
      </c>
      <c r="DM40" s="332">
        <f>'I-Project Contingency'!$E$91-CR40</f>
        <v>0</v>
      </c>
      <c r="DN40" s="332">
        <f>'I-Project Contingency'!$E$92-CS40</f>
        <v>0</v>
      </c>
      <c r="DO40" s="332">
        <f>'I-Project Contingency'!$E$93-CT40</f>
        <v>0</v>
      </c>
      <c r="DP40" s="332">
        <f>'I-Project Contingency'!$E$94-CU40</f>
        <v>0</v>
      </c>
      <c r="DQ40" s="332">
        <f>'I-Project Contingency'!$E$95-CV40</f>
        <v>0</v>
      </c>
      <c r="DR40" s="332">
        <f>'I-Project Contingency'!$E$96-CW40</f>
        <v>0</v>
      </c>
      <c r="DS40" s="332">
        <f>'I-Project Contingency'!$E$97-CX40</f>
        <v>0</v>
      </c>
      <c r="DT40" s="332">
        <f>'I-Project Contingency'!$E$98-CY40</f>
        <v>0</v>
      </c>
      <c r="DU40" s="332">
        <f>'I-Project Contingency'!$E$99-CZ40</f>
        <v>0</v>
      </c>
      <c r="DV40" s="332">
        <f>'I-Project Contingency'!$E$100-DA40</f>
        <v>0</v>
      </c>
      <c r="DW40" s="332">
        <f>'I-Project Contingency'!$E$101-DB40</f>
        <v>0</v>
      </c>
      <c r="DX40" s="332">
        <f>'I-Project Contingency'!$E$102-DC40</f>
        <v>0</v>
      </c>
      <c r="DY40" s="332">
        <f>'I-Project Contingency'!$E$103-DD40</f>
        <v>0</v>
      </c>
      <c r="DZ40" s="332">
        <f>'I-Project Contingency'!$E$104-DE40</f>
        <v>0</v>
      </c>
      <c r="EA40" s="332">
        <f>'I-Project Contingency'!$E$105-DF40</f>
        <v>0</v>
      </c>
      <c r="EB40" s="332">
        <f>'I-Project Contingency'!$E$106-DG40</f>
        <v>0</v>
      </c>
      <c r="EC40" s="334">
        <f>IF(EE40="N/A","N/A",ABS(INDEX(EE40:EY40,1,MATCH("ROM Cost Risk @ "&amp;'D-Project Data'!$C$6*100&amp;"%",$EE$17:$EY$17,0))))</f>
        <v>0</v>
      </c>
      <c r="ED40" s="335">
        <f>IF(EC40="N/A","N/A",RANK(EC40,$EC$18:$EC$117,0)+COUNTIF($EC$18:EC40,EC40)-1)</f>
        <v>23</v>
      </c>
      <c r="EE40" s="334">
        <f>IF(BQ40/SUM(BQ:BQ)*'I-Project Contingency'!$F$61=0,0,BQ40/SUM(BQ:BQ)*'I-Project Contingency'!$F$61)</f>
        <v>0</v>
      </c>
      <c r="EF40" s="334">
        <f>IF(BR40/SUM(BR:BR)*'I-Project Contingency'!$F$62=0,0,BR40/SUM(BR:BR)*'I-Project Contingency'!$F$62)</f>
        <v>0</v>
      </c>
      <c r="EG40" s="334">
        <f>IF(BS40/SUM(BS:BS)*'I-Project Contingency'!$F$63=0,0,BS40/SUM(BS:BS)*'I-Project Contingency'!$F$63)</f>
        <v>0</v>
      </c>
      <c r="EH40" s="334">
        <f>IF(BT40/SUM(BT:BT)*'I-Project Contingency'!$F$64=0,0,BT40/SUM(BT:BT)*'I-Project Contingency'!$F$64)</f>
        <v>0</v>
      </c>
      <c r="EI40" s="334">
        <f>IF(BU40/SUM(BU:BU)*'I-Project Contingency'!$F$65=0,0,BU40/SUM(BU:BU)*'I-Project Contingency'!$F$65)</f>
        <v>0</v>
      </c>
      <c r="EJ40" s="334">
        <f>IF(BV40/SUM(BV:BV)*'I-Project Contingency'!$F$66=0,0,BV40/SUM(BV:BV)*'I-Project Contingency'!$F$66)</f>
        <v>0</v>
      </c>
      <c r="EK40" s="334">
        <f>IF(BW40/SUM(BW:BW)*'I-Project Contingency'!$F$67=0,0,BW40/SUM(BW:BW)*'I-Project Contingency'!$F$67)</f>
        <v>0</v>
      </c>
      <c r="EL40" s="334">
        <f>IF(BX40/SUM(BX:BX)*'I-Project Contingency'!$F$68=0,0,BX40/SUM(BX:BX)*'I-Project Contingency'!$F$68)</f>
        <v>0</v>
      </c>
      <c r="EM40" s="334">
        <f>IF(BY40/SUM(BY:BY)*'I-Project Contingency'!$F$69=0,0,BY40/SUM(BY:BY)*'I-Project Contingency'!$F$69)</f>
        <v>0</v>
      </c>
      <c r="EN40" s="334">
        <f>IF(BZ40/SUM(BZ:BZ)*'I-Project Contingency'!$F$70=0,0,BZ40/SUM(BZ:BZ)*'I-Project Contingency'!$F$70)</f>
        <v>0</v>
      </c>
      <c r="EO40" s="334">
        <f>IF(CA40/SUM(CA:CA)*'I-Project Contingency'!$F$71=0,0,CA40/SUM(CA:CA)*'I-Project Contingency'!$F$71)</f>
        <v>0</v>
      </c>
      <c r="EP40" s="334">
        <f>IF(CB40/SUM(CB:CB)*'I-Project Contingency'!$F$72=0,0,CB40/SUM(CB:CB)*'I-Project Contingency'!$F$72)</f>
        <v>0</v>
      </c>
      <c r="EQ40" s="334">
        <f>IF(CC40/SUM(CC:CC)*'I-Project Contingency'!$F$73=0,0,CC40/SUM(CC:CC)*'I-Project Contingency'!$F$73)</f>
        <v>0</v>
      </c>
      <c r="ER40" s="334">
        <f>IF(CD40/SUM(CD:CD)*'I-Project Contingency'!$F$74=0,0,CD40/SUM(CD:CD)*'I-Project Contingency'!$F$74)</f>
        <v>0</v>
      </c>
      <c r="ES40" s="334">
        <f>IF(CE40/SUM(CE:CE)*'I-Project Contingency'!$F$75=0,0,CE40/SUM(CE:CE)*'I-Project Contingency'!$F$75)</f>
        <v>0</v>
      </c>
      <c r="ET40" s="334">
        <f>IF(CF40/SUM(CF:CF)*'I-Project Contingency'!$F$76=0,0,CF40/SUM(CF:CF)*'I-Project Contingency'!$F$76)</f>
        <v>0</v>
      </c>
      <c r="EU40" s="334">
        <f>IF(CG40/SUM(CG:CG)*'I-Project Contingency'!$F$77=0,0,CG40/SUM(CG:CG)*'I-Project Contingency'!$F$77)</f>
        <v>0</v>
      </c>
      <c r="EV40" s="787">
        <f>IF(CH40/SUM(CH:CH)*'I-Project Contingency'!$F$78=0,0,CH40/SUM(CH:CH)*'I-Project Contingency'!$F$78)</f>
        <v>0</v>
      </c>
      <c r="EW40" s="787">
        <f>IF(CI40/SUM(CI:CI)*'I-Project Contingency'!$F$79=0,0,CI40/SUM(CI:CI)*'I-Project Contingency'!$F$79)</f>
        <v>0</v>
      </c>
      <c r="EX40" s="787">
        <f>IF(CJ40/SUM(CJ:CJ)*'I-Project Contingency'!$F$80=0,0,CJ40/SUM(CJ:CJ)*'I-Project Contingency'!$F$80)</f>
        <v>0</v>
      </c>
      <c r="EY40" s="787">
        <f>IF(CK40/SUM(CK:CK)*'I-Project Contingency'!$F$81=0,0,CK40/SUM(CK:CK)*'I-Project Contingency'!$F$81)</f>
        <v>0</v>
      </c>
      <c r="EZ40" s="333">
        <f>IF(FB40="N/A","N/A",ABS(INDEX(FB40:FV40,1,MATCH("ROM Schedule Risk @ "&amp;'D-Project Data'!$C$6*100&amp;"%",$FB$17:$FV$17,0))))</f>
        <v>0</v>
      </c>
      <c r="FA40" s="335">
        <f>IF(EZ40="N/A","N/A",RANK(EZ40,$EZ$18:$EZ$117,0)+COUNTIF($FB$18:FB40,FB40)-1)</f>
        <v>23</v>
      </c>
      <c r="FB40" s="788">
        <f>IF(DH40/SUM(DH:DH)*'I-Project Contingency'!$F$86=0,0,DH40/SUM(DH:DH)*'I-Project Contingency'!$F$86)</f>
        <v>0</v>
      </c>
      <c r="FC40" s="788">
        <f>IF(DI40/SUM(DI:DI)*'I-Project Contingency'!$F$87=0,0,DI40/SUM(DI:DI)*'I-Project Contingency'!$F$87)</f>
        <v>0</v>
      </c>
      <c r="FD40" s="788">
        <f>IF(DJ40/SUM(DJ:DJ)*'I-Project Contingency'!$F$88=0,0,DJ40/SUM(DJ:DJ)*'I-Project Contingency'!$F$88)</f>
        <v>0</v>
      </c>
      <c r="FE40" s="788">
        <f>IF(DK40/SUM(DK:DK)*'I-Project Contingency'!$F$89=0,0,DK40/SUM(DK:DK)*'I-Project Contingency'!$F$89)</f>
        <v>0</v>
      </c>
      <c r="FF40" s="788">
        <f>IF(DL40/SUM(DL:DL)*'I-Project Contingency'!$F$90=0,0,DL40/SUM(DL:DL)*'I-Project Contingency'!$F$90)</f>
        <v>0</v>
      </c>
      <c r="FG40" s="788">
        <f>IF(DM40/SUM(DM:DM)*'I-Project Contingency'!$F$91=0,0,DM40/SUM(DM:DM)*'I-Project Contingency'!$F$91)</f>
        <v>0</v>
      </c>
      <c r="FH40" s="788">
        <f>IF(DN40/SUM(DN:DN)*'I-Project Contingency'!$F$92=0,0,DN40/SUM(DN:DN)*'I-Project Contingency'!$F$92)</f>
        <v>0</v>
      </c>
      <c r="FI40" s="788">
        <f>IF(DO40/SUM(DO:DO)*'I-Project Contingency'!$F$93=0,0,DO40/SUM(DO:DO)*'I-Project Contingency'!$F$93)</f>
        <v>0</v>
      </c>
      <c r="FJ40" s="788">
        <f>IF(DP40/SUM(DP:DP)*'I-Project Contingency'!$F$94=0,0,DP40/SUM(DP:DP)*'I-Project Contingency'!$F$94)</f>
        <v>0</v>
      </c>
      <c r="FK40" s="788">
        <f>IF(DQ40/SUM(DQ:DQ)*'I-Project Contingency'!$F$95=0,0,DQ40/SUM(DQ:DQ)*'I-Project Contingency'!$F$95)</f>
        <v>0</v>
      </c>
      <c r="FL40" s="788">
        <f>IF(DR40/SUM(DR:DR)*'I-Project Contingency'!$F$96=0,0,DR40/SUM(DR:DR)*'I-Project Contingency'!$F$96)</f>
        <v>0</v>
      </c>
      <c r="FM40" s="788">
        <f>IF(DS40/SUM(DS:DS)*'I-Project Contingency'!$F$97=0,0,DS40/SUM(DS:DS)*'I-Project Contingency'!$F$97)</f>
        <v>0</v>
      </c>
      <c r="FN40" s="788">
        <f>IF(DT40/SUM(DT:DT)*'I-Project Contingency'!$F$98=0,0,DT40/SUM(DT:DT)*'I-Project Contingency'!$F$98)</f>
        <v>0</v>
      </c>
      <c r="FO40" s="788">
        <f>IF(DU40/SUM(DU:DU)*'I-Project Contingency'!$F$99=0,0,DU40/SUM(DU:DU)*'I-Project Contingency'!$F$99)</f>
        <v>0</v>
      </c>
      <c r="FP40" s="788">
        <f>IF(DV40/SUM(DV:DV)*'I-Project Contingency'!$F$100=0,0,DV40/SUM(DV:DV)*'I-Project Contingency'!$F$100)</f>
        <v>0</v>
      </c>
      <c r="FQ40" s="788">
        <f>IF(DW40/SUM(DW:DW)*'I-Project Contingency'!$F$101=0,0,DW40/SUM(DW:DW)*'I-Project Contingency'!$F$101)</f>
        <v>0</v>
      </c>
      <c r="FR40" s="788">
        <f>IF(DX40/SUM(DX:DX)*'I-Project Contingency'!$F$102=0,0,DX40/SUM(DX:DX)*'I-Project Contingency'!$F$102)</f>
        <v>0</v>
      </c>
      <c r="FS40" s="788">
        <f>IF(DY40/SUM(DY:DY)*'I-Project Contingency'!$F$103=0,0,DY40/SUM(DY:DY)*'I-Project Contingency'!$F$103)</f>
        <v>0</v>
      </c>
      <c r="FT40" s="788">
        <f>IF(DZ40/SUM(DZ:DZ)*'I-Project Contingency'!$F$104=0,0,DZ40/SUM(DZ:DZ)*'I-Project Contingency'!$F$104)</f>
        <v>0</v>
      </c>
      <c r="FU40" s="788">
        <f>IF(EA40/SUM(EA:EA)*'I-Project Contingency'!$F$105=0,0,EA40/SUM(EA:EA)*'I-Project Contingency'!$F$105)</f>
        <v>0</v>
      </c>
      <c r="FV40" s="788">
        <f>IF(EB40/SUM(EB:EB)*'I-Project Contingency'!$F$106=0,0,EB40/SUM(EB:EB)*'I-Project Contingency'!$F$106)</f>
        <v>0</v>
      </c>
      <c r="FW40" s="335">
        <f t="shared" si="13"/>
        <v>23</v>
      </c>
      <c r="FX40" s="336" t="str">
        <f t="shared" si="14"/>
        <v xml:space="preserve">23 - </v>
      </c>
      <c r="FY40" s="330">
        <f t="shared" si="15"/>
        <v>0</v>
      </c>
      <c r="FZ40" s="330">
        <f t="shared" si="16"/>
        <v>0</v>
      </c>
      <c r="GA40" s="332">
        <f t="shared" si="17"/>
        <v>0</v>
      </c>
      <c r="GB40" s="332">
        <f t="shared" si="18"/>
        <v>0</v>
      </c>
    </row>
    <row r="41" spans="1:184" ht="30" x14ac:dyDescent="0.25">
      <c r="A41" s="163">
        <f t="shared" si="23"/>
        <v>24</v>
      </c>
      <c r="B41" s="727" t="s">
        <v>728</v>
      </c>
      <c r="C41" s="729"/>
      <c r="D41" s="729"/>
      <c r="E41" s="729"/>
      <c r="F41" s="728" t="s">
        <v>728</v>
      </c>
      <c r="G41" s="728" t="s">
        <v>728</v>
      </c>
      <c r="H41" s="157" t="str">
        <f>IFERROR(IF('H-Risk Register-Model'!F41="Certain","Relook at Basis of Estimate",INDEX('G-Assumptions'!$F$8:$J$11,MATCH(F41,'G-Assumptions'!$D$8:$D$11,0),MATCH(G41,'G-Assumptions'!$F$6:$J$6,0))),"Unrated")</f>
        <v>Unrated</v>
      </c>
      <c r="I41" s="728" t="s">
        <v>728</v>
      </c>
      <c r="J41" s="157" t="str">
        <f>IFERROR(IF('H-Risk Register-Model'!F41="Certain","Relook at Basis of Estimate",INDEX('G-Assumptions'!$F$8:$J$11,MATCH(F41,'G-Assumptions'!$D$8:$D$11,0),MATCH(I41,'G-Assumptions'!$F$6:$J$6,0))),"Unrated")</f>
        <v>Unrated</v>
      </c>
      <c r="K41" s="728" t="s">
        <v>728</v>
      </c>
      <c r="L41" s="728" t="s">
        <v>728</v>
      </c>
      <c r="M41" s="728"/>
      <c r="N41" s="731" t="s">
        <v>728</v>
      </c>
      <c r="O41" s="731" t="s">
        <v>728</v>
      </c>
      <c r="P41" s="732"/>
      <c r="Q41" s="732"/>
      <c r="R41" s="732"/>
      <c r="S41" s="733"/>
      <c r="T41" s="733"/>
      <c r="U41" s="733"/>
      <c r="V41" s="734"/>
      <c r="W41" s="732"/>
      <c r="X41" s="732"/>
      <c r="Y41" s="735">
        <v>1</v>
      </c>
      <c r="Z41" s="736">
        <v>1</v>
      </c>
      <c r="AA41" s="166">
        <f t="shared" si="19"/>
        <v>0</v>
      </c>
      <c r="AB41" s="166">
        <f t="shared" si="20"/>
        <v>0</v>
      </c>
      <c r="AC41" s="166">
        <f t="shared" si="21"/>
        <v>0</v>
      </c>
      <c r="AD41" s="166"/>
      <c r="AE41" s="164">
        <f t="shared" si="22"/>
        <v>0</v>
      </c>
      <c r="AF41" s="167"/>
      <c r="AG41" s="165">
        <f t="shared" si="5"/>
        <v>0</v>
      </c>
      <c r="AH41" s="729"/>
      <c r="AI41" s="729"/>
      <c r="AJ41" s="8"/>
      <c r="AK41" s="495" t="str">
        <f t="shared" si="6"/>
        <v>No</v>
      </c>
      <c r="AL41" s="496">
        <f>'I-Project Contingency'!$I$4</f>
        <v>9000000</v>
      </c>
      <c r="AM41" s="326">
        <f>'I-Project Contingency'!$I$11</f>
        <v>23.978102189781023</v>
      </c>
      <c r="AN41" s="325">
        <f t="shared" si="7"/>
        <v>0</v>
      </c>
      <c r="AO41" s="326">
        <f t="shared" si="8"/>
        <v>0</v>
      </c>
      <c r="AP41" s="641" t="str">
        <f t="shared" si="9"/>
        <v/>
      </c>
      <c r="AQ41" s="641" t="str">
        <f t="shared" si="10"/>
        <v/>
      </c>
      <c r="AR41" s="497" t="str">
        <f t="shared" si="11"/>
        <v/>
      </c>
      <c r="AS41" s="497" t="str">
        <f t="shared" si="12"/>
        <v/>
      </c>
      <c r="AT41" s="8"/>
      <c r="AU41" s="329">
        <f>'I-Project Contingency'!$O$4-AE41</f>
        <v>0</v>
      </c>
      <c r="AV41" s="330">
        <v>-240515.59579276721</v>
      </c>
      <c r="AW41" s="330">
        <v>28172.931401335634</v>
      </c>
      <c r="AX41" s="330">
        <v>193478.84467429668</v>
      </c>
      <c r="AY41" s="330">
        <v>361668.20104834624</v>
      </c>
      <c r="AZ41" s="330">
        <v>524446.91524262261</v>
      </c>
      <c r="BA41" s="330">
        <v>704023.56387635041</v>
      </c>
      <c r="BB41" s="330">
        <v>886394.06956240814</v>
      </c>
      <c r="BC41" s="330">
        <v>1079363.7165157665</v>
      </c>
      <c r="BD41" s="330">
        <v>1280180.1532065615</v>
      </c>
      <c r="BE41" s="330">
        <v>1485323.8019108465</v>
      </c>
      <c r="BF41" s="330">
        <v>1703758.8827524669</v>
      </c>
      <c r="BG41" s="330">
        <v>1949523.4346483489</v>
      </c>
      <c r="BH41" s="330">
        <v>2177897.1603371189</v>
      </c>
      <c r="BI41" s="330">
        <v>2429374.4260425912</v>
      </c>
      <c r="BJ41" s="330">
        <v>2717092.7449284913</v>
      </c>
      <c r="BK41" s="330">
        <v>3010093.6968918457</v>
      </c>
      <c r="BL41" s="330">
        <v>3325414.5894657462</v>
      </c>
      <c r="BM41" s="330">
        <v>3690425.9159493577</v>
      </c>
      <c r="BN41" s="330">
        <v>4143935.1706127762</v>
      </c>
      <c r="BO41" s="330">
        <v>4722651.1159141911</v>
      </c>
      <c r="BP41" s="330">
        <v>5992048.8629153483</v>
      </c>
      <c r="BQ41" s="330">
        <f>'I-Project Contingency'!$E$61-AV41</f>
        <v>0</v>
      </c>
      <c r="BR41" s="330">
        <f>'I-Project Contingency'!$E$62-AW41</f>
        <v>0</v>
      </c>
      <c r="BS41" s="330">
        <f>'I-Project Contingency'!$E$63-AX41</f>
        <v>0</v>
      </c>
      <c r="BT41" s="330">
        <f>'I-Project Contingency'!$E$64-AY41</f>
        <v>0</v>
      </c>
      <c r="BU41" s="330">
        <f>'I-Project Contingency'!$E$65-AZ41</f>
        <v>0</v>
      </c>
      <c r="BV41" s="330">
        <f>'I-Project Contingency'!$E$66-BA41</f>
        <v>0</v>
      </c>
      <c r="BW41" s="330">
        <f>'I-Project Contingency'!$E$67-BB41</f>
        <v>0</v>
      </c>
      <c r="BX41" s="330">
        <f>'I-Project Contingency'!$E$68-BC41</f>
        <v>0</v>
      </c>
      <c r="BY41" s="330">
        <f>'I-Project Contingency'!$E$69-BD41</f>
        <v>0</v>
      </c>
      <c r="BZ41" s="330">
        <f>'I-Project Contingency'!$E$70-BE41</f>
        <v>0</v>
      </c>
      <c r="CA41" s="330">
        <f>'I-Project Contingency'!$E$71-BF41</f>
        <v>0</v>
      </c>
      <c r="CB41" s="330">
        <f>'I-Project Contingency'!$E$72-BG41</f>
        <v>0</v>
      </c>
      <c r="CC41" s="330">
        <f>'I-Project Contingency'!$E$73-BH41</f>
        <v>0</v>
      </c>
      <c r="CD41" s="330">
        <f>'I-Project Contingency'!$E$74-BI41</f>
        <v>0</v>
      </c>
      <c r="CE41" s="330">
        <f>'I-Project Contingency'!$E$75-BJ41</f>
        <v>0</v>
      </c>
      <c r="CF41" s="330">
        <f>'I-Project Contingency'!$E$76-BK41</f>
        <v>0</v>
      </c>
      <c r="CG41" s="330">
        <f>'I-Project Contingency'!$E$77-BL41</f>
        <v>0</v>
      </c>
      <c r="CH41" s="784">
        <f>'I-Project Contingency'!$E$78-BM41</f>
        <v>0</v>
      </c>
      <c r="CI41" s="330">
        <f>'I-Project Contingency'!$E$79-BN41</f>
        <v>0</v>
      </c>
      <c r="CJ41" s="330">
        <f>'I-Project Contingency'!$E$80-BO41</f>
        <v>0</v>
      </c>
      <c r="CK41" s="330">
        <f>'I-Project Contingency'!$E$81-BP41</f>
        <v>0</v>
      </c>
      <c r="CL41" s="331">
        <f>'I-Project Contingency'!$O$5-AG41</f>
        <v>0</v>
      </c>
      <c r="CM41" s="332">
        <v>-0.98711802853447173</v>
      </c>
      <c r="CN41" s="332">
        <v>-0.19547704728364468</v>
      </c>
      <c r="CO41" s="332">
        <v>0.126462150308498</v>
      </c>
      <c r="CP41" s="332">
        <v>0.45967989154545902</v>
      </c>
      <c r="CQ41" s="332">
        <v>0.78297319902744</v>
      </c>
      <c r="CR41" s="332">
        <v>1.0957191966482109</v>
      </c>
      <c r="CS41" s="332">
        <v>1.4418405003536849</v>
      </c>
      <c r="CT41" s="332">
        <v>1.801002404194165</v>
      </c>
      <c r="CU41" s="332">
        <v>2.1797608166947349</v>
      </c>
      <c r="CV41" s="332">
        <v>2.5671680610072478</v>
      </c>
      <c r="CW41" s="332">
        <v>2.9690760644797152</v>
      </c>
      <c r="CX41" s="332">
        <v>3.3964145469774811</v>
      </c>
      <c r="CY41" s="332">
        <v>3.864536087769562</v>
      </c>
      <c r="CZ41" s="332">
        <v>4.3569836138896116</v>
      </c>
      <c r="DA41" s="332">
        <v>4.8862357851222598</v>
      </c>
      <c r="DB41" s="332">
        <v>5.438836997347547</v>
      </c>
      <c r="DC41" s="332">
        <v>6.047993455908566</v>
      </c>
      <c r="DD41" s="785">
        <v>6.720204953601761</v>
      </c>
      <c r="DE41" s="333">
        <v>7.55131678090412</v>
      </c>
      <c r="DF41" s="332">
        <v>8.661446370835737</v>
      </c>
      <c r="DG41" s="332">
        <v>11.206316207857133</v>
      </c>
      <c r="DH41" s="332">
        <f>'I-Project Contingency'!$E$86-CM41</f>
        <v>0</v>
      </c>
      <c r="DI41" s="332">
        <f>'I-Project Contingency'!$E$87-CN41</f>
        <v>0</v>
      </c>
      <c r="DJ41" s="332">
        <f>'I-Project Contingency'!$E$88-CO41</f>
        <v>0</v>
      </c>
      <c r="DK41" s="332">
        <f>'I-Project Contingency'!$E$89-CP41</f>
        <v>0</v>
      </c>
      <c r="DL41" s="332">
        <f>'I-Project Contingency'!$E$90-CQ41</f>
        <v>0</v>
      </c>
      <c r="DM41" s="332">
        <f>'I-Project Contingency'!$E$91-CR41</f>
        <v>0</v>
      </c>
      <c r="DN41" s="332">
        <f>'I-Project Contingency'!$E$92-CS41</f>
        <v>0</v>
      </c>
      <c r="DO41" s="332">
        <f>'I-Project Contingency'!$E$93-CT41</f>
        <v>0</v>
      </c>
      <c r="DP41" s="332">
        <f>'I-Project Contingency'!$E$94-CU41</f>
        <v>0</v>
      </c>
      <c r="DQ41" s="332">
        <f>'I-Project Contingency'!$E$95-CV41</f>
        <v>0</v>
      </c>
      <c r="DR41" s="332">
        <f>'I-Project Contingency'!$E$96-CW41</f>
        <v>0</v>
      </c>
      <c r="DS41" s="332">
        <f>'I-Project Contingency'!$E$97-CX41</f>
        <v>0</v>
      </c>
      <c r="DT41" s="332">
        <f>'I-Project Contingency'!$E$98-CY41</f>
        <v>0</v>
      </c>
      <c r="DU41" s="332">
        <f>'I-Project Contingency'!$E$99-CZ41</f>
        <v>0</v>
      </c>
      <c r="DV41" s="332">
        <f>'I-Project Contingency'!$E$100-DA41</f>
        <v>0</v>
      </c>
      <c r="DW41" s="332">
        <f>'I-Project Contingency'!$E$101-DB41</f>
        <v>0</v>
      </c>
      <c r="DX41" s="332">
        <f>'I-Project Contingency'!$E$102-DC41</f>
        <v>0</v>
      </c>
      <c r="DY41" s="332">
        <f>'I-Project Contingency'!$E$103-DD41</f>
        <v>0</v>
      </c>
      <c r="DZ41" s="332">
        <f>'I-Project Contingency'!$E$104-DE41</f>
        <v>0</v>
      </c>
      <c r="EA41" s="332">
        <f>'I-Project Contingency'!$E$105-DF41</f>
        <v>0</v>
      </c>
      <c r="EB41" s="332">
        <f>'I-Project Contingency'!$E$106-DG41</f>
        <v>0</v>
      </c>
      <c r="EC41" s="334">
        <f>IF(EE41="N/A","N/A",ABS(INDEX(EE41:EY41,1,MATCH("ROM Cost Risk @ "&amp;'D-Project Data'!$C$6*100&amp;"%",$EE$17:$EY$17,0))))</f>
        <v>0</v>
      </c>
      <c r="ED41" s="335">
        <f>IF(EC41="N/A","N/A",RANK(EC41,$EC$18:$EC$117,0)+COUNTIF($EC$18:EC41,EC41)-1)</f>
        <v>24</v>
      </c>
      <c r="EE41" s="334">
        <f>IF(BQ41/SUM(BQ:BQ)*'I-Project Contingency'!$F$61=0,0,BQ41/SUM(BQ:BQ)*'I-Project Contingency'!$F$61)</f>
        <v>0</v>
      </c>
      <c r="EF41" s="334">
        <f>IF(BR41/SUM(BR:BR)*'I-Project Contingency'!$F$62=0,0,BR41/SUM(BR:BR)*'I-Project Contingency'!$F$62)</f>
        <v>0</v>
      </c>
      <c r="EG41" s="334">
        <f>IF(BS41/SUM(BS:BS)*'I-Project Contingency'!$F$63=0,0,BS41/SUM(BS:BS)*'I-Project Contingency'!$F$63)</f>
        <v>0</v>
      </c>
      <c r="EH41" s="334">
        <f>IF(BT41/SUM(BT:BT)*'I-Project Contingency'!$F$64=0,0,BT41/SUM(BT:BT)*'I-Project Contingency'!$F$64)</f>
        <v>0</v>
      </c>
      <c r="EI41" s="334">
        <f>IF(BU41/SUM(BU:BU)*'I-Project Contingency'!$F$65=0,0,BU41/SUM(BU:BU)*'I-Project Contingency'!$F$65)</f>
        <v>0</v>
      </c>
      <c r="EJ41" s="334">
        <f>IF(BV41/SUM(BV:BV)*'I-Project Contingency'!$F$66=0,0,BV41/SUM(BV:BV)*'I-Project Contingency'!$F$66)</f>
        <v>0</v>
      </c>
      <c r="EK41" s="334">
        <f>IF(BW41/SUM(BW:BW)*'I-Project Contingency'!$F$67=0,0,BW41/SUM(BW:BW)*'I-Project Contingency'!$F$67)</f>
        <v>0</v>
      </c>
      <c r="EL41" s="334">
        <f>IF(BX41/SUM(BX:BX)*'I-Project Contingency'!$F$68=0,0,BX41/SUM(BX:BX)*'I-Project Contingency'!$F$68)</f>
        <v>0</v>
      </c>
      <c r="EM41" s="334">
        <f>IF(BY41/SUM(BY:BY)*'I-Project Contingency'!$F$69=0,0,BY41/SUM(BY:BY)*'I-Project Contingency'!$F$69)</f>
        <v>0</v>
      </c>
      <c r="EN41" s="334">
        <f>IF(BZ41/SUM(BZ:BZ)*'I-Project Contingency'!$F$70=0,0,BZ41/SUM(BZ:BZ)*'I-Project Contingency'!$F$70)</f>
        <v>0</v>
      </c>
      <c r="EO41" s="334">
        <f>IF(CA41/SUM(CA:CA)*'I-Project Contingency'!$F$71=0,0,CA41/SUM(CA:CA)*'I-Project Contingency'!$F$71)</f>
        <v>0</v>
      </c>
      <c r="EP41" s="334">
        <f>IF(CB41/SUM(CB:CB)*'I-Project Contingency'!$F$72=0,0,CB41/SUM(CB:CB)*'I-Project Contingency'!$F$72)</f>
        <v>0</v>
      </c>
      <c r="EQ41" s="334">
        <f>IF(CC41/SUM(CC:CC)*'I-Project Contingency'!$F$73=0,0,CC41/SUM(CC:CC)*'I-Project Contingency'!$F$73)</f>
        <v>0</v>
      </c>
      <c r="ER41" s="334">
        <f>IF(CD41/SUM(CD:CD)*'I-Project Contingency'!$F$74=0,0,CD41/SUM(CD:CD)*'I-Project Contingency'!$F$74)</f>
        <v>0</v>
      </c>
      <c r="ES41" s="334">
        <f>IF(CE41/SUM(CE:CE)*'I-Project Contingency'!$F$75=0,0,CE41/SUM(CE:CE)*'I-Project Contingency'!$F$75)</f>
        <v>0</v>
      </c>
      <c r="ET41" s="334">
        <f>IF(CF41/SUM(CF:CF)*'I-Project Contingency'!$F$76=0,0,CF41/SUM(CF:CF)*'I-Project Contingency'!$F$76)</f>
        <v>0</v>
      </c>
      <c r="EU41" s="334">
        <f>IF(CG41/SUM(CG:CG)*'I-Project Contingency'!$F$77=0,0,CG41/SUM(CG:CG)*'I-Project Contingency'!$F$77)</f>
        <v>0</v>
      </c>
      <c r="EV41" s="787">
        <f>IF(CH41/SUM(CH:CH)*'I-Project Contingency'!$F$78=0,0,CH41/SUM(CH:CH)*'I-Project Contingency'!$F$78)</f>
        <v>0</v>
      </c>
      <c r="EW41" s="787">
        <f>IF(CI41/SUM(CI:CI)*'I-Project Contingency'!$F$79=0,0,CI41/SUM(CI:CI)*'I-Project Contingency'!$F$79)</f>
        <v>0</v>
      </c>
      <c r="EX41" s="787">
        <f>IF(CJ41/SUM(CJ:CJ)*'I-Project Contingency'!$F$80=0,0,CJ41/SUM(CJ:CJ)*'I-Project Contingency'!$F$80)</f>
        <v>0</v>
      </c>
      <c r="EY41" s="787">
        <f>IF(CK41/SUM(CK:CK)*'I-Project Contingency'!$F$81=0,0,CK41/SUM(CK:CK)*'I-Project Contingency'!$F$81)</f>
        <v>0</v>
      </c>
      <c r="EZ41" s="333">
        <f>IF(FB41="N/A","N/A",ABS(INDEX(FB41:FV41,1,MATCH("ROM Schedule Risk @ "&amp;'D-Project Data'!$C$6*100&amp;"%",$FB$17:$FV$17,0))))</f>
        <v>0</v>
      </c>
      <c r="FA41" s="335">
        <f>IF(EZ41="N/A","N/A",RANK(EZ41,$EZ$18:$EZ$117,0)+COUNTIF($FB$18:FB41,FB41)-1)</f>
        <v>24</v>
      </c>
      <c r="FB41" s="788">
        <f>IF(DH41/SUM(DH:DH)*'I-Project Contingency'!$F$86=0,0,DH41/SUM(DH:DH)*'I-Project Contingency'!$F$86)</f>
        <v>0</v>
      </c>
      <c r="FC41" s="788">
        <f>IF(DI41/SUM(DI:DI)*'I-Project Contingency'!$F$87=0,0,DI41/SUM(DI:DI)*'I-Project Contingency'!$F$87)</f>
        <v>0</v>
      </c>
      <c r="FD41" s="788">
        <f>IF(DJ41/SUM(DJ:DJ)*'I-Project Contingency'!$F$88=0,0,DJ41/SUM(DJ:DJ)*'I-Project Contingency'!$F$88)</f>
        <v>0</v>
      </c>
      <c r="FE41" s="788">
        <f>IF(DK41/SUM(DK:DK)*'I-Project Contingency'!$F$89=0,0,DK41/SUM(DK:DK)*'I-Project Contingency'!$F$89)</f>
        <v>0</v>
      </c>
      <c r="FF41" s="788">
        <f>IF(DL41/SUM(DL:DL)*'I-Project Contingency'!$F$90=0,0,DL41/SUM(DL:DL)*'I-Project Contingency'!$F$90)</f>
        <v>0</v>
      </c>
      <c r="FG41" s="788">
        <f>IF(DM41/SUM(DM:DM)*'I-Project Contingency'!$F$91=0,0,DM41/SUM(DM:DM)*'I-Project Contingency'!$F$91)</f>
        <v>0</v>
      </c>
      <c r="FH41" s="788">
        <f>IF(DN41/SUM(DN:DN)*'I-Project Contingency'!$F$92=0,0,DN41/SUM(DN:DN)*'I-Project Contingency'!$F$92)</f>
        <v>0</v>
      </c>
      <c r="FI41" s="788">
        <f>IF(DO41/SUM(DO:DO)*'I-Project Contingency'!$F$93=0,0,DO41/SUM(DO:DO)*'I-Project Contingency'!$F$93)</f>
        <v>0</v>
      </c>
      <c r="FJ41" s="788">
        <f>IF(DP41/SUM(DP:DP)*'I-Project Contingency'!$F$94=0,0,DP41/SUM(DP:DP)*'I-Project Contingency'!$F$94)</f>
        <v>0</v>
      </c>
      <c r="FK41" s="788">
        <f>IF(DQ41/SUM(DQ:DQ)*'I-Project Contingency'!$F$95=0,0,DQ41/SUM(DQ:DQ)*'I-Project Contingency'!$F$95)</f>
        <v>0</v>
      </c>
      <c r="FL41" s="788">
        <f>IF(DR41/SUM(DR:DR)*'I-Project Contingency'!$F$96=0,0,DR41/SUM(DR:DR)*'I-Project Contingency'!$F$96)</f>
        <v>0</v>
      </c>
      <c r="FM41" s="788">
        <f>IF(DS41/SUM(DS:DS)*'I-Project Contingency'!$F$97=0,0,DS41/SUM(DS:DS)*'I-Project Contingency'!$F$97)</f>
        <v>0</v>
      </c>
      <c r="FN41" s="788">
        <f>IF(DT41/SUM(DT:DT)*'I-Project Contingency'!$F$98=0,0,DT41/SUM(DT:DT)*'I-Project Contingency'!$F$98)</f>
        <v>0</v>
      </c>
      <c r="FO41" s="788">
        <f>IF(DU41/SUM(DU:DU)*'I-Project Contingency'!$F$99=0,0,DU41/SUM(DU:DU)*'I-Project Contingency'!$F$99)</f>
        <v>0</v>
      </c>
      <c r="FP41" s="788">
        <f>IF(DV41/SUM(DV:DV)*'I-Project Contingency'!$F$100=0,0,DV41/SUM(DV:DV)*'I-Project Contingency'!$F$100)</f>
        <v>0</v>
      </c>
      <c r="FQ41" s="788">
        <f>IF(DW41/SUM(DW:DW)*'I-Project Contingency'!$F$101=0,0,DW41/SUM(DW:DW)*'I-Project Contingency'!$F$101)</f>
        <v>0</v>
      </c>
      <c r="FR41" s="788">
        <f>IF(DX41/SUM(DX:DX)*'I-Project Contingency'!$F$102=0,0,DX41/SUM(DX:DX)*'I-Project Contingency'!$F$102)</f>
        <v>0</v>
      </c>
      <c r="FS41" s="788">
        <f>IF(DY41/SUM(DY:DY)*'I-Project Contingency'!$F$103=0,0,DY41/SUM(DY:DY)*'I-Project Contingency'!$F$103)</f>
        <v>0</v>
      </c>
      <c r="FT41" s="788">
        <f>IF(DZ41/SUM(DZ:DZ)*'I-Project Contingency'!$F$104=0,0,DZ41/SUM(DZ:DZ)*'I-Project Contingency'!$F$104)</f>
        <v>0</v>
      </c>
      <c r="FU41" s="788">
        <f>IF(EA41/SUM(EA:EA)*'I-Project Contingency'!$F$105=0,0,EA41/SUM(EA:EA)*'I-Project Contingency'!$F$105)</f>
        <v>0</v>
      </c>
      <c r="FV41" s="788">
        <f>IF(EB41/SUM(EB:EB)*'I-Project Contingency'!$F$106=0,0,EB41/SUM(EB:EB)*'I-Project Contingency'!$F$106)</f>
        <v>0</v>
      </c>
      <c r="FW41" s="335">
        <f t="shared" si="13"/>
        <v>24</v>
      </c>
      <c r="FX41" s="336" t="str">
        <f t="shared" si="14"/>
        <v xml:space="preserve">24 - </v>
      </c>
      <c r="FY41" s="330">
        <f t="shared" si="15"/>
        <v>0</v>
      </c>
      <c r="FZ41" s="330">
        <f t="shared" si="16"/>
        <v>0</v>
      </c>
      <c r="GA41" s="332">
        <f t="shared" si="17"/>
        <v>0</v>
      </c>
      <c r="GB41" s="332">
        <f t="shared" si="18"/>
        <v>0</v>
      </c>
    </row>
    <row r="42" spans="1:184" ht="30" x14ac:dyDescent="0.25">
      <c r="A42" s="163">
        <f t="shared" si="23"/>
        <v>25</v>
      </c>
      <c r="B42" s="727" t="s">
        <v>728</v>
      </c>
      <c r="C42" s="729"/>
      <c r="D42" s="729"/>
      <c r="E42" s="729"/>
      <c r="F42" s="728" t="s">
        <v>728</v>
      </c>
      <c r="G42" s="728" t="s">
        <v>728</v>
      </c>
      <c r="H42" s="157" t="str">
        <f>IFERROR(IF('H-Risk Register-Model'!F42="Certain","Relook at Basis of Estimate",INDEX('G-Assumptions'!$F$8:$J$11,MATCH(F42,'G-Assumptions'!$D$8:$D$11,0),MATCH(G42,'G-Assumptions'!$F$6:$J$6,0))),"Unrated")</f>
        <v>Unrated</v>
      </c>
      <c r="I42" s="728" t="s">
        <v>728</v>
      </c>
      <c r="J42" s="157" t="str">
        <f>IFERROR(IF('H-Risk Register-Model'!F42="Certain","Relook at Basis of Estimate",INDEX('G-Assumptions'!$F$8:$J$11,MATCH(F42,'G-Assumptions'!$D$8:$D$11,0),MATCH(I42,'G-Assumptions'!$F$6:$J$6,0))),"Unrated")</f>
        <v>Unrated</v>
      </c>
      <c r="K42" s="728" t="s">
        <v>728</v>
      </c>
      <c r="L42" s="728" t="s">
        <v>728</v>
      </c>
      <c r="M42" s="728"/>
      <c r="N42" s="731" t="s">
        <v>728</v>
      </c>
      <c r="O42" s="731" t="s">
        <v>728</v>
      </c>
      <c r="P42" s="732"/>
      <c r="Q42" s="732"/>
      <c r="R42" s="732"/>
      <c r="S42" s="733"/>
      <c r="T42" s="733"/>
      <c r="U42" s="733"/>
      <c r="V42" s="734"/>
      <c r="W42" s="732"/>
      <c r="X42" s="732"/>
      <c r="Y42" s="735">
        <v>1</v>
      </c>
      <c r="Z42" s="736">
        <v>1</v>
      </c>
      <c r="AA42" s="166">
        <f t="shared" si="19"/>
        <v>0</v>
      </c>
      <c r="AB42" s="166">
        <f t="shared" si="20"/>
        <v>0</v>
      </c>
      <c r="AC42" s="166">
        <f t="shared" si="21"/>
        <v>0</v>
      </c>
      <c r="AD42" s="166"/>
      <c r="AE42" s="164">
        <f t="shared" si="22"/>
        <v>0</v>
      </c>
      <c r="AF42" s="167"/>
      <c r="AG42" s="165">
        <f t="shared" si="5"/>
        <v>0</v>
      </c>
      <c r="AH42" s="729"/>
      <c r="AI42" s="729"/>
      <c r="AJ42" s="8"/>
      <c r="AK42" s="495" t="str">
        <f t="shared" si="6"/>
        <v>No</v>
      </c>
      <c r="AL42" s="496">
        <f>'I-Project Contingency'!$I$4</f>
        <v>9000000</v>
      </c>
      <c r="AM42" s="326">
        <f>'I-Project Contingency'!$I$11</f>
        <v>23.978102189781023</v>
      </c>
      <c r="AN42" s="325">
        <f t="shared" si="7"/>
        <v>0</v>
      </c>
      <c r="AO42" s="326">
        <f t="shared" si="8"/>
        <v>0</v>
      </c>
      <c r="AP42" s="641" t="str">
        <f t="shared" si="9"/>
        <v/>
      </c>
      <c r="AQ42" s="641" t="str">
        <f t="shared" si="10"/>
        <v/>
      </c>
      <c r="AR42" s="497" t="str">
        <f t="shared" si="11"/>
        <v/>
      </c>
      <c r="AS42" s="497" t="str">
        <f t="shared" si="12"/>
        <v/>
      </c>
      <c r="AT42" s="8"/>
      <c r="AU42" s="329">
        <f>'I-Project Contingency'!$O$4-AE42</f>
        <v>0</v>
      </c>
      <c r="AV42" s="330">
        <v>-240515.59579276721</v>
      </c>
      <c r="AW42" s="330">
        <v>28172.931401335634</v>
      </c>
      <c r="AX42" s="330">
        <v>193478.84467429668</v>
      </c>
      <c r="AY42" s="330">
        <v>361668.20104834624</v>
      </c>
      <c r="AZ42" s="330">
        <v>524446.91524262261</v>
      </c>
      <c r="BA42" s="330">
        <v>704023.56387635041</v>
      </c>
      <c r="BB42" s="330">
        <v>886394.06956240814</v>
      </c>
      <c r="BC42" s="330">
        <v>1079363.7165157665</v>
      </c>
      <c r="BD42" s="330">
        <v>1280180.1532065615</v>
      </c>
      <c r="BE42" s="330">
        <v>1485323.8019108465</v>
      </c>
      <c r="BF42" s="330">
        <v>1703758.8827524669</v>
      </c>
      <c r="BG42" s="330">
        <v>1949523.4346483489</v>
      </c>
      <c r="BH42" s="330">
        <v>2177897.1603371189</v>
      </c>
      <c r="BI42" s="330">
        <v>2429374.4260425912</v>
      </c>
      <c r="BJ42" s="330">
        <v>2717092.7449284913</v>
      </c>
      <c r="BK42" s="330">
        <v>3010093.6968918457</v>
      </c>
      <c r="BL42" s="330">
        <v>3325414.5894657462</v>
      </c>
      <c r="BM42" s="330">
        <v>3690425.9159493577</v>
      </c>
      <c r="BN42" s="330">
        <v>4143935.1706127762</v>
      </c>
      <c r="BO42" s="330">
        <v>4722651.1159141911</v>
      </c>
      <c r="BP42" s="330">
        <v>5992048.8629153483</v>
      </c>
      <c r="BQ42" s="330">
        <f>'I-Project Contingency'!$E$61-AV42</f>
        <v>0</v>
      </c>
      <c r="BR42" s="330">
        <f>'I-Project Contingency'!$E$62-AW42</f>
        <v>0</v>
      </c>
      <c r="BS42" s="330">
        <f>'I-Project Contingency'!$E$63-AX42</f>
        <v>0</v>
      </c>
      <c r="BT42" s="330">
        <f>'I-Project Contingency'!$E$64-AY42</f>
        <v>0</v>
      </c>
      <c r="BU42" s="330">
        <f>'I-Project Contingency'!$E$65-AZ42</f>
        <v>0</v>
      </c>
      <c r="BV42" s="330">
        <f>'I-Project Contingency'!$E$66-BA42</f>
        <v>0</v>
      </c>
      <c r="BW42" s="330">
        <f>'I-Project Contingency'!$E$67-BB42</f>
        <v>0</v>
      </c>
      <c r="BX42" s="330">
        <f>'I-Project Contingency'!$E$68-BC42</f>
        <v>0</v>
      </c>
      <c r="BY42" s="330">
        <f>'I-Project Contingency'!$E$69-BD42</f>
        <v>0</v>
      </c>
      <c r="BZ42" s="330">
        <f>'I-Project Contingency'!$E$70-BE42</f>
        <v>0</v>
      </c>
      <c r="CA42" s="330">
        <f>'I-Project Contingency'!$E$71-BF42</f>
        <v>0</v>
      </c>
      <c r="CB42" s="330">
        <f>'I-Project Contingency'!$E$72-BG42</f>
        <v>0</v>
      </c>
      <c r="CC42" s="330">
        <f>'I-Project Contingency'!$E$73-BH42</f>
        <v>0</v>
      </c>
      <c r="CD42" s="330">
        <f>'I-Project Contingency'!$E$74-BI42</f>
        <v>0</v>
      </c>
      <c r="CE42" s="330">
        <f>'I-Project Contingency'!$E$75-BJ42</f>
        <v>0</v>
      </c>
      <c r="CF42" s="330">
        <f>'I-Project Contingency'!$E$76-BK42</f>
        <v>0</v>
      </c>
      <c r="CG42" s="330">
        <f>'I-Project Contingency'!$E$77-BL42</f>
        <v>0</v>
      </c>
      <c r="CH42" s="784">
        <f>'I-Project Contingency'!$E$78-BM42</f>
        <v>0</v>
      </c>
      <c r="CI42" s="330">
        <f>'I-Project Contingency'!$E$79-BN42</f>
        <v>0</v>
      </c>
      <c r="CJ42" s="330">
        <f>'I-Project Contingency'!$E$80-BO42</f>
        <v>0</v>
      </c>
      <c r="CK42" s="330">
        <f>'I-Project Contingency'!$E$81-BP42</f>
        <v>0</v>
      </c>
      <c r="CL42" s="331">
        <f>'I-Project Contingency'!$O$5-AG42</f>
        <v>0</v>
      </c>
      <c r="CM42" s="332">
        <v>-0.98711802853447173</v>
      </c>
      <c r="CN42" s="332">
        <v>-0.19547704728364468</v>
      </c>
      <c r="CO42" s="332">
        <v>0.126462150308498</v>
      </c>
      <c r="CP42" s="332">
        <v>0.45967989154545902</v>
      </c>
      <c r="CQ42" s="332">
        <v>0.78297319902744</v>
      </c>
      <c r="CR42" s="332">
        <v>1.0957191966482109</v>
      </c>
      <c r="CS42" s="332">
        <v>1.4418405003536849</v>
      </c>
      <c r="CT42" s="332">
        <v>1.801002404194165</v>
      </c>
      <c r="CU42" s="332">
        <v>2.1797608166947349</v>
      </c>
      <c r="CV42" s="332">
        <v>2.5671680610072478</v>
      </c>
      <c r="CW42" s="332">
        <v>2.9690760644797152</v>
      </c>
      <c r="CX42" s="332">
        <v>3.3964145469774811</v>
      </c>
      <c r="CY42" s="332">
        <v>3.864536087769562</v>
      </c>
      <c r="CZ42" s="332">
        <v>4.3569836138896116</v>
      </c>
      <c r="DA42" s="332">
        <v>4.8862357851222598</v>
      </c>
      <c r="DB42" s="332">
        <v>5.438836997347547</v>
      </c>
      <c r="DC42" s="332">
        <v>6.047993455908566</v>
      </c>
      <c r="DD42" s="785">
        <v>6.720204953601761</v>
      </c>
      <c r="DE42" s="333">
        <v>7.55131678090412</v>
      </c>
      <c r="DF42" s="332">
        <v>8.661446370835737</v>
      </c>
      <c r="DG42" s="332">
        <v>11.206316207857133</v>
      </c>
      <c r="DH42" s="332">
        <f>'I-Project Contingency'!$E$86-CM42</f>
        <v>0</v>
      </c>
      <c r="DI42" s="332">
        <f>'I-Project Contingency'!$E$87-CN42</f>
        <v>0</v>
      </c>
      <c r="DJ42" s="332">
        <f>'I-Project Contingency'!$E$88-CO42</f>
        <v>0</v>
      </c>
      <c r="DK42" s="332">
        <f>'I-Project Contingency'!$E$89-CP42</f>
        <v>0</v>
      </c>
      <c r="DL42" s="332">
        <f>'I-Project Contingency'!$E$90-CQ42</f>
        <v>0</v>
      </c>
      <c r="DM42" s="332">
        <f>'I-Project Contingency'!$E$91-CR42</f>
        <v>0</v>
      </c>
      <c r="DN42" s="332">
        <f>'I-Project Contingency'!$E$92-CS42</f>
        <v>0</v>
      </c>
      <c r="DO42" s="332">
        <f>'I-Project Contingency'!$E$93-CT42</f>
        <v>0</v>
      </c>
      <c r="DP42" s="332">
        <f>'I-Project Contingency'!$E$94-CU42</f>
        <v>0</v>
      </c>
      <c r="DQ42" s="332">
        <f>'I-Project Contingency'!$E$95-CV42</f>
        <v>0</v>
      </c>
      <c r="DR42" s="332">
        <f>'I-Project Contingency'!$E$96-CW42</f>
        <v>0</v>
      </c>
      <c r="DS42" s="332">
        <f>'I-Project Contingency'!$E$97-CX42</f>
        <v>0</v>
      </c>
      <c r="DT42" s="332">
        <f>'I-Project Contingency'!$E$98-CY42</f>
        <v>0</v>
      </c>
      <c r="DU42" s="332">
        <f>'I-Project Contingency'!$E$99-CZ42</f>
        <v>0</v>
      </c>
      <c r="DV42" s="332">
        <f>'I-Project Contingency'!$E$100-DA42</f>
        <v>0</v>
      </c>
      <c r="DW42" s="332">
        <f>'I-Project Contingency'!$E$101-DB42</f>
        <v>0</v>
      </c>
      <c r="DX42" s="332">
        <f>'I-Project Contingency'!$E$102-DC42</f>
        <v>0</v>
      </c>
      <c r="DY42" s="332">
        <f>'I-Project Contingency'!$E$103-DD42</f>
        <v>0</v>
      </c>
      <c r="DZ42" s="332">
        <f>'I-Project Contingency'!$E$104-DE42</f>
        <v>0</v>
      </c>
      <c r="EA42" s="332">
        <f>'I-Project Contingency'!$E$105-DF42</f>
        <v>0</v>
      </c>
      <c r="EB42" s="332">
        <f>'I-Project Contingency'!$E$106-DG42</f>
        <v>0</v>
      </c>
      <c r="EC42" s="334">
        <f>IF(EE42="N/A","N/A",ABS(INDEX(EE42:EY42,1,MATCH("ROM Cost Risk @ "&amp;'D-Project Data'!$C$6*100&amp;"%",$EE$17:$EY$17,0))))</f>
        <v>0</v>
      </c>
      <c r="ED42" s="335">
        <f>IF(EC42="N/A","N/A",RANK(EC42,$EC$18:$EC$117,0)+COUNTIF($EC$18:EC42,EC42)-1)</f>
        <v>25</v>
      </c>
      <c r="EE42" s="334">
        <f>IF(BQ42/SUM(BQ:BQ)*'I-Project Contingency'!$F$61=0,0,BQ42/SUM(BQ:BQ)*'I-Project Contingency'!$F$61)</f>
        <v>0</v>
      </c>
      <c r="EF42" s="334">
        <f>IF(BR42/SUM(BR:BR)*'I-Project Contingency'!$F$62=0,0,BR42/SUM(BR:BR)*'I-Project Contingency'!$F$62)</f>
        <v>0</v>
      </c>
      <c r="EG42" s="334">
        <f>IF(BS42/SUM(BS:BS)*'I-Project Contingency'!$F$63=0,0,BS42/SUM(BS:BS)*'I-Project Contingency'!$F$63)</f>
        <v>0</v>
      </c>
      <c r="EH42" s="334">
        <f>IF(BT42/SUM(BT:BT)*'I-Project Contingency'!$F$64=0,0,BT42/SUM(BT:BT)*'I-Project Contingency'!$F$64)</f>
        <v>0</v>
      </c>
      <c r="EI42" s="334">
        <f>IF(BU42/SUM(BU:BU)*'I-Project Contingency'!$F$65=0,0,BU42/SUM(BU:BU)*'I-Project Contingency'!$F$65)</f>
        <v>0</v>
      </c>
      <c r="EJ42" s="334">
        <f>IF(BV42/SUM(BV:BV)*'I-Project Contingency'!$F$66=0,0,BV42/SUM(BV:BV)*'I-Project Contingency'!$F$66)</f>
        <v>0</v>
      </c>
      <c r="EK42" s="334">
        <f>IF(BW42/SUM(BW:BW)*'I-Project Contingency'!$F$67=0,0,BW42/SUM(BW:BW)*'I-Project Contingency'!$F$67)</f>
        <v>0</v>
      </c>
      <c r="EL42" s="334">
        <f>IF(BX42/SUM(BX:BX)*'I-Project Contingency'!$F$68=0,0,BX42/SUM(BX:BX)*'I-Project Contingency'!$F$68)</f>
        <v>0</v>
      </c>
      <c r="EM42" s="334">
        <f>IF(BY42/SUM(BY:BY)*'I-Project Contingency'!$F$69=0,0,BY42/SUM(BY:BY)*'I-Project Contingency'!$F$69)</f>
        <v>0</v>
      </c>
      <c r="EN42" s="334">
        <f>IF(BZ42/SUM(BZ:BZ)*'I-Project Contingency'!$F$70=0,0,BZ42/SUM(BZ:BZ)*'I-Project Contingency'!$F$70)</f>
        <v>0</v>
      </c>
      <c r="EO42" s="334">
        <f>IF(CA42/SUM(CA:CA)*'I-Project Contingency'!$F$71=0,0,CA42/SUM(CA:CA)*'I-Project Contingency'!$F$71)</f>
        <v>0</v>
      </c>
      <c r="EP42" s="334">
        <f>IF(CB42/SUM(CB:CB)*'I-Project Contingency'!$F$72=0,0,CB42/SUM(CB:CB)*'I-Project Contingency'!$F$72)</f>
        <v>0</v>
      </c>
      <c r="EQ42" s="334">
        <f>IF(CC42/SUM(CC:CC)*'I-Project Contingency'!$F$73=0,0,CC42/SUM(CC:CC)*'I-Project Contingency'!$F$73)</f>
        <v>0</v>
      </c>
      <c r="ER42" s="334">
        <f>IF(CD42/SUM(CD:CD)*'I-Project Contingency'!$F$74=0,0,CD42/SUM(CD:CD)*'I-Project Contingency'!$F$74)</f>
        <v>0</v>
      </c>
      <c r="ES42" s="334">
        <f>IF(CE42/SUM(CE:CE)*'I-Project Contingency'!$F$75=0,0,CE42/SUM(CE:CE)*'I-Project Contingency'!$F$75)</f>
        <v>0</v>
      </c>
      <c r="ET42" s="334">
        <f>IF(CF42/SUM(CF:CF)*'I-Project Contingency'!$F$76=0,0,CF42/SUM(CF:CF)*'I-Project Contingency'!$F$76)</f>
        <v>0</v>
      </c>
      <c r="EU42" s="334">
        <f>IF(CG42/SUM(CG:CG)*'I-Project Contingency'!$F$77=0,0,CG42/SUM(CG:CG)*'I-Project Contingency'!$F$77)</f>
        <v>0</v>
      </c>
      <c r="EV42" s="787">
        <f>IF(CH42/SUM(CH:CH)*'I-Project Contingency'!$F$78=0,0,CH42/SUM(CH:CH)*'I-Project Contingency'!$F$78)</f>
        <v>0</v>
      </c>
      <c r="EW42" s="787">
        <f>IF(CI42/SUM(CI:CI)*'I-Project Contingency'!$F$79=0,0,CI42/SUM(CI:CI)*'I-Project Contingency'!$F$79)</f>
        <v>0</v>
      </c>
      <c r="EX42" s="787">
        <f>IF(CJ42/SUM(CJ:CJ)*'I-Project Contingency'!$F$80=0,0,CJ42/SUM(CJ:CJ)*'I-Project Contingency'!$F$80)</f>
        <v>0</v>
      </c>
      <c r="EY42" s="787">
        <f>IF(CK42/SUM(CK:CK)*'I-Project Contingency'!$F$81=0,0,CK42/SUM(CK:CK)*'I-Project Contingency'!$F$81)</f>
        <v>0</v>
      </c>
      <c r="EZ42" s="333">
        <f>IF(FB42="N/A","N/A",ABS(INDEX(FB42:FV42,1,MATCH("ROM Schedule Risk @ "&amp;'D-Project Data'!$C$6*100&amp;"%",$FB$17:$FV$17,0))))</f>
        <v>0</v>
      </c>
      <c r="FA42" s="335">
        <f>IF(EZ42="N/A","N/A",RANK(EZ42,$EZ$18:$EZ$117,0)+COUNTIF($FB$18:FB42,FB42)-1)</f>
        <v>25</v>
      </c>
      <c r="FB42" s="788">
        <f>IF(DH42/SUM(DH:DH)*'I-Project Contingency'!$F$86=0,0,DH42/SUM(DH:DH)*'I-Project Contingency'!$F$86)</f>
        <v>0</v>
      </c>
      <c r="FC42" s="788">
        <f>IF(DI42/SUM(DI:DI)*'I-Project Contingency'!$F$87=0,0,DI42/SUM(DI:DI)*'I-Project Contingency'!$F$87)</f>
        <v>0</v>
      </c>
      <c r="FD42" s="788">
        <f>IF(DJ42/SUM(DJ:DJ)*'I-Project Contingency'!$F$88=0,0,DJ42/SUM(DJ:DJ)*'I-Project Contingency'!$F$88)</f>
        <v>0</v>
      </c>
      <c r="FE42" s="788">
        <f>IF(DK42/SUM(DK:DK)*'I-Project Contingency'!$F$89=0,0,DK42/SUM(DK:DK)*'I-Project Contingency'!$F$89)</f>
        <v>0</v>
      </c>
      <c r="FF42" s="788">
        <f>IF(DL42/SUM(DL:DL)*'I-Project Contingency'!$F$90=0,0,DL42/SUM(DL:DL)*'I-Project Contingency'!$F$90)</f>
        <v>0</v>
      </c>
      <c r="FG42" s="788">
        <f>IF(DM42/SUM(DM:DM)*'I-Project Contingency'!$F$91=0,0,DM42/SUM(DM:DM)*'I-Project Contingency'!$F$91)</f>
        <v>0</v>
      </c>
      <c r="FH42" s="788">
        <f>IF(DN42/SUM(DN:DN)*'I-Project Contingency'!$F$92=0,0,DN42/SUM(DN:DN)*'I-Project Contingency'!$F$92)</f>
        <v>0</v>
      </c>
      <c r="FI42" s="788">
        <f>IF(DO42/SUM(DO:DO)*'I-Project Contingency'!$F$93=0,0,DO42/SUM(DO:DO)*'I-Project Contingency'!$F$93)</f>
        <v>0</v>
      </c>
      <c r="FJ42" s="788">
        <f>IF(DP42/SUM(DP:DP)*'I-Project Contingency'!$F$94=0,0,DP42/SUM(DP:DP)*'I-Project Contingency'!$F$94)</f>
        <v>0</v>
      </c>
      <c r="FK42" s="788">
        <f>IF(DQ42/SUM(DQ:DQ)*'I-Project Contingency'!$F$95=0,0,DQ42/SUM(DQ:DQ)*'I-Project Contingency'!$F$95)</f>
        <v>0</v>
      </c>
      <c r="FL42" s="788">
        <f>IF(DR42/SUM(DR:DR)*'I-Project Contingency'!$F$96=0,0,DR42/SUM(DR:DR)*'I-Project Contingency'!$F$96)</f>
        <v>0</v>
      </c>
      <c r="FM42" s="788">
        <f>IF(DS42/SUM(DS:DS)*'I-Project Contingency'!$F$97=0,0,DS42/SUM(DS:DS)*'I-Project Contingency'!$F$97)</f>
        <v>0</v>
      </c>
      <c r="FN42" s="788">
        <f>IF(DT42/SUM(DT:DT)*'I-Project Contingency'!$F$98=0,0,DT42/SUM(DT:DT)*'I-Project Contingency'!$F$98)</f>
        <v>0</v>
      </c>
      <c r="FO42" s="788">
        <f>IF(DU42/SUM(DU:DU)*'I-Project Contingency'!$F$99=0,0,DU42/SUM(DU:DU)*'I-Project Contingency'!$F$99)</f>
        <v>0</v>
      </c>
      <c r="FP42" s="788">
        <f>IF(DV42/SUM(DV:DV)*'I-Project Contingency'!$F$100=0,0,DV42/SUM(DV:DV)*'I-Project Contingency'!$F$100)</f>
        <v>0</v>
      </c>
      <c r="FQ42" s="788">
        <f>IF(DW42/SUM(DW:DW)*'I-Project Contingency'!$F$101=0,0,DW42/SUM(DW:DW)*'I-Project Contingency'!$F$101)</f>
        <v>0</v>
      </c>
      <c r="FR42" s="788">
        <f>IF(DX42/SUM(DX:DX)*'I-Project Contingency'!$F$102=0,0,DX42/SUM(DX:DX)*'I-Project Contingency'!$F$102)</f>
        <v>0</v>
      </c>
      <c r="FS42" s="788">
        <f>IF(DY42/SUM(DY:DY)*'I-Project Contingency'!$F$103=0,0,DY42/SUM(DY:DY)*'I-Project Contingency'!$F$103)</f>
        <v>0</v>
      </c>
      <c r="FT42" s="788">
        <f>IF(DZ42/SUM(DZ:DZ)*'I-Project Contingency'!$F$104=0,0,DZ42/SUM(DZ:DZ)*'I-Project Contingency'!$F$104)</f>
        <v>0</v>
      </c>
      <c r="FU42" s="788">
        <f>IF(EA42/SUM(EA:EA)*'I-Project Contingency'!$F$105=0,0,EA42/SUM(EA:EA)*'I-Project Contingency'!$F$105)</f>
        <v>0</v>
      </c>
      <c r="FV42" s="788">
        <f>IF(EB42/SUM(EB:EB)*'I-Project Contingency'!$F$106=0,0,EB42/SUM(EB:EB)*'I-Project Contingency'!$F$106)</f>
        <v>0</v>
      </c>
      <c r="FW42" s="335">
        <f t="shared" si="13"/>
        <v>25</v>
      </c>
      <c r="FX42" s="336" t="str">
        <f t="shared" si="14"/>
        <v xml:space="preserve">25 - </v>
      </c>
      <c r="FY42" s="330">
        <f t="shared" si="15"/>
        <v>0</v>
      </c>
      <c r="FZ42" s="330">
        <f t="shared" si="16"/>
        <v>0</v>
      </c>
      <c r="GA42" s="332">
        <f t="shared" si="17"/>
        <v>0</v>
      </c>
      <c r="GB42" s="332">
        <f t="shared" si="18"/>
        <v>0</v>
      </c>
    </row>
    <row r="43" spans="1:184" ht="30" x14ac:dyDescent="0.25">
      <c r="A43" s="163">
        <f t="shared" si="23"/>
        <v>26</v>
      </c>
      <c r="B43" s="727" t="s">
        <v>728</v>
      </c>
      <c r="C43" s="729"/>
      <c r="D43" s="729"/>
      <c r="E43" s="729"/>
      <c r="F43" s="728" t="s">
        <v>728</v>
      </c>
      <c r="G43" s="728" t="s">
        <v>728</v>
      </c>
      <c r="H43" s="157" t="str">
        <f>IFERROR(IF('H-Risk Register-Model'!F43="Certain","Relook at Basis of Estimate",INDEX('G-Assumptions'!$F$8:$J$11,MATCH(F43,'G-Assumptions'!$D$8:$D$11,0),MATCH(G43,'G-Assumptions'!$F$6:$J$6,0))),"Unrated")</f>
        <v>Unrated</v>
      </c>
      <c r="I43" s="728" t="s">
        <v>728</v>
      </c>
      <c r="J43" s="157" t="str">
        <f>IFERROR(IF('H-Risk Register-Model'!F43="Certain","Relook at Basis of Estimate",INDEX('G-Assumptions'!$F$8:$J$11,MATCH(F43,'G-Assumptions'!$D$8:$D$11,0),MATCH(I43,'G-Assumptions'!$F$6:$J$6,0))),"Unrated")</f>
        <v>Unrated</v>
      </c>
      <c r="K43" s="728" t="s">
        <v>728</v>
      </c>
      <c r="L43" s="728" t="s">
        <v>728</v>
      </c>
      <c r="M43" s="728"/>
      <c r="N43" s="731" t="s">
        <v>728</v>
      </c>
      <c r="O43" s="731" t="s">
        <v>728</v>
      </c>
      <c r="P43" s="732"/>
      <c r="Q43" s="732"/>
      <c r="R43" s="732"/>
      <c r="S43" s="733"/>
      <c r="T43" s="733"/>
      <c r="U43" s="733"/>
      <c r="V43" s="734"/>
      <c r="W43" s="732"/>
      <c r="X43" s="732"/>
      <c r="Y43" s="735">
        <v>1</v>
      </c>
      <c r="Z43" s="736">
        <v>1</v>
      </c>
      <c r="AA43" s="166">
        <f t="shared" si="19"/>
        <v>0</v>
      </c>
      <c r="AB43" s="166">
        <f t="shared" si="20"/>
        <v>0</v>
      </c>
      <c r="AC43" s="166">
        <f t="shared" si="21"/>
        <v>0</v>
      </c>
      <c r="AD43" s="166"/>
      <c r="AE43" s="164">
        <f t="shared" si="22"/>
        <v>0</v>
      </c>
      <c r="AF43" s="167"/>
      <c r="AG43" s="165">
        <f t="shared" si="5"/>
        <v>0</v>
      </c>
      <c r="AH43" s="729"/>
      <c r="AI43" s="729"/>
      <c r="AJ43" s="8"/>
      <c r="AK43" s="495" t="str">
        <f t="shared" si="6"/>
        <v>No</v>
      </c>
      <c r="AL43" s="496">
        <f>'I-Project Contingency'!$I$4</f>
        <v>9000000</v>
      </c>
      <c r="AM43" s="326">
        <f>'I-Project Contingency'!$I$11</f>
        <v>23.978102189781023</v>
      </c>
      <c r="AN43" s="325">
        <f t="shared" si="7"/>
        <v>0</v>
      </c>
      <c r="AO43" s="326">
        <f t="shared" si="8"/>
        <v>0</v>
      </c>
      <c r="AP43" s="641" t="str">
        <f t="shared" si="9"/>
        <v/>
      </c>
      <c r="AQ43" s="641" t="str">
        <f t="shared" si="10"/>
        <v/>
      </c>
      <c r="AR43" s="497" t="str">
        <f t="shared" si="11"/>
        <v/>
      </c>
      <c r="AS43" s="497" t="str">
        <f t="shared" si="12"/>
        <v/>
      </c>
      <c r="AT43" s="8"/>
      <c r="AU43" s="329">
        <f>'I-Project Contingency'!$O$4-AE43</f>
        <v>0</v>
      </c>
      <c r="AV43" s="330">
        <v>-240515.59579276721</v>
      </c>
      <c r="AW43" s="330">
        <v>28172.931401335634</v>
      </c>
      <c r="AX43" s="330">
        <v>193478.84467429668</v>
      </c>
      <c r="AY43" s="330">
        <v>361668.20104834624</v>
      </c>
      <c r="AZ43" s="330">
        <v>524446.91524262261</v>
      </c>
      <c r="BA43" s="330">
        <v>704023.56387635041</v>
      </c>
      <c r="BB43" s="330">
        <v>886394.06956240814</v>
      </c>
      <c r="BC43" s="330">
        <v>1079363.7165157665</v>
      </c>
      <c r="BD43" s="330">
        <v>1280180.1532065615</v>
      </c>
      <c r="BE43" s="330">
        <v>1485323.8019108465</v>
      </c>
      <c r="BF43" s="330">
        <v>1703758.8827524669</v>
      </c>
      <c r="BG43" s="330">
        <v>1949523.4346483489</v>
      </c>
      <c r="BH43" s="330">
        <v>2177897.1603371189</v>
      </c>
      <c r="BI43" s="330">
        <v>2429374.4260425912</v>
      </c>
      <c r="BJ43" s="330">
        <v>2717092.7449284913</v>
      </c>
      <c r="BK43" s="330">
        <v>3010093.6968918457</v>
      </c>
      <c r="BL43" s="330">
        <v>3325414.5894657462</v>
      </c>
      <c r="BM43" s="330">
        <v>3690425.9159493577</v>
      </c>
      <c r="BN43" s="330">
        <v>4143935.1706127762</v>
      </c>
      <c r="BO43" s="330">
        <v>4722651.1159141911</v>
      </c>
      <c r="BP43" s="330">
        <v>5992048.8629153483</v>
      </c>
      <c r="BQ43" s="330">
        <f>'I-Project Contingency'!$E$61-AV43</f>
        <v>0</v>
      </c>
      <c r="BR43" s="330">
        <f>'I-Project Contingency'!$E$62-AW43</f>
        <v>0</v>
      </c>
      <c r="BS43" s="330">
        <f>'I-Project Contingency'!$E$63-AX43</f>
        <v>0</v>
      </c>
      <c r="BT43" s="330">
        <f>'I-Project Contingency'!$E$64-AY43</f>
        <v>0</v>
      </c>
      <c r="BU43" s="330">
        <f>'I-Project Contingency'!$E$65-AZ43</f>
        <v>0</v>
      </c>
      <c r="BV43" s="330">
        <f>'I-Project Contingency'!$E$66-BA43</f>
        <v>0</v>
      </c>
      <c r="BW43" s="330">
        <f>'I-Project Contingency'!$E$67-BB43</f>
        <v>0</v>
      </c>
      <c r="BX43" s="330">
        <f>'I-Project Contingency'!$E$68-BC43</f>
        <v>0</v>
      </c>
      <c r="BY43" s="330">
        <f>'I-Project Contingency'!$E$69-BD43</f>
        <v>0</v>
      </c>
      <c r="BZ43" s="330">
        <f>'I-Project Contingency'!$E$70-BE43</f>
        <v>0</v>
      </c>
      <c r="CA43" s="330">
        <f>'I-Project Contingency'!$E$71-BF43</f>
        <v>0</v>
      </c>
      <c r="CB43" s="330">
        <f>'I-Project Contingency'!$E$72-BG43</f>
        <v>0</v>
      </c>
      <c r="CC43" s="330">
        <f>'I-Project Contingency'!$E$73-BH43</f>
        <v>0</v>
      </c>
      <c r="CD43" s="330">
        <f>'I-Project Contingency'!$E$74-BI43</f>
        <v>0</v>
      </c>
      <c r="CE43" s="330">
        <f>'I-Project Contingency'!$E$75-BJ43</f>
        <v>0</v>
      </c>
      <c r="CF43" s="330">
        <f>'I-Project Contingency'!$E$76-BK43</f>
        <v>0</v>
      </c>
      <c r="CG43" s="330">
        <f>'I-Project Contingency'!$E$77-BL43</f>
        <v>0</v>
      </c>
      <c r="CH43" s="784">
        <f>'I-Project Contingency'!$E$78-BM43</f>
        <v>0</v>
      </c>
      <c r="CI43" s="330">
        <f>'I-Project Contingency'!$E$79-BN43</f>
        <v>0</v>
      </c>
      <c r="CJ43" s="330">
        <f>'I-Project Contingency'!$E$80-BO43</f>
        <v>0</v>
      </c>
      <c r="CK43" s="330">
        <f>'I-Project Contingency'!$E$81-BP43</f>
        <v>0</v>
      </c>
      <c r="CL43" s="331">
        <f>'I-Project Contingency'!$O$5-AG43</f>
        <v>0</v>
      </c>
      <c r="CM43" s="332">
        <v>-0.98711802853447173</v>
      </c>
      <c r="CN43" s="332">
        <v>-0.19547704728364468</v>
      </c>
      <c r="CO43" s="332">
        <v>0.126462150308498</v>
      </c>
      <c r="CP43" s="332">
        <v>0.45967989154545902</v>
      </c>
      <c r="CQ43" s="332">
        <v>0.78297319902744</v>
      </c>
      <c r="CR43" s="332">
        <v>1.0957191966482109</v>
      </c>
      <c r="CS43" s="332">
        <v>1.4418405003536849</v>
      </c>
      <c r="CT43" s="332">
        <v>1.801002404194165</v>
      </c>
      <c r="CU43" s="332">
        <v>2.1797608166947349</v>
      </c>
      <c r="CV43" s="332">
        <v>2.5671680610072478</v>
      </c>
      <c r="CW43" s="332">
        <v>2.9690760644797152</v>
      </c>
      <c r="CX43" s="332">
        <v>3.3964145469774811</v>
      </c>
      <c r="CY43" s="332">
        <v>3.864536087769562</v>
      </c>
      <c r="CZ43" s="332">
        <v>4.3569836138896116</v>
      </c>
      <c r="DA43" s="332">
        <v>4.8862357851222598</v>
      </c>
      <c r="DB43" s="332">
        <v>5.438836997347547</v>
      </c>
      <c r="DC43" s="332">
        <v>6.047993455908566</v>
      </c>
      <c r="DD43" s="785">
        <v>6.720204953601761</v>
      </c>
      <c r="DE43" s="333">
        <v>7.55131678090412</v>
      </c>
      <c r="DF43" s="332">
        <v>8.661446370835737</v>
      </c>
      <c r="DG43" s="332">
        <v>11.206316207857133</v>
      </c>
      <c r="DH43" s="332">
        <f>'I-Project Contingency'!$E$86-CM43</f>
        <v>0</v>
      </c>
      <c r="DI43" s="332">
        <f>'I-Project Contingency'!$E$87-CN43</f>
        <v>0</v>
      </c>
      <c r="DJ43" s="332">
        <f>'I-Project Contingency'!$E$88-CO43</f>
        <v>0</v>
      </c>
      <c r="DK43" s="332">
        <f>'I-Project Contingency'!$E$89-CP43</f>
        <v>0</v>
      </c>
      <c r="DL43" s="332">
        <f>'I-Project Contingency'!$E$90-CQ43</f>
        <v>0</v>
      </c>
      <c r="DM43" s="332">
        <f>'I-Project Contingency'!$E$91-CR43</f>
        <v>0</v>
      </c>
      <c r="DN43" s="332">
        <f>'I-Project Contingency'!$E$92-CS43</f>
        <v>0</v>
      </c>
      <c r="DO43" s="332">
        <f>'I-Project Contingency'!$E$93-CT43</f>
        <v>0</v>
      </c>
      <c r="DP43" s="332">
        <f>'I-Project Contingency'!$E$94-CU43</f>
        <v>0</v>
      </c>
      <c r="DQ43" s="332">
        <f>'I-Project Contingency'!$E$95-CV43</f>
        <v>0</v>
      </c>
      <c r="DR43" s="332">
        <f>'I-Project Contingency'!$E$96-CW43</f>
        <v>0</v>
      </c>
      <c r="DS43" s="332">
        <f>'I-Project Contingency'!$E$97-CX43</f>
        <v>0</v>
      </c>
      <c r="DT43" s="332">
        <f>'I-Project Contingency'!$E$98-CY43</f>
        <v>0</v>
      </c>
      <c r="DU43" s="332">
        <f>'I-Project Contingency'!$E$99-CZ43</f>
        <v>0</v>
      </c>
      <c r="DV43" s="332">
        <f>'I-Project Contingency'!$E$100-DA43</f>
        <v>0</v>
      </c>
      <c r="DW43" s="332">
        <f>'I-Project Contingency'!$E$101-DB43</f>
        <v>0</v>
      </c>
      <c r="DX43" s="332">
        <f>'I-Project Contingency'!$E$102-DC43</f>
        <v>0</v>
      </c>
      <c r="DY43" s="332">
        <f>'I-Project Contingency'!$E$103-DD43</f>
        <v>0</v>
      </c>
      <c r="DZ43" s="332">
        <f>'I-Project Contingency'!$E$104-DE43</f>
        <v>0</v>
      </c>
      <c r="EA43" s="332">
        <f>'I-Project Contingency'!$E$105-DF43</f>
        <v>0</v>
      </c>
      <c r="EB43" s="332">
        <f>'I-Project Contingency'!$E$106-DG43</f>
        <v>0</v>
      </c>
      <c r="EC43" s="334">
        <f>IF(EE43="N/A","N/A",ABS(INDEX(EE43:EY43,1,MATCH("ROM Cost Risk @ "&amp;'D-Project Data'!$C$6*100&amp;"%",$EE$17:$EY$17,0))))</f>
        <v>0</v>
      </c>
      <c r="ED43" s="335">
        <f>IF(EC43="N/A","N/A",RANK(EC43,$EC$18:$EC$117,0)+COUNTIF($EC$18:EC43,EC43)-1)</f>
        <v>26</v>
      </c>
      <c r="EE43" s="334">
        <f>IF(BQ43/SUM(BQ:BQ)*'I-Project Contingency'!$F$61=0,0,BQ43/SUM(BQ:BQ)*'I-Project Contingency'!$F$61)</f>
        <v>0</v>
      </c>
      <c r="EF43" s="334">
        <f>IF(BR43/SUM(BR:BR)*'I-Project Contingency'!$F$62=0,0,BR43/SUM(BR:BR)*'I-Project Contingency'!$F$62)</f>
        <v>0</v>
      </c>
      <c r="EG43" s="334">
        <f>IF(BS43/SUM(BS:BS)*'I-Project Contingency'!$F$63=0,0,BS43/SUM(BS:BS)*'I-Project Contingency'!$F$63)</f>
        <v>0</v>
      </c>
      <c r="EH43" s="334">
        <f>IF(BT43/SUM(BT:BT)*'I-Project Contingency'!$F$64=0,0,BT43/SUM(BT:BT)*'I-Project Contingency'!$F$64)</f>
        <v>0</v>
      </c>
      <c r="EI43" s="334">
        <f>IF(BU43/SUM(BU:BU)*'I-Project Contingency'!$F$65=0,0,BU43/SUM(BU:BU)*'I-Project Contingency'!$F$65)</f>
        <v>0</v>
      </c>
      <c r="EJ43" s="334">
        <f>IF(BV43/SUM(BV:BV)*'I-Project Contingency'!$F$66=0,0,BV43/SUM(BV:BV)*'I-Project Contingency'!$F$66)</f>
        <v>0</v>
      </c>
      <c r="EK43" s="334">
        <f>IF(BW43/SUM(BW:BW)*'I-Project Contingency'!$F$67=0,0,BW43/SUM(BW:BW)*'I-Project Contingency'!$F$67)</f>
        <v>0</v>
      </c>
      <c r="EL43" s="334">
        <f>IF(BX43/SUM(BX:BX)*'I-Project Contingency'!$F$68=0,0,BX43/SUM(BX:BX)*'I-Project Contingency'!$F$68)</f>
        <v>0</v>
      </c>
      <c r="EM43" s="334">
        <f>IF(BY43/SUM(BY:BY)*'I-Project Contingency'!$F$69=0,0,BY43/SUM(BY:BY)*'I-Project Contingency'!$F$69)</f>
        <v>0</v>
      </c>
      <c r="EN43" s="334">
        <f>IF(BZ43/SUM(BZ:BZ)*'I-Project Contingency'!$F$70=0,0,BZ43/SUM(BZ:BZ)*'I-Project Contingency'!$F$70)</f>
        <v>0</v>
      </c>
      <c r="EO43" s="334">
        <f>IF(CA43/SUM(CA:CA)*'I-Project Contingency'!$F$71=0,0,CA43/SUM(CA:CA)*'I-Project Contingency'!$F$71)</f>
        <v>0</v>
      </c>
      <c r="EP43" s="334">
        <f>IF(CB43/SUM(CB:CB)*'I-Project Contingency'!$F$72=0,0,CB43/SUM(CB:CB)*'I-Project Contingency'!$F$72)</f>
        <v>0</v>
      </c>
      <c r="EQ43" s="334">
        <f>IF(CC43/SUM(CC:CC)*'I-Project Contingency'!$F$73=0,0,CC43/SUM(CC:CC)*'I-Project Contingency'!$F$73)</f>
        <v>0</v>
      </c>
      <c r="ER43" s="334">
        <f>IF(CD43/SUM(CD:CD)*'I-Project Contingency'!$F$74=0,0,CD43/SUM(CD:CD)*'I-Project Contingency'!$F$74)</f>
        <v>0</v>
      </c>
      <c r="ES43" s="334">
        <f>IF(CE43/SUM(CE:CE)*'I-Project Contingency'!$F$75=0,0,CE43/SUM(CE:CE)*'I-Project Contingency'!$F$75)</f>
        <v>0</v>
      </c>
      <c r="ET43" s="334">
        <f>IF(CF43/SUM(CF:CF)*'I-Project Contingency'!$F$76=0,0,CF43/SUM(CF:CF)*'I-Project Contingency'!$F$76)</f>
        <v>0</v>
      </c>
      <c r="EU43" s="334">
        <f>IF(CG43/SUM(CG:CG)*'I-Project Contingency'!$F$77=0,0,CG43/SUM(CG:CG)*'I-Project Contingency'!$F$77)</f>
        <v>0</v>
      </c>
      <c r="EV43" s="787">
        <f>IF(CH43/SUM(CH:CH)*'I-Project Contingency'!$F$78=0,0,CH43/SUM(CH:CH)*'I-Project Contingency'!$F$78)</f>
        <v>0</v>
      </c>
      <c r="EW43" s="787">
        <f>IF(CI43/SUM(CI:CI)*'I-Project Contingency'!$F$79=0,0,CI43/SUM(CI:CI)*'I-Project Contingency'!$F$79)</f>
        <v>0</v>
      </c>
      <c r="EX43" s="787">
        <f>IF(CJ43/SUM(CJ:CJ)*'I-Project Contingency'!$F$80=0,0,CJ43/SUM(CJ:CJ)*'I-Project Contingency'!$F$80)</f>
        <v>0</v>
      </c>
      <c r="EY43" s="787">
        <f>IF(CK43/SUM(CK:CK)*'I-Project Contingency'!$F$81=0,0,CK43/SUM(CK:CK)*'I-Project Contingency'!$F$81)</f>
        <v>0</v>
      </c>
      <c r="EZ43" s="333">
        <f>IF(FB43="N/A","N/A",ABS(INDEX(FB43:FV43,1,MATCH("ROM Schedule Risk @ "&amp;'D-Project Data'!$C$6*100&amp;"%",$FB$17:$FV$17,0))))</f>
        <v>0</v>
      </c>
      <c r="FA43" s="335">
        <f>IF(EZ43="N/A","N/A",RANK(EZ43,$EZ$18:$EZ$117,0)+COUNTIF($FB$18:FB43,FB43)-1)</f>
        <v>26</v>
      </c>
      <c r="FB43" s="788">
        <f>IF(DH43/SUM(DH:DH)*'I-Project Contingency'!$F$86=0,0,DH43/SUM(DH:DH)*'I-Project Contingency'!$F$86)</f>
        <v>0</v>
      </c>
      <c r="FC43" s="788">
        <f>IF(DI43/SUM(DI:DI)*'I-Project Contingency'!$F$87=0,0,DI43/SUM(DI:DI)*'I-Project Contingency'!$F$87)</f>
        <v>0</v>
      </c>
      <c r="FD43" s="788">
        <f>IF(DJ43/SUM(DJ:DJ)*'I-Project Contingency'!$F$88=0,0,DJ43/SUM(DJ:DJ)*'I-Project Contingency'!$F$88)</f>
        <v>0</v>
      </c>
      <c r="FE43" s="788">
        <f>IF(DK43/SUM(DK:DK)*'I-Project Contingency'!$F$89=0,0,DK43/SUM(DK:DK)*'I-Project Contingency'!$F$89)</f>
        <v>0</v>
      </c>
      <c r="FF43" s="788">
        <f>IF(DL43/SUM(DL:DL)*'I-Project Contingency'!$F$90=0,0,DL43/SUM(DL:DL)*'I-Project Contingency'!$F$90)</f>
        <v>0</v>
      </c>
      <c r="FG43" s="788">
        <f>IF(DM43/SUM(DM:DM)*'I-Project Contingency'!$F$91=0,0,DM43/SUM(DM:DM)*'I-Project Contingency'!$F$91)</f>
        <v>0</v>
      </c>
      <c r="FH43" s="788">
        <f>IF(DN43/SUM(DN:DN)*'I-Project Contingency'!$F$92=0,0,DN43/SUM(DN:DN)*'I-Project Contingency'!$F$92)</f>
        <v>0</v>
      </c>
      <c r="FI43" s="788">
        <f>IF(DO43/SUM(DO:DO)*'I-Project Contingency'!$F$93=0,0,DO43/SUM(DO:DO)*'I-Project Contingency'!$F$93)</f>
        <v>0</v>
      </c>
      <c r="FJ43" s="788">
        <f>IF(DP43/SUM(DP:DP)*'I-Project Contingency'!$F$94=0,0,DP43/SUM(DP:DP)*'I-Project Contingency'!$F$94)</f>
        <v>0</v>
      </c>
      <c r="FK43" s="788">
        <f>IF(DQ43/SUM(DQ:DQ)*'I-Project Contingency'!$F$95=0,0,DQ43/SUM(DQ:DQ)*'I-Project Contingency'!$F$95)</f>
        <v>0</v>
      </c>
      <c r="FL43" s="788">
        <f>IF(DR43/SUM(DR:DR)*'I-Project Contingency'!$F$96=0,0,DR43/SUM(DR:DR)*'I-Project Contingency'!$F$96)</f>
        <v>0</v>
      </c>
      <c r="FM43" s="788">
        <f>IF(DS43/SUM(DS:DS)*'I-Project Contingency'!$F$97=0,0,DS43/SUM(DS:DS)*'I-Project Contingency'!$F$97)</f>
        <v>0</v>
      </c>
      <c r="FN43" s="788">
        <f>IF(DT43/SUM(DT:DT)*'I-Project Contingency'!$F$98=0,0,DT43/SUM(DT:DT)*'I-Project Contingency'!$F$98)</f>
        <v>0</v>
      </c>
      <c r="FO43" s="788">
        <f>IF(DU43/SUM(DU:DU)*'I-Project Contingency'!$F$99=0,0,DU43/SUM(DU:DU)*'I-Project Contingency'!$F$99)</f>
        <v>0</v>
      </c>
      <c r="FP43" s="788">
        <f>IF(DV43/SUM(DV:DV)*'I-Project Contingency'!$F$100=0,0,DV43/SUM(DV:DV)*'I-Project Contingency'!$F$100)</f>
        <v>0</v>
      </c>
      <c r="FQ43" s="788">
        <f>IF(DW43/SUM(DW:DW)*'I-Project Contingency'!$F$101=0,0,DW43/SUM(DW:DW)*'I-Project Contingency'!$F$101)</f>
        <v>0</v>
      </c>
      <c r="FR43" s="788">
        <f>IF(DX43/SUM(DX:DX)*'I-Project Contingency'!$F$102=0,0,DX43/SUM(DX:DX)*'I-Project Contingency'!$F$102)</f>
        <v>0</v>
      </c>
      <c r="FS43" s="788">
        <f>IF(DY43/SUM(DY:DY)*'I-Project Contingency'!$F$103=0,0,DY43/SUM(DY:DY)*'I-Project Contingency'!$F$103)</f>
        <v>0</v>
      </c>
      <c r="FT43" s="788">
        <f>IF(DZ43/SUM(DZ:DZ)*'I-Project Contingency'!$F$104=0,0,DZ43/SUM(DZ:DZ)*'I-Project Contingency'!$F$104)</f>
        <v>0</v>
      </c>
      <c r="FU43" s="788">
        <f>IF(EA43/SUM(EA:EA)*'I-Project Contingency'!$F$105=0,0,EA43/SUM(EA:EA)*'I-Project Contingency'!$F$105)</f>
        <v>0</v>
      </c>
      <c r="FV43" s="788">
        <f>IF(EB43/SUM(EB:EB)*'I-Project Contingency'!$F$106=0,0,EB43/SUM(EB:EB)*'I-Project Contingency'!$F$106)</f>
        <v>0</v>
      </c>
      <c r="FW43" s="335">
        <f t="shared" si="13"/>
        <v>26</v>
      </c>
      <c r="FX43" s="336" t="str">
        <f t="shared" si="14"/>
        <v xml:space="preserve">26 - </v>
      </c>
      <c r="FY43" s="330">
        <f t="shared" si="15"/>
        <v>0</v>
      </c>
      <c r="FZ43" s="330">
        <f t="shared" si="16"/>
        <v>0</v>
      </c>
      <c r="GA43" s="332">
        <f t="shared" si="17"/>
        <v>0</v>
      </c>
      <c r="GB43" s="332">
        <f t="shared" si="18"/>
        <v>0</v>
      </c>
    </row>
    <row r="44" spans="1:184" ht="30" x14ac:dyDescent="0.25">
      <c r="A44" s="163">
        <f t="shared" si="23"/>
        <v>27</v>
      </c>
      <c r="B44" s="727" t="s">
        <v>728</v>
      </c>
      <c r="C44" s="729"/>
      <c r="D44" s="729"/>
      <c r="E44" s="729"/>
      <c r="F44" s="728" t="s">
        <v>728</v>
      </c>
      <c r="G44" s="728" t="s">
        <v>728</v>
      </c>
      <c r="H44" s="157" t="str">
        <f>IFERROR(IF('H-Risk Register-Model'!F44="Certain","Relook at Basis of Estimate",INDEX('G-Assumptions'!$F$8:$J$11,MATCH(F44,'G-Assumptions'!$D$8:$D$11,0),MATCH(G44,'G-Assumptions'!$F$6:$J$6,0))),"Unrated")</f>
        <v>Unrated</v>
      </c>
      <c r="I44" s="728" t="s">
        <v>728</v>
      </c>
      <c r="J44" s="157" t="str">
        <f>IFERROR(IF('H-Risk Register-Model'!F44="Certain","Relook at Basis of Estimate",INDEX('G-Assumptions'!$F$8:$J$11,MATCH(F44,'G-Assumptions'!$D$8:$D$11,0),MATCH(I44,'G-Assumptions'!$F$6:$J$6,0))),"Unrated")</f>
        <v>Unrated</v>
      </c>
      <c r="K44" s="728" t="s">
        <v>728</v>
      </c>
      <c r="L44" s="728" t="s">
        <v>728</v>
      </c>
      <c r="M44" s="728"/>
      <c r="N44" s="731" t="s">
        <v>728</v>
      </c>
      <c r="O44" s="731" t="s">
        <v>728</v>
      </c>
      <c r="P44" s="732"/>
      <c r="Q44" s="732"/>
      <c r="R44" s="732"/>
      <c r="S44" s="733"/>
      <c r="T44" s="733"/>
      <c r="U44" s="733"/>
      <c r="V44" s="734"/>
      <c r="W44" s="732"/>
      <c r="X44" s="732"/>
      <c r="Y44" s="735">
        <v>1</v>
      </c>
      <c r="Z44" s="736">
        <v>1</v>
      </c>
      <c r="AA44" s="166">
        <f t="shared" si="19"/>
        <v>0</v>
      </c>
      <c r="AB44" s="166">
        <f t="shared" si="20"/>
        <v>0</v>
      </c>
      <c r="AC44" s="166">
        <f t="shared" si="21"/>
        <v>0</v>
      </c>
      <c r="AD44" s="166"/>
      <c r="AE44" s="164">
        <f t="shared" si="22"/>
        <v>0</v>
      </c>
      <c r="AF44" s="167"/>
      <c r="AG44" s="165">
        <f t="shared" si="5"/>
        <v>0</v>
      </c>
      <c r="AH44" s="729"/>
      <c r="AI44" s="729"/>
      <c r="AJ44" s="8"/>
      <c r="AK44" s="495" t="str">
        <f t="shared" si="6"/>
        <v>No</v>
      </c>
      <c r="AL44" s="496">
        <f>'I-Project Contingency'!$I$4</f>
        <v>9000000</v>
      </c>
      <c r="AM44" s="326">
        <f>'I-Project Contingency'!$I$11</f>
        <v>23.978102189781023</v>
      </c>
      <c r="AN44" s="325">
        <f t="shared" si="7"/>
        <v>0</v>
      </c>
      <c r="AO44" s="326">
        <f t="shared" si="8"/>
        <v>0</v>
      </c>
      <c r="AP44" s="641" t="str">
        <f t="shared" si="9"/>
        <v/>
      </c>
      <c r="AQ44" s="641" t="str">
        <f t="shared" si="10"/>
        <v/>
      </c>
      <c r="AR44" s="497" t="str">
        <f t="shared" si="11"/>
        <v/>
      </c>
      <c r="AS44" s="497" t="str">
        <f t="shared" si="12"/>
        <v/>
      </c>
      <c r="AT44" s="8"/>
      <c r="AU44" s="329">
        <f>'I-Project Contingency'!$O$4-AE44</f>
        <v>0</v>
      </c>
      <c r="AV44" s="330">
        <v>-240515.59579276721</v>
      </c>
      <c r="AW44" s="330">
        <v>28172.931401335634</v>
      </c>
      <c r="AX44" s="330">
        <v>193478.84467429668</v>
      </c>
      <c r="AY44" s="330">
        <v>361668.20104834624</v>
      </c>
      <c r="AZ44" s="330">
        <v>524446.91524262261</v>
      </c>
      <c r="BA44" s="330">
        <v>704023.56387635041</v>
      </c>
      <c r="BB44" s="330">
        <v>886394.06956240814</v>
      </c>
      <c r="BC44" s="330">
        <v>1079363.7165157665</v>
      </c>
      <c r="BD44" s="330">
        <v>1280180.1532065615</v>
      </c>
      <c r="BE44" s="330">
        <v>1485323.8019108465</v>
      </c>
      <c r="BF44" s="330">
        <v>1703758.8827524669</v>
      </c>
      <c r="BG44" s="330">
        <v>1949523.4346483489</v>
      </c>
      <c r="BH44" s="330">
        <v>2177897.1603371189</v>
      </c>
      <c r="BI44" s="330">
        <v>2429374.4260425912</v>
      </c>
      <c r="BJ44" s="330">
        <v>2717092.7449284913</v>
      </c>
      <c r="BK44" s="330">
        <v>3010093.6968918457</v>
      </c>
      <c r="BL44" s="330">
        <v>3325414.5894657462</v>
      </c>
      <c r="BM44" s="330">
        <v>3690425.9159493577</v>
      </c>
      <c r="BN44" s="330">
        <v>4143935.1706127762</v>
      </c>
      <c r="BO44" s="330">
        <v>4722651.1159141911</v>
      </c>
      <c r="BP44" s="330">
        <v>5992048.8629153483</v>
      </c>
      <c r="BQ44" s="330">
        <f>'I-Project Contingency'!$E$61-AV44</f>
        <v>0</v>
      </c>
      <c r="BR44" s="330">
        <f>'I-Project Contingency'!$E$62-AW44</f>
        <v>0</v>
      </c>
      <c r="BS44" s="330">
        <f>'I-Project Contingency'!$E$63-AX44</f>
        <v>0</v>
      </c>
      <c r="BT44" s="330">
        <f>'I-Project Contingency'!$E$64-AY44</f>
        <v>0</v>
      </c>
      <c r="BU44" s="330">
        <f>'I-Project Contingency'!$E$65-AZ44</f>
        <v>0</v>
      </c>
      <c r="BV44" s="330">
        <f>'I-Project Contingency'!$E$66-BA44</f>
        <v>0</v>
      </c>
      <c r="BW44" s="330">
        <f>'I-Project Contingency'!$E$67-BB44</f>
        <v>0</v>
      </c>
      <c r="BX44" s="330">
        <f>'I-Project Contingency'!$E$68-BC44</f>
        <v>0</v>
      </c>
      <c r="BY44" s="330">
        <f>'I-Project Contingency'!$E$69-BD44</f>
        <v>0</v>
      </c>
      <c r="BZ44" s="330">
        <f>'I-Project Contingency'!$E$70-BE44</f>
        <v>0</v>
      </c>
      <c r="CA44" s="330">
        <f>'I-Project Contingency'!$E$71-BF44</f>
        <v>0</v>
      </c>
      <c r="CB44" s="330">
        <f>'I-Project Contingency'!$E$72-BG44</f>
        <v>0</v>
      </c>
      <c r="CC44" s="330">
        <f>'I-Project Contingency'!$E$73-BH44</f>
        <v>0</v>
      </c>
      <c r="CD44" s="330">
        <f>'I-Project Contingency'!$E$74-BI44</f>
        <v>0</v>
      </c>
      <c r="CE44" s="330">
        <f>'I-Project Contingency'!$E$75-BJ44</f>
        <v>0</v>
      </c>
      <c r="CF44" s="330">
        <f>'I-Project Contingency'!$E$76-BK44</f>
        <v>0</v>
      </c>
      <c r="CG44" s="330">
        <f>'I-Project Contingency'!$E$77-BL44</f>
        <v>0</v>
      </c>
      <c r="CH44" s="784">
        <f>'I-Project Contingency'!$E$78-BM44</f>
        <v>0</v>
      </c>
      <c r="CI44" s="330">
        <f>'I-Project Contingency'!$E$79-BN44</f>
        <v>0</v>
      </c>
      <c r="CJ44" s="330">
        <f>'I-Project Contingency'!$E$80-BO44</f>
        <v>0</v>
      </c>
      <c r="CK44" s="330">
        <f>'I-Project Contingency'!$E$81-BP44</f>
        <v>0</v>
      </c>
      <c r="CL44" s="331">
        <f>'I-Project Contingency'!$O$5-AG44</f>
        <v>0</v>
      </c>
      <c r="CM44" s="332">
        <v>-0.98711802853447173</v>
      </c>
      <c r="CN44" s="332">
        <v>-0.19547704728364468</v>
      </c>
      <c r="CO44" s="332">
        <v>0.126462150308498</v>
      </c>
      <c r="CP44" s="332">
        <v>0.45967989154545902</v>
      </c>
      <c r="CQ44" s="332">
        <v>0.78297319902744</v>
      </c>
      <c r="CR44" s="332">
        <v>1.0957191966482109</v>
      </c>
      <c r="CS44" s="332">
        <v>1.4418405003536849</v>
      </c>
      <c r="CT44" s="332">
        <v>1.801002404194165</v>
      </c>
      <c r="CU44" s="332">
        <v>2.1797608166947349</v>
      </c>
      <c r="CV44" s="332">
        <v>2.5671680610072478</v>
      </c>
      <c r="CW44" s="332">
        <v>2.9690760644797152</v>
      </c>
      <c r="CX44" s="332">
        <v>3.3964145469774811</v>
      </c>
      <c r="CY44" s="332">
        <v>3.864536087769562</v>
      </c>
      <c r="CZ44" s="332">
        <v>4.3569836138896116</v>
      </c>
      <c r="DA44" s="332">
        <v>4.8862357851222598</v>
      </c>
      <c r="DB44" s="332">
        <v>5.438836997347547</v>
      </c>
      <c r="DC44" s="332">
        <v>6.047993455908566</v>
      </c>
      <c r="DD44" s="785">
        <v>6.720204953601761</v>
      </c>
      <c r="DE44" s="333">
        <v>7.55131678090412</v>
      </c>
      <c r="DF44" s="332">
        <v>8.661446370835737</v>
      </c>
      <c r="DG44" s="332">
        <v>11.206316207857133</v>
      </c>
      <c r="DH44" s="332">
        <f>'I-Project Contingency'!$E$86-CM44</f>
        <v>0</v>
      </c>
      <c r="DI44" s="332">
        <f>'I-Project Contingency'!$E$87-CN44</f>
        <v>0</v>
      </c>
      <c r="DJ44" s="332">
        <f>'I-Project Contingency'!$E$88-CO44</f>
        <v>0</v>
      </c>
      <c r="DK44" s="332">
        <f>'I-Project Contingency'!$E$89-CP44</f>
        <v>0</v>
      </c>
      <c r="DL44" s="332">
        <f>'I-Project Contingency'!$E$90-CQ44</f>
        <v>0</v>
      </c>
      <c r="DM44" s="332">
        <f>'I-Project Contingency'!$E$91-CR44</f>
        <v>0</v>
      </c>
      <c r="DN44" s="332">
        <f>'I-Project Contingency'!$E$92-CS44</f>
        <v>0</v>
      </c>
      <c r="DO44" s="332">
        <f>'I-Project Contingency'!$E$93-CT44</f>
        <v>0</v>
      </c>
      <c r="DP44" s="332">
        <f>'I-Project Contingency'!$E$94-CU44</f>
        <v>0</v>
      </c>
      <c r="DQ44" s="332">
        <f>'I-Project Contingency'!$E$95-CV44</f>
        <v>0</v>
      </c>
      <c r="DR44" s="332">
        <f>'I-Project Contingency'!$E$96-CW44</f>
        <v>0</v>
      </c>
      <c r="DS44" s="332">
        <f>'I-Project Contingency'!$E$97-CX44</f>
        <v>0</v>
      </c>
      <c r="DT44" s="332">
        <f>'I-Project Contingency'!$E$98-CY44</f>
        <v>0</v>
      </c>
      <c r="DU44" s="332">
        <f>'I-Project Contingency'!$E$99-CZ44</f>
        <v>0</v>
      </c>
      <c r="DV44" s="332">
        <f>'I-Project Contingency'!$E$100-DA44</f>
        <v>0</v>
      </c>
      <c r="DW44" s="332">
        <f>'I-Project Contingency'!$E$101-DB44</f>
        <v>0</v>
      </c>
      <c r="DX44" s="332">
        <f>'I-Project Contingency'!$E$102-DC44</f>
        <v>0</v>
      </c>
      <c r="DY44" s="332">
        <f>'I-Project Contingency'!$E$103-DD44</f>
        <v>0</v>
      </c>
      <c r="DZ44" s="332">
        <f>'I-Project Contingency'!$E$104-DE44</f>
        <v>0</v>
      </c>
      <c r="EA44" s="332">
        <f>'I-Project Contingency'!$E$105-DF44</f>
        <v>0</v>
      </c>
      <c r="EB44" s="332">
        <f>'I-Project Contingency'!$E$106-DG44</f>
        <v>0</v>
      </c>
      <c r="EC44" s="334">
        <f>IF(EE44="N/A","N/A",ABS(INDEX(EE44:EY44,1,MATCH("ROM Cost Risk @ "&amp;'D-Project Data'!$C$6*100&amp;"%",$EE$17:$EY$17,0))))</f>
        <v>0</v>
      </c>
      <c r="ED44" s="335">
        <f>IF(EC44="N/A","N/A",RANK(EC44,$EC$18:$EC$117,0)+COUNTIF($EC$18:EC44,EC44)-1)</f>
        <v>27</v>
      </c>
      <c r="EE44" s="334">
        <f>IF(BQ44/SUM(BQ:BQ)*'I-Project Contingency'!$F$61=0,0,BQ44/SUM(BQ:BQ)*'I-Project Contingency'!$F$61)</f>
        <v>0</v>
      </c>
      <c r="EF44" s="334">
        <f>IF(BR44/SUM(BR:BR)*'I-Project Contingency'!$F$62=0,0,BR44/SUM(BR:BR)*'I-Project Contingency'!$F$62)</f>
        <v>0</v>
      </c>
      <c r="EG44" s="334">
        <f>IF(BS44/SUM(BS:BS)*'I-Project Contingency'!$F$63=0,0,BS44/SUM(BS:BS)*'I-Project Contingency'!$F$63)</f>
        <v>0</v>
      </c>
      <c r="EH44" s="334">
        <f>IF(BT44/SUM(BT:BT)*'I-Project Contingency'!$F$64=0,0,BT44/SUM(BT:BT)*'I-Project Contingency'!$F$64)</f>
        <v>0</v>
      </c>
      <c r="EI44" s="334">
        <f>IF(BU44/SUM(BU:BU)*'I-Project Contingency'!$F$65=0,0,BU44/SUM(BU:BU)*'I-Project Contingency'!$F$65)</f>
        <v>0</v>
      </c>
      <c r="EJ44" s="334">
        <f>IF(BV44/SUM(BV:BV)*'I-Project Contingency'!$F$66=0,0,BV44/SUM(BV:BV)*'I-Project Contingency'!$F$66)</f>
        <v>0</v>
      </c>
      <c r="EK44" s="334">
        <f>IF(BW44/SUM(BW:BW)*'I-Project Contingency'!$F$67=0,0,BW44/SUM(BW:BW)*'I-Project Contingency'!$F$67)</f>
        <v>0</v>
      </c>
      <c r="EL44" s="334">
        <f>IF(BX44/SUM(BX:BX)*'I-Project Contingency'!$F$68=0,0,BX44/SUM(BX:BX)*'I-Project Contingency'!$F$68)</f>
        <v>0</v>
      </c>
      <c r="EM44" s="334">
        <f>IF(BY44/SUM(BY:BY)*'I-Project Contingency'!$F$69=0,0,BY44/SUM(BY:BY)*'I-Project Contingency'!$F$69)</f>
        <v>0</v>
      </c>
      <c r="EN44" s="334">
        <f>IF(BZ44/SUM(BZ:BZ)*'I-Project Contingency'!$F$70=0,0,BZ44/SUM(BZ:BZ)*'I-Project Contingency'!$F$70)</f>
        <v>0</v>
      </c>
      <c r="EO44" s="334">
        <f>IF(CA44/SUM(CA:CA)*'I-Project Contingency'!$F$71=0,0,CA44/SUM(CA:CA)*'I-Project Contingency'!$F$71)</f>
        <v>0</v>
      </c>
      <c r="EP44" s="334">
        <f>IF(CB44/SUM(CB:CB)*'I-Project Contingency'!$F$72=0,0,CB44/SUM(CB:CB)*'I-Project Contingency'!$F$72)</f>
        <v>0</v>
      </c>
      <c r="EQ44" s="334">
        <f>IF(CC44/SUM(CC:CC)*'I-Project Contingency'!$F$73=0,0,CC44/SUM(CC:CC)*'I-Project Contingency'!$F$73)</f>
        <v>0</v>
      </c>
      <c r="ER44" s="334">
        <f>IF(CD44/SUM(CD:CD)*'I-Project Contingency'!$F$74=0,0,CD44/SUM(CD:CD)*'I-Project Contingency'!$F$74)</f>
        <v>0</v>
      </c>
      <c r="ES44" s="334">
        <f>IF(CE44/SUM(CE:CE)*'I-Project Contingency'!$F$75=0,0,CE44/SUM(CE:CE)*'I-Project Contingency'!$F$75)</f>
        <v>0</v>
      </c>
      <c r="ET44" s="334">
        <f>IF(CF44/SUM(CF:CF)*'I-Project Contingency'!$F$76=0,0,CF44/SUM(CF:CF)*'I-Project Contingency'!$F$76)</f>
        <v>0</v>
      </c>
      <c r="EU44" s="334">
        <f>IF(CG44/SUM(CG:CG)*'I-Project Contingency'!$F$77=0,0,CG44/SUM(CG:CG)*'I-Project Contingency'!$F$77)</f>
        <v>0</v>
      </c>
      <c r="EV44" s="787">
        <f>IF(CH44/SUM(CH:CH)*'I-Project Contingency'!$F$78=0,0,CH44/SUM(CH:CH)*'I-Project Contingency'!$F$78)</f>
        <v>0</v>
      </c>
      <c r="EW44" s="787">
        <f>IF(CI44/SUM(CI:CI)*'I-Project Contingency'!$F$79=0,0,CI44/SUM(CI:CI)*'I-Project Contingency'!$F$79)</f>
        <v>0</v>
      </c>
      <c r="EX44" s="787">
        <f>IF(CJ44/SUM(CJ:CJ)*'I-Project Contingency'!$F$80=0,0,CJ44/SUM(CJ:CJ)*'I-Project Contingency'!$F$80)</f>
        <v>0</v>
      </c>
      <c r="EY44" s="787">
        <f>IF(CK44/SUM(CK:CK)*'I-Project Contingency'!$F$81=0,0,CK44/SUM(CK:CK)*'I-Project Contingency'!$F$81)</f>
        <v>0</v>
      </c>
      <c r="EZ44" s="333">
        <f>IF(FB44="N/A","N/A",ABS(INDEX(FB44:FV44,1,MATCH("ROM Schedule Risk @ "&amp;'D-Project Data'!$C$6*100&amp;"%",$FB$17:$FV$17,0))))</f>
        <v>0</v>
      </c>
      <c r="FA44" s="335">
        <f>IF(EZ44="N/A","N/A",RANK(EZ44,$EZ$18:$EZ$117,0)+COUNTIF($FB$18:FB44,FB44)-1)</f>
        <v>27</v>
      </c>
      <c r="FB44" s="788">
        <f>IF(DH44/SUM(DH:DH)*'I-Project Contingency'!$F$86=0,0,DH44/SUM(DH:DH)*'I-Project Contingency'!$F$86)</f>
        <v>0</v>
      </c>
      <c r="FC44" s="788">
        <f>IF(DI44/SUM(DI:DI)*'I-Project Contingency'!$F$87=0,0,DI44/SUM(DI:DI)*'I-Project Contingency'!$F$87)</f>
        <v>0</v>
      </c>
      <c r="FD44" s="788">
        <f>IF(DJ44/SUM(DJ:DJ)*'I-Project Contingency'!$F$88=0,0,DJ44/SUM(DJ:DJ)*'I-Project Contingency'!$F$88)</f>
        <v>0</v>
      </c>
      <c r="FE44" s="788">
        <f>IF(DK44/SUM(DK:DK)*'I-Project Contingency'!$F$89=0,0,DK44/SUM(DK:DK)*'I-Project Contingency'!$F$89)</f>
        <v>0</v>
      </c>
      <c r="FF44" s="788">
        <f>IF(DL44/SUM(DL:DL)*'I-Project Contingency'!$F$90=0,0,DL44/SUM(DL:DL)*'I-Project Contingency'!$F$90)</f>
        <v>0</v>
      </c>
      <c r="FG44" s="788">
        <f>IF(DM44/SUM(DM:DM)*'I-Project Contingency'!$F$91=0,0,DM44/SUM(DM:DM)*'I-Project Contingency'!$F$91)</f>
        <v>0</v>
      </c>
      <c r="FH44" s="788">
        <f>IF(DN44/SUM(DN:DN)*'I-Project Contingency'!$F$92=0,0,DN44/SUM(DN:DN)*'I-Project Contingency'!$F$92)</f>
        <v>0</v>
      </c>
      <c r="FI44" s="788">
        <f>IF(DO44/SUM(DO:DO)*'I-Project Contingency'!$F$93=0,0,DO44/SUM(DO:DO)*'I-Project Contingency'!$F$93)</f>
        <v>0</v>
      </c>
      <c r="FJ44" s="788">
        <f>IF(DP44/SUM(DP:DP)*'I-Project Contingency'!$F$94=0,0,DP44/SUM(DP:DP)*'I-Project Contingency'!$F$94)</f>
        <v>0</v>
      </c>
      <c r="FK44" s="788">
        <f>IF(DQ44/SUM(DQ:DQ)*'I-Project Contingency'!$F$95=0,0,DQ44/SUM(DQ:DQ)*'I-Project Contingency'!$F$95)</f>
        <v>0</v>
      </c>
      <c r="FL44" s="788">
        <f>IF(DR44/SUM(DR:DR)*'I-Project Contingency'!$F$96=0,0,DR44/SUM(DR:DR)*'I-Project Contingency'!$F$96)</f>
        <v>0</v>
      </c>
      <c r="FM44" s="788">
        <f>IF(DS44/SUM(DS:DS)*'I-Project Contingency'!$F$97=0,0,DS44/SUM(DS:DS)*'I-Project Contingency'!$F$97)</f>
        <v>0</v>
      </c>
      <c r="FN44" s="788">
        <f>IF(DT44/SUM(DT:DT)*'I-Project Contingency'!$F$98=0,0,DT44/SUM(DT:DT)*'I-Project Contingency'!$F$98)</f>
        <v>0</v>
      </c>
      <c r="FO44" s="788">
        <f>IF(DU44/SUM(DU:DU)*'I-Project Contingency'!$F$99=0,0,DU44/SUM(DU:DU)*'I-Project Contingency'!$F$99)</f>
        <v>0</v>
      </c>
      <c r="FP44" s="788">
        <f>IF(DV44/SUM(DV:DV)*'I-Project Contingency'!$F$100=0,0,DV44/SUM(DV:DV)*'I-Project Contingency'!$F$100)</f>
        <v>0</v>
      </c>
      <c r="FQ44" s="788">
        <f>IF(DW44/SUM(DW:DW)*'I-Project Contingency'!$F$101=0,0,DW44/SUM(DW:DW)*'I-Project Contingency'!$F$101)</f>
        <v>0</v>
      </c>
      <c r="FR44" s="788">
        <f>IF(DX44/SUM(DX:DX)*'I-Project Contingency'!$F$102=0,0,DX44/SUM(DX:DX)*'I-Project Contingency'!$F$102)</f>
        <v>0</v>
      </c>
      <c r="FS44" s="788">
        <f>IF(DY44/SUM(DY:DY)*'I-Project Contingency'!$F$103=0,0,DY44/SUM(DY:DY)*'I-Project Contingency'!$F$103)</f>
        <v>0</v>
      </c>
      <c r="FT44" s="788">
        <f>IF(DZ44/SUM(DZ:DZ)*'I-Project Contingency'!$F$104=0,0,DZ44/SUM(DZ:DZ)*'I-Project Contingency'!$F$104)</f>
        <v>0</v>
      </c>
      <c r="FU44" s="788">
        <f>IF(EA44/SUM(EA:EA)*'I-Project Contingency'!$F$105=0,0,EA44/SUM(EA:EA)*'I-Project Contingency'!$F$105)</f>
        <v>0</v>
      </c>
      <c r="FV44" s="788">
        <f>IF(EB44/SUM(EB:EB)*'I-Project Contingency'!$F$106=0,0,EB44/SUM(EB:EB)*'I-Project Contingency'!$F$106)</f>
        <v>0</v>
      </c>
      <c r="FW44" s="335">
        <f t="shared" si="13"/>
        <v>27</v>
      </c>
      <c r="FX44" s="336" t="str">
        <f t="shared" si="14"/>
        <v xml:space="preserve">27 - </v>
      </c>
      <c r="FY44" s="330">
        <f t="shared" si="15"/>
        <v>0</v>
      </c>
      <c r="FZ44" s="330">
        <f t="shared" si="16"/>
        <v>0</v>
      </c>
      <c r="GA44" s="332">
        <f t="shared" si="17"/>
        <v>0</v>
      </c>
      <c r="GB44" s="332">
        <f t="shared" si="18"/>
        <v>0</v>
      </c>
    </row>
    <row r="45" spans="1:184" ht="30" x14ac:dyDescent="0.25">
      <c r="A45" s="163">
        <f t="shared" si="23"/>
        <v>28</v>
      </c>
      <c r="B45" s="727" t="s">
        <v>728</v>
      </c>
      <c r="C45" s="729"/>
      <c r="D45" s="729"/>
      <c r="E45" s="729"/>
      <c r="F45" s="728" t="s">
        <v>728</v>
      </c>
      <c r="G45" s="728" t="s">
        <v>728</v>
      </c>
      <c r="H45" s="157" t="str">
        <f>IFERROR(IF('H-Risk Register-Model'!F45="Certain","Relook at Basis of Estimate",INDEX('G-Assumptions'!$F$8:$J$11,MATCH(F45,'G-Assumptions'!$D$8:$D$11,0),MATCH(G45,'G-Assumptions'!$F$6:$J$6,0))),"Unrated")</f>
        <v>Unrated</v>
      </c>
      <c r="I45" s="728" t="s">
        <v>728</v>
      </c>
      <c r="J45" s="157" t="str">
        <f>IFERROR(IF('H-Risk Register-Model'!F45="Certain","Relook at Basis of Estimate",INDEX('G-Assumptions'!$F$8:$J$11,MATCH(F45,'G-Assumptions'!$D$8:$D$11,0),MATCH(I45,'G-Assumptions'!$F$6:$J$6,0))),"Unrated")</f>
        <v>Unrated</v>
      </c>
      <c r="K45" s="728" t="s">
        <v>728</v>
      </c>
      <c r="L45" s="728" t="s">
        <v>728</v>
      </c>
      <c r="M45" s="728"/>
      <c r="N45" s="731" t="s">
        <v>728</v>
      </c>
      <c r="O45" s="731" t="s">
        <v>728</v>
      </c>
      <c r="P45" s="732"/>
      <c r="Q45" s="732"/>
      <c r="R45" s="732"/>
      <c r="S45" s="733"/>
      <c r="T45" s="733"/>
      <c r="U45" s="733"/>
      <c r="V45" s="734"/>
      <c r="W45" s="732"/>
      <c r="X45" s="732"/>
      <c r="Y45" s="735">
        <v>1</v>
      </c>
      <c r="Z45" s="736">
        <v>1</v>
      </c>
      <c r="AA45" s="166">
        <f t="shared" si="19"/>
        <v>0</v>
      </c>
      <c r="AB45" s="166">
        <f t="shared" si="20"/>
        <v>0</v>
      </c>
      <c r="AC45" s="166">
        <f t="shared" si="21"/>
        <v>0</v>
      </c>
      <c r="AD45" s="166"/>
      <c r="AE45" s="164">
        <f t="shared" si="22"/>
        <v>0</v>
      </c>
      <c r="AF45" s="167"/>
      <c r="AG45" s="165">
        <f t="shared" si="5"/>
        <v>0</v>
      </c>
      <c r="AH45" s="729"/>
      <c r="AI45" s="729"/>
      <c r="AJ45" s="8"/>
      <c r="AK45" s="495" t="str">
        <f t="shared" si="6"/>
        <v>No</v>
      </c>
      <c r="AL45" s="496">
        <f>'I-Project Contingency'!$I$4</f>
        <v>9000000</v>
      </c>
      <c r="AM45" s="326">
        <f>'I-Project Contingency'!$I$11</f>
        <v>23.978102189781023</v>
      </c>
      <c r="AN45" s="325">
        <f t="shared" si="7"/>
        <v>0</v>
      </c>
      <c r="AO45" s="326">
        <f t="shared" si="8"/>
        <v>0</v>
      </c>
      <c r="AP45" s="641" t="str">
        <f t="shared" si="9"/>
        <v/>
      </c>
      <c r="AQ45" s="641" t="str">
        <f t="shared" si="10"/>
        <v/>
      </c>
      <c r="AR45" s="497" t="str">
        <f t="shared" si="11"/>
        <v/>
      </c>
      <c r="AS45" s="497" t="str">
        <f t="shared" si="12"/>
        <v/>
      </c>
      <c r="AT45" s="8"/>
      <c r="AU45" s="329">
        <f>'I-Project Contingency'!$O$4-AE45</f>
        <v>0</v>
      </c>
      <c r="AV45" s="330">
        <v>-240515.59579276721</v>
      </c>
      <c r="AW45" s="330">
        <v>28172.931401335634</v>
      </c>
      <c r="AX45" s="330">
        <v>193478.84467429668</v>
      </c>
      <c r="AY45" s="330">
        <v>361668.20104834624</v>
      </c>
      <c r="AZ45" s="330">
        <v>524446.91524262261</v>
      </c>
      <c r="BA45" s="330">
        <v>704023.56387635041</v>
      </c>
      <c r="BB45" s="330">
        <v>886394.06956240814</v>
      </c>
      <c r="BC45" s="330">
        <v>1079363.7165157665</v>
      </c>
      <c r="BD45" s="330">
        <v>1280180.1532065615</v>
      </c>
      <c r="BE45" s="330">
        <v>1485323.8019108465</v>
      </c>
      <c r="BF45" s="330">
        <v>1703758.8827524669</v>
      </c>
      <c r="BG45" s="330">
        <v>1949523.4346483489</v>
      </c>
      <c r="BH45" s="330">
        <v>2177897.1603371189</v>
      </c>
      <c r="BI45" s="330">
        <v>2429374.4260425912</v>
      </c>
      <c r="BJ45" s="330">
        <v>2717092.7449284913</v>
      </c>
      <c r="BK45" s="330">
        <v>3010093.6968918457</v>
      </c>
      <c r="BL45" s="330">
        <v>3325414.5894657462</v>
      </c>
      <c r="BM45" s="330">
        <v>3690425.9159493577</v>
      </c>
      <c r="BN45" s="330">
        <v>4143935.1706127762</v>
      </c>
      <c r="BO45" s="330">
        <v>4722651.1159141911</v>
      </c>
      <c r="BP45" s="330">
        <v>5992048.8629153483</v>
      </c>
      <c r="BQ45" s="330">
        <f>'I-Project Contingency'!$E$61-AV45</f>
        <v>0</v>
      </c>
      <c r="BR45" s="330">
        <f>'I-Project Contingency'!$E$62-AW45</f>
        <v>0</v>
      </c>
      <c r="BS45" s="330">
        <f>'I-Project Contingency'!$E$63-AX45</f>
        <v>0</v>
      </c>
      <c r="BT45" s="330">
        <f>'I-Project Contingency'!$E$64-AY45</f>
        <v>0</v>
      </c>
      <c r="BU45" s="330">
        <f>'I-Project Contingency'!$E$65-AZ45</f>
        <v>0</v>
      </c>
      <c r="BV45" s="330">
        <f>'I-Project Contingency'!$E$66-BA45</f>
        <v>0</v>
      </c>
      <c r="BW45" s="330">
        <f>'I-Project Contingency'!$E$67-BB45</f>
        <v>0</v>
      </c>
      <c r="BX45" s="330">
        <f>'I-Project Contingency'!$E$68-BC45</f>
        <v>0</v>
      </c>
      <c r="BY45" s="330">
        <f>'I-Project Contingency'!$E$69-BD45</f>
        <v>0</v>
      </c>
      <c r="BZ45" s="330">
        <f>'I-Project Contingency'!$E$70-BE45</f>
        <v>0</v>
      </c>
      <c r="CA45" s="330">
        <f>'I-Project Contingency'!$E$71-BF45</f>
        <v>0</v>
      </c>
      <c r="CB45" s="330">
        <f>'I-Project Contingency'!$E$72-BG45</f>
        <v>0</v>
      </c>
      <c r="CC45" s="330">
        <f>'I-Project Contingency'!$E$73-BH45</f>
        <v>0</v>
      </c>
      <c r="CD45" s="330">
        <f>'I-Project Contingency'!$E$74-BI45</f>
        <v>0</v>
      </c>
      <c r="CE45" s="330">
        <f>'I-Project Contingency'!$E$75-BJ45</f>
        <v>0</v>
      </c>
      <c r="CF45" s="330">
        <f>'I-Project Contingency'!$E$76-BK45</f>
        <v>0</v>
      </c>
      <c r="CG45" s="330">
        <f>'I-Project Contingency'!$E$77-BL45</f>
        <v>0</v>
      </c>
      <c r="CH45" s="784">
        <f>'I-Project Contingency'!$E$78-BM45</f>
        <v>0</v>
      </c>
      <c r="CI45" s="330">
        <f>'I-Project Contingency'!$E$79-BN45</f>
        <v>0</v>
      </c>
      <c r="CJ45" s="330">
        <f>'I-Project Contingency'!$E$80-BO45</f>
        <v>0</v>
      </c>
      <c r="CK45" s="330">
        <f>'I-Project Contingency'!$E$81-BP45</f>
        <v>0</v>
      </c>
      <c r="CL45" s="331">
        <f>'I-Project Contingency'!$O$5-AG45</f>
        <v>0</v>
      </c>
      <c r="CM45" s="332">
        <v>-0.98711802853447173</v>
      </c>
      <c r="CN45" s="332">
        <v>-0.19547704728364468</v>
      </c>
      <c r="CO45" s="332">
        <v>0.126462150308498</v>
      </c>
      <c r="CP45" s="332">
        <v>0.45967989154545902</v>
      </c>
      <c r="CQ45" s="332">
        <v>0.78297319902744</v>
      </c>
      <c r="CR45" s="332">
        <v>1.0957191966482109</v>
      </c>
      <c r="CS45" s="332">
        <v>1.4418405003536849</v>
      </c>
      <c r="CT45" s="332">
        <v>1.801002404194165</v>
      </c>
      <c r="CU45" s="332">
        <v>2.1797608166947349</v>
      </c>
      <c r="CV45" s="332">
        <v>2.5671680610072478</v>
      </c>
      <c r="CW45" s="332">
        <v>2.9690760644797152</v>
      </c>
      <c r="CX45" s="332">
        <v>3.3964145469774811</v>
      </c>
      <c r="CY45" s="332">
        <v>3.864536087769562</v>
      </c>
      <c r="CZ45" s="332">
        <v>4.3569836138896116</v>
      </c>
      <c r="DA45" s="332">
        <v>4.8862357851222598</v>
      </c>
      <c r="DB45" s="332">
        <v>5.438836997347547</v>
      </c>
      <c r="DC45" s="332">
        <v>6.047993455908566</v>
      </c>
      <c r="DD45" s="785">
        <v>6.720204953601761</v>
      </c>
      <c r="DE45" s="333">
        <v>7.55131678090412</v>
      </c>
      <c r="DF45" s="332">
        <v>8.661446370835737</v>
      </c>
      <c r="DG45" s="332">
        <v>11.206316207857133</v>
      </c>
      <c r="DH45" s="332">
        <f>'I-Project Contingency'!$E$86-CM45</f>
        <v>0</v>
      </c>
      <c r="DI45" s="332">
        <f>'I-Project Contingency'!$E$87-CN45</f>
        <v>0</v>
      </c>
      <c r="DJ45" s="332">
        <f>'I-Project Contingency'!$E$88-CO45</f>
        <v>0</v>
      </c>
      <c r="DK45" s="332">
        <f>'I-Project Contingency'!$E$89-CP45</f>
        <v>0</v>
      </c>
      <c r="DL45" s="332">
        <f>'I-Project Contingency'!$E$90-CQ45</f>
        <v>0</v>
      </c>
      <c r="DM45" s="332">
        <f>'I-Project Contingency'!$E$91-CR45</f>
        <v>0</v>
      </c>
      <c r="DN45" s="332">
        <f>'I-Project Contingency'!$E$92-CS45</f>
        <v>0</v>
      </c>
      <c r="DO45" s="332">
        <f>'I-Project Contingency'!$E$93-CT45</f>
        <v>0</v>
      </c>
      <c r="DP45" s="332">
        <f>'I-Project Contingency'!$E$94-CU45</f>
        <v>0</v>
      </c>
      <c r="DQ45" s="332">
        <f>'I-Project Contingency'!$E$95-CV45</f>
        <v>0</v>
      </c>
      <c r="DR45" s="332">
        <f>'I-Project Contingency'!$E$96-CW45</f>
        <v>0</v>
      </c>
      <c r="DS45" s="332">
        <f>'I-Project Contingency'!$E$97-CX45</f>
        <v>0</v>
      </c>
      <c r="DT45" s="332">
        <f>'I-Project Contingency'!$E$98-CY45</f>
        <v>0</v>
      </c>
      <c r="DU45" s="332">
        <f>'I-Project Contingency'!$E$99-CZ45</f>
        <v>0</v>
      </c>
      <c r="DV45" s="332">
        <f>'I-Project Contingency'!$E$100-DA45</f>
        <v>0</v>
      </c>
      <c r="DW45" s="332">
        <f>'I-Project Contingency'!$E$101-DB45</f>
        <v>0</v>
      </c>
      <c r="DX45" s="332">
        <f>'I-Project Contingency'!$E$102-DC45</f>
        <v>0</v>
      </c>
      <c r="DY45" s="332">
        <f>'I-Project Contingency'!$E$103-DD45</f>
        <v>0</v>
      </c>
      <c r="DZ45" s="332">
        <f>'I-Project Contingency'!$E$104-DE45</f>
        <v>0</v>
      </c>
      <c r="EA45" s="332">
        <f>'I-Project Contingency'!$E$105-DF45</f>
        <v>0</v>
      </c>
      <c r="EB45" s="332">
        <f>'I-Project Contingency'!$E$106-DG45</f>
        <v>0</v>
      </c>
      <c r="EC45" s="334">
        <f>IF(EE45="N/A","N/A",ABS(INDEX(EE45:EY45,1,MATCH("ROM Cost Risk @ "&amp;'D-Project Data'!$C$6*100&amp;"%",$EE$17:$EY$17,0))))</f>
        <v>0</v>
      </c>
      <c r="ED45" s="335">
        <f>IF(EC45="N/A","N/A",RANK(EC45,$EC$18:$EC$117,0)+COUNTIF($EC$18:EC45,EC45)-1)</f>
        <v>28</v>
      </c>
      <c r="EE45" s="334">
        <f>IF(BQ45/SUM(BQ:BQ)*'I-Project Contingency'!$F$61=0,0,BQ45/SUM(BQ:BQ)*'I-Project Contingency'!$F$61)</f>
        <v>0</v>
      </c>
      <c r="EF45" s="334">
        <f>IF(BR45/SUM(BR:BR)*'I-Project Contingency'!$F$62=0,0,BR45/SUM(BR:BR)*'I-Project Contingency'!$F$62)</f>
        <v>0</v>
      </c>
      <c r="EG45" s="334">
        <f>IF(BS45/SUM(BS:BS)*'I-Project Contingency'!$F$63=0,0,BS45/SUM(BS:BS)*'I-Project Contingency'!$F$63)</f>
        <v>0</v>
      </c>
      <c r="EH45" s="334">
        <f>IF(BT45/SUM(BT:BT)*'I-Project Contingency'!$F$64=0,0,BT45/SUM(BT:BT)*'I-Project Contingency'!$F$64)</f>
        <v>0</v>
      </c>
      <c r="EI45" s="334">
        <f>IF(BU45/SUM(BU:BU)*'I-Project Contingency'!$F$65=0,0,BU45/SUM(BU:BU)*'I-Project Contingency'!$F$65)</f>
        <v>0</v>
      </c>
      <c r="EJ45" s="334">
        <f>IF(BV45/SUM(BV:BV)*'I-Project Contingency'!$F$66=0,0,BV45/SUM(BV:BV)*'I-Project Contingency'!$F$66)</f>
        <v>0</v>
      </c>
      <c r="EK45" s="334">
        <f>IF(BW45/SUM(BW:BW)*'I-Project Contingency'!$F$67=0,0,BW45/SUM(BW:BW)*'I-Project Contingency'!$F$67)</f>
        <v>0</v>
      </c>
      <c r="EL45" s="334">
        <f>IF(BX45/SUM(BX:BX)*'I-Project Contingency'!$F$68=0,0,BX45/SUM(BX:BX)*'I-Project Contingency'!$F$68)</f>
        <v>0</v>
      </c>
      <c r="EM45" s="334">
        <f>IF(BY45/SUM(BY:BY)*'I-Project Contingency'!$F$69=0,0,BY45/SUM(BY:BY)*'I-Project Contingency'!$F$69)</f>
        <v>0</v>
      </c>
      <c r="EN45" s="334">
        <f>IF(BZ45/SUM(BZ:BZ)*'I-Project Contingency'!$F$70=0,0,BZ45/SUM(BZ:BZ)*'I-Project Contingency'!$F$70)</f>
        <v>0</v>
      </c>
      <c r="EO45" s="334">
        <f>IF(CA45/SUM(CA:CA)*'I-Project Contingency'!$F$71=0,0,CA45/SUM(CA:CA)*'I-Project Contingency'!$F$71)</f>
        <v>0</v>
      </c>
      <c r="EP45" s="334">
        <f>IF(CB45/SUM(CB:CB)*'I-Project Contingency'!$F$72=0,0,CB45/SUM(CB:CB)*'I-Project Contingency'!$F$72)</f>
        <v>0</v>
      </c>
      <c r="EQ45" s="334">
        <f>IF(CC45/SUM(CC:CC)*'I-Project Contingency'!$F$73=0,0,CC45/SUM(CC:CC)*'I-Project Contingency'!$F$73)</f>
        <v>0</v>
      </c>
      <c r="ER45" s="334">
        <f>IF(CD45/SUM(CD:CD)*'I-Project Contingency'!$F$74=0,0,CD45/SUM(CD:CD)*'I-Project Contingency'!$F$74)</f>
        <v>0</v>
      </c>
      <c r="ES45" s="334">
        <f>IF(CE45/SUM(CE:CE)*'I-Project Contingency'!$F$75=0,0,CE45/SUM(CE:CE)*'I-Project Contingency'!$F$75)</f>
        <v>0</v>
      </c>
      <c r="ET45" s="334">
        <f>IF(CF45/SUM(CF:CF)*'I-Project Contingency'!$F$76=0,0,CF45/SUM(CF:CF)*'I-Project Contingency'!$F$76)</f>
        <v>0</v>
      </c>
      <c r="EU45" s="334">
        <f>IF(CG45/SUM(CG:CG)*'I-Project Contingency'!$F$77=0,0,CG45/SUM(CG:CG)*'I-Project Contingency'!$F$77)</f>
        <v>0</v>
      </c>
      <c r="EV45" s="787">
        <f>IF(CH45/SUM(CH:CH)*'I-Project Contingency'!$F$78=0,0,CH45/SUM(CH:CH)*'I-Project Contingency'!$F$78)</f>
        <v>0</v>
      </c>
      <c r="EW45" s="787">
        <f>IF(CI45/SUM(CI:CI)*'I-Project Contingency'!$F$79=0,0,CI45/SUM(CI:CI)*'I-Project Contingency'!$F$79)</f>
        <v>0</v>
      </c>
      <c r="EX45" s="787">
        <f>IF(CJ45/SUM(CJ:CJ)*'I-Project Contingency'!$F$80=0,0,CJ45/SUM(CJ:CJ)*'I-Project Contingency'!$F$80)</f>
        <v>0</v>
      </c>
      <c r="EY45" s="787">
        <f>IF(CK45/SUM(CK:CK)*'I-Project Contingency'!$F$81=0,0,CK45/SUM(CK:CK)*'I-Project Contingency'!$F$81)</f>
        <v>0</v>
      </c>
      <c r="EZ45" s="333">
        <f>IF(FB45="N/A","N/A",ABS(INDEX(FB45:FV45,1,MATCH("ROM Schedule Risk @ "&amp;'D-Project Data'!$C$6*100&amp;"%",$FB$17:$FV$17,0))))</f>
        <v>0</v>
      </c>
      <c r="FA45" s="335">
        <f>IF(EZ45="N/A","N/A",RANK(EZ45,$EZ$18:$EZ$117,0)+COUNTIF($FB$18:FB45,FB45)-1)</f>
        <v>28</v>
      </c>
      <c r="FB45" s="788">
        <f>IF(DH45/SUM(DH:DH)*'I-Project Contingency'!$F$86=0,0,DH45/SUM(DH:DH)*'I-Project Contingency'!$F$86)</f>
        <v>0</v>
      </c>
      <c r="FC45" s="788">
        <f>IF(DI45/SUM(DI:DI)*'I-Project Contingency'!$F$87=0,0,DI45/SUM(DI:DI)*'I-Project Contingency'!$F$87)</f>
        <v>0</v>
      </c>
      <c r="FD45" s="788">
        <f>IF(DJ45/SUM(DJ:DJ)*'I-Project Contingency'!$F$88=0,0,DJ45/SUM(DJ:DJ)*'I-Project Contingency'!$F$88)</f>
        <v>0</v>
      </c>
      <c r="FE45" s="788">
        <f>IF(DK45/SUM(DK:DK)*'I-Project Contingency'!$F$89=0,0,DK45/SUM(DK:DK)*'I-Project Contingency'!$F$89)</f>
        <v>0</v>
      </c>
      <c r="FF45" s="788">
        <f>IF(DL45/SUM(DL:DL)*'I-Project Contingency'!$F$90=0,0,DL45/SUM(DL:DL)*'I-Project Contingency'!$F$90)</f>
        <v>0</v>
      </c>
      <c r="FG45" s="788">
        <f>IF(DM45/SUM(DM:DM)*'I-Project Contingency'!$F$91=0,0,DM45/SUM(DM:DM)*'I-Project Contingency'!$F$91)</f>
        <v>0</v>
      </c>
      <c r="FH45" s="788">
        <f>IF(DN45/SUM(DN:DN)*'I-Project Contingency'!$F$92=0,0,DN45/SUM(DN:DN)*'I-Project Contingency'!$F$92)</f>
        <v>0</v>
      </c>
      <c r="FI45" s="788">
        <f>IF(DO45/SUM(DO:DO)*'I-Project Contingency'!$F$93=0,0,DO45/SUM(DO:DO)*'I-Project Contingency'!$F$93)</f>
        <v>0</v>
      </c>
      <c r="FJ45" s="788">
        <f>IF(DP45/SUM(DP:DP)*'I-Project Contingency'!$F$94=0,0,DP45/SUM(DP:DP)*'I-Project Contingency'!$F$94)</f>
        <v>0</v>
      </c>
      <c r="FK45" s="788">
        <f>IF(DQ45/SUM(DQ:DQ)*'I-Project Contingency'!$F$95=0,0,DQ45/SUM(DQ:DQ)*'I-Project Contingency'!$F$95)</f>
        <v>0</v>
      </c>
      <c r="FL45" s="788">
        <f>IF(DR45/SUM(DR:DR)*'I-Project Contingency'!$F$96=0,0,DR45/SUM(DR:DR)*'I-Project Contingency'!$F$96)</f>
        <v>0</v>
      </c>
      <c r="FM45" s="788">
        <f>IF(DS45/SUM(DS:DS)*'I-Project Contingency'!$F$97=0,0,DS45/SUM(DS:DS)*'I-Project Contingency'!$F$97)</f>
        <v>0</v>
      </c>
      <c r="FN45" s="788">
        <f>IF(DT45/SUM(DT:DT)*'I-Project Contingency'!$F$98=0,0,DT45/SUM(DT:DT)*'I-Project Contingency'!$F$98)</f>
        <v>0</v>
      </c>
      <c r="FO45" s="788">
        <f>IF(DU45/SUM(DU:DU)*'I-Project Contingency'!$F$99=0,0,DU45/SUM(DU:DU)*'I-Project Contingency'!$F$99)</f>
        <v>0</v>
      </c>
      <c r="FP45" s="788">
        <f>IF(DV45/SUM(DV:DV)*'I-Project Contingency'!$F$100=0,0,DV45/SUM(DV:DV)*'I-Project Contingency'!$F$100)</f>
        <v>0</v>
      </c>
      <c r="FQ45" s="788">
        <f>IF(DW45/SUM(DW:DW)*'I-Project Contingency'!$F$101=0,0,DW45/SUM(DW:DW)*'I-Project Contingency'!$F$101)</f>
        <v>0</v>
      </c>
      <c r="FR45" s="788">
        <f>IF(DX45/SUM(DX:DX)*'I-Project Contingency'!$F$102=0,0,DX45/SUM(DX:DX)*'I-Project Contingency'!$F$102)</f>
        <v>0</v>
      </c>
      <c r="FS45" s="788">
        <f>IF(DY45/SUM(DY:DY)*'I-Project Contingency'!$F$103=0,0,DY45/SUM(DY:DY)*'I-Project Contingency'!$F$103)</f>
        <v>0</v>
      </c>
      <c r="FT45" s="788">
        <f>IF(DZ45/SUM(DZ:DZ)*'I-Project Contingency'!$F$104=0,0,DZ45/SUM(DZ:DZ)*'I-Project Contingency'!$F$104)</f>
        <v>0</v>
      </c>
      <c r="FU45" s="788">
        <f>IF(EA45/SUM(EA:EA)*'I-Project Contingency'!$F$105=0,0,EA45/SUM(EA:EA)*'I-Project Contingency'!$F$105)</f>
        <v>0</v>
      </c>
      <c r="FV45" s="788">
        <f>IF(EB45/SUM(EB:EB)*'I-Project Contingency'!$F$106=0,0,EB45/SUM(EB:EB)*'I-Project Contingency'!$F$106)</f>
        <v>0</v>
      </c>
      <c r="FW45" s="335">
        <f t="shared" si="13"/>
        <v>28</v>
      </c>
      <c r="FX45" s="336" t="str">
        <f t="shared" si="14"/>
        <v xml:space="preserve">28 - </v>
      </c>
      <c r="FY45" s="330">
        <f t="shared" si="15"/>
        <v>0</v>
      </c>
      <c r="FZ45" s="330">
        <f t="shared" si="16"/>
        <v>0</v>
      </c>
      <c r="GA45" s="332">
        <f t="shared" si="17"/>
        <v>0</v>
      </c>
      <c r="GB45" s="332">
        <f t="shared" si="18"/>
        <v>0</v>
      </c>
    </row>
    <row r="46" spans="1:184" ht="30" x14ac:dyDescent="0.25">
      <c r="A46" s="163">
        <f t="shared" si="23"/>
        <v>29</v>
      </c>
      <c r="B46" s="727" t="s">
        <v>728</v>
      </c>
      <c r="C46" s="729"/>
      <c r="D46" s="729"/>
      <c r="E46" s="729"/>
      <c r="F46" s="728" t="s">
        <v>728</v>
      </c>
      <c r="G46" s="728" t="s">
        <v>728</v>
      </c>
      <c r="H46" s="157" t="str">
        <f>IFERROR(IF('H-Risk Register-Model'!F46="Certain","Relook at Basis of Estimate",INDEX('G-Assumptions'!$F$8:$J$11,MATCH(F46,'G-Assumptions'!$D$8:$D$11,0),MATCH(G46,'G-Assumptions'!$F$6:$J$6,0))),"Unrated")</f>
        <v>Unrated</v>
      </c>
      <c r="I46" s="728" t="s">
        <v>728</v>
      </c>
      <c r="J46" s="157" t="str">
        <f>IFERROR(IF('H-Risk Register-Model'!F46="Certain","Relook at Basis of Estimate",INDEX('G-Assumptions'!$F$8:$J$11,MATCH(F46,'G-Assumptions'!$D$8:$D$11,0),MATCH(I46,'G-Assumptions'!$F$6:$J$6,0))),"Unrated")</f>
        <v>Unrated</v>
      </c>
      <c r="K46" s="728" t="s">
        <v>728</v>
      </c>
      <c r="L46" s="728" t="s">
        <v>728</v>
      </c>
      <c r="M46" s="728"/>
      <c r="N46" s="731" t="s">
        <v>728</v>
      </c>
      <c r="O46" s="731" t="s">
        <v>728</v>
      </c>
      <c r="P46" s="732"/>
      <c r="Q46" s="732"/>
      <c r="R46" s="732"/>
      <c r="S46" s="733"/>
      <c r="T46" s="733"/>
      <c r="U46" s="733"/>
      <c r="V46" s="734"/>
      <c r="W46" s="732"/>
      <c r="X46" s="732"/>
      <c r="Y46" s="735">
        <v>1</v>
      </c>
      <c r="Z46" s="736">
        <v>1</v>
      </c>
      <c r="AA46" s="166">
        <f t="shared" si="19"/>
        <v>0</v>
      </c>
      <c r="AB46" s="166">
        <f t="shared" si="20"/>
        <v>0</v>
      </c>
      <c r="AC46" s="166">
        <f t="shared" si="21"/>
        <v>0</v>
      </c>
      <c r="AD46" s="166"/>
      <c r="AE46" s="164">
        <f t="shared" si="22"/>
        <v>0</v>
      </c>
      <c r="AF46" s="167"/>
      <c r="AG46" s="165">
        <f t="shared" si="5"/>
        <v>0</v>
      </c>
      <c r="AH46" s="729"/>
      <c r="AI46" s="729"/>
      <c r="AJ46" s="8"/>
      <c r="AK46" s="495" t="str">
        <f t="shared" si="6"/>
        <v>No</v>
      </c>
      <c r="AL46" s="496">
        <f>'I-Project Contingency'!$I$4</f>
        <v>9000000</v>
      </c>
      <c r="AM46" s="326">
        <f>'I-Project Contingency'!$I$11</f>
        <v>23.978102189781023</v>
      </c>
      <c r="AN46" s="325">
        <f t="shared" si="7"/>
        <v>0</v>
      </c>
      <c r="AO46" s="326">
        <f t="shared" si="8"/>
        <v>0</v>
      </c>
      <c r="AP46" s="641" t="str">
        <f t="shared" si="9"/>
        <v/>
      </c>
      <c r="AQ46" s="641" t="str">
        <f t="shared" si="10"/>
        <v/>
      </c>
      <c r="AR46" s="497" t="str">
        <f t="shared" si="11"/>
        <v/>
      </c>
      <c r="AS46" s="497" t="str">
        <f t="shared" si="12"/>
        <v/>
      </c>
      <c r="AT46" s="8"/>
      <c r="AU46" s="329">
        <f>'I-Project Contingency'!$O$4-AE46</f>
        <v>0</v>
      </c>
      <c r="AV46" s="330">
        <v>-240515.59579276721</v>
      </c>
      <c r="AW46" s="330">
        <v>28172.931401335634</v>
      </c>
      <c r="AX46" s="330">
        <v>193478.84467429668</v>
      </c>
      <c r="AY46" s="330">
        <v>361668.20104834624</v>
      </c>
      <c r="AZ46" s="330">
        <v>524446.91524262261</v>
      </c>
      <c r="BA46" s="330">
        <v>704023.56387635041</v>
      </c>
      <c r="BB46" s="330">
        <v>886394.06956240814</v>
      </c>
      <c r="BC46" s="330">
        <v>1079363.7165157665</v>
      </c>
      <c r="BD46" s="330">
        <v>1280180.1532065615</v>
      </c>
      <c r="BE46" s="330">
        <v>1485323.8019108465</v>
      </c>
      <c r="BF46" s="330">
        <v>1703758.8827524669</v>
      </c>
      <c r="BG46" s="330">
        <v>1949523.4346483489</v>
      </c>
      <c r="BH46" s="330">
        <v>2177897.1603371189</v>
      </c>
      <c r="BI46" s="330">
        <v>2429374.4260425912</v>
      </c>
      <c r="BJ46" s="330">
        <v>2717092.7449284913</v>
      </c>
      <c r="BK46" s="330">
        <v>3010093.6968918457</v>
      </c>
      <c r="BL46" s="330">
        <v>3325414.5894657462</v>
      </c>
      <c r="BM46" s="330">
        <v>3690425.9159493577</v>
      </c>
      <c r="BN46" s="330">
        <v>4143935.1706127762</v>
      </c>
      <c r="BO46" s="330">
        <v>4722651.1159141911</v>
      </c>
      <c r="BP46" s="330">
        <v>5992048.8629153483</v>
      </c>
      <c r="BQ46" s="330">
        <f>'I-Project Contingency'!$E$61-AV46</f>
        <v>0</v>
      </c>
      <c r="BR46" s="330">
        <f>'I-Project Contingency'!$E$62-AW46</f>
        <v>0</v>
      </c>
      <c r="BS46" s="330">
        <f>'I-Project Contingency'!$E$63-AX46</f>
        <v>0</v>
      </c>
      <c r="BT46" s="330">
        <f>'I-Project Contingency'!$E$64-AY46</f>
        <v>0</v>
      </c>
      <c r="BU46" s="330">
        <f>'I-Project Contingency'!$E$65-AZ46</f>
        <v>0</v>
      </c>
      <c r="BV46" s="330">
        <f>'I-Project Contingency'!$E$66-BA46</f>
        <v>0</v>
      </c>
      <c r="BW46" s="330">
        <f>'I-Project Contingency'!$E$67-BB46</f>
        <v>0</v>
      </c>
      <c r="BX46" s="330">
        <f>'I-Project Contingency'!$E$68-BC46</f>
        <v>0</v>
      </c>
      <c r="BY46" s="330">
        <f>'I-Project Contingency'!$E$69-BD46</f>
        <v>0</v>
      </c>
      <c r="BZ46" s="330">
        <f>'I-Project Contingency'!$E$70-BE46</f>
        <v>0</v>
      </c>
      <c r="CA46" s="330">
        <f>'I-Project Contingency'!$E$71-BF46</f>
        <v>0</v>
      </c>
      <c r="CB46" s="330">
        <f>'I-Project Contingency'!$E$72-BG46</f>
        <v>0</v>
      </c>
      <c r="CC46" s="330">
        <f>'I-Project Contingency'!$E$73-BH46</f>
        <v>0</v>
      </c>
      <c r="CD46" s="330">
        <f>'I-Project Contingency'!$E$74-BI46</f>
        <v>0</v>
      </c>
      <c r="CE46" s="330">
        <f>'I-Project Contingency'!$E$75-BJ46</f>
        <v>0</v>
      </c>
      <c r="CF46" s="330">
        <f>'I-Project Contingency'!$E$76-BK46</f>
        <v>0</v>
      </c>
      <c r="CG46" s="330">
        <f>'I-Project Contingency'!$E$77-BL46</f>
        <v>0</v>
      </c>
      <c r="CH46" s="784">
        <f>'I-Project Contingency'!$E$78-BM46</f>
        <v>0</v>
      </c>
      <c r="CI46" s="330">
        <f>'I-Project Contingency'!$E$79-BN46</f>
        <v>0</v>
      </c>
      <c r="CJ46" s="330">
        <f>'I-Project Contingency'!$E$80-BO46</f>
        <v>0</v>
      </c>
      <c r="CK46" s="330">
        <f>'I-Project Contingency'!$E$81-BP46</f>
        <v>0</v>
      </c>
      <c r="CL46" s="331">
        <f>'I-Project Contingency'!$O$5-AG46</f>
        <v>0</v>
      </c>
      <c r="CM46" s="332">
        <v>-0.98711802853447173</v>
      </c>
      <c r="CN46" s="332">
        <v>-0.19547704728364468</v>
      </c>
      <c r="CO46" s="332">
        <v>0.126462150308498</v>
      </c>
      <c r="CP46" s="332">
        <v>0.45967989154545902</v>
      </c>
      <c r="CQ46" s="332">
        <v>0.78297319902744</v>
      </c>
      <c r="CR46" s="332">
        <v>1.0957191966482109</v>
      </c>
      <c r="CS46" s="332">
        <v>1.4418405003536849</v>
      </c>
      <c r="CT46" s="332">
        <v>1.801002404194165</v>
      </c>
      <c r="CU46" s="332">
        <v>2.1797608166947349</v>
      </c>
      <c r="CV46" s="332">
        <v>2.5671680610072478</v>
      </c>
      <c r="CW46" s="332">
        <v>2.9690760644797152</v>
      </c>
      <c r="CX46" s="332">
        <v>3.3964145469774811</v>
      </c>
      <c r="CY46" s="332">
        <v>3.864536087769562</v>
      </c>
      <c r="CZ46" s="332">
        <v>4.3569836138896116</v>
      </c>
      <c r="DA46" s="332">
        <v>4.8862357851222598</v>
      </c>
      <c r="DB46" s="332">
        <v>5.438836997347547</v>
      </c>
      <c r="DC46" s="332">
        <v>6.047993455908566</v>
      </c>
      <c r="DD46" s="785">
        <v>6.720204953601761</v>
      </c>
      <c r="DE46" s="333">
        <v>7.55131678090412</v>
      </c>
      <c r="DF46" s="332">
        <v>8.661446370835737</v>
      </c>
      <c r="DG46" s="332">
        <v>11.206316207857133</v>
      </c>
      <c r="DH46" s="332">
        <f>'I-Project Contingency'!$E$86-CM46</f>
        <v>0</v>
      </c>
      <c r="DI46" s="332">
        <f>'I-Project Contingency'!$E$87-CN46</f>
        <v>0</v>
      </c>
      <c r="DJ46" s="332">
        <f>'I-Project Contingency'!$E$88-CO46</f>
        <v>0</v>
      </c>
      <c r="DK46" s="332">
        <f>'I-Project Contingency'!$E$89-CP46</f>
        <v>0</v>
      </c>
      <c r="DL46" s="332">
        <f>'I-Project Contingency'!$E$90-CQ46</f>
        <v>0</v>
      </c>
      <c r="DM46" s="332">
        <f>'I-Project Contingency'!$E$91-CR46</f>
        <v>0</v>
      </c>
      <c r="DN46" s="332">
        <f>'I-Project Contingency'!$E$92-CS46</f>
        <v>0</v>
      </c>
      <c r="DO46" s="332">
        <f>'I-Project Contingency'!$E$93-CT46</f>
        <v>0</v>
      </c>
      <c r="DP46" s="332">
        <f>'I-Project Contingency'!$E$94-CU46</f>
        <v>0</v>
      </c>
      <c r="DQ46" s="332">
        <f>'I-Project Contingency'!$E$95-CV46</f>
        <v>0</v>
      </c>
      <c r="DR46" s="332">
        <f>'I-Project Contingency'!$E$96-CW46</f>
        <v>0</v>
      </c>
      <c r="DS46" s="332">
        <f>'I-Project Contingency'!$E$97-CX46</f>
        <v>0</v>
      </c>
      <c r="DT46" s="332">
        <f>'I-Project Contingency'!$E$98-CY46</f>
        <v>0</v>
      </c>
      <c r="DU46" s="332">
        <f>'I-Project Contingency'!$E$99-CZ46</f>
        <v>0</v>
      </c>
      <c r="DV46" s="332">
        <f>'I-Project Contingency'!$E$100-DA46</f>
        <v>0</v>
      </c>
      <c r="DW46" s="332">
        <f>'I-Project Contingency'!$E$101-DB46</f>
        <v>0</v>
      </c>
      <c r="DX46" s="332">
        <f>'I-Project Contingency'!$E$102-DC46</f>
        <v>0</v>
      </c>
      <c r="DY46" s="332">
        <f>'I-Project Contingency'!$E$103-DD46</f>
        <v>0</v>
      </c>
      <c r="DZ46" s="332">
        <f>'I-Project Contingency'!$E$104-DE46</f>
        <v>0</v>
      </c>
      <c r="EA46" s="332">
        <f>'I-Project Contingency'!$E$105-DF46</f>
        <v>0</v>
      </c>
      <c r="EB46" s="332">
        <f>'I-Project Contingency'!$E$106-DG46</f>
        <v>0</v>
      </c>
      <c r="EC46" s="334">
        <f>IF(EE46="N/A","N/A",ABS(INDEX(EE46:EY46,1,MATCH("ROM Cost Risk @ "&amp;'D-Project Data'!$C$6*100&amp;"%",$EE$17:$EY$17,0))))</f>
        <v>0</v>
      </c>
      <c r="ED46" s="335">
        <f>IF(EC46="N/A","N/A",RANK(EC46,$EC$18:$EC$117,0)+COUNTIF($EC$18:EC46,EC46)-1)</f>
        <v>29</v>
      </c>
      <c r="EE46" s="334">
        <f>IF(BQ46/SUM(BQ:BQ)*'I-Project Contingency'!$F$61=0,0,BQ46/SUM(BQ:BQ)*'I-Project Contingency'!$F$61)</f>
        <v>0</v>
      </c>
      <c r="EF46" s="334">
        <f>IF(BR46/SUM(BR:BR)*'I-Project Contingency'!$F$62=0,0,BR46/SUM(BR:BR)*'I-Project Contingency'!$F$62)</f>
        <v>0</v>
      </c>
      <c r="EG46" s="334">
        <f>IF(BS46/SUM(BS:BS)*'I-Project Contingency'!$F$63=0,0,BS46/SUM(BS:BS)*'I-Project Contingency'!$F$63)</f>
        <v>0</v>
      </c>
      <c r="EH46" s="334">
        <f>IF(BT46/SUM(BT:BT)*'I-Project Contingency'!$F$64=0,0,BT46/SUM(BT:BT)*'I-Project Contingency'!$F$64)</f>
        <v>0</v>
      </c>
      <c r="EI46" s="334">
        <f>IF(BU46/SUM(BU:BU)*'I-Project Contingency'!$F$65=0,0,BU46/SUM(BU:BU)*'I-Project Contingency'!$F$65)</f>
        <v>0</v>
      </c>
      <c r="EJ46" s="334">
        <f>IF(BV46/SUM(BV:BV)*'I-Project Contingency'!$F$66=0,0,BV46/SUM(BV:BV)*'I-Project Contingency'!$F$66)</f>
        <v>0</v>
      </c>
      <c r="EK46" s="334">
        <f>IF(BW46/SUM(BW:BW)*'I-Project Contingency'!$F$67=0,0,BW46/SUM(BW:BW)*'I-Project Contingency'!$F$67)</f>
        <v>0</v>
      </c>
      <c r="EL46" s="334">
        <f>IF(BX46/SUM(BX:BX)*'I-Project Contingency'!$F$68=0,0,BX46/SUM(BX:BX)*'I-Project Contingency'!$F$68)</f>
        <v>0</v>
      </c>
      <c r="EM46" s="334">
        <f>IF(BY46/SUM(BY:BY)*'I-Project Contingency'!$F$69=0,0,BY46/SUM(BY:BY)*'I-Project Contingency'!$F$69)</f>
        <v>0</v>
      </c>
      <c r="EN46" s="334">
        <f>IF(BZ46/SUM(BZ:BZ)*'I-Project Contingency'!$F$70=0,0,BZ46/SUM(BZ:BZ)*'I-Project Contingency'!$F$70)</f>
        <v>0</v>
      </c>
      <c r="EO46" s="334">
        <f>IF(CA46/SUM(CA:CA)*'I-Project Contingency'!$F$71=0,0,CA46/SUM(CA:CA)*'I-Project Contingency'!$F$71)</f>
        <v>0</v>
      </c>
      <c r="EP46" s="334">
        <f>IF(CB46/SUM(CB:CB)*'I-Project Contingency'!$F$72=0,0,CB46/SUM(CB:CB)*'I-Project Contingency'!$F$72)</f>
        <v>0</v>
      </c>
      <c r="EQ46" s="334">
        <f>IF(CC46/SUM(CC:CC)*'I-Project Contingency'!$F$73=0,0,CC46/SUM(CC:CC)*'I-Project Contingency'!$F$73)</f>
        <v>0</v>
      </c>
      <c r="ER46" s="334">
        <f>IF(CD46/SUM(CD:CD)*'I-Project Contingency'!$F$74=0,0,CD46/SUM(CD:CD)*'I-Project Contingency'!$F$74)</f>
        <v>0</v>
      </c>
      <c r="ES46" s="334">
        <f>IF(CE46/SUM(CE:CE)*'I-Project Contingency'!$F$75=0,0,CE46/SUM(CE:CE)*'I-Project Contingency'!$F$75)</f>
        <v>0</v>
      </c>
      <c r="ET46" s="334">
        <f>IF(CF46/SUM(CF:CF)*'I-Project Contingency'!$F$76=0,0,CF46/SUM(CF:CF)*'I-Project Contingency'!$F$76)</f>
        <v>0</v>
      </c>
      <c r="EU46" s="334">
        <f>IF(CG46/SUM(CG:CG)*'I-Project Contingency'!$F$77=0,0,CG46/SUM(CG:CG)*'I-Project Contingency'!$F$77)</f>
        <v>0</v>
      </c>
      <c r="EV46" s="787">
        <f>IF(CH46/SUM(CH:CH)*'I-Project Contingency'!$F$78=0,0,CH46/SUM(CH:CH)*'I-Project Contingency'!$F$78)</f>
        <v>0</v>
      </c>
      <c r="EW46" s="787">
        <f>IF(CI46/SUM(CI:CI)*'I-Project Contingency'!$F$79=0,0,CI46/SUM(CI:CI)*'I-Project Contingency'!$F$79)</f>
        <v>0</v>
      </c>
      <c r="EX46" s="787">
        <f>IF(CJ46/SUM(CJ:CJ)*'I-Project Contingency'!$F$80=0,0,CJ46/SUM(CJ:CJ)*'I-Project Contingency'!$F$80)</f>
        <v>0</v>
      </c>
      <c r="EY46" s="787">
        <f>IF(CK46/SUM(CK:CK)*'I-Project Contingency'!$F$81=0,0,CK46/SUM(CK:CK)*'I-Project Contingency'!$F$81)</f>
        <v>0</v>
      </c>
      <c r="EZ46" s="333">
        <f>IF(FB46="N/A","N/A",ABS(INDEX(FB46:FV46,1,MATCH("ROM Schedule Risk @ "&amp;'D-Project Data'!$C$6*100&amp;"%",$FB$17:$FV$17,0))))</f>
        <v>0</v>
      </c>
      <c r="FA46" s="335">
        <f>IF(EZ46="N/A","N/A",RANK(EZ46,$EZ$18:$EZ$117,0)+COUNTIF($FB$18:FB46,FB46)-1)</f>
        <v>29</v>
      </c>
      <c r="FB46" s="788">
        <f>IF(DH46/SUM(DH:DH)*'I-Project Contingency'!$F$86=0,0,DH46/SUM(DH:DH)*'I-Project Contingency'!$F$86)</f>
        <v>0</v>
      </c>
      <c r="FC46" s="788">
        <f>IF(DI46/SUM(DI:DI)*'I-Project Contingency'!$F$87=0,0,DI46/SUM(DI:DI)*'I-Project Contingency'!$F$87)</f>
        <v>0</v>
      </c>
      <c r="FD46" s="788">
        <f>IF(DJ46/SUM(DJ:DJ)*'I-Project Contingency'!$F$88=0,0,DJ46/SUM(DJ:DJ)*'I-Project Contingency'!$F$88)</f>
        <v>0</v>
      </c>
      <c r="FE46" s="788">
        <f>IF(DK46/SUM(DK:DK)*'I-Project Contingency'!$F$89=0,0,DK46/SUM(DK:DK)*'I-Project Contingency'!$F$89)</f>
        <v>0</v>
      </c>
      <c r="FF46" s="788">
        <f>IF(DL46/SUM(DL:DL)*'I-Project Contingency'!$F$90=0,0,DL46/SUM(DL:DL)*'I-Project Contingency'!$F$90)</f>
        <v>0</v>
      </c>
      <c r="FG46" s="788">
        <f>IF(DM46/SUM(DM:DM)*'I-Project Contingency'!$F$91=0,0,DM46/SUM(DM:DM)*'I-Project Contingency'!$F$91)</f>
        <v>0</v>
      </c>
      <c r="FH46" s="788">
        <f>IF(DN46/SUM(DN:DN)*'I-Project Contingency'!$F$92=0,0,DN46/SUM(DN:DN)*'I-Project Contingency'!$F$92)</f>
        <v>0</v>
      </c>
      <c r="FI46" s="788">
        <f>IF(DO46/SUM(DO:DO)*'I-Project Contingency'!$F$93=0,0,DO46/SUM(DO:DO)*'I-Project Contingency'!$F$93)</f>
        <v>0</v>
      </c>
      <c r="FJ46" s="788">
        <f>IF(DP46/SUM(DP:DP)*'I-Project Contingency'!$F$94=0,0,DP46/SUM(DP:DP)*'I-Project Contingency'!$F$94)</f>
        <v>0</v>
      </c>
      <c r="FK46" s="788">
        <f>IF(DQ46/SUM(DQ:DQ)*'I-Project Contingency'!$F$95=0,0,DQ46/SUM(DQ:DQ)*'I-Project Contingency'!$F$95)</f>
        <v>0</v>
      </c>
      <c r="FL46" s="788">
        <f>IF(DR46/SUM(DR:DR)*'I-Project Contingency'!$F$96=0,0,DR46/SUM(DR:DR)*'I-Project Contingency'!$F$96)</f>
        <v>0</v>
      </c>
      <c r="FM46" s="788">
        <f>IF(DS46/SUM(DS:DS)*'I-Project Contingency'!$F$97=0,0,DS46/SUM(DS:DS)*'I-Project Contingency'!$F$97)</f>
        <v>0</v>
      </c>
      <c r="FN46" s="788">
        <f>IF(DT46/SUM(DT:DT)*'I-Project Contingency'!$F$98=0,0,DT46/SUM(DT:DT)*'I-Project Contingency'!$F$98)</f>
        <v>0</v>
      </c>
      <c r="FO46" s="788">
        <f>IF(DU46/SUM(DU:DU)*'I-Project Contingency'!$F$99=0,0,DU46/SUM(DU:DU)*'I-Project Contingency'!$F$99)</f>
        <v>0</v>
      </c>
      <c r="FP46" s="788">
        <f>IF(DV46/SUM(DV:DV)*'I-Project Contingency'!$F$100=0,0,DV46/SUM(DV:DV)*'I-Project Contingency'!$F$100)</f>
        <v>0</v>
      </c>
      <c r="FQ46" s="788">
        <f>IF(DW46/SUM(DW:DW)*'I-Project Contingency'!$F$101=0,0,DW46/SUM(DW:DW)*'I-Project Contingency'!$F$101)</f>
        <v>0</v>
      </c>
      <c r="FR46" s="788">
        <f>IF(DX46/SUM(DX:DX)*'I-Project Contingency'!$F$102=0,0,DX46/SUM(DX:DX)*'I-Project Contingency'!$F$102)</f>
        <v>0</v>
      </c>
      <c r="FS46" s="788">
        <f>IF(DY46/SUM(DY:DY)*'I-Project Contingency'!$F$103=0,0,DY46/SUM(DY:DY)*'I-Project Contingency'!$F$103)</f>
        <v>0</v>
      </c>
      <c r="FT46" s="788">
        <f>IF(DZ46/SUM(DZ:DZ)*'I-Project Contingency'!$F$104=0,0,DZ46/SUM(DZ:DZ)*'I-Project Contingency'!$F$104)</f>
        <v>0</v>
      </c>
      <c r="FU46" s="788">
        <f>IF(EA46/SUM(EA:EA)*'I-Project Contingency'!$F$105=0,0,EA46/SUM(EA:EA)*'I-Project Contingency'!$F$105)</f>
        <v>0</v>
      </c>
      <c r="FV46" s="788">
        <f>IF(EB46/SUM(EB:EB)*'I-Project Contingency'!$F$106=0,0,EB46/SUM(EB:EB)*'I-Project Contingency'!$F$106)</f>
        <v>0</v>
      </c>
      <c r="FW46" s="335">
        <f t="shared" si="13"/>
        <v>29</v>
      </c>
      <c r="FX46" s="336" t="str">
        <f t="shared" si="14"/>
        <v xml:space="preserve">29 - </v>
      </c>
      <c r="FY46" s="330">
        <f t="shared" si="15"/>
        <v>0</v>
      </c>
      <c r="FZ46" s="330">
        <f t="shared" si="16"/>
        <v>0</v>
      </c>
      <c r="GA46" s="332">
        <f t="shared" si="17"/>
        <v>0</v>
      </c>
      <c r="GB46" s="332">
        <f t="shared" si="18"/>
        <v>0</v>
      </c>
    </row>
    <row r="47" spans="1:184" ht="30" x14ac:dyDescent="0.25">
      <c r="A47" s="163">
        <f t="shared" si="23"/>
        <v>30</v>
      </c>
      <c r="B47" s="727" t="s">
        <v>728</v>
      </c>
      <c r="C47" s="729"/>
      <c r="D47" s="729"/>
      <c r="E47" s="729"/>
      <c r="F47" s="728" t="s">
        <v>728</v>
      </c>
      <c r="G47" s="728" t="s">
        <v>728</v>
      </c>
      <c r="H47" s="157" t="str">
        <f>IFERROR(IF('H-Risk Register-Model'!F47="Certain","Relook at Basis of Estimate",INDEX('G-Assumptions'!$F$8:$J$11,MATCH(F47,'G-Assumptions'!$D$8:$D$11,0),MATCH(G47,'G-Assumptions'!$F$6:$J$6,0))),"Unrated")</f>
        <v>Unrated</v>
      </c>
      <c r="I47" s="728" t="s">
        <v>728</v>
      </c>
      <c r="J47" s="157" t="str">
        <f>IFERROR(IF('H-Risk Register-Model'!F47="Certain","Relook at Basis of Estimate",INDEX('G-Assumptions'!$F$8:$J$11,MATCH(F47,'G-Assumptions'!$D$8:$D$11,0),MATCH(I47,'G-Assumptions'!$F$6:$J$6,0))),"Unrated")</f>
        <v>Unrated</v>
      </c>
      <c r="K47" s="728" t="s">
        <v>728</v>
      </c>
      <c r="L47" s="728" t="s">
        <v>728</v>
      </c>
      <c r="M47" s="728"/>
      <c r="N47" s="731" t="s">
        <v>728</v>
      </c>
      <c r="O47" s="731" t="s">
        <v>728</v>
      </c>
      <c r="P47" s="732"/>
      <c r="Q47" s="732"/>
      <c r="R47" s="732"/>
      <c r="S47" s="733"/>
      <c r="T47" s="733"/>
      <c r="U47" s="733"/>
      <c r="V47" s="734"/>
      <c r="W47" s="732"/>
      <c r="X47" s="732"/>
      <c r="Y47" s="735">
        <v>1</v>
      </c>
      <c r="Z47" s="736">
        <v>1</v>
      </c>
      <c r="AA47" s="166">
        <f t="shared" si="19"/>
        <v>0</v>
      </c>
      <c r="AB47" s="166">
        <f t="shared" si="20"/>
        <v>0</v>
      </c>
      <c r="AC47" s="166">
        <f t="shared" si="21"/>
        <v>0</v>
      </c>
      <c r="AD47" s="166"/>
      <c r="AE47" s="164">
        <f t="shared" ref="AE47:AE62" si="24">AD47*Z47</f>
        <v>0</v>
      </c>
      <c r="AF47" s="167"/>
      <c r="AG47" s="165">
        <f t="shared" ref="AG47:AG62" si="25">AF47*Z47</f>
        <v>0</v>
      </c>
      <c r="AH47" s="729"/>
      <c r="AI47" s="729"/>
      <c r="AJ47" s="8"/>
      <c r="AK47" s="495" t="str">
        <f t="shared" si="6"/>
        <v>No</v>
      </c>
      <c r="AL47" s="496">
        <f>'I-Project Contingency'!$I$4</f>
        <v>9000000</v>
      </c>
      <c r="AM47" s="326">
        <f>'I-Project Contingency'!$I$11</f>
        <v>23.978102189781023</v>
      </c>
      <c r="AN47" s="325">
        <f t="shared" si="7"/>
        <v>0</v>
      </c>
      <c r="AO47" s="326">
        <f t="shared" si="8"/>
        <v>0</v>
      </c>
      <c r="AP47" s="641" t="str">
        <f t="shared" si="9"/>
        <v/>
      </c>
      <c r="AQ47" s="641" t="str">
        <f t="shared" si="10"/>
        <v/>
      </c>
      <c r="AR47" s="497" t="str">
        <f t="shared" si="11"/>
        <v/>
      </c>
      <c r="AS47" s="497" t="str">
        <f t="shared" si="12"/>
        <v/>
      </c>
      <c r="AT47" s="8"/>
      <c r="AU47" s="329">
        <f>'I-Project Contingency'!$O$4-AE47</f>
        <v>0</v>
      </c>
      <c r="AV47" s="330">
        <v>-240515.59579276721</v>
      </c>
      <c r="AW47" s="330">
        <v>28172.931401335634</v>
      </c>
      <c r="AX47" s="330">
        <v>193478.84467429668</v>
      </c>
      <c r="AY47" s="330">
        <v>361668.20104834624</v>
      </c>
      <c r="AZ47" s="330">
        <v>524446.91524262261</v>
      </c>
      <c r="BA47" s="330">
        <v>704023.56387635041</v>
      </c>
      <c r="BB47" s="330">
        <v>886394.06956240814</v>
      </c>
      <c r="BC47" s="330">
        <v>1079363.7165157665</v>
      </c>
      <c r="BD47" s="330">
        <v>1280180.1532065615</v>
      </c>
      <c r="BE47" s="330">
        <v>1485323.8019108465</v>
      </c>
      <c r="BF47" s="330">
        <v>1703758.8827524669</v>
      </c>
      <c r="BG47" s="330">
        <v>1949523.4346483489</v>
      </c>
      <c r="BH47" s="330">
        <v>2177897.1603371189</v>
      </c>
      <c r="BI47" s="330">
        <v>2429374.4260425912</v>
      </c>
      <c r="BJ47" s="330">
        <v>2717092.7449284913</v>
      </c>
      <c r="BK47" s="330">
        <v>3010093.6968918457</v>
      </c>
      <c r="BL47" s="330">
        <v>3325414.5894657462</v>
      </c>
      <c r="BM47" s="330">
        <v>3690425.9159493577</v>
      </c>
      <c r="BN47" s="330">
        <v>4143935.1706127762</v>
      </c>
      <c r="BO47" s="330">
        <v>4722651.1159141911</v>
      </c>
      <c r="BP47" s="330">
        <v>5992048.8629153483</v>
      </c>
      <c r="BQ47" s="330">
        <f>'I-Project Contingency'!$E$61-AV47</f>
        <v>0</v>
      </c>
      <c r="BR47" s="330">
        <f>'I-Project Contingency'!$E$62-AW47</f>
        <v>0</v>
      </c>
      <c r="BS47" s="330">
        <f>'I-Project Contingency'!$E$63-AX47</f>
        <v>0</v>
      </c>
      <c r="BT47" s="330">
        <f>'I-Project Contingency'!$E$64-AY47</f>
        <v>0</v>
      </c>
      <c r="BU47" s="330">
        <f>'I-Project Contingency'!$E$65-AZ47</f>
        <v>0</v>
      </c>
      <c r="BV47" s="330">
        <f>'I-Project Contingency'!$E$66-BA47</f>
        <v>0</v>
      </c>
      <c r="BW47" s="330">
        <f>'I-Project Contingency'!$E$67-BB47</f>
        <v>0</v>
      </c>
      <c r="BX47" s="330">
        <f>'I-Project Contingency'!$E$68-BC47</f>
        <v>0</v>
      </c>
      <c r="BY47" s="330">
        <f>'I-Project Contingency'!$E$69-BD47</f>
        <v>0</v>
      </c>
      <c r="BZ47" s="330">
        <f>'I-Project Contingency'!$E$70-BE47</f>
        <v>0</v>
      </c>
      <c r="CA47" s="330">
        <f>'I-Project Contingency'!$E$71-BF47</f>
        <v>0</v>
      </c>
      <c r="CB47" s="330">
        <f>'I-Project Contingency'!$E$72-BG47</f>
        <v>0</v>
      </c>
      <c r="CC47" s="330">
        <f>'I-Project Contingency'!$E$73-BH47</f>
        <v>0</v>
      </c>
      <c r="CD47" s="330">
        <f>'I-Project Contingency'!$E$74-BI47</f>
        <v>0</v>
      </c>
      <c r="CE47" s="330">
        <f>'I-Project Contingency'!$E$75-BJ47</f>
        <v>0</v>
      </c>
      <c r="CF47" s="330">
        <f>'I-Project Contingency'!$E$76-BK47</f>
        <v>0</v>
      </c>
      <c r="CG47" s="330">
        <f>'I-Project Contingency'!$E$77-BL47</f>
        <v>0</v>
      </c>
      <c r="CH47" s="784">
        <f>'I-Project Contingency'!$E$78-BM47</f>
        <v>0</v>
      </c>
      <c r="CI47" s="330">
        <f>'I-Project Contingency'!$E$79-BN47</f>
        <v>0</v>
      </c>
      <c r="CJ47" s="330">
        <f>'I-Project Contingency'!$E$80-BO47</f>
        <v>0</v>
      </c>
      <c r="CK47" s="330">
        <f>'I-Project Contingency'!$E$81-BP47</f>
        <v>0</v>
      </c>
      <c r="CL47" s="331">
        <f>'I-Project Contingency'!$O$5-AG47</f>
        <v>0</v>
      </c>
      <c r="CM47" s="332">
        <v>-0.98711802853447173</v>
      </c>
      <c r="CN47" s="332">
        <v>-0.19547704728364468</v>
      </c>
      <c r="CO47" s="332">
        <v>0.126462150308498</v>
      </c>
      <c r="CP47" s="332">
        <v>0.45967989154545902</v>
      </c>
      <c r="CQ47" s="332">
        <v>0.78297319902744</v>
      </c>
      <c r="CR47" s="332">
        <v>1.0957191966482109</v>
      </c>
      <c r="CS47" s="332">
        <v>1.4418405003536849</v>
      </c>
      <c r="CT47" s="332">
        <v>1.801002404194165</v>
      </c>
      <c r="CU47" s="332">
        <v>2.1797608166947349</v>
      </c>
      <c r="CV47" s="332">
        <v>2.5671680610072478</v>
      </c>
      <c r="CW47" s="332">
        <v>2.9690760644797152</v>
      </c>
      <c r="CX47" s="332">
        <v>3.3964145469774811</v>
      </c>
      <c r="CY47" s="332">
        <v>3.864536087769562</v>
      </c>
      <c r="CZ47" s="332">
        <v>4.3569836138896116</v>
      </c>
      <c r="DA47" s="332">
        <v>4.8862357851222598</v>
      </c>
      <c r="DB47" s="332">
        <v>5.438836997347547</v>
      </c>
      <c r="DC47" s="332">
        <v>6.047993455908566</v>
      </c>
      <c r="DD47" s="785">
        <v>6.720204953601761</v>
      </c>
      <c r="DE47" s="333">
        <v>7.55131678090412</v>
      </c>
      <c r="DF47" s="332">
        <v>8.661446370835737</v>
      </c>
      <c r="DG47" s="332">
        <v>11.206316207857133</v>
      </c>
      <c r="DH47" s="332">
        <f>'I-Project Contingency'!$E$86-CM47</f>
        <v>0</v>
      </c>
      <c r="DI47" s="332">
        <f>'I-Project Contingency'!$E$87-CN47</f>
        <v>0</v>
      </c>
      <c r="DJ47" s="332">
        <f>'I-Project Contingency'!$E$88-CO47</f>
        <v>0</v>
      </c>
      <c r="DK47" s="332">
        <f>'I-Project Contingency'!$E$89-CP47</f>
        <v>0</v>
      </c>
      <c r="DL47" s="332">
        <f>'I-Project Contingency'!$E$90-CQ47</f>
        <v>0</v>
      </c>
      <c r="DM47" s="332">
        <f>'I-Project Contingency'!$E$91-CR47</f>
        <v>0</v>
      </c>
      <c r="DN47" s="332">
        <f>'I-Project Contingency'!$E$92-CS47</f>
        <v>0</v>
      </c>
      <c r="DO47" s="332">
        <f>'I-Project Contingency'!$E$93-CT47</f>
        <v>0</v>
      </c>
      <c r="DP47" s="332">
        <f>'I-Project Contingency'!$E$94-CU47</f>
        <v>0</v>
      </c>
      <c r="DQ47" s="332">
        <f>'I-Project Contingency'!$E$95-CV47</f>
        <v>0</v>
      </c>
      <c r="DR47" s="332">
        <f>'I-Project Contingency'!$E$96-CW47</f>
        <v>0</v>
      </c>
      <c r="DS47" s="332">
        <f>'I-Project Contingency'!$E$97-CX47</f>
        <v>0</v>
      </c>
      <c r="DT47" s="332">
        <f>'I-Project Contingency'!$E$98-CY47</f>
        <v>0</v>
      </c>
      <c r="DU47" s="332">
        <f>'I-Project Contingency'!$E$99-CZ47</f>
        <v>0</v>
      </c>
      <c r="DV47" s="332">
        <f>'I-Project Contingency'!$E$100-DA47</f>
        <v>0</v>
      </c>
      <c r="DW47" s="332">
        <f>'I-Project Contingency'!$E$101-DB47</f>
        <v>0</v>
      </c>
      <c r="DX47" s="332">
        <f>'I-Project Contingency'!$E$102-DC47</f>
        <v>0</v>
      </c>
      <c r="DY47" s="332">
        <f>'I-Project Contingency'!$E$103-DD47</f>
        <v>0</v>
      </c>
      <c r="DZ47" s="332">
        <f>'I-Project Contingency'!$E$104-DE47</f>
        <v>0</v>
      </c>
      <c r="EA47" s="332">
        <f>'I-Project Contingency'!$E$105-DF47</f>
        <v>0</v>
      </c>
      <c r="EB47" s="332">
        <f>'I-Project Contingency'!$E$106-DG47</f>
        <v>0</v>
      </c>
      <c r="EC47" s="334">
        <f>IF(EE47="N/A","N/A",ABS(INDEX(EE47:EY47,1,MATCH("ROM Cost Risk @ "&amp;'D-Project Data'!$C$6*100&amp;"%",$EE$17:$EY$17,0))))</f>
        <v>0</v>
      </c>
      <c r="ED47" s="335">
        <f>IF(EC47="N/A","N/A",RANK(EC47,$EC$18:$EC$117,0)+COUNTIF($EC$18:EC47,EC47)-1)</f>
        <v>30</v>
      </c>
      <c r="EE47" s="334">
        <f>IF(BQ47/SUM(BQ:BQ)*'I-Project Contingency'!$F$61=0,0,BQ47/SUM(BQ:BQ)*'I-Project Contingency'!$F$61)</f>
        <v>0</v>
      </c>
      <c r="EF47" s="334">
        <f>IF(BR47/SUM(BR:BR)*'I-Project Contingency'!$F$62=0,0,BR47/SUM(BR:BR)*'I-Project Contingency'!$F$62)</f>
        <v>0</v>
      </c>
      <c r="EG47" s="334">
        <f>IF(BS47/SUM(BS:BS)*'I-Project Contingency'!$F$63=0,0,BS47/SUM(BS:BS)*'I-Project Contingency'!$F$63)</f>
        <v>0</v>
      </c>
      <c r="EH47" s="334">
        <f>IF(BT47/SUM(BT:BT)*'I-Project Contingency'!$F$64=0,0,BT47/SUM(BT:BT)*'I-Project Contingency'!$F$64)</f>
        <v>0</v>
      </c>
      <c r="EI47" s="334">
        <f>IF(BU47/SUM(BU:BU)*'I-Project Contingency'!$F$65=0,0,BU47/SUM(BU:BU)*'I-Project Contingency'!$F$65)</f>
        <v>0</v>
      </c>
      <c r="EJ47" s="334">
        <f>IF(BV47/SUM(BV:BV)*'I-Project Contingency'!$F$66=0,0,BV47/SUM(BV:BV)*'I-Project Contingency'!$F$66)</f>
        <v>0</v>
      </c>
      <c r="EK47" s="334">
        <f>IF(BW47/SUM(BW:BW)*'I-Project Contingency'!$F$67=0,0,BW47/SUM(BW:BW)*'I-Project Contingency'!$F$67)</f>
        <v>0</v>
      </c>
      <c r="EL47" s="334">
        <f>IF(BX47/SUM(BX:BX)*'I-Project Contingency'!$F$68=0,0,BX47/SUM(BX:BX)*'I-Project Contingency'!$F$68)</f>
        <v>0</v>
      </c>
      <c r="EM47" s="334">
        <f>IF(BY47/SUM(BY:BY)*'I-Project Contingency'!$F$69=0,0,BY47/SUM(BY:BY)*'I-Project Contingency'!$F$69)</f>
        <v>0</v>
      </c>
      <c r="EN47" s="334">
        <f>IF(BZ47/SUM(BZ:BZ)*'I-Project Contingency'!$F$70=0,0,BZ47/SUM(BZ:BZ)*'I-Project Contingency'!$F$70)</f>
        <v>0</v>
      </c>
      <c r="EO47" s="334">
        <f>IF(CA47/SUM(CA:CA)*'I-Project Contingency'!$F$71=0,0,CA47/SUM(CA:CA)*'I-Project Contingency'!$F$71)</f>
        <v>0</v>
      </c>
      <c r="EP47" s="334">
        <f>IF(CB47/SUM(CB:CB)*'I-Project Contingency'!$F$72=0,0,CB47/SUM(CB:CB)*'I-Project Contingency'!$F$72)</f>
        <v>0</v>
      </c>
      <c r="EQ47" s="334">
        <f>IF(CC47/SUM(CC:CC)*'I-Project Contingency'!$F$73=0,0,CC47/SUM(CC:CC)*'I-Project Contingency'!$F$73)</f>
        <v>0</v>
      </c>
      <c r="ER47" s="334">
        <f>IF(CD47/SUM(CD:CD)*'I-Project Contingency'!$F$74=0,0,CD47/SUM(CD:CD)*'I-Project Contingency'!$F$74)</f>
        <v>0</v>
      </c>
      <c r="ES47" s="334">
        <f>IF(CE47/SUM(CE:CE)*'I-Project Contingency'!$F$75=0,0,CE47/SUM(CE:CE)*'I-Project Contingency'!$F$75)</f>
        <v>0</v>
      </c>
      <c r="ET47" s="334">
        <f>IF(CF47/SUM(CF:CF)*'I-Project Contingency'!$F$76=0,0,CF47/SUM(CF:CF)*'I-Project Contingency'!$F$76)</f>
        <v>0</v>
      </c>
      <c r="EU47" s="334">
        <f>IF(CG47/SUM(CG:CG)*'I-Project Contingency'!$F$77=0,0,CG47/SUM(CG:CG)*'I-Project Contingency'!$F$77)</f>
        <v>0</v>
      </c>
      <c r="EV47" s="787">
        <f>IF(CH47/SUM(CH:CH)*'I-Project Contingency'!$F$78=0,0,CH47/SUM(CH:CH)*'I-Project Contingency'!$F$78)</f>
        <v>0</v>
      </c>
      <c r="EW47" s="787">
        <f>IF(CI47/SUM(CI:CI)*'I-Project Contingency'!$F$79=0,0,CI47/SUM(CI:CI)*'I-Project Contingency'!$F$79)</f>
        <v>0</v>
      </c>
      <c r="EX47" s="787">
        <f>IF(CJ47/SUM(CJ:CJ)*'I-Project Contingency'!$F$80=0,0,CJ47/SUM(CJ:CJ)*'I-Project Contingency'!$F$80)</f>
        <v>0</v>
      </c>
      <c r="EY47" s="787">
        <f>IF(CK47/SUM(CK:CK)*'I-Project Contingency'!$F$81=0,0,CK47/SUM(CK:CK)*'I-Project Contingency'!$F$81)</f>
        <v>0</v>
      </c>
      <c r="EZ47" s="333">
        <f>IF(FB47="N/A","N/A",ABS(INDEX(FB47:FV47,1,MATCH("ROM Schedule Risk @ "&amp;'D-Project Data'!$C$6*100&amp;"%",$FB$17:$FV$17,0))))</f>
        <v>0</v>
      </c>
      <c r="FA47" s="335">
        <f>IF(EZ47="N/A","N/A",RANK(EZ47,$EZ$18:$EZ$117,0)+COUNTIF($FB$18:FB47,FB47)-1)</f>
        <v>30</v>
      </c>
      <c r="FB47" s="788">
        <f>IF(DH47/SUM(DH:DH)*'I-Project Contingency'!$F$86=0,0,DH47/SUM(DH:DH)*'I-Project Contingency'!$F$86)</f>
        <v>0</v>
      </c>
      <c r="FC47" s="788">
        <f>IF(DI47/SUM(DI:DI)*'I-Project Contingency'!$F$87=0,0,DI47/SUM(DI:DI)*'I-Project Contingency'!$F$87)</f>
        <v>0</v>
      </c>
      <c r="FD47" s="788">
        <f>IF(DJ47/SUM(DJ:DJ)*'I-Project Contingency'!$F$88=0,0,DJ47/SUM(DJ:DJ)*'I-Project Contingency'!$F$88)</f>
        <v>0</v>
      </c>
      <c r="FE47" s="788">
        <f>IF(DK47/SUM(DK:DK)*'I-Project Contingency'!$F$89=0,0,DK47/SUM(DK:DK)*'I-Project Contingency'!$F$89)</f>
        <v>0</v>
      </c>
      <c r="FF47" s="788">
        <f>IF(DL47/SUM(DL:DL)*'I-Project Contingency'!$F$90=0,0,DL47/SUM(DL:DL)*'I-Project Contingency'!$F$90)</f>
        <v>0</v>
      </c>
      <c r="FG47" s="788">
        <f>IF(DM47/SUM(DM:DM)*'I-Project Contingency'!$F$91=0,0,DM47/SUM(DM:DM)*'I-Project Contingency'!$F$91)</f>
        <v>0</v>
      </c>
      <c r="FH47" s="788">
        <f>IF(DN47/SUM(DN:DN)*'I-Project Contingency'!$F$92=0,0,DN47/SUM(DN:DN)*'I-Project Contingency'!$F$92)</f>
        <v>0</v>
      </c>
      <c r="FI47" s="788">
        <f>IF(DO47/SUM(DO:DO)*'I-Project Contingency'!$F$93=0,0,DO47/SUM(DO:DO)*'I-Project Contingency'!$F$93)</f>
        <v>0</v>
      </c>
      <c r="FJ47" s="788">
        <f>IF(DP47/SUM(DP:DP)*'I-Project Contingency'!$F$94=0,0,DP47/SUM(DP:DP)*'I-Project Contingency'!$F$94)</f>
        <v>0</v>
      </c>
      <c r="FK47" s="788">
        <f>IF(DQ47/SUM(DQ:DQ)*'I-Project Contingency'!$F$95=0,0,DQ47/SUM(DQ:DQ)*'I-Project Contingency'!$F$95)</f>
        <v>0</v>
      </c>
      <c r="FL47" s="788">
        <f>IF(DR47/SUM(DR:DR)*'I-Project Contingency'!$F$96=0,0,DR47/SUM(DR:DR)*'I-Project Contingency'!$F$96)</f>
        <v>0</v>
      </c>
      <c r="FM47" s="788">
        <f>IF(DS47/SUM(DS:DS)*'I-Project Contingency'!$F$97=0,0,DS47/SUM(DS:DS)*'I-Project Contingency'!$F$97)</f>
        <v>0</v>
      </c>
      <c r="FN47" s="788">
        <f>IF(DT47/SUM(DT:DT)*'I-Project Contingency'!$F$98=0,0,DT47/SUM(DT:DT)*'I-Project Contingency'!$F$98)</f>
        <v>0</v>
      </c>
      <c r="FO47" s="788">
        <f>IF(DU47/SUM(DU:DU)*'I-Project Contingency'!$F$99=0,0,DU47/SUM(DU:DU)*'I-Project Contingency'!$F$99)</f>
        <v>0</v>
      </c>
      <c r="FP47" s="788">
        <f>IF(DV47/SUM(DV:DV)*'I-Project Contingency'!$F$100=0,0,DV47/SUM(DV:DV)*'I-Project Contingency'!$F$100)</f>
        <v>0</v>
      </c>
      <c r="FQ47" s="788">
        <f>IF(DW47/SUM(DW:DW)*'I-Project Contingency'!$F$101=0,0,DW47/SUM(DW:DW)*'I-Project Contingency'!$F$101)</f>
        <v>0</v>
      </c>
      <c r="FR47" s="788">
        <f>IF(DX47/SUM(DX:DX)*'I-Project Contingency'!$F$102=0,0,DX47/SUM(DX:DX)*'I-Project Contingency'!$F$102)</f>
        <v>0</v>
      </c>
      <c r="FS47" s="788">
        <f>IF(DY47/SUM(DY:DY)*'I-Project Contingency'!$F$103=0,0,DY47/SUM(DY:DY)*'I-Project Contingency'!$F$103)</f>
        <v>0</v>
      </c>
      <c r="FT47" s="788">
        <f>IF(DZ47/SUM(DZ:DZ)*'I-Project Contingency'!$F$104=0,0,DZ47/SUM(DZ:DZ)*'I-Project Contingency'!$F$104)</f>
        <v>0</v>
      </c>
      <c r="FU47" s="788">
        <f>IF(EA47/SUM(EA:EA)*'I-Project Contingency'!$F$105=0,0,EA47/SUM(EA:EA)*'I-Project Contingency'!$F$105)</f>
        <v>0</v>
      </c>
      <c r="FV47" s="788">
        <f>IF(EB47/SUM(EB:EB)*'I-Project Contingency'!$F$106=0,0,EB47/SUM(EB:EB)*'I-Project Contingency'!$F$106)</f>
        <v>0</v>
      </c>
      <c r="FW47" s="335">
        <f t="shared" si="13"/>
        <v>30</v>
      </c>
      <c r="FX47" s="336" t="str">
        <f t="shared" si="14"/>
        <v xml:space="preserve">30 - </v>
      </c>
      <c r="FY47" s="330">
        <f t="shared" ref="FY47:FY62" si="26">AA47</f>
        <v>0</v>
      </c>
      <c r="FZ47" s="330">
        <f t="shared" ref="FZ47:FZ62" si="27">AC47</f>
        <v>0</v>
      </c>
      <c r="GA47" s="332">
        <f t="shared" si="17"/>
        <v>0</v>
      </c>
      <c r="GB47" s="332">
        <f t="shared" si="18"/>
        <v>0</v>
      </c>
    </row>
    <row r="48" spans="1:184" ht="30" x14ac:dyDescent="0.25">
      <c r="A48" s="163">
        <f t="shared" si="23"/>
        <v>31</v>
      </c>
      <c r="B48" s="727" t="s">
        <v>728</v>
      </c>
      <c r="C48" s="729"/>
      <c r="D48" s="729"/>
      <c r="E48" s="729"/>
      <c r="F48" s="728" t="s">
        <v>728</v>
      </c>
      <c r="G48" s="728" t="s">
        <v>728</v>
      </c>
      <c r="H48" s="157" t="str">
        <f>IFERROR(IF('H-Risk Register-Model'!F48="Certain","Relook at Basis of Estimate",INDEX('G-Assumptions'!$F$8:$J$11,MATCH(F48,'G-Assumptions'!$D$8:$D$11,0),MATCH(G48,'G-Assumptions'!$F$6:$J$6,0))),"Unrated")</f>
        <v>Unrated</v>
      </c>
      <c r="I48" s="728" t="s">
        <v>728</v>
      </c>
      <c r="J48" s="157" t="str">
        <f>IFERROR(IF('H-Risk Register-Model'!F48="Certain","Relook at Basis of Estimate",INDEX('G-Assumptions'!$F$8:$J$11,MATCH(F48,'G-Assumptions'!$D$8:$D$11,0),MATCH(I48,'G-Assumptions'!$F$6:$J$6,0))),"Unrated")</f>
        <v>Unrated</v>
      </c>
      <c r="K48" s="728" t="s">
        <v>728</v>
      </c>
      <c r="L48" s="728" t="s">
        <v>728</v>
      </c>
      <c r="M48" s="728"/>
      <c r="N48" s="731" t="s">
        <v>728</v>
      </c>
      <c r="O48" s="731" t="s">
        <v>728</v>
      </c>
      <c r="P48" s="732"/>
      <c r="Q48" s="732"/>
      <c r="R48" s="732"/>
      <c r="S48" s="733"/>
      <c r="T48" s="733"/>
      <c r="U48" s="733"/>
      <c r="V48" s="734"/>
      <c r="W48" s="732"/>
      <c r="X48" s="732"/>
      <c r="Y48" s="735">
        <v>1</v>
      </c>
      <c r="Z48" s="736">
        <v>1</v>
      </c>
      <c r="AA48" s="166">
        <f t="shared" si="19"/>
        <v>0</v>
      </c>
      <c r="AB48" s="166">
        <f t="shared" si="20"/>
        <v>0</v>
      </c>
      <c r="AC48" s="166">
        <f t="shared" si="21"/>
        <v>0</v>
      </c>
      <c r="AD48" s="166"/>
      <c r="AE48" s="164">
        <f t="shared" si="24"/>
        <v>0</v>
      </c>
      <c r="AF48" s="167"/>
      <c r="AG48" s="165">
        <f t="shared" si="25"/>
        <v>0</v>
      </c>
      <c r="AH48" s="729"/>
      <c r="AI48" s="729"/>
      <c r="AJ48" s="8"/>
      <c r="AK48" s="495" t="str">
        <f t="shared" si="6"/>
        <v>No</v>
      </c>
      <c r="AL48" s="496">
        <f>'I-Project Contingency'!$I$4</f>
        <v>9000000</v>
      </c>
      <c r="AM48" s="326">
        <f>'I-Project Contingency'!$I$11</f>
        <v>23.978102189781023</v>
      </c>
      <c r="AN48" s="325">
        <f t="shared" si="7"/>
        <v>0</v>
      </c>
      <c r="AO48" s="326">
        <f t="shared" si="8"/>
        <v>0</v>
      </c>
      <c r="AP48" s="641" t="str">
        <f t="shared" si="9"/>
        <v/>
      </c>
      <c r="AQ48" s="641" t="str">
        <f t="shared" si="10"/>
        <v/>
      </c>
      <c r="AR48" s="497" t="str">
        <f t="shared" si="11"/>
        <v/>
      </c>
      <c r="AS48" s="497" t="str">
        <f t="shared" si="12"/>
        <v/>
      </c>
      <c r="AT48" s="8"/>
      <c r="AU48" s="329">
        <f>'I-Project Contingency'!$O$4-AE48</f>
        <v>0</v>
      </c>
      <c r="AV48" s="330">
        <v>-240515.59579276721</v>
      </c>
      <c r="AW48" s="330">
        <v>28172.931401335634</v>
      </c>
      <c r="AX48" s="330">
        <v>193478.84467429668</v>
      </c>
      <c r="AY48" s="330">
        <v>361668.20104834624</v>
      </c>
      <c r="AZ48" s="330">
        <v>524446.91524262261</v>
      </c>
      <c r="BA48" s="330">
        <v>704023.56387635041</v>
      </c>
      <c r="BB48" s="330">
        <v>886394.06956240814</v>
      </c>
      <c r="BC48" s="330">
        <v>1079363.7165157665</v>
      </c>
      <c r="BD48" s="330">
        <v>1280180.1532065615</v>
      </c>
      <c r="BE48" s="330">
        <v>1485323.8019108465</v>
      </c>
      <c r="BF48" s="330">
        <v>1703758.8827524669</v>
      </c>
      <c r="BG48" s="330">
        <v>1949523.4346483489</v>
      </c>
      <c r="BH48" s="330">
        <v>2177897.1603371189</v>
      </c>
      <c r="BI48" s="330">
        <v>2429374.4260425912</v>
      </c>
      <c r="BJ48" s="330">
        <v>2717092.7449284913</v>
      </c>
      <c r="BK48" s="330">
        <v>3010093.6968918457</v>
      </c>
      <c r="BL48" s="330">
        <v>3325414.5894657462</v>
      </c>
      <c r="BM48" s="330">
        <v>3690425.9159493577</v>
      </c>
      <c r="BN48" s="330">
        <v>4143935.1706127762</v>
      </c>
      <c r="BO48" s="330">
        <v>4722651.1159141911</v>
      </c>
      <c r="BP48" s="330">
        <v>5992048.8629153483</v>
      </c>
      <c r="BQ48" s="330">
        <f>'I-Project Contingency'!$E$61-AV48</f>
        <v>0</v>
      </c>
      <c r="BR48" s="330">
        <f>'I-Project Contingency'!$E$62-AW48</f>
        <v>0</v>
      </c>
      <c r="BS48" s="330">
        <f>'I-Project Contingency'!$E$63-AX48</f>
        <v>0</v>
      </c>
      <c r="BT48" s="330">
        <f>'I-Project Contingency'!$E$64-AY48</f>
        <v>0</v>
      </c>
      <c r="BU48" s="330">
        <f>'I-Project Contingency'!$E$65-AZ48</f>
        <v>0</v>
      </c>
      <c r="BV48" s="330">
        <f>'I-Project Contingency'!$E$66-BA48</f>
        <v>0</v>
      </c>
      <c r="BW48" s="330">
        <f>'I-Project Contingency'!$E$67-BB48</f>
        <v>0</v>
      </c>
      <c r="BX48" s="330">
        <f>'I-Project Contingency'!$E$68-BC48</f>
        <v>0</v>
      </c>
      <c r="BY48" s="330">
        <f>'I-Project Contingency'!$E$69-BD48</f>
        <v>0</v>
      </c>
      <c r="BZ48" s="330">
        <f>'I-Project Contingency'!$E$70-BE48</f>
        <v>0</v>
      </c>
      <c r="CA48" s="330">
        <f>'I-Project Contingency'!$E$71-BF48</f>
        <v>0</v>
      </c>
      <c r="CB48" s="330">
        <f>'I-Project Contingency'!$E$72-BG48</f>
        <v>0</v>
      </c>
      <c r="CC48" s="330">
        <f>'I-Project Contingency'!$E$73-BH48</f>
        <v>0</v>
      </c>
      <c r="CD48" s="330">
        <f>'I-Project Contingency'!$E$74-BI48</f>
        <v>0</v>
      </c>
      <c r="CE48" s="330">
        <f>'I-Project Contingency'!$E$75-BJ48</f>
        <v>0</v>
      </c>
      <c r="CF48" s="330">
        <f>'I-Project Contingency'!$E$76-BK48</f>
        <v>0</v>
      </c>
      <c r="CG48" s="330">
        <f>'I-Project Contingency'!$E$77-BL48</f>
        <v>0</v>
      </c>
      <c r="CH48" s="784">
        <f>'I-Project Contingency'!$E$78-BM48</f>
        <v>0</v>
      </c>
      <c r="CI48" s="330">
        <f>'I-Project Contingency'!$E$79-BN48</f>
        <v>0</v>
      </c>
      <c r="CJ48" s="330">
        <f>'I-Project Contingency'!$E$80-BO48</f>
        <v>0</v>
      </c>
      <c r="CK48" s="330">
        <f>'I-Project Contingency'!$E$81-BP48</f>
        <v>0</v>
      </c>
      <c r="CL48" s="331">
        <f>'I-Project Contingency'!$O$5-AG48</f>
        <v>0</v>
      </c>
      <c r="CM48" s="332">
        <v>-0.98711802853447173</v>
      </c>
      <c r="CN48" s="332">
        <v>-0.19547704728364468</v>
      </c>
      <c r="CO48" s="332">
        <v>0.126462150308498</v>
      </c>
      <c r="CP48" s="332">
        <v>0.45967989154545902</v>
      </c>
      <c r="CQ48" s="332">
        <v>0.78297319902744</v>
      </c>
      <c r="CR48" s="332">
        <v>1.0957191966482109</v>
      </c>
      <c r="CS48" s="332">
        <v>1.4418405003536849</v>
      </c>
      <c r="CT48" s="332">
        <v>1.801002404194165</v>
      </c>
      <c r="CU48" s="332">
        <v>2.1797608166947349</v>
      </c>
      <c r="CV48" s="332">
        <v>2.5671680610072478</v>
      </c>
      <c r="CW48" s="332">
        <v>2.9690760644797152</v>
      </c>
      <c r="CX48" s="332">
        <v>3.3964145469774811</v>
      </c>
      <c r="CY48" s="332">
        <v>3.864536087769562</v>
      </c>
      <c r="CZ48" s="332">
        <v>4.3569836138896116</v>
      </c>
      <c r="DA48" s="332">
        <v>4.8862357851222598</v>
      </c>
      <c r="DB48" s="332">
        <v>5.438836997347547</v>
      </c>
      <c r="DC48" s="332">
        <v>6.047993455908566</v>
      </c>
      <c r="DD48" s="785">
        <v>6.720204953601761</v>
      </c>
      <c r="DE48" s="333">
        <v>7.55131678090412</v>
      </c>
      <c r="DF48" s="332">
        <v>8.661446370835737</v>
      </c>
      <c r="DG48" s="332">
        <v>11.206316207857133</v>
      </c>
      <c r="DH48" s="332">
        <f>'I-Project Contingency'!$E$86-CM48</f>
        <v>0</v>
      </c>
      <c r="DI48" s="332">
        <f>'I-Project Contingency'!$E$87-CN48</f>
        <v>0</v>
      </c>
      <c r="DJ48" s="332">
        <f>'I-Project Contingency'!$E$88-CO48</f>
        <v>0</v>
      </c>
      <c r="DK48" s="332">
        <f>'I-Project Contingency'!$E$89-CP48</f>
        <v>0</v>
      </c>
      <c r="DL48" s="332">
        <f>'I-Project Contingency'!$E$90-CQ48</f>
        <v>0</v>
      </c>
      <c r="DM48" s="332">
        <f>'I-Project Contingency'!$E$91-CR48</f>
        <v>0</v>
      </c>
      <c r="DN48" s="332">
        <f>'I-Project Contingency'!$E$92-CS48</f>
        <v>0</v>
      </c>
      <c r="DO48" s="332">
        <f>'I-Project Contingency'!$E$93-CT48</f>
        <v>0</v>
      </c>
      <c r="DP48" s="332">
        <f>'I-Project Contingency'!$E$94-CU48</f>
        <v>0</v>
      </c>
      <c r="DQ48" s="332">
        <f>'I-Project Contingency'!$E$95-CV48</f>
        <v>0</v>
      </c>
      <c r="DR48" s="332">
        <f>'I-Project Contingency'!$E$96-CW48</f>
        <v>0</v>
      </c>
      <c r="DS48" s="332">
        <f>'I-Project Contingency'!$E$97-CX48</f>
        <v>0</v>
      </c>
      <c r="DT48" s="332">
        <f>'I-Project Contingency'!$E$98-CY48</f>
        <v>0</v>
      </c>
      <c r="DU48" s="332">
        <f>'I-Project Contingency'!$E$99-CZ48</f>
        <v>0</v>
      </c>
      <c r="DV48" s="332">
        <f>'I-Project Contingency'!$E$100-DA48</f>
        <v>0</v>
      </c>
      <c r="DW48" s="332">
        <f>'I-Project Contingency'!$E$101-DB48</f>
        <v>0</v>
      </c>
      <c r="DX48" s="332">
        <f>'I-Project Contingency'!$E$102-DC48</f>
        <v>0</v>
      </c>
      <c r="DY48" s="332">
        <f>'I-Project Contingency'!$E$103-DD48</f>
        <v>0</v>
      </c>
      <c r="DZ48" s="332">
        <f>'I-Project Contingency'!$E$104-DE48</f>
        <v>0</v>
      </c>
      <c r="EA48" s="332">
        <f>'I-Project Contingency'!$E$105-DF48</f>
        <v>0</v>
      </c>
      <c r="EB48" s="332">
        <f>'I-Project Contingency'!$E$106-DG48</f>
        <v>0</v>
      </c>
      <c r="EC48" s="334">
        <f>IF(EE48="N/A","N/A",ABS(INDEX(EE48:EY48,1,MATCH("ROM Cost Risk @ "&amp;'D-Project Data'!$C$6*100&amp;"%",$EE$17:$EY$17,0))))</f>
        <v>0</v>
      </c>
      <c r="ED48" s="335">
        <f>IF(EC48="N/A","N/A",RANK(EC48,$EC$18:$EC$117,0)+COUNTIF($EC$18:EC48,EC48)-1)</f>
        <v>31</v>
      </c>
      <c r="EE48" s="334">
        <f>IF(BQ48/SUM(BQ:BQ)*'I-Project Contingency'!$F$61=0,0,BQ48/SUM(BQ:BQ)*'I-Project Contingency'!$F$61)</f>
        <v>0</v>
      </c>
      <c r="EF48" s="334">
        <f>IF(BR48/SUM(BR:BR)*'I-Project Contingency'!$F$62=0,0,BR48/SUM(BR:BR)*'I-Project Contingency'!$F$62)</f>
        <v>0</v>
      </c>
      <c r="EG48" s="334">
        <f>IF(BS48/SUM(BS:BS)*'I-Project Contingency'!$F$63=0,0,BS48/SUM(BS:BS)*'I-Project Contingency'!$F$63)</f>
        <v>0</v>
      </c>
      <c r="EH48" s="334">
        <f>IF(BT48/SUM(BT:BT)*'I-Project Contingency'!$F$64=0,0,BT48/SUM(BT:BT)*'I-Project Contingency'!$F$64)</f>
        <v>0</v>
      </c>
      <c r="EI48" s="334">
        <f>IF(BU48/SUM(BU:BU)*'I-Project Contingency'!$F$65=0,0,BU48/SUM(BU:BU)*'I-Project Contingency'!$F$65)</f>
        <v>0</v>
      </c>
      <c r="EJ48" s="334">
        <f>IF(BV48/SUM(BV:BV)*'I-Project Contingency'!$F$66=0,0,BV48/SUM(BV:BV)*'I-Project Contingency'!$F$66)</f>
        <v>0</v>
      </c>
      <c r="EK48" s="334">
        <f>IF(BW48/SUM(BW:BW)*'I-Project Contingency'!$F$67=0,0,BW48/SUM(BW:BW)*'I-Project Contingency'!$F$67)</f>
        <v>0</v>
      </c>
      <c r="EL48" s="334">
        <f>IF(BX48/SUM(BX:BX)*'I-Project Contingency'!$F$68=0,0,BX48/SUM(BX:BX)*'I-Project Contingency'!$F$68)</f>
        <v>0</v>
      </c>
      <c r="EM48" s="334">
        <f>IF(BY48/SUM(BY:BY)*'I-Project Contingency'!$F$69=0,0,BY48/SUM(BY:BY)*'I-Project Contingency'!$F$69)</f>
        <v>0</v>
      </c>
      <c r="EN48" s="334">
        <f>IF(BZ48/SUM(BZ:BZ)*'I-Project Contingency'!$F$70=0,0,BZ48/SUM(BZ:BZ)*'I-Project Contingency'!$F$70)</f>
        <v>0</v>
      </c>
      <c r="EO48" s="334">
        <f>IF(CA48/SUM(CA:CA)*'I-Project Contingency'!$F$71=0,0,CA48/SUM(CA:CA)*'I-Project Contingency'!$F$71)</f>
        <v>0</v>
      </c>
      <c r="EP48" s="334">
        <f>IF(CB48/SUM(CB:CB)*'I-Project Contingency'!$F$72=0,0,CB48/SUM(CB:CB)*'I-Project Contingency'!$F$72)</f>
        <v>0</v>
      </c>
      <c r="EQ48" s="334">
        <f>IF(CC48/SUM(CC:CC)*'I-Project Contingency'!$F$73=0,0,CC48/SUM(CC:CC)*'I-Project Contingency'!$F$73)</f>
        <v>0</v>
      </c>
      <c r="ER48" s="334">
        <f>IF(CD48/SUM(CD:CD)*'I-Project Contingency'!$F$74=0,0,CD48/SUM(CD:CD)*'I-Project Contingency'!$F$74)</f>
        <v>0</v>
      </c>
      <c r="ES48" s="334">
        <f>IF(CE48/SUM(CE:CE)*'I-Project Contingency'!$F$75=0,0,CE48/SUM(CE:CE)*'I-Project Contingency'!$F$75)</f>
        <v>0</v>
      </c>
      <c r="ET48" s="334">
        <f>IF(CF48/SUM(CF:CF)*'I-Project Contingency'!$F$76=0,0,CF48/SUM(CF:CF)*'I-Project Contingency'!$F$76)</f>
        <v>0</v>
      </c>
      <c r="EU48" s="334">
        <f>IF(CG48/SUM(CG:CG)*'I-Project Contingency'!$F$77=0,0,CG48/SUM(CG:CG)*'I-Project Contingency'!$F$77)</f>
        <v>0</v>
      </c>
      <c r="EV48" s="787">
        <f>IF(CH48/SUM(CH:CH)*'I-Project Contingency'!$F$78=0,0,CH48/SUM(CH:CH)*'I-Project Contingency'!$F$78)</f>
        <v>0</v>
      </c>
      <c r="EW48" s="787">
        <f>IF(CI48/SUM(CI:CI)*'I-Project Contingency'!$F$79=0,0,CI48/SUM(CI:CI)*'I-Project Contingency'!$F$79)</f>
        <v>0</v>
      </c>
      <c r="EX48" s="787">
        <f>IF(CJ48/SUM(CJ:CJ)*'I-Project Contingency'!$F$80=0,0,CJ48/SUM(CJ:CJ)*'I-Project Contingency'!$F$80)</f>
        <v>0</v>
      </c>
      <c r="EY48" s="787">
        <f>IF(CK48/SUM(CK:CK)*'I-Project Contingency'!$F$81=0,0,CK48/SUM(CK:CK)*'I-Project Contingency'!$F$81)</f>
        <v>0</v>
      </c>
      <c r="EZ48" s="333">
        <f>IF(FB48="N/A","N/A",ABS(INDEX(FB48:FV48,1,MATCH("ROM Schedule Risk @ "&amp;'D-Project Data'!$C$6*100&amp;"%",$FB$17:$FV$17,0))))</f>
        <v>0</v>
      </c>
      <c r="FA48" s="335">
        <f>IF(EZ48="N/A","N/A",RANK(EZ48,$EZ$18:$EZ$117,0)+COUNTIF($FB$18:FB48,FB48)-1)</f>
        <v>31</v>
      </c>
      <c r="FB48" s="788">
        <f>IF(DH48/SUM(DH:DH)*'I-Project Contingency'!$F$86=0,0,DH48/SUM(DH:DH)*'I-Project Contingency'!$F$86)</f>
        <v>0</v>
      </c>
      <c r="FC48" s="788">
        <f>IF(DI48/SUM(DI:DI)*'I-Project Contingency'!$F$87=0,0,DI48/SUM(DI:DI)*'I-Project Contingency'!$F$87)</f>
        <v>0</v>
      </c>
      <c r="FD48" s="788">
        <f>IF(DJ48/SUM(DJ:DJ)*'I-Project Contingency'!$F$88=0,0,DJ48/SUM(DJ:DJ)*'I-Project Contingency'!$F$88)</f>
        <v>0</v>
      </c>
      <c r="FE48" s="788">
        <f>IF(DK48/SUM(DK:DK)*'I-Project Contingency'!$F$89=0,0,DK48/SUM(DK:DK)*'I-Project Contingency'!$F$89)</f>
        <v>0</v>
      </c>
      <c r="FF48" s="788">
        <f>IF(DL48/SUM(DL:DL)*'I-Project Contingency'!$F$90=0,0,DL48/SUM(DL:DL)*'I-Project Contingency'!$F$90)</f>
        <v>0</v>
      </c>
      <c r="FG48" s="788">
        <f>IF(DM48/SUM(DM:DM)*'I-Project Contingency'!$F$91=0,0,DM48/SUM(DM:DM)*'I-Project Contingency'!$F$91)</f>
        <v>0</v>
      </c>
      <c r="FH48" s="788">
        <f>IF(DN48/SUM(DN:DN)*'I-Project Contingency'!$F$92=0,0,DN48/SUM(DN:DN)*'I-Project Contingency'!$F$92)</f>
        <v>0</v>
      </c>
      <c r="FI48" s="788">
        <f>IF(DO48/SUM(DO:DO)*'I-Project Contingency'!$F$93=0,0,DO48/SUM(DO:DO)*'I-Project Contingency'!$F$93)</f>
        <v>0</v>
      </c>
      <c r="FJ48" s="788">
        <f>IF(DP48/SUM(DP:DP)*'I-Project Contingency'!$F$94=0,0,DP48/SUM(DP:DP)*'I-Project Contingency'!$F$94)</f>
        <v>0</v>
      </c>
      <c r="FK48" s="788">
        <f>IF(DQ48/SUM(DQ:DQ)*'I-Project Contingency'!$F$95=0,0,DQ48/SUM(DQ:DQ)*'I-Project Contingency'!$F$95)</f>
        <v>0</v>
      </c>
      <c r="FL48" s="788">
        <f>IF(DR48/SUM(DR:DR)*'I-Project Contingency'!$F$96=0,0,DR48/SUM(DR:DR)*'I-Project Contingency'!$F$96)</f>
        <v>0</v>
      </c>
      <c r="FM48" s="788">
        <f>IF(DS48/SUM(DS:DS)*'I-Project Contingency'!$F$97=0,0,DS48/SUM(DS:DS)*'I-Project Contingency'!$F$97)</f>
        <v>0</v>
      </c>
      <c r="FN48" s="788">
        <f>IF(DT48/SUM(DT:DT)*'I-Project Contingency'!$F$98=0,0,DT48/SUM(DT:DT)*'I-Project Contingency'!$F$98)</f>
        <v>0</v>
      </c>
      <c r="FO48" s="788">
        <f>IF(DU48/SUM(DU:DU)*'I-Project Contingency'!$F$99=0,0,DU48/SUM(DU:DU)*'I-Project Contingency'!$F$99)</f>
        <v>0</v>
      </c>
      <c r="FP48" s="788">
        <f>IF(DV48/SUM(DV:DV)*'I-Project Contingency'!$F$100=0,0,DV48/SUM(DV:DV)*'I-Project Contingency'!$F$100)</f>
        <v>0</v>
      </c>
      <c r="FQ48" s="788">
        <f>IF(DW48/SUM(DW:DW)*'I-Project Contingency'!$F$101=0,0,DW48/SUM(DW:DW)*'I-Project Contingency'!$F$101)</f>
        <v>0</v>
      </c>
      <c r="FR48" s="788">
        <f>IF(DX48/SUM(DX:DX)*'I-Project Contingency'!$F$102=0,0,DX48/SUM(DX:DX)*'I-Project Contingency'!$F$102)</f>
        <v>0</v>
      </c>
      <c r="FS48" s="788">
        <f>IF(DY48/SUM(DY:DY)*'I-Project Contingency'!$F$103=0,0,DY48/SUM(DY:DY)*'I-Project Contingency'!$F$103)</f>
        <v>0</v>
      </c>
      <c r="FT48" s="788">
        <f>IF(DZ48/SUM(DZ:DZ)*'I-Project Contingency'!$F$104=0,0,DZ48/SUM(DZ:DZ)*'I-Project Contingency'!$F$104)</f>
        <v>0</v>
      </c>
      <c r="FU48" s="788">
        <f>IF(EA48/SUM(EA:EA)*'I-Project Contingency'!$F$105=0,0,EA48/SUM(EA:EA)*'I-Project Contingency'!$F$105)</f>
        <v>0</v>
      </c>
      <c r="FV48" s="788">
        <f>IF(EB48/SUM(EB:EB)*'I-Project Contingency'!$F$106=0,0,EB48/SUM(EB:EB)*'I-Project Contingency'!$F$106)</f>
        <v>0</v>
      </c>
      <c r="FW48" s="335">
        <f t="shared" si="13"/>
        <v>31</v>
      </c>
      <c r="FX48" s="336" t="str">
        <f t="shared" si="14"/>
        <v xml:space="preserve">31 - </v>
      </c>
      <c r="FY48" s="330">
        <f t="shared" si="26"/>
        <v>0</v>
      </c>
      <c r="FZ48" s="330">
        <f t="shared" si="27"/>
        <v>0</v>
      </c>
      <c r="GA48" s="332">
        <f t="shared" si="17"/>
        <v>0</v>
      </c>
      <c r="GB48" s="332">
        <f t="shared" si="18"/>
        <v>0</v>
      </c>
    </row>
    <row r="49" spans="1:184" ht="30" x14ac:dyDescent="0.25">
      <c r="A49" s="163">
        <f t="shared" si="23"/>
        <v>32</v>
      </c>
      <c r="B49" s="727" t="s">
        <v>728</v>
      </c>
      <c r="C49" s="729"/>
      <c r="D49" s="729"/>
      <c r="E49" s="729"/>
      <c r="F49" s="728" t="s">
        <v>728</v>
      </c>
      <c r="G49" s="728" t="s">
        <v>728</v>
      </c>
      <c r="H49" s="157" t="str">
        <f>IFERROR(IF('H-Risk Register-Model'!F49="Certain","Relook at Basis of Estimate",INDEX('G-Assumptions'!$F$8:$J$11,MATCH(F49,'G-Assumptions'!$D$8:$D$11,0),MATCH(G49,'G-Assumptions'!$F$6:$J$6,0))),"Unrated")</f>
        <v>Unrated</v>
      </c>
      <c r="I49" s="728" t="s">
        <v>728</v>
      </c>
      <c r="J49" s="157" t="str">
        <f>IFERROR(IF('H-Risk Register-Model'!F49="Certain","Relook at Basis of Estimate",INDEX('G-Assumptions'!$F$8:$J$11,MATCH(F49,'G-Assumptions'!$D$8:$D$11,0),MATCH(I49,'G-Assumptions'!$F$6:$J$6,0))),"Unrated")</f>
        <v>Unrated</v>
      </c>
      <c r="K49" s="728" t="s">
        <v>728</v>
      </c>
      <c r="L49" s="728" t="s">
        <v>728</v>
      </c>
      <c r="M49" s="728"/>
      <c r="N49" s="731" t="s">
        <v>728</v>
      </c>
      <c r="O49" s="731" t="s">
        <v>728</v>
      </c>
      <c r="P49" s="732"/>
      <c r="Q49" s="732"/>
      <c r="R49" s="732"/>
      <c r="S49" s="733"/>
      <c r="T49" s="733"/>
      <c r="U49" s="733"/>
      <c r="V49" s="734"/>
      <c r="W49" s="732"/>
      <c r="X49" s="732"/>
      <c r="Y49" s="735">
        <v>1</v>
      </c>
      <c r="Z49" s="736">
        <v>1</v>
      </c>
      <c r="AA49" s="166">
        <f t="shared" si="19"/>
        <v>0</v>
      </c>
      <c r="AB49" s="166">
        <f t="shared" si="20"/>
        <v>0</v>
      </c>
      <c r="AC49" s="166">
        <f t="shared" si="21"/>
        <v>0</v>
      </c>
      <c r="AD49" s="166"/>
      <c r="AE49" s="164">
        <f t="shared" ref="AE49" si="28">AD49*Z49</f>
        <v>0</v>
      </c>
      <c r="AF49" s="167"/>
      <c r="AG49" s="165">
        <f t="shared" ref="AG49" si="29">AF49*Z49</f>
        <v>0</v>
      </c>
      <c r="AH49" s="729"/>
      <c r="AI49" s="729"/>
      <c r="AJ49" s="8"/>
      <c r="AK49" s="495" t="str">
        <f t="shared" si="6"/>
        <v>No</v>
      </c>
      <c r="AL49" s="496">
        <f>'I-Project Contingency'!$I$4</f>
        <v>9000000</v>
      </c>
      <c r="AM49" s="326">
        <f>'I-Project Contingency'!$I$11</f>
        <v>23.978102189781023</v>
      </c>
      <c r="AN49" s="325">
        <f t="shared" si="7"/>
        <v>0</v>
      </c>
      <c r="AO49" s="326">
        <f t="shared" si="8"/>
        <v>0</v>
      </c>
      <c r="AP49" s="641" t="str">
        <f t="shared" si="9"/>
        <v/>
      </c>
      <c r="AQ49" s="641" t="str">
        <f t="shared" si="10"/>
        <v/>
      </c>
      <c r="AR49" s="497" t="str">
        <f t="shared" si="11"/>
        <v/>
      </c>
      <c r="AS49" s="497" t="str">
        <f t="shared" si="12"/>
        <v/>
      </c>
      <c r="AT49" s="8"/>
      <c r="AU49" s="329">
        <f>'I-Project Contingency'!$O$4-AE49</f>
        <v>0</v>
      </c>
      <c r="AV49" s="330">
        <v>-240515.59579276721</v>
      </c>
      <c r="AW49" s="330">
        <v>28172.931401335634</v>
      </c>
      <c r="AX49" s="330">
        <v>193478.84467429668</v>
      </c>
      <c r="AY49" s="330">
        <v>361668.20104834624</v>
      </c>
      <c r="AZ49" s="330">
        <v>524446.91524262261</v>
      </c>
      <c r="BA49" s="330">
        <v>704023.56387635041</v>
      </c>
      <c r="BB49" s="330">
        <v>886394.06956240814</v>
      </c>
      <c r="BC49" s="330">
        <v>1079363.7165157665</v>
      </c>
      <c r="BD49" s="330">
        <v>1280180.1532065615</v>
      </c>
      <c r="BE49" s="330">
        <v>1485323.8019108465</v>
      </c>
      <c r="BF49" s="330">
        <v>1703758.8827524669</v>
      </c>
      <c r="BG49" s="330">
        <v>1949523.4346483489</v>
      </c>
      <c r="BH49" s="330">
        <v>2177897.1603371189</v>
      </c>
      <c r="BI49" s="330">
        <v>2429374.4260425912</v>
      </c>
      <c r="BJ49" s="330">
        <v>2717092.7449284913</v>
      </c>
      <c r="BK49" s="330">
        <v>3010093.6968918457</v>
      </c>
      <c r="BL49" s="330">
        <v>3325414.5894657462</v>
      </c>
      <c r="BM49" s="330">
        <v>3690425.9159493577</v>
      </c>
      <c r="BN49" s="330">
        <v>4143935.1706127762</v>
      </c>
      <c r="BO49" s="330">
        <v>4722651.1159141911</v>
      </c>
      <c r="BP49" s="330">
        <v>5992048.8629153483</v>
      </c>
      <c r="BQ49" s="330">
        <f>'I-Project Contingency'!$E$61-AV49</f>
        <v>0</v>
      </c>
      <c r="BR49" s="330">
        <f>'I-Project Contingency'!$E$62-AW49</f>
        <v>0</v>
      </c>
      <c r="BS49" s="330">
        <f>'I-Project Contingency'!$E$63-AX49</f>
        <v>0</v>
      </c>
      <c r="BT49" s="330">
        <f>'I-Project Contingency'!$E$64-AY49</f>
        <v>0</v>
      </c>
      <c r="BU49" s="330">
        <f>'I-Project Contingency'!$E$65-AZ49</f>
        <v>0</v>
      </c>
      <c r="BV49" s="330">
        <f>'I-Project Contingency'!$E$66-BA49</f>
        <v>0</v>
      </c>
      <c r="BW49" s="330">
        <f>'I-Project Contingency'!$E$67-BB49</f>
        <v>0</v>
      </c>
      <c r="BX49" s="330">
        <f>'I-Project Contingency'!$E$68-BC49</f>
        <v>0</v>
      </c>
      <c r="BY49" s="330">
        <f>'I-Project Contingency'!$E$69-BD49</f>
        <v>0</v>
      </c>
      <c r="BZ49" s="330">
        <f>'I-Project Contingency'!$E$70-BE49</f>
        <v>0</v>
      </c>
      <c r="CA49" s="330">
        <f>'I-Project Contingency'!$E$71-BF49</f>
        <v>0</v>
      </c>
      <c r="CB49" s="330">
        <f>'I-Project Contingency'!$E$72-BG49</f>
        <v>0</v>
      </c>
      <c r="CC49" s="330">
        <f>'I-Project Contingency'!$E$73-BH49</f>
        <v>0</v>
      </c>
      <c r="CD49" s="330">
        <f>'I-Project Contingency'!$E$74-BI49</f>
        <v>0</v>
      </c>
      <c r="CE49" s="330">
        <f>'I-Project Contingency'!$E$75-BJ49</f>
        <v>0</v>
      </c>
      <c r="CF49" s="330">
        <f>'I-Project Contingency'!$E$76-BK49</f>
        <v>0</v>
      </c>
      <c r="CG49" s="330">
        <f>'I-Project Contingency'!$E$77-BL49</f>
        <v>0</v>
      </c>
      <c r="CH49" s="784">
        <f>'I-Project Contingency'!$E$78-BM49</f>
        <v>0</v>
      </c>
      <c r="CI49" s="330">
        <f>'I-Project Contingency'!$E$79-BN49</f>
        <v>0</v>
      </c>
      <c r="CJ49" s="330">
        <f>'I-Project Contingency'!$E$80-BO49</f>
        <v>0</v>
      </c>
      <c r="CK49" s="330">
        <f>'I-Project Contingency'!$E$81-BP49</f>
        <v>0</v>
      </c>
      <c r="CL49" s="331">
        <f>'I-Project Contingency'!$O$5-AG49</f>
        <v>0</v>
      </c>
      <c r="CM49" s="332">
        <v>-0.98711802853447173</v>
      </c>
      <c r="CN49" s="332">
        <v>-0.19547704728364468</v>
      </c>
      <c r="CO49" s="332">
        <v>0.126462150308498</v>
      </c>
      <c r="CP49" s="332">
        <v>0.45967989154545902</v>
      </c>
      <c r="CQ49" s="332">
        <v>0.78297319902744</v>
      </c>
      <c r="CR49" s="332">
        <v>1.0957191966482109</v>
      </c>
      <c r="CS49" s="332">
        <v>1.4418405003536849</v>
      </c>
      <c r="CT49" s="332">
        <v>1.801002404194165</v>
      </c>
      <c r="CU49" s="332">
        <v>2.1797608166947349</v>
      </c>
      <c r="CV49" s="332">
        <v>2.5671680610072478</v>
      </c>
      <c r="CW49" s="332">
        <v>2.9690760644797152</v>
      </c>
      <c r="CX49" s="332">
        <v>3.3964145469774811</v>
      </c>
      <c r="CY49" s="332">
        <v>3.864536087769562</v>
      </c>
      <c r="CZ49" s="332">
        <v>4.3569836138896116</v>
      </c>
      <c r="DA49" s="332">
        <v>4.8862357851222598</v>
      </c>
      <c r="DB49" s="332">
        <v>5.438836997347547</v>
      </c>
      <c r="DC49" s="332">
        <v>6.047993455908566</v>
      </c>
      <c r="DD49" s="785">
        <v>6.720204953601761</v>
      </c>
      <c r="DE49" s="333">
        <v>7.55131678090412</v>
      </c>
      <c r="DF49" s="332">
        <v>8.661446370835737</v>
      </c>
      <c r="DG49" s="332">
        <v>11.206316207857133</v>
      </c>
      <c r="DH49" s="332">
        <f>'I-Project Contingency'!$E$86-CM49</f>
        <v>0</v>
      </c>
      <c r="DI49" s="332">
        <f>'I-Project Contingency'!$E$87-CN49</f>
        <v>0</v>
      </c>
      <c r="DJ49" s="332">
        <f>'I-Project Contingency'!$E$88-CO49</f>
        <v>0</v>
      </c>
      <c r="DK49" s="332">
        <f>'I-Project Contingency'!$E$89-CP49</f>
        <v>0</v>
      </c>
      <c r="DL49" s="332">
        <f>'I-Project Contingency'!$E$90-CQ49</f>
        <v>0</v>
      </c>
      <c r="DM49" s="332">
        <f>'I-Project Contingency'!$E$91-CR49</f>
        <v>0</v>
      </c>
      <c r="DN49" s="332">
        <f>'I-Project Contingency'!$E$92-CS49</f>
        <v>0</v>
      </c>
      <c r="DO49" s="332">
        <f>'I-Project Contingency'!$E$93-CT49</f>
        <v>0</v>
      </c>
      <c r="DP49" s="332">
        <f>'I-Project Contingency'!$E$94-CU49</f>
        <v>0</v>
      </c>
      <c r="DQ49" s="332">
        <f>'I-Project Contingency'!$E$95-CV49</f>
        <v>0</v>
      </c>
      <c r="DR49" s="332">
        <f>'I-Project Contingency'!$E$96-CW49</f>
        <v>0</v>
      </c>
      <c r="DS49" s="332">
        <f>'I-Project Contingency'!$E$97-CX49</f>
        <v>0</v>
      </c>
      <c r="DT49" s="332">
        <f>'I-Project Contingency'!$E$98-CY49</f>
        <v>0</v>
      </c>
      <c r="DU49" s="332">
        <f>'I-Project Contingency'!$E$99-CZ49</f>
        <v>0</v>
      </c>
      <c r="DV49" s="332">
        <f>'I-Project Contingency'!$E$100-DA49</f>
        <v>0</v>
      </c>
      <c r="DW49" s="332">
        <f>'I-Project Contingency'!$E$101-DB49</f>
        <v>0</v>
      </c>
      <c r="DX49" s="332">
        <f>'I-Project Contingency'!$E$102-DC49</f>
        <v>0</v>
      </c>
      <c r="DY49" s="332">
        <f>'I-Project Contingency'!$E$103-DD49</f>
        <v>0</v>
      </c>
      <c r="DZ49" s="332">
        <f>'I-Project Contingency'!$E$104-DE49</f>
        <v>0</v>
      </c>
      <c r="EA49" s="332">
        <f>'I-Project Contingency'!$E$105-DF49</f>
        <v>0</v>
      </c>
      <c r="EB49" s="332">
        <f>'I-Project Contingency'!$E$106-DG49</f>
        <v>0</v>
      </c>
      <c r="EC49" s="334">
        <f>IF(EE49="N/A","N/A",ABS(INDEX(EE49:EY49,1,MATCH("ROM Cost Risk @ "&amp;'D-Project Data'!$C$6*100&amp;"%",$EE$17:$EY$17,0))))</f>
        <v>0</v>
      </c>
      <c r="ED49" s="335">
        <f>IF(EC49="N/A","N/A",RANK(EC49,$EC$18:$EC$117,0)+COUNTIF($EC$18:EC49,EC49)-1)</f>
        <v>32</v>
      </c>
      <c r="EE49" s="334">
        <f>IF(BQ49/SUM(BQ:BQ)*'I-Project Contingency'!$F$61=0,0,BQ49/SUM(BQ:BQ)*'I-Project Contingency'!$F$61)</f>
        <v>0</v>
      </c>
      <c r="EF49" s="334">
        <f>IF(BR49/SUM(BR:BR)*'I-Project Contingency'!$F$62=0,0,BR49/SUM(BR:BR)*'I-Project Contingency'!$F$62)</f>
        <v>0</v>
      </c>
      <c r="EG49" s="334">
        <f>IF(BS49/SUM(BS:BS)*'I-Project Contingency'!$F$63=0,0,BS49/SUM(BS:BS)*'I-Project Contingency'!$F$63)</f>
        <v>0</v>
      </c>
      <c r="EH49" s="334">
        <f>IF(BT49/SUM(BT:BT)*'I-Project Contingency'!$F$64=0,0,BT49/SUM(BT:BT)*'I-Project Contingency'!$F$64)</f>
        <v>0</v>
      </c>
      <c r="EI49" s="334">
        <f>IF(BU49/SUM(BU:BU)*'I-Project Contingency'!$F$65=0,0,BU49/SUM(BU:BU)*'I-Project Contingency'!$F$65)</f>
        <v>0</v>
      </c>
      <c r="EJ49" s="334">
        <f>IF(BV49/SUM(BV:BV)*'I-Project Contingency'!$F$66=0,0,BV49/SUM(BV:BV)*'I-Project Contingency'!$F$66)</f>
        <v>0</v>
      </c>
      <c r="EK49" s="334">
        <f>IF(BW49/SUM(BW:BW)*'I-Project Contingency'!$F$67=0,0,BW49/SUM(BW:BW)*'I-Project Contingency'!$F$67)</f>
        <v>0</v>
      </c>
      <c r="EL49" s="334">
        <f>IF(BX49/SUM(BX:BX)*'I-Project Contingency'!$F$68=0,0,BX49/SUM(BX:BX)*'I-Project Contingency'!$F$68)</f>
        <v>0</v>
      </c>
      <c r="EM49" s="334">
        <f>IF(BY49/SUM(BY:BY)*'I-Project Contingency'!$F$69=0,0,BY49/SUM(BY:BY)*'I-Project Contingency'!$F$69)</f>
        <v>0</v>
      </c>
      <c r="EN49" s="334">
        <f>IF(BZ49/SUM(BZ:BZ)*'I-Project Contingency'!$F$70=0,0,BZ49/SUM(BZ:BZ)*'I-Project Contingency'!$F$70)</f>
        <v>0</v>
      </c>
      <c r="EO49" s="334">
        <f>IF(CA49/SUM(CA:CA)*'I-Project Contingency'!$F$71=0,0,CA49/SUM(CA:CA)*'I-Project Contingency'!$F$71)</f>
        <v>0</v>
      </c>
      <c r="EP49" s="334">
        <f>IF(CB49/SUM(CB:CB)*'I-Project Contingency'!$F$72=0,0,CB49/SUM(CB:CB)*'I-Project Contingency'!$F$72)</f>
        <v>0</v>
      </c>
      <c r="EQ49" s="334">
        <f>IF(CC49/SUM(CC:CC)*'I-Project Contingency'!$F$73=0,0,CC49/SUM(CC:CC)*'I-Project Contingency'!$F$73)</f>
        <v>0</v>
      </c>
      <c r="ER49" s="334">
        <f>IF(CD49/SUM(CD:CD)*'I-Project Contingency'!$F$74=0,0,CD49/SUM(CD:CD)*'I-Project Contingency'!$F$74)</f>
        <v>0</v>
      </c>
      <c r="ES49" s="334">
        <f>IF(CE49/SUM(CE:CE)*'I-Project Contingency'!$F$75=0,0,CE49/SUM(CE:CE)*'I-Project Contingency'!$F$75)</f>
        <v>0</v>
      </c>
      <c r="ET49" s="334">
        <f>IF(CF49/SUM(CF:CF)*'I-Project Contingency'!$F$76=0,0,CF49/SUM(CF:CF)*'I-Project Contingency'!$F$76)</f>
        <v>0</v>
      </c>
      <c r="EU49" s="334">
        <f>IF(CG49/SUM(CG:CG)*'I-Project Contingency'!$F$77=0,0,CG49/SUM(CG:CG)*'I-Project Contingency'!$F$77)</f>
        <v>0</v>
      </c>
      <c r="EV49" s="787">
        <f>IF(CH49/SUM(CH:CH)*'I-Project Contingency'!$F$78=0,0,CH49/SUM(CH:CH)*'I-Project Contingency'!$F$78)</f>
        <v>0</v>
      </c>
      <c r="EW49" s="787">
        <f>IF(CI49/SUM(CI:CI)*'I-Project Contingency'!$F$79=0,0,CI49/SUM(CI:CI)*'I-Project Contingency'!$F$79)</f>
        <v>0</v>
      </c>
      <c r="EX49" s="787">
        <f>IF(CJ49/SUM(CJ:CJ)*'I-Project Contingency'!$F$80=0,0,CJ49/SUM(CJ:CJ)*'I-Project Contingency'!$F$80)</f>
        <v>0</v>
      </c>
      <c r="EY49" s="787">
        <f>IF(CK49/SUM(CK:CK)*'I-Project Contingency'!$F$81=0,0,CK49/SUM(CK:CK)*'I-Project Contingency'!$F$81)</f>
        <v>0</v>
      </c>
      <c r="EZ49" s="333">
        <f>IF(FB49="N/A","N/A",ABS(INDEX(FB49:FV49,1,MATCH("ROM Schedule Risk @ "&amp;'D-Project Data'!$C$6*100&amp;"%",$FB$17:$FV$17,0))))</f>
        <v>0</v>
      </c>
      <c r="FA49" s="335">
        <f>IF(EZ49="N/A","N/A",RANK(EZ49,$EZ$18:$EZ$117,0)+COUNTIF($FB$18:FB49,FB49)-1)</f>
        <v>32</v>
      </c>
      <c r="FB49" s="788">
        <f>IF(DH49/SUM(DH:DH)*'I-Project Contingency'!$F$86=0,0,DH49/SUM(DH:DH)*'I-Project Contingency'!$F$86)</f>
        <v>0</v>
      </c>
      <c r="FC49" s="788">
        <f>IF(DI49/SUM(DI:DI)*'I-Project Contingency'!$F$87=0,0,DI49/SUM(DI:DI)*'I-Project Contingency'!$F$87)</f>
        <v>0</v>
      </c>
      <c r="FD49" s="788">
        <f>IF(DJ49/SUM(DJ:DJ)*'I-Project Contingency'!$F$88=0,0,DJ49/SUM(DJ:DJ)*'I-Project Contingency'!$F$88)</f>
        <v>0</v>
      </c>
      <c r="FE49" s="788">
        <f>IF(DK49/SUM(DK:DK)*'I-Project Contingency'!$F$89=0,0,DK49/SUM(DK:DK)*'I-Project Contingency'!$F$89)</f>
        <v>0</v>
      </c>
      <c r="FF49" s="788">
        <f>IF(DL49/SUM(DL:DL)*'I-Project Contingency'!$F$90=0,0,DL49/SUM(DL:DL)*'I-Project Contingency'!$F$90)</f>
        <v>0</v>
      </c>
      <c r="FG49" s="788">
        <f>IF(DM49/SUM(DM:DM)*'I-Project Contingency'!$F$91=0,0,DM49/SUM(DM:DM)*'I-Project Contingency'!$F$91)</f>
        <v>0</v>
      </c>
      <c r="FH49" s="788">
        <f>IF(DN49/SUM(DN:DN)*'I-Project Contingency'!$F$92=0,0,DN49/SUM(DN:DN)*'I-Project Contingency'!$F$92)</f>
        <v>0</v>
      </c>
      <c r="FI49" s="788">
        <f>IF(DO49/SUM(DO:DO)*'I-Project Contingency'!$F$93=0,0,DO49/SUM(DO:DO)*'I-Project Contingency'!$F$93)</f>
        <v>0</v>
      </c>
      <c r="FJ49" s="788">
        <f>IF(DP49/SUM(DP:DP)*'I-Project Contingency'!$F$94=0,0,DP49/SUM(DP:DP)*'I-Project Contingency'!$F$94)</f>
        <v>0</v>
      </c>
      <c r="FK49" s="788">
        <f>IF(DQ49/SUM(DQ:DQ)*'I-Project Contingency'!$F$95=0,0,DQ49/SUM(DQ:DQ)*'I-Project Contingency'!$F$95)</f>
        <v>0</v>
      </c>
      <c r="FL49" s="788">
        <f>IF(DR49/SUM(DR:DR)*'I-Project Contingency'!$F$96=0,0,DR49/SUM(DR:DR)*'I-Project Contingency'!$F$96)</f>
        <v>0</v>
      </c>
      <c r="FM49" s="788">
        <f>IF(DS49/SUM(DS:DS)*'I-Project Contingency'!$F$97=0,0,DS49/SUM(DS:DS)*'I-Project Contingency'!$F$97)</f>
        <v>0</v>
      </c>
      <c r="FN49" s="788">
        <f>IF(DT49/SUM(DT:DT)*'I-Project Contingency'!$F$98=0,0,DT49/SUM(DT:DT)*'I-Project Contingency'!$F$98)</f>
        <v>0</v>
      </c>
      <c r="FO49" s="788">
        <f>IF(DU49/SUM(DU:DU)*'I-Project Contingency'!$F$99=0,0,DU49/SUM(DU:DU)*'I-Project Contingency'!$F$99)</f>
        <v>0</v>
      </c>
      <c r="FP49" s="788">
        <f>IF(DV49/SUM(DV:DV)*'I-Project Contingency'!$F$100=0,0,DV49/SUM(DV:DV)*'I-Project Contingency'!$F$100)</f>
        <v>0</v>
      </c>
      <c r="FQ49" s="788">
        <f>IF(DW49/SUM(DW:DW)*'I-Project Contingency'!$F$101=0,0,DW49/SUM(DW:DW)*'I-Project Contingency'!$F$101)</f>
        <v>0</v>
      </c>
      <c r="FR49" s="788">
        <f>IF(DX49/SUM(DX:DX)*'I-Project Contingency'!$F$102=0,0,DX49/SUM(DX:DX)*'I-Project Contingency'!$F$102)</f>
        <v>0</v>
      </c>
      <c r="FS49" s="788">
        <f>IF(DY49/SUM(DY:DY)*'I-Project Contingency'!$F$103=0,0,DY49/SUM(DY:DY)*'I-Project Contingency'!$F$103)</f>
        <v>0</v>
      </c>
      <c r="FT49" s="788">
        <f>IF(DZ49/SUM(DZ:DZ)*'I-Project Contingency'!$F$104=0,0,DZ49/SUM(DZ:DZ)*'I-Project Contingency'!$F$104)</f>
        <v>0</v>
      </c>
      <c r="FU49" s="788">
        <f>IF(EA49/SUM(EA:EA)*'I-Project Contingency'!$F$105=0,0,EA49/SUM(EA:EA)*'I-Project Contingency'!$F$105)</f>
        <v>0</v>
      </c>
      <c r="FV49" s="788">
        <f>IF(EB49/SUM(EB:EB)*'I-Project Contingency'!$F$106=0,0,EB49/SUM(EB:EB)*'I-Project Contingency'!$F$106)</f>
        <v>0</v>
      </c>
      <c r="FW49" s="335">
        <f t="shared" si="13"/>
        <v>32</v>
      </c>
      <c r="FX49" s="336" t="str">
        <f t="shared" si="14"/>
        <v xml:space="preserve">32 - </v>
      </c>
      <c r="FY49" s="330">
        <f t="shared" si="26"/>
        <v>0</v>
      </c>
      <c r="FZ49" s="330">
        <f t="shared" si="27"/>
        <v>0</v>
      </c>
      <c r="GA49" s="332">
        <f t="shared" si="17"/>
        <v>0</v>
      </c>
      <c r="GB49" s="332">
        <f t="shared" si="18"/>
        <v>0</v>
      </c>
    </row>
    <row r="50" spans="1:184" ht="30" x14ac:dyDescent="0.25">
      <c r="A50" s="163">
        <f t="shared" si="23"/>
        <v>33</v>
      </c>
      <c r="B50" s="727" t="s">
        <v>728</v>
      </c>
      <c r="C50" s="729"/>
      <c r="D50" s="729"/>
      <c r="E50" s="729"/>
      <c r="F50" s="728" t="s">
        <v>728</v>
      </c>
      <c r="G50" s="728" t="s">
        <v>728</v>
      </c>
      <c r="H50" s="157" t="str">
        <f>IFERROR(IF('H-Risk Register-Model'!F50="Certain","Relook at Basis of Estimate",INDEX('G-Assumptions'!$F$8:$J$11,MATCH(F50,'G-Assumptions'!$D$8:$D$11,0),MATCH(G50,'G-Assumptions'!$F$6:$J$6,0))),"Unrated")</f>
        <v>Unrated</v>
      </c>
      <c r="I50" s="728" t="s">
        <v>728</v>
      </c>
      <c r="J50" s="157" t="str">
        <f>IFERROR(IF('H-Risk Register-Model'!F50="Certain","Relook at Basis of Estimate",INDEX('G-Assumptions'!$F$8:$J$11,MATCH(F50,'G-Assumptions'!$D$8:$D$11,0),MATCH(I50,'G-Assumptions'!$F$6:$J$6,0))),"Unrated")</f>
        <v>Unrated</v>
      </c>
      <c r="K50" s="728" t="s">
        <v>728</v>
      </c>
      <c r="L50" s="728" t="s">
        <v>728</v>
      </c>
      <c r="M50" s="728"/>
      <c r="N50" s="731" t="s">
        <v>728</v>
      </c>
      <c r="O50" s="731" t="s">
        <v>728</v>
      </c>
      <c r="P50" s="732"/>
      <c r="Q50" s="732"/>
      <c r="R50" s="732"/>
      <c r="S50" s="733"/>
      <c r="T50" s="733"/>
      <c r="U50" s="733"/>
      <c r="V50" s="734"/>
      <c r="W50" s="732"/>
      <c r="X50" s="732"/>
      <c r="Y50" s="735">
        <v>1</v>
      </c>
      <c r="Z50" s="736">
        <v>1</v>
      </c>
      <c r="AA50" s="166">
        <f t="shared" si="19"/>
        <v>0</v>
      </c>
      <c r="AB50" s="166">
        <f t="shared" si="20"/>
        <v>0</v>
      </c>
      <c r="AC50" s="166">
        <f t="shared" si="21"/>
        <v>0</v>
      </c>
      <c r="AD50" s="166"/>
      <c r="AE50" s="164">
        <f t="shared" si="24"/>
        <v>0</v>
      </c>
      <c r="AF50" s="167"/>
      <c r="AG50" s="165">
        <f t="shared" si="25"/>
        <v>0</v>
      </c>
      <c r="AH50" s="729"/>
      <c r="AI50" s="729"/>
      <c r="AJ50" s="8"/>
      <c r="AK50" s="495" t="str">
        <f t="shared" ref="AK50:AK81" si="30">IF(OR(H50="Medium",H50="High",J50="Medium",J50="High"),"Yes","No")</f>
        <v>No</v>
      </c>
      <c r="AL50" s="496">
        <f>'I-Project Contingency'!$I$4</f>
        <v>9000000</v>
      </c>
      <c r="AM50" s="326">
        <f>'I-Project Contingency'!$I$11</f>
        <v>23.978102189781023</v>
      </c>
      <c r="AN50" s="325">
        <f t="shared" ref="AN50:AN81" si="31">IF(B50="","",MAX(ABS(AA50),ABS(AB50),ABS(AC50)))</f>
        <v>0</v>
      </c>
      <c r="AO50" s="326">
        <f t="shared" ref="AO50:AO81" si="32">IF(B50="","",MAX(ABS(S50),ABS(T50),ABS(U50)))</f>
        <v>0</v>
      </c>
      <c r="AP50" s="641" t="str">
        <f t="shared" ref="AP50:AP81" si="33">IF(H50="Unrated","",IF(AND(H50="Low",AN50=0),G50,IF(ISNUMBER(AN50),IF(AND(AN50&gt;=VLOOKUP(G50,$AL$9:$AN$13,2,FALSE),AN50&lt;=VLOOKUP(G50,$AL$9:$AN$13,3,FALSE)),G50,VLOOKUP(AN50,$AM$9:$AO$13,3,TRUE)),G50)))</f>
        <v/>
      </c>
      <c r="AQ50" s="641" t="str">
        <f t="shared" ref="AQ50:AQ81" si="34">IF(J50="Unrated","",IF(AND(J50="Low",AO50=0),I50,IF(ISNUMBER(AO50),IF(AND(AO50&gt;=VLOOKUP(I50,$AP$9:$AR$13,2,FALSE),AO50&lt;=VLOOKUP(I50,$AP$9:$AR$13,3,FALSE)),I50,VLOOKUP(AO50,$AQ$9:$AS$13,3,TRUE)),I50)))</f>
        <v/>
      </c>
      <c r="AR50" s="497" t="str">
        <f t="shared" ref="AR50:AR81" si="35">IF(AP50="","",IF(B50="","",IF(G50=AP50,"","Check Impact")))</f>
        <v/>
      </c>
      <c r="AS50" s="497" t="str">
        <f t="shared" ref="AS50:AS81" si="36">IF(AQ50="","",IF(B50="","",IF(I50=AQ50,"","Check Impact")))</f>
        <v/>
      </c>
      <c r="AT50" s="8"/>
      <c r="AU50" s="329">
        <f>'I-Project Contingency'!$O$4-AE50</f>
        <v>0</v>
      </c>
      <c r="AV50" s="330">
        <v>-240515.59579276721</v>
      </c>
      <c r="AW50" s="330">
        <v>28172.931401335634</v>
      </c>
      <c r="AX50" s="330">
        <v>193478.84467429668</v>
      </c>
      <c r="AY50" s="330">
        <v>361668.20104834624</v>
      </c>
      <c r="AZ50" s="330">
        <v>524446.91524262261</v>
      </c>
      <c r="BA50" s="330">
        <v>704023.56387635041</v>
      </c>
      <c r="BB50" s="330">
        <v>886394.06956240814</v>
      </c>
      <c r="BC50" s="330">
        <v>1079363.7165157665</v>
      </c>
      <c r="BD50" s="330">
        <v>1280180.1532065615</v>
      </c>
      <c r="BE50" s="330">
        <v>1485323.8019108465</v>
      </c>
      <c r="BF50" s="330">
        <v>1703758.8827524669</v>
      </c>
      <c r="BG50" s="330">
        <v>1949523.4346483489</v>
      </c>
      <c r="BH50" s="330">
        <v>2177897.1603371189</v>
      </c>
      <c r="BI50" s="330">
        <v>2429374.4260425912</v>
      </c>
      <c r="BJ50" s="330">
        <v>2717092.7449284913</v>
      </c>
      <c r="BK50" s="330">
        <v>3010093.6968918457</v>
      </c>
      <c r="BL50" s="330">
        <v>3325414.5894657462</v>
      </c>
      <c r="BM50" s="330">
        <v>3690425.9159493577</v>
      </c>
      <c r="BN50" s="330">
        <v>4143935.1706127762</v>
      </c>
      <c r="BO50" s="330">
        <v>4722651.1159141911</v>
      </c>
      <c r="BP50" s="330">
        <v>5992048.8629153483</v>
      </c>
      <c r="BQ50" s="330">
        <f>'I-Project Contingency'!$E$61-AV50</f>
        <v>0</v>
      </c>
      <c r="BR50" s="330">
        <f>'I-Project Contingency'!$E$62-AW50</f>
        <v>0</v>
      </c>
      <c r="BS50" s="330">
        <f>'I-Project Contingency'!$E$63-AX50</f>
        <v>0</v>
      </c>
      <c r="BT50" s="330">
        <f>'I-Project Contingency'!$E$64-AY50</f>
        <v>0</v>
      </c>
      <c r="BU50" s="330">
        <f>'I-Project Contingency'!$E$65-AZ50</f>
        <v>0</v>
      </c>
      <c r="BV50" s="330">
        <f>'I-Project Contingency'!$E$66-BA50</f>
        <v>0</v>
      </c>
      <c r="BW50" s="330">
        <f>'I-Project Contingency'!$E$67-BB50</f>
        <v>0</v>
      </c>
      <c r="BX50" s="330">
        <f>'I-Project Contingency'!$E$68-BC50</f>
        <v>0</v>
      </c>
      <c r="BY50" s="330">
        <f>'I-Project Contingency'!$E$69-BD50</f>
        <v>0</v>
      </c>
      <c r="BZ50" s="330">
        <f>'I-Project Contingency'!$E$70-BE50</f>
        <v>0</v>
      </c>
      <c r="CA50" s="330">
        <f>'I-Project Contingency'!$E$71-BF50</f>
        <v>0</v>
      </c>
      <c r="CB50" s="330">
        <f>'I-Project Contingency'!$E$72-BG50</f>
        <v>0</v>
      </c>
      <c r="CC50" s="330">
        <f>'I-Project Contingency'!$E$73-BH50</f>
        <v>0</v>
      </c>
      <c r="CD50" s="330">
        <f>'I-Project Contingency'!$E$74-BI50</f>
        <v>0</v>
      </c>
      <c r="CE50" s="330">
        <f>'I-Project Contingency'!$E$75-BJ50</f>
        <v>0</v>
      </c>
      <c r="CF50" s="330">
        <f>'I-Project Contingency'!$E$76-BK50</f>
        <v>0</v>
      </c>
      <c r="CG50" s="330">
        <f>'I-Project Contingency'!$E$77-BL50</f>
        <v>0</v>
      </c>
      <c r="CH50" s="784">
        <f>'I-Project Contingency'!$E$78-BM50</f>
        <v>0</v>
      </c>
      <c r="CI50" s="330">
        <f>'I-Project Contingency'!$E$79-BN50</f>
        <v>0</v>
      </c>
      <c r="CJ50" s="330">
        <f>'I-Project Contingency'!$E$80-BO50</f>
        <v>0</v>
      </c>
      <c r="CK50" s="330">
        <f>'I-Project Contingency'!$E$81-BP50</f>
        <v>0</v>
      </c>
      <c r="CL50" s="331">
        <f>'I-Project Contingency'!$O$5-AG50</f>
        <v>0</v>
      </c>
      <c r="CM50" s="332">
        <v>-0.98711802853447173</v>
      </c>
      <c r="CN50" s="332">
        <v>-0.19547704728364468</v>
      </c>
      <c r="CO50" s="332">
        <v>0.126462150308498</v>
      </c>
      <c r="CP50" s="332">
        <v>0.45967989154545902</v>
      </c>
      <c r="CQ50" s="332">
        <v>0.78297319902744</v>
      </c>
      <c r="CR50" s="332">
        <v>1.0957191966482109</v>
      </c>
      <c r="CS50" s="332">
        <v>1.4418405003536849</v>
      </c>
      <c r="CT50" s="332">
        <v>1.801002404194165</v>
      </c>
      <c r="CU50" s="332">
        <v>2.1797608166947349</v>
      </c>
      <c r="CV50" s="332">
        <v>2.5671680610072478</v>
      </c>
      <c r="CW50" s="332">
        <v>2.9690760644797152</v>
      </c>
      <c r="CX50" s="332">
        <v>3.3964145469774811</v>
      </c>
      <c r="CY50" s="332">
        <v>3.864536087769562</v>
      </c>
      <c r="CZ50" s="332">
        <v>4.3569836138896116</v>
      </c>
      <c r="DA50" s="332">
        <v>4.8862357851222598</v>
      </c>
      <c r="DB50" s="332">
        <v>5.438836997347547</v>
      </c>
      <c r="DC50" s="332">
        <v>6.047993455908566</v>
      </c>
      <c r="DD50" s="785">
        <v>6.720204953601761</v>
      </c>
      <c r="DE50" s="333">
        <v>7.55131678090412</v>
      </c>
      <c r="DF50" s="332">
        <v>8.661446370835737</v>
      </c>
      <c r="DG50" s="332">
        <v>11.206316207857133</v>
      </c>
      <c r="DH50" s="332">
        <f>'I-Project Contingency'!$E$86-CM50</f>
        <v>0</v>
      </c>
      <c r="DI50" s="332">
        <f>'I-Project Contingency'!$E$87-CN50</f>
        <v>0</v>
      </c>
      <c r="DJ50" s="332">
        <f>'I-Project Contingency'!$E$88-CO50</f>
        <v>0</v>
      </c>
      <c r="DK50" s="332">
        <f>'I-Project Contingency'!$E$89-CP50</f>
        <v>0</v>
      </c>
      <c r="DL50" s="332">
        <f>'I-Project Contingency'!$E$90-CQ50</f>
        <v>0</v>
      </c>
      <c r="DM50" s="332">
        <f>'I-Project Contingency'!$E$91-CR50</f>
        <v>0</v>
      </c>
      <c r="DN50" s="332">
        <f>'I-Project Contingency'!$E$92-CS50</f>
        <v>0</v>
      </c>
      <c r="DO50" s="332">
        <f>'I-Project Contingency'!$E$93-CT50</f>
        <v>0</v>
      </c>
      <c r="DP50" s="332">
        <f>'I-Project Contingency'!$E$94-CU50</f>
        <v>0</v>
      </c>
      <c r="DQ50" s="332">
        <f>'I-Project Contingency'!$E$95-CV50</f>
        <v>0</v>
      </c>
      <c r="DR50" s="332">
        <f>'I-Project Contingency'!$E$96-CW50</f>
        <v>0</v>
      </c>
      <c r="DS50" s="332">
        <f>'I-Project Contingency'!$E$97-CX50</f>
        <v>0</v>
      </c>
      <c r="DT50" s="332">
        <f>'I-Project Contingency'!$E$98-CY50</f>
        <v>0</v>
      </c>
      <c r="DU50" s="332">
        <f>'I-Project Contingency'!$E$99-CZ50</f>
        <v>0</v>
      </c>
      <c r="DV50" s="332">
        <f>'I-Project Contingency'!$E$100-DA50</f>
        <v>0</v>
      </c>
      <c r="DW50" s="332">
        <f>'I-Project Contingency'!$E$101-DB50</f>
        <v>0</v>
      </c>
      <c r="DX50" s="332">
        <f>'I-Project Contingency'!$E$102-DC50</f>
        <v>0</v>
      </c>
      <c r="DY50" s="332">
        <f>'I-Project Contingency'!$E$103-DD50</f>
        <v>0</v>
      </c>
      <c r="DZ50" s="332">
        <f>'I-Project Contingency'!$E$104-DE50</f>
        <v>0</v>
      </c>
      <c r="EA50" s="332">
        <f>'I-Project Contingency'!$E$105-DF50</f>
        <v>0</v>
      </c>
      <c r="EB50" s="332">
        <f>'I-Project Contingency'!$E$106-DG50</f>
        <v>0</v>
      </c>
      <c r="EC50" s="334">
        <f>IF(EE50="N/A","N/A",ABS(INDEX(EE50:EY50,1,MATCH("ROM Cost Risk @ "&amp;'D-Project Data'!$C$6*100&amp;"%",$EE$17:$EY$17,0))))</f>
        <v>0</v>
      </c>
      <c r="ED50" s="335">
        <f>IF(EC50="N/A","N/A",RANK(EC50,$EC$18:$EC$117,0)+COUNTIF($EC$18:EC50,EC50)-1)</f>
        <v>33</v>
      </c>
      <c r="EE50" s="334">
        <f>IF(BQ50/SUM(BQ:BQ)*'I-Project Contingency'!$F$61=0,0,BQ50/SUM(BQ:BQ)*'I-Project Contingency'!$F$61)</f>
        <v>0</v>
      </c>
      <c r="EF50" s="334">
        <f>IF(BR50/SUM(BR:BR)*'I-Project Contingency'!$F$62=0,0,BR50/SUM(BR:BR)*'I-Project Contingency'!$F$62)</f>
        <v>0</v>
      </c>
      <c r="EG50" s="334">
        <f>IF(BS50/SUM(BS:BS)*'I-Project Contingency'!$F$63=0,0,BS50/SUM(BS:BS)*'I-Project Contingency'!$F$63)</f>
        <v>0</v>
      </c>
      <c r="EH50" s="334">
        <f>IF(BT50/SUM(BT:BT)*'I-Project Contingency'!$F$64=0,0,BT50/SUM(BT:BT)*'I-Project Contingency'!$F$64)</f>
        <v>0</v>
      </c>
      <c r="EI50" s="334">
        <f>IF(BU50/SUM(BU:BU)*'I-Project Contingency'!$F$65=0,0,BU50/SUM(BU:BU)*'I-Project Contingency'!$F$65)</f>
        <v>0</v>
      </c>
      <c r="EJ50" s="334">
        <f>IF(BV50/SUM(BV:BV)*'I-Project Contingency'!$F$66=0,0,BV50/SUM(BV:BV)*'I-Project Contingency'!$F$66)</f>
        <v>0</v>
      </c>
      <c r="EK50" s="334">
        <f>IF(BW50/SUM(BW:BW)*'I-Project Contingency'!$F$67=0,0,BW50/SUM(BW:BW)*'I-Project Contingency'!$F$67)</f>
        <v>0</v>
      </c>
      <c r="EL50" s="334">
        <f>IF(BX50/SUM(BX:BX)*'I-Project Contingency'!$F$68=0,0,BX50/SUM(BX:BX)*'I-Project Contingency'!$F$68)</f>
        <v>0</v>
      </c>
      <c r="EM50" s="334">
        <f>IF(BY50/SUM(BY:BY)*'I-Project Contingency'!$F$69=0,0,BY50/SUM(BY:BY)*'I-Project Contingency'!$F$69)</f>
        <v>0</v>
      </c>
      <c r="EN50" s="334">
        <f>IF(BZ50/SUM(BZ:BZ)*'I-Project Contingency'!$F$70=0,0,BZ50/SUM(BZ:BZ)*'I-Project Contingency'!$F$70)</f>
        <v>0</v>
      </c>
      <c r="EO50" s="334">
        <f>IF(CA50/SUM(CA:CA)*'I-Project Contingency'!$F$71=0,0,CA50/SUM(CA:CA)*'I-Project Contingency'!$F$71)</f>
        <v>0</v>
      </c>
      <c r="EP50" s="334">
        <f>IF(CB50/SUM(CB:CB)*'I-Project Contingency'!$F$72=0,0,CB50/SUM(CB:CB)*'I-Project Contingency'!$F$72)</f>
        <v>0</v>
      </c>
      <c r="EQ50" s="334">
        <f>IF(CC50/SUM(CC:CC)*'I-Project Contingency'!$F$73=0,0,CC50/SUM(CC:CC)*'I-Project Contingency'!$F$73)</f>
        <v>0</v>
      </c>
      <c r="ER50" s="334">
        <f>IF(CD50/SUM(CD:CD)*'I-Project Contingency'!$F$74=0,0,CD50/SUM(CD:CD)*'I-Project Contingency'!$F$74)</f>
        <v>0</v>
      </c>
      <c r="ES50" s="334">
        <f>IF(CE50/SUM(CE:CE)*'I-Project Contingency'!$F$75=0,0,CE50/SUM(CE:CE)*'I-Project Contingency'!$F$75)</f>
        <v>0</v>
      </c>
      <c r="ET50" s="334">
        <f>IF(CF50/SUM(CF:CF)*'I-Project Contingency'!$F$76=0,0,CF50/SUM(CF:CF)*'I-Project Contingency'!$F$76)</f>
        <v>0</v>
      </c>
      <c r="EU50" s="334">
        <f>IF(CG50/SUM(CG:CG)*'I-Project Contingency'!$F$77=0,0,CG50/SUM(CG:CG)*'I-Project Contingency'!$F$77)</f>
        <v>0</v>
      </c>
      <c r="EV50" s="787">
        <f>IF(CH50/SUM(CH:CH)*'I-Project Contingency'!$F$78=0,0,CH50/SUM(CH:CH)*'I-Project Contingency'!$F$78)</f>
        <v>0</v>
      </c>
      <c r="EW50" s="787">
        <f>IF(CI50/SUM(CI:CI)*'I-Project Contingency'!$F$79=0,0,CI50/SUM(CI:CI)*'I-Project Contingency'!$F$79)</f>
        <v>0</v>
      </c>
      <c r="EX50" s="787">
        <f>IF(CJ50/SUM(CJ:CJ)*'I-Project Contingency'!$F$80=0,0,CJ50/SUM(CJ:CJ)*'I-Project Contingency'!$F$80)</f>
        <v>0</v>
      </c>
      <c r="EY50" s="787">
        <f>IF(CK50/SUM(CK:CK)*'I-Project Contingency'!$F$81=0,0,CK50/SUM(CK:CK)*'I-Project Contingency'!$F$81)</f>
        <v>0</v>
      </c>
      <c r="EZ50" s="333">
        <f>IF(FB50="N/A","N/A",ABS(INDEX(FB50:FV50,1,MATCH("ROM Schedule Risk @ "&amp;'D-Project Data'!$C$6*100&amp;"%",$FB$17:$FV$17,0))))</f>
        <v>0</v>
      </c>
      <c r="FA50" s="335">
        <f>IF(EZ50="N/A","N/A",RANK(EZ50,$EZ$18:$EZ$117,0)+COUNTIF($FB$18:FB50,FB50)-1)</f>
        <v>33</v>
      </c>
      <c r="FB50" s="788">
        <f>IF(DH50/SUM(DH:DH)*'I-Project Contingency'!$F$86=0,0,DH50/SUM(DH:DH)*'I-Project Contingency'!$F$86)</f>
        <v>0</v>
      </c>
      <c r="FC50" s="788">
        <f>IF(DI50/SUM(DI:DI)*'I-Project Contingency'!$F$87=0,0,DI50/SUM(DI:DI)*'I-Project Contingency'!$F$87)</f>
        <v>0</v>
      </c>
      <c r="FD50" s="788">
        <f>IF(DJ50/SUM(DJ:DJ)*'I-Project Contingency'!$F$88=0,0,DJ50/SUM(DJ:DJ)*'I-Project Contingency'!$F$88)</f>
        <v>0</v>
      </c>
      <c r="FE50" s="788">
        <f>IF(DK50/SUM(DK:DK)*'I-Project Contingency'!$F$89=0,0,DK50/SUM(DK:DK)*'I-Project Contingency'!$F$89)</f>
        <v>0</v>
      </c>
      <c r="FF50" s="788">
        <f>IF(DL50/SUM(DL:DL)*'I-Project Contingency'!$F$90=0,0,DL50/SUM(DL:DL)*'I-Project Contingency'!$F$90)</f>
        <v>0</v>
      </c>
      <c r="FG50" s="788">
        <f>IF(DM50/SUM(DM:DM)*'I-Project Contingency'!$F$91=0,0,DM50/SUM(DM:DM)*'I-Project Contingency'!$F$91)</f>
        <v>0</v>
      </c>
      <c r="FH50" s="788">
        <f>IF(DN50/SUM(DN:DN)*'I-Project Contingency'!$F$92=0,0,DN50/SUM(DN:DN)*'I-Project Contingency'!$F$92)</f>
        <v>0</v>
      </c>
      <c r="FI50" s="788">
        <f>IF(DO50/SUM(DO:DO)*'I-Project Contingency'!$F$93=0,0,DO50/SUM(DO:DO)*'I-Project Contingency'!$F$93)</f>
        <v>0</v>
      </c>
      <c r="FJ50" s="788">
        <f>IF(DP50/SUM(DP:DP)*'I-Project Contingency'!$F$94=0,0,DP50/SUM(DP:DP)*'I-Project Contingency'!$F$94)</f>
        <v>0</v>
      </c>
      <c r="FK50" s="788">
        <f>IF(DQ50/SUM(DQ:DQ)*'I-Project Contingency'!$F$95=0,0,DQ50/SUM(DQ:DQ)*'I-Project Contingency'!$F$95)</f>
        <v>0</v>
      </c>
      <c r="FL50" s="788">
        <f>IF(DR50/SUM(DR:DR)*'I-Project Contingency'!$F$96=0,0,DR50/SUM(DR:DR)*'I-Project Contingency'!$F$96)</f>
        <v>0</v>
      </c>
      <c r="FM50" s="788">
        <f>IF(DS50/SUM(DS:DS)*'I-Project Contingency'!$F$97=0,0,DS50/SUM(DS:DS)*'I-Project Contingency'!$F$97)</f>
        <v>0</v>
      </c>
      <c r="FN50" s="788">
        <f>IF(DT50/SUM(DT:DT)*'I-Project Contingency'!$F$98=0,0,DT50/SUM(DT:DT)*'I-Project Contingency'!$F$98)</f>
        <v>0</v>
      </c>
      <c r="FO50" s="788">
        <f>IF(DU50/SUM(DU:DU)*'I-Project Contingency'!$F$99=0,0,DU50/SUM(DU:DU)*'I-Project Contingency'!$F$99)</f>
        <v>0</v>
      </c>
      <c r="FP50" s="788">
        <f>IF(DV50/SUM(DV:DV)*'I-Project Contingency'!$F$100=0,0,DV50/SUM(DV:DV)*'I-Project Contingency'!$F$100)</f>
        <v>0</v>
      </c>
      <c r="FQ50" s="788">
        <f>IF(DW50/SUM(DW:DW)*'I-Project Contingency'!$F$101=0,0,DW50/SUM(DW:DW)*'I-Project Contingency'!$F$101)</f>
        <v>0</v>
      </c>
      <c r="FR50" s="788">
        <f>IF(DX50/SUM(DX:DX)*'I-Project Contingency'!$F$102=0,0,DX50/SUM(DX:DX)*'I-Project Contingency'!$F$102)</f>
        <v>0</v>
      </c>
      <c r="FS50" s="788">
        <f>IF(DY50/SUM(DY:DY)*'I-Project Contingency'!$F$103=0,0,DY50/SUM(DY:DY)*'I-Project Contingency'!$F$103)</f>
        <v>0</v>
      </c>
      <c r="FT50" s="788">
        <f>IF(DZ50/SUM(DZ:DZ)*'I-Project Contingency'!$F$104=0,0,DZ50/SUM(DZ:DZ)*'I-Project Contingency'!$F$104)</f>
        <v>0</v>
      </c>
      <c r="FU50" s="788">
        <f>IF(EA50/SUM(EA:EA)*'I-Project Contingency'!$F$105=0,0,EA50/SUM(EA:EA)*'I-Project Contingency'!$F$105)</f>
        <v>0</v>
      </c>
      <c r="FV50" s="788">
        <f>IF(EB50/SUM(EB:EB)*'I-Project Contingency'!$F$106=0,0,EB50/SUM(EB:EB)*'I-Project Contingency'!$F$106)</f>
        <v>0</v>
      </c>
      <c r="FW50" s="335">
        <f t="shared" ref="FW50:FW81" si="37">A50</f>
        <v>33</v>
      </c>
      <c r="FX50" s="336" t="str">
        <f t="shared" ref="FX50:FX81" si="38">A50&amp;" - "&amp;C50</f>
        <v xml:space="preserve">33 - </v>
      </c>
      <c r="FY50" s="330">
        <f t="shared" si="26"/>
        <v>0</v>
      </c>
      <c r="FZ50" s="330">
        <f t="shared" si="27"/>
        <v>0</v>
      </c>
      <c r="GA50" s="332">
        <f t="shared" ref="GA50:GA81" si="39">IFERROR(S50,0)</f>
        <v>0</v>
      </c>
      <c r="GB50" s="332">
        <f t="shared" ref="GB50:GB81" si="40">IFERROR(U50,0)</f>
        <v>0</v>
      </c>
    </row>
    <row r="51" spans="1:184" ht="30" x14ac:dyDescent="0.25">
      <c r="A51" s="163">
        <f t="shared" si="23"/>
        <v>34</v>
      </c>
      <c r="B51" s="727" t="s">
        <v>728</v>
      </c>
      <c r="C51" s="729"/>
      <c r="D51" s="729"/>
      <c r="E51" s="729"/>
      <c r="F51" s="728" t="s">
        <v>728</v>
      </c>
      <c r="G51" s="728" t="s">
        <v>728</v>
      </c>
      <c r="H51" s="157" t="str">
        <f>IFERROR(IF('H-Risk Register-Model'!F51="Certain","Relook at Basis of Estimate",INDEX('G-Assumptions'!$F$8:$J$11,MATCH(F51,'G-Assumptions'!$D$8:$D$11,0),MATCH(G51,'G-Assumptions'!$F$6:$J$6,0))),"Unrated")</f>
        <v>Unrated</v>
      </c>
      <c r="I51" s="728" t="s">
        <v>728</v>
      </c>
      <c r="J51" s="157" t="str">
        <f>IFERROR(IF('H-Risk Register-Model'!F51="Certain","Relook at Basis of Estimate",INDEX('G-Assumptions'!$F$8:$J$11,MATCH(F51,'G-Assumptions'!$D$8:$D$11,0),MATCH(I51,'G-Assumptions'!$F$6:$J$6,0))),"Unrated")</f>
        <v>Unrated</v>
      </c>
      <c r="K51" s="728" t="s">
        <v>728</v>
      </c>
      <c r="L51" s="728" t="s">
        <v>728</v>
      </c>
      <c r="M51" s="728"/>
      <c r="N51" s="731" t="s">
        <v>728</v>
      </c>
      <c r="O51" s="731" t="s">
        <v>728</v>
      </c>
      <c r="P51" s="732"/>
      <c r="Q51" s="732"/>
      <c r="R51" s="732"/>
      <c r="S51" s="733"/>
      <c r="T51" s="733"/>
      <c r="U51" s="733"/>
      <c r="V51" s="734"/>
      <c r="W51" s="732"/>
      <c r="X51" s="732"/>
      <c r="Y51" s="735">
        <v>1</v>
      </c>
      <c r="Z51" s="736">
        <v>1</v>
      </c>
      <c r="AA51" s="166">
        <f t="shared" si="19"/>
        <v>0</v>
      </c>
      <c r="AB51" s="166">
        <f t="shared" si="20"/>
        <v>0</v>
      </c>
      <c r="AC51" s="166">
        <f t="shared" si="21"/>
        <v>0</v>
      </c>
      <c r="AD51" s="166"/>
      <c r="AE51" s="164">
        <f t="shared" si="24"/>
        <v>0</v>
      </c>
      <c r="AF51" s="167"/>
      <c r="AG51" s="165">
        <f t="shared" si="25"/>
        <v>0</v>
      </c>
      <c r="AH51" s="729"/>
      <c r="AI51" s="729"/>
      <c r="AJ51" s="8"/>
      <c r="AK51" s="495" t="str">
        <f t="shared" si="30"/>
        <v>No</v>
      </c>
      <c r="AL51" s="496">
        <f>'I-Project Contingency'!$I$4</f>
        <v>9000000</v>
      </c>
      <c r="AM51" s="326">
        <f>'I-Project Contingency'!$I$11</f>
        <v>23.978102189781023</v>
      </c>
      <c r="AN51" s="325">
        <f t="shared" si="31"/>
        <v>0</v>
      </c>
      <c r="AO51" s="326">
        <f t="shared" si="32"/>
        <v>0</v>
      </c>
      <c r="AP51" s="641" t="str">
        <f t="shared" si="33"/>
        <v/>
      </c>
      <c r="AQ51" s="641" t="str">
        <f t="shared" si="34"/>
        <v/>
      </c>
      <c r="AR51" s="497" t="str">
        <f t="shared" si="35"/>
        <v/>
      </c>
      <c r="AS51" s="497" t="str">
        <f t="shared" si="36"/>
        <v/>
      </c>
      <c r="AT51" s="8"/>
      <c r="AU51" s="329">
        <f>'I-Project Contingency'!$O$4-AE51</f>
        <v>0</v>
      </c>
      <c r="AV51" s="330">
        <v>-240515.59579276721</v>
      </c>
      <c r="AW51" s="330">
        <v>28172.931401335634</v>
      </c>
      <c r="AX51" s="330">
        <v>193478.84467429668</v>
      </c>
      <c r="AY51" s="330">
        <v>361668.20104834624</v>
      </c>
      <c r="AZ51" s="330">
        <v>524446.91524262261</v>
      </c>
      <c r="BA51" s="330">
        <v>704023.56387635041</v>
      </c>
      <c r="BB51" s="330">
        <v>886394.06956240814</v>
      </c>
      <c r="BC51" s="330">
        <v>1079363.7165157665</v>
      </c>
      <c r="BD51" s="330">
        <v>1280180.1532065615</v>
      </c>
      <c r="BE51" s="330">
        <v>1485323.8019108465</v>
      </c>
      <c r="BF51" s="330">
        <v>1703758.8827524669</v>
      </c>
      <c r="BG51" s="330">
        <v>1949523.4346483489</v>
      </c>
      <c r="BH51" s="330">
        <v>2177897.1603371189</v>
      </c>
      <c r="BI51" s="330">
        <v>2429374.4260425912</v>
      </c>
      <c r="BJ51" s="330">
        <v>2717092.7449284913</v>
      </c>
      <c r="BK51" s="330">
        <v>3010093.6968918457</v>
      </c>
      <c r="BL51" s="330">
        <v>3325414.5894657462</v>
      </c>
      <c r="BM51" s="330">
        <v>3690425.9159493577</v>
      </c>
      <c r="BN51" s="330">
        <v>4143935.1706127762</v>
      </c>
      <c r="BO51" s="330">
        <v>4722651.1159141911</v>
      </c>
      <c r="BP51" s="330">
        <v>5992048.8629153483</v>
      </c>
      <c r="BQ51" s="330">
        <f>'I-Project Contingency'!$E$61-AV51</f>
        <v>0</v>
      </c>
      <c r="BR51" s="330">
        <f>'I-Project Contingency'!$E$62-AW51</f>
        <v>0</v>
      </c>
      <c r="BS51" s="330">
        <f>'I-Project Contingency'!$E$63-AX51</f>
        <v>0</v>
      </c>
      <c r="BT51" s="330">
        <f>'I-Project Contingency'!$E$64-AY51</f>
        <v>0</v>
      </c>
      <c r="BU51" s="330">
        <f>'I-Project Contingency'!$E$65-AZ51</f>
        <v>0</v>
      </c>
      <c r="BV51" s="330">
        <f>'I-Project Contingency'!$E$66-BA51</f>
        <v>0</v>
      </c>
      <c r="BW51" s="330">
        <f>'I-Project Contingency'!$E$67-BB51</f>
        <v>0</v>
      </c>
      <c r="BX51" s="330">
        <f>'I-Project Contingency'!$E$68-BC51</f>
        <v>0</v>
      </c>
      <c r="BY51" s="330">
        <f>'I-Project Contingency'!$E$69-BD51</f>
        <v>0</v>
      </c>
      <c r="BZ51" s="330">
        <f>'I-Project Contingency'!$E$70-BE51</f>
        <v>0</v>
      </c>
      <c r="CA51" s="330">
        <f>'I-Project Contingency'!$E$71-BF51</f>
        <v>0</v>
      </c>
      <c r="CB51" s="330">
        <f>'I-Project Contingency'!$E$72-BG51</f>
        <v>0</v>
      </c>
      <c r="CC51" s="330">
        <f>'I-Project Contingency'!$E$73-BH51</f>
        <v>0</v>
      </c>
      <c r="CD51" s="330">
        <f>'I-Project Contingency'!$E$74-BI51</f>
        <v>0</v>
      </c>
      <c r="CE51" s="330">
        <f>'I-Project Contingency'!$E$75-BJ51</f>
        <v>0</v>
      </c>
      <c r="CF51" s="330">
        <f>'I-Project Contingency'!$E$76-BK51</f>
        <v>0</v>
      </c>
      <c r="CG51" s="330">
        <f>'I-Project Contingency'!$E$77-BL51</f>
        <v>0</v>
      </c>
      <c r="CH51" s="784">
        <f>'I-Project Contingency'!$E$78-BM51</f>
        <v>0</v>
      </c>
      <c r="CI51" s="330">
        <f>'I-Project Contingency'!$E$79-BN51</f>
        <v>0</v>
      </c>
      <c r="CJ51" s="330">
        <f>'I-Project Contingency'!$E$80-BO51</f>
        <v>0</v>
      </c>
      <c r="CK51" s="330">
        <f>'I-Project Contingency'!$E$81-BP51</f>
        <v>0</v>
      </c>
      <c r="CL51" s="331">
        <f>'I-Project Contingency'!$O$5-AG51</f>
        <v>0</v>
      </c>
      <c r="CM51" s="332">
        <v>-0.98711802853447173</v>
      </c>
      <c r="CN51" s="332">
        <v>-0.19547704728364468</v>
      </c>
      <c r="CO51" s="332">
        <v>0.126462150308498</v>
      </c>
      <c r="CP51" s="332">
        <v>0.45967989154545902</v>
      </c>
      <c r="CQ51" s="332">
        <v>0.78297319902744</v>
      </c>
      <c r="CR51" s="332">
        <v>1.0957191966482109</v>
      </c>
      <c r="CS51" s="332">
        <v>1.4418405003536849</v>
      </c>
      <c r="CT51" s="332">
        <v>1.801002404194165</v>
      </c>
      <c r="CU51" s="332">
        <v>2.1797608166947349</v>
      </c>
      <c r="CV51" s="332">
        <v>2.5671680610072478</v>
      </c>
      <c r="CW51" s="332">
        <v>2.9690760644797152</v>
      </c>
      <c r="CX51" s="332">
        <v>3.3964145469774811</v>
      </c>
      <c r="CY51" s="332">
        <v>3.864536087769562</v>
      </c>
      <c r="CZ51" s="332">
        <v>4.3569836138896116</v>
      </c>
      <c r="DA51" s="332">
        <v>4.8862357851222598</v>
      </c>
      <c r="DB51" s="332">
        <v>5.438836997347547</v>
      </c>
      <c r="DC51" s="332">
        <v>6.047993455908566</v>
      </c>
      <c r="DD51" s="785">
        <v>6.720204953601761</v>
      </c>
      <c r="DE51" s="333">
        <v>7.55131678090412</v>
      </c>
      <c r="DF51" s="332">
        <v>8.661446370835737</v>
      </c>
      <c r="DG51" s="332">
        <v>11.206316207857133</v>
      </c>
      <c r="DH51" s="332">
        <f>'I-Project Contingency'!$E$86-CM51</f>
        <v>0</v>
      </c>
      <c r="DI51" s="332">
        <f>'I-Project Contingency'!$E$87-CN51</f>
        <v>0</v>
      </c>
      <c r="DJ51" s="332">
        <f>'I-Project Contingency'!$E$88-CO51</f>
        <v>0</v>
      </c>
      <c r="DK51" s="332">
        <f>'I-Project Contingency'!$E$89-CP51</f>
        <v>0</v>
      </c>
      <c r="DL51" s="332">
        <f>'I-Project Contingency'!$E$90-CQ51</f>
        <v>0</v>
      </c>
      <c r="DM51" s="332">
        <f>'I-Project Contingency'!$E$91-CR51</f>
        <v>0</v>
      </c>
      <c r="DN51" s="332">
        <f>'I-Project Contingency'!$E$92-CS51</f>
        <v>0</v>
      </c>
      <c r="DO51" s="332">
        <f>'I-Project Contingency'!$E$93-CT51</f>
        <v>0</v>
      </c>
      <c r="DP51" s="332">
        <f>'I-Project Contingency'!$E$94-CU51</f>
        <v>0</v>
      </c>
      <c r="DQ51" s="332">
        <f>'I-Project Contingency'!$E$95-CV51</f>
        <v>0</v>
      </c>
      <c r="DR51" s="332">
        <f>'I-Project Contingency'!$E$96-CW51</f>
        <v>0</v>
      </c>
      <c r="DS51" s="332">
        <f>'I-Project Contingency'!$E$97-CX51</f>
        <v>0</v>
      </c>
      <c r="DT51" s="332">
        <f>'I-Project Contingency'!$E$98-CY51</f>
        <v>0</v>
      </c>
      <c r="DU51" s="332">
        <f>'I-Project Contingency'!$E$99-CZ51</f>
        <v>0</v>
      </c>
      <c r="DV51" s="332">
        <f>'I-Project Contingency'!$E$100-DA51</f>
        <v>0</v>
      </c>
      <c r="DW51" s="332">
        <f>'I-Project Contingency'!$E$101-DB51</f>
        <v>0</v>
      </c>
      <c r="DX51" s="332">
        <f>'I-Project Contingency'!$E$102-DC51</f>
        <v>0</v>
      </c>
      <c r="DY51" s="332">
        <f>'I-Project Contingency'!$E$103-DD51</f>
        <v>0</v>
      </c>
      <c r="DZ51" s="332">
        <f>'I-Project Contingency'!$E$104-DE51</f>
        <v>0</v>
      </c>
      <c r="EA51" s="332">
        <f>'I-Project Contingency'!$E$105-DF51</f>
        <v>0</v>
      </c>
      <c r="EB51" s="332">
        <f>'I-Project Contingency'!$E$106-DG51</f>
        <v>0</v>
      </c>
      <c r="EC51" s="334">
        <f>IF(EE51="N/A","N/A",ABS(INDEX(EE51:EY51,1,MATCH("ROM Cost Risk @ "&amp;'D-Project Data'!$C$6*100&amp;"%",$EE$17:$EY$17,0))))</f>
        <v>0</v>
      </c>
      <c r="ED51" s="335">
        <f>IF(EC51="N/A","N/A",RANK(EC51,$EC$18:$EC$117,0)+COUNTIF($EC$18:EC51,EC51)-1)</f>
        <v>34</v>
      </c>
      <c r="EE51" s="334">
        <f>IF(BQ51/SUM(BQ:BQ)*'I-Project Contingency'!$F$61=0,0,BQ51/SUM(BQ:BQ)*'I-Project Contingency'!$F$61)</f>
        <v>0</v>
      </c>
      <c r="EF51" s="334">
        <f>IF(BR51/SUM(BR:BR)*'I-Project Contingency'!$F$62=0,0,BR51/SUM(BR:BR)*'I-Project Contingency'!$F$62)</f>
        <v>0</v>
      </c>
      <c r="EG51" s="334">
        <f>IF(BS51/SUM(BS:BS)*'I-Project Contingency'!$F$63=0,0,BS51/SUM(BS:BS)*'I-Project Contingency'!$F$63)</f>
        <v>0</v>
      </c>
      <c r="EH51" s="334">
        <f>IF(BT51/SUM(BT:BT)*'I-Project Contingency'!$F$64=0,0,BT51/SUM(BT:BT)*'I-Project Contingency'!$F$64)</f>
        <v>0</v>
      </c>
      <c r="EI51" s="334">
        <f>IF(BU51/SUM(BU:BU)*'I-Project Contingency'!$F$65=0,0,BU51/SUM(BU:BU)*'I-Project Contingency'!$F$65)</f>
        <v>0</v>
      </c>
      <c r="EJ51" s="334">
        <f>IF(BV51/SUM(BV:BV)*'I-Project Contingency'!$F$66=0,0,BV51/SUM(BV:BV)*'I-Project Contingency'!$F$66)</f>
        <v>0</v>
      </c>
      <c r="EK51" s="334">
        <f>IF(BW51/SUM(BW:BW)*'I-Project Contingency'!$F$67=0,0,BW51/SUM(BW:BW)*'I-Project Contingency'!$F$67)</f>
        <v>0</v>
      </c>
      <c r="EL51" s="334">
        <f>IF(BX51/SUM(BX:BX)*'I-Project Contingency'!$F$68=0,0,BX51/SUM(BX:BX)*'I-Project Contingency'!$F$68)</f>
        <v>0</v>
      </c>
      <c r="EM51" s="334">
        <f>IF(BY51/SUM(BY:BY)*'I-Project Contingency'!$F$69=0,0,BY51/SUM(BY:BY)*'I-Project Contingency'!$F$69)</f>
        <v>0</v>
      </c>
      <c r="EN51" s="334">
        <f>IF(BZ51/SUM(BZ:BZ)*'I-Project Contingency'!$F$70=0,0,BZ51/SUM(BZ:BZ)*'I-Project Contingency'!$F$70)</f>
        <v>0</v>
      </c>
      <c r="EO51" s="334">
        <f>IF(CA51/SUM(CA:CA)*'I-Project Contingency'!$F$71=0,0,CA51/SUM(CA:CA)*'I-Project Contingency'!$F$71)</f>
        <v>0</v>
      </c>
      <c r="EP51" s="334">
        <f>IF(CB51/SUM(CB:CB)*'I-Project Contingency'!$F$72=0,0,CB51/SUM(CB:CB)*'I-Project Contingency'!$F$72)</f>
        <v>0</v>
      </c>
      <c r="EQ51" s="334">
        <f>IF(CC51/SUM(CC:CC)*'I-Project Contingency'!$F$73=0,0,CC51/SUM(CC:CC)*'I-Project Contingency'!$F$73)</f>
        <v>0</v>
      </c>
      <c r="ER51" s="334">
        <f>IF(CD51/SUM(CD:CD)*'I-Project Contingency'!$F$74=0,0,CD51/SUM(CD:CD)*'I-Project Contingency'!$F$74)</f>
        <v>0</v>
      </c>
      <c r="ES51" s="334">
        <f>IF(CE51/SUM(CE:CE)*'I-Project Contingency'!$F$75=0,0,CE51/SUM(CE:CE)*'I-Project Contingency'!$F$75)</f>
        <v>0</v>
      </c>
      <c r="ET51" s="334">
        <f>IF(CF51/SUM(CF:CF)*'I-Project Contingency'!$F$76=0,0,CF51/SUM(CF:CF)*'I-Project Contingency'!$F$76)</f>
        <v>0</v>
      </c>
      <c r="EU51" s="334">
        <f>IF(CG51/SUM(CG:CG)*'I-Project Contingency'!$F$77=0,0,CG51/SUM(CG:CG)*'I-Project Contingency'!$F$77)</f>
        <v>0</v>
      </c>
      <c r="EV51" s="787">
        <f>IF(CH51/SUM(CH:CH)*'I-Project Contingency'!$F$78=0,0,CH51/SUM(CH:CH)*'I-Project Contingency'!$F$78)</f>
        <v>0</v>
      </c>
      <c r="EW51" s="787">
        <f>IF(CI51/SUM(CI:CI)*'I-Project Contingency'!$F$79=0,0,CI51/SUM(CI:CI)*'I-Project Contingency'!$F$79)</f>
        <v>0</v>
      </c>
      <c r="EX51" s="787">
        <f>IF(CJ51/SUM(CJ:CJ)*'I-Project Contingency'!$F$80=0,0,CJ51/SUM(CJ:CJ)*'I-Project Contingency'!$F$80)</f>
        <v>0</v>
      </c>
      <c r="EY51" s="787">
        <f>IF(CK51/SUM(CK:CK)*'I-Project Contingency'!$F$81=0,0,CK51/SUM(CK:CK)*'I-Project Contingency'!$F$81)</f>
        <v>0</v>
      </c>
      <c r="EZ51" s="333">
        <f>IF(FB51="N/A","N/A",ABS(INDEX(FB51:FV51,1,MATCH("ROM Schedule Risk @ "&amp;'D-Project Data'!$C$6*100&amp;"%",$FB$17:$FV$17,0))))</f>
        <v>0</v>
      </c>
      <c r="FA51" s="335">
        <f>IF(EZ51="N/A","N/A",RANK(EZ51,$EZ$18:$EZ$117,0)+COUNTIF($FB$18:FB51,FB51)-1)</f>
        <v>34</v>
      </c>
      <c r="FB51" s="788">
        <f>IF(DH51/SUM(DH:DH)*'I-Project Contingency'!$F$86=0,0,DH51/SUM(DH:DH)*'I-Project Contingency'!$F$86)</f>
        <v>0</v>
      </c>
      <c r="FC51" s="788">
        <f>IF(DI51/SUM(DI:DI)*'I-Project Contingency'!$F$87=0,0,DI51/SUM(DI:DI)*'I-Project Contingency'!$F$87)</f>
        <v>0</v>
      </c>
      <c r="FD51" s="788">
        <f>IF(DJ51/SUM(DJ:DJ)*'I-Project Contingency'!$F$88=0,0,DJ51/SUM(DJ:DJ)*'I-Project Contingency'!$F$88)</f>
        <v>0</v>
      </c>
      <c r="FE51" s="788">
        <f>IF(DK51/SUM(DK:DK)*'I-Project Contingency'!$F$89=0,0,DK51/SUM(DK:DK)*'I-Project Contingency'!$F$89)</f>
        <v>0</v>
      </c>
      <c r="FF51" s="788">
        <f>IF(DL51/SUM(DL:DL)*'I-Project Contingency'!$F$90=0,0,DL51/SUM(DL:DL)*'I-Project Contingency'!$F$90)</f>
        <v>0</v>
      </c>
      <c r="FG51" s="788">
        <f>IF(DM51/SUM(DM:DM)*'I-Project Contingency'!$F$91=0,0,DM51/SUM(DM:DM)*'I-Project Contingency'!$F$91)</f>
        <v>0</v>
      </c>
      <c r="FH51" s="788">
        <f>IF(DN51/SUM(DN:DN)*'I-Project Contingency'!$F$92=0,0,DN51/SUM(DN:DN)*'I-Project Contingency'!$F$92)</f>
        <v>0</v>
      </c>
      <c r="FI51" s="788">
        <f>IF(DO51/SUM(DO:DO)*'I-Project Contingency'!$F$93=0,0,DO51/SUM(DO:DO)*'I-Project Contingency'!$F$93)</f>
        <v>0</v>
      </c>
      <c r="FJ51" s="788">
        <f>IF(DP51/SUM(DP:DP)*'I-Project Contingency'!$F$94=0,0,DP51/SUM(DP:DP)*'I-Project Contingency'!$F$94)</f>
        <v>0</v>
      </c>
      <c r="FK51" s="788">
        <f>IF(DQ51/SUM(DQ:DQ)*'I-Project Contingency'!$F$95=0,0,DQ51/SUM(DQ:DQ)*'I-Project Contingency'!$F$95)</f>
        <v>0</v>
      </c>
      <c r="FL51" s="788">
        <f>IF(DR51/SUM(DR:DR)*'I-Project Contingency'!$F$96=0,0,DR51/SUM(DR:DR)*'I-Project Contingency'!$F$96)</f>
        <v>0</v>
      </c>
      <c r="FM51" s="788">
        <f>IF(DS51/SUM(DS:DS)*'I-Project Contingency'!$F$97=0,0,DS51/SUM(DS:DS)*'I-Project Contingency'!$F$97)</f>
        <v>0</v>
      </c>
      <c r="FN51" s="788">
        <f>IF(DT51/SUM(DT:DT)*'I-Project Contingency'!$F$98=0,0,DT51/SUM(DT:DT)*'I-Project Contingency'!$F$98)</f>
        <v>0</v>
      </c>
      <c r="FO51" s="788">
        <f>IF(DU51/SUM(DU:DU)*'I-Project Contingency'!$F$99=0,0,DU51/SUM(DU:DU)*'I-Project Contingency'!$F$99)</f>
        <v>0</v>
      </c>
      <c r="FP51" s="788">
        <f>IF(DV51/SUM(DV:DV)*'I-Project Contingency'!$F$100=0,0,DV51/SUM(DV:DV)*'I-Project Contingency'!$F$100)</f>
        <v>0</v>
      </c>
      <c r="FQ51" s="788">
        <f>IF(DW51/SUM(DW:DW)*'I-Project Contingency'!$F$101=0,0,DW51/SUM(DW:DW)*'I-Project Contingency'!$F$101)</f>
        <v>0</v>
      </c>
      <c r="FR51" s="788">
        <f>IF(DX51/SUM(DX:DX)*'I-Project Contingency'!$F$102=0,0,DX51/SUM(DX:DX)*'I-Project Contingency'!$F$102)</f>
        <v>0</v>
      </c>
      <c r="FS51" s="788">
        <f>IF(DY51/SUM(DY:DY)*'I-Project Contingency'!$F$103=0,0,DY51/SUM(DY:DY)*'I-Project Contingency'!$F$103)</f>
        <v>0</v>
      </c>
      <c r="FT51" s="788">
        <f>IF(DZ51/SUM(DZ:DZ)*'I-Project Contingency'!$F$104=0,0,DZ51/SUM(DZ:DZ)*'I-Project Contingency'!$F$104)</f>
        <v>0</v>
      </c>
      <c r="FU51" s="788">
        <f>IF(EA51/SUM(EA:EA)*'I-Project Contingency'!$F$105=0,0,EA51/SUM(EA:EA)*'I-Project Contingency'!$F$105)</f>
        <v>0</v>
      </c>
      <c r="FV51" s="788">
        <f>IF(EB51/SUM(EB:EB)*'I-Project Contingency'!$F$106=0,0,EB51/SUM(EB:EB)*'I-Project Contingency'!$F$106)</f>
        <v>0</v>
      </c>
      <c r="FW51" s="335">
        <f t="shared" si="37"/>
        <v>34</v>
      </c>
      <c r="FX51" s="336" t="str">
        <f t="shared" si="38"/>
        <v xml:space="preserve">34 - </v>
      </c>
      <c r="FY51" s="330">
        <f t="shared" si="26"/>
        <v>0</v>
      </c>
      <c r="FZ51" s="330">
        <f t="shared" si="27"/>
        <v>0</v>
      </c>
      <c r="GA51" s="332">
        <f t="shared" si="39"/>
        <v>0</v>
      </c>
      <c r="GB51" s="332">
        <f t="shared" si="40"/>
        <v>0</v>
      </c>
    </row>
    <row r="52" spans="1:184" ht="30" x14ac:dyDescent="0.25">
      <c r="A52" s="163">
        <f t="shared" si="23"/>
        <v>35</v>
      </c>
      <c r="B52" s="727" t="s">
        <v>728</v>
      </c>
      <c r="C52" s="729"/>
      <c r="D52" s="729"/>
      <c r="E52" s="729"/>
      <c r="F52" s="728" t="s">
        <v>728</v>
      </c>
      <c r="G52" s="728" t="s">
        <v>728</v>
      </c>
      <c r="H52" s="157" t="str">
        <f>IFERROR(IF('H-Risk Register-Model'!F52="Certain","Relook at Basis of Estimate",INDEX('G-Assumptions'!$F$8:$J$11,MATCH(F52,'G-Assumptions'!$D$8:$D$11,0),MATCH(G52,'G-Assumptions'!$F$6:$J$6,0))),"Unrated")</f>
        <v>Unrated</v>
      </c>
      <c r="I52" s="728" t="s">
        <v>728</v>
      </c>
      <c r="J52" s="157" t="str">
        <f>IFERROR(IF('H-Risk Register-Model'!F52="Certain","Relook at Basis of Estimate",INDEX('G-Assumptions'!$F$8:$J$11,MATCH(F52,'G-Assumptions'!$D$8:$D$11,0),MATCH(I52,'G-Assumptions'!$F$6:$J$6,0))),"Unrated")</f>
        <v>Unrated</v>
      </c>
      <c r="K52" s="728" t="s">
        <v>728</v>
      </c>
      <c r="L52" s="728" t="s">
        <v>728</v>
      </c>
      <c r="M52" s="728"/>
      <c r="N52" s="731" t="s">
        <v>728</v>
      </c>
      <c r="O52" s="731" t="s">
        <v>728</v>
      </c>
      <c r="P52" s="732"/>
      <c r="Q52" s="732"/>
      <c r="R52" s="732"/>
      <c r="S52" s="733"/>
      <c r="T52" s="733"/>
      <c r="U52" s="733"/>
      <c r="V52" s="734"/>
      <c r="W52" s="732"/>
      <c r="X52" s="732"/>
      <c r="Y52" s="735">
        <v>1</v>
      </c>
      <c r="Z52" s="736">
        <v>1</v>
      </c>
      <c r="AA52" s="166">
        <f t="shared" si="19"/>
        <v>0</v>
      </c>
      <c r="AB52" s="166">
        <f t="shared" si="20"/>
        <v>0</v>
      </c>
      <c r="AC52" s="166">
        <f t="shared" si="21"/>
        <v>0</v>
      </c>
      <c r="AD52" s="166"/>
      <c r="AE52" s="164">
        <f t="shared" si="24"/>
        <v>0</v>
      </c>
      <c r="AF52" s="167"/>
      <c r="AG52" s="165">
        <f t="shared" si="25"/>
        <v>0</v>
      </c>
      <c r="AH52" s="729"/>
      <c r="AI52" s="729"/>
      <c r="AJ52" s="8"/>
      <c r="AK52" s="495" t="str">
        <f t="shared" si="30"/>
        <v>No</v>
      </c>
      <c r="AL52" s="496">
        <f>'I-Project Contingency'!$I$4</f>
        <v>9000000</v>
      </c>
      <c r="AM52" s="326">
        <f>'I-Project Contingency'!$I$11</f>
        <v>23.978102189781023</v>
      </c>
      <c r="AN52" s="325">
        <f t="shared" si="31"/>
        <v>0</v>
      </c>
      <c r="AO52" s="326">
        <f t="shared" si="32"/>
        <v>0</v>
      </c>
      <c r="AP52" s="641" t="str">
        <f t="shared" si="33"/>
        <v/>
      </c>
      <c r="AQ52" s="641" t="str">
        <f t="shared" si="34"/>
        <v/>
      </c>
      <c r="AR52" s="497" t="str">
        <f t="shared" si="35"/>
        <v/>
      </c>
      <c r="AS52" s="497" t="str">
        <f t="shared" si="36"/>
        <v/>
      </c>
      <c r="AT52" s="8"/>
      <c r="AU52" s="329">
        <f>'I-Project Contingency'!$O$4-AE52</f>
        <v>0</v>
      </c>
      <c r="AV52" s="330">
        <v>-240515.59579276721</v>
      </c>
      <c r="AW52" s="330">
        <v>28172.931401335634</v>
      </c>
      <c r="AX52" s="330">
        <v>193478.84467429668</v>
      </c>
      <c r="AY52" s="330">
        <v>361668.20104834624</v>
      </c>
      <c r="AZ52" s="330">
        <v>524446.91524262261</v>
      </c>
      <c r="BA52" s="330">
        <v>704023.56387635041</v>
      </c>
      <c r="BB52" s="330">
        <v>886394.06956240814</v>
      </c>
      <c r="BC52" s="330">
        <v>1079363.7165157665</v>
      </c>
      <c r="BD52" s="330">
        <v>1280180.1532065615</v>
      </c>
      <c r="BE52" s="330">
        <v>1485323.8019108465</v>
      </c>
      <c r="BF52" s="330">
        <v>1703758.8827524669</v>
      </c>
      <c r="BG52" s="330">
        <v>1949523.4346483489</v>
      </c>
      <c r="BH52" s="330">
        <v>2177897.1603371189</v>
      </c>
      <c r="BI52" s="330">
        <v>2429374.4260425912</v>
      </c>
      <c r="BJ52" s="330">
        <v>2717092.7449284913</v>
      </c>
      <c r="BK52" s="330">
        <v>3010093.6968918457</v>
      </c>
      <c r="BL52" s="330">
        <v>3325414.5894657462</v>
      </c>
      <c r="BM52" s="330">
        <v>3690425.9159493577</v>
      </c>
      <c r="BN52" s="330">
        <v>4143935.1706127762</v>
      </c>
      <c r="BO52" s="330">
        <v>4722651.1159141911</v>
      </c>
      <c r="BP52" s="330">
        <v>5992048.8629153483</v>
      </c>
      <c r="BQ52" s="330">
        <f>'I-Project Contingency'!$E$61-AV52</f>
        <v>0</v>
      </c>
      <c r="BR52" s="330">
        <f>'I-Project Contingency'!$E$62-AW52</f>
        <v>0</v>
      </c>
      <c r="BS52" s="330">
        <f>'I-Project Contingency'!$E$63-AX52</f>
        <v>0</v>
      </c>
      <c r="BT52" s="330">
        <f>'I-Project Contingency'!$E$64-AY52</f>
        <v>0</v>
      </c>
      <c r="BU52" s="330">
        <f>'I-Project Contingency'!$E$65-AZ52</f>
        <v>0</v>
      </c>
      <c r="BV52" s="330">
        <f>'I-Project Contingency'!$E$66-BA52</f>
        <v>0</v>
      </c>
      <c r="BW52" s="330">
        <f>'I-Project Contingency'!$E$67-BB52</f>
        <v>0</v>
      </c>
      <c r="BX52" s="330">
        <f>'I-Project Contingency'!$E$68-BC52</f>
        <v>0</v>
      </c>
      <c r="BY52" s="330">
        <f>'I-Project Contingency'!$E$69-BD52</f>
        <v>0</v>
      </c>
      <c r="BZ52" s="330">
        <f>'I-Project Contingency'!$E$70-BE52</f>
        <v>0</v>
      </c>
      <c r="CA52" s="330">
        <f>'I-Project Contingency'!$E$71-BF52</f>
        <v>0</v>
      </c>
      <c r="CB52" s="330">
        <f>'I-Project Contingency'!$E$72-BG52</f>
        <v>0</v>
      </c>
      <c r="CC52" s="330">
        <f>'I-Project Contingency'!$E$73-BH52</f>
        <v>0</v>
      </c>
      <c r="CD52" s="330">
        <f>'I-Project Contingency'!$E$74-BI52</f>
        <v>0</v>
      </c>
      <c r="CE52" s="330">
        <f>'I-Project Contingency'!$E$75-BJ52</f>
        <v>0</v>
      </c>
      <c r="CF52" s="330">
        <f>'I-Project Contingency'!$E$76-BK52</f>
        <v>0</v>
      </c>
      <c r="CG52" s="330">
        <f>'I-Project Contingency'!$E$77-BL52</f>
        <v>0</v>
      </c>
      <c r="CH52" s="784">
        <f>'I-Project Contingency'!$E$78-BM52</f>
        <v>0</v>
      </c>
      <c r="CI52" s="330">
        <f>'I-Project Contingency'!$E$79-BN52</f>
        <v>0</v>
      </c>
      <c r="CJ52" s="330">
        <f>'I-Project Contingency'!$E$80-BO52</f>
        <v>0</v>
      </c>
      <c r="CK52" s="330">
        <f>'I-Project Contingency'!$E$81-BP52</f>
        <v>0</v>
      </c>
      <c r="CL52" s="331">
        <f>'I-Project Contingency'!$O$5-AG52</f>
        <v>0</v>
      </c>
      <c r="CM52" s="332">
        <v>-0.98711802853447173</v>
      </c>
      <c r="CN52" s="332">
        <v>-0.19547704728364468</v>
      </c>
      <c r="CO52" s="332">
        <v>0.126462150308498</v>
      </c>
      <c r="CP52" s="332">
        <v>0.45967989154545902</v>
      </c>
      <c r="CQ52" s="332">
        <v>0.78297319902744</v>
      </c>
      <c r="CR52" s="332">
        <v>1.0957191966482109</v>
      </c>
      <c r="CS52" s="332">
        <v>1.4418405003536849</v>
      </c>
      <c r="CT52" s="332">
        <v>1.801002404194165</v>
      </c>
      <c r="CU52" s="332">
        <v>2.1797608166947349</v>
      </c>
      <c r="CV52" s="332">
        <v>2.5671680610072478</v>
      </c>
      <c r="CW52" s="332">
        <v>2.9690760644797152</v>
      </c>
      <c r="CX52" s="332">
        <v>3.3964145469774811</v>
      </c>
      <c r="CY52" s="332">
        <v>3.864536087769562</v>
      </c>
      <c r="CZ52" s="332">
        <v>4.3569836138896116</v>
      </c>
      <c r="DA52" s="332">
        <v>4.8862357851222598</v>
      </c>
      <c r="DB52" s="332">
        <v>5.438836997347547</v>
      </c>
      <c r="DC52" s="332">
        <v>6.047993455908566</v>
      </c>
      <c r="DD52" s="785">
        <v>6.720204953601761</v>
      </c>
      <c r="DE52" s="333">
        <v>7.55131678090412</v>
      </c>
      <c r="DF52" s="332">
        <v>8.661446370835737</v>
      </c>
      <c r="DG52" s="332">
        <v>11.206316207857133</v>
      </c>
      <c r="DH52" s="332">
        <f>'I-Project Contingency'!$E$86-CM52</f>
        <v>0</v>
      </c>
      <c r="DI52" s="332">
        <f>'I-Project Contingency'!$E$87-CN52</f>
        <v>0</v>
      </c>
      <c r="DJ52" s="332">
        <f>'I-Project Contingency'!$E$88-CO52</f>
        <v>0</v>
      </c>
      <c r="DK52" s="332">
        <f>'I-Project Contingency'!$E$89-CP52</f>
        <v>0</v>
      </c>
      <c r="DL52" s="332">
        <f>'I-Project Contingency'!$E$90-CQ52</f>
        <v>0</v>
      </c>
      <c r="DM52" s="332">
        <f>'I-Project Contingency'!$E$91-CR52</f>
        <v>0</v>
      </c>
      <c r="DN52" s="332">
        <f>'I-Project Contingency'!$E$92-CS52</f>
        <v>0</v>
      </c>
      <c r="DO52" s="332">
        <f>'I-Project Contingency'!$E$93-CT52</f>
        <v>0</v>
      </c>
      <c r="DP52" s="332">
        <f>'I-Project Contingency'!$E$94-CU52</f>
        <v>0</v>
      </c>
      <c r="DQ52" s="332">
        <f>'I-Project Contingency'!$E$95-CV52</f>
        <v>0</v>
      </c>
      <c r="DR52" s="332">
        <f>'I-Project Contingency'!$E$96-CW52</f>
        <v>0</v>
      </c>
      <c r="DS52" s="332">
        <f>'I-Project Contingency'!$E$97-CX52</f>
        <v>0</v>
      </c>
      <c r="DT52" s="332">
        <f>'I-Project Contingency'!$E$98-CY52</f>
        <v>0</v>
      </c>
      <c r="DU52" s="332">
        <f>'I-Project Contingency'!$E$99-CZ52</f>
        <v>0</v>
      </c>
      <c r="DV52" s="332">
        <f>'I-Project Contingency'!$E$100-DA52</f>
        <v>0</v>
      </c>
      <c r="DW52" s="332">
        <f>'I-Project Contingency'!$E$101-DB52</f>
        <v>0</v>
      </c>
      <c r="DX52" s="332">
        <f>'I-Project Contingency'!$E$102-DC52</f>
        <v>0</v>
      </c>
      <c r="DY52" s="332">
        <f>'I-Project Contingency'!$E$103-DD52</f>
        <v>0</v>
      </c>
      <c r="DZ52" s="332">
        <f>'I-Project Contingency'!$E$104-DE52</f>
        <v>0</v>
      </c>
      <c r="EA52" s="332">
        <f>'I-Project Contingency'!$E$105-DF52</f>
        <v>0</v>
      </c>
      <c r="EB52" s="332">
        <f>'I-Project Contingency'!$E$106-DG52</f>
        <v>0</v>
      </c>
      <c r="EC52" s="334">
        <f>IF(EE52="N/A","N/A",ABS(INDEX(EE52:EY52,1,MATCH("ROM Cost Risk @ "&amp;'D-Project Data'!$C$6*100&amp;"%",$EE$17:$EY$17,0))))</f>
        <v>0</v>
      </c>
      <c r="ED52" s="335">
        <f>IF(EC52="N/A","N/A",RANK(EC52,$EC$18:$EC$117,0)+COUNTIF($EC$18:EC52,EC52)-1)</f>
        <v>35</v>
      </c>
      <c r="EE52" s="334">
        <f>IF(BQ52/SUM(BQ:BQ)*'I-Project Contingency'!$F$61=0,0,BQ52/SUM(BQ:BQ)*'I-Project Contingency'!$F$61)</f>
        <v>0</v>
      </c>
      <c r="EF52" s="334">
        <f>IF(BR52/SUM(BR:BR)*'I-Project Contingency'!$F$62=0,0,BR52/SUM(BR:BR)*'I-Project Contingency'!$F$62)</f>
        <v>0</v>
      </c>
      <c r="EG52" s="334">
        <f>IF(BS52/SUM(BS:BS)*'I-Project Contingency'!$F$63=0,0,BS52/SUM(BS:BS)*'I-Project Contingency'!$F$63)</f>
        <v>0</v>
      </c>
      <c r="EH52" s="334">
        <f>IF(BT52/SUM(BT:BT)*'I-Project Contingency'!$F$64=0,0,BT52/SUM(BT:BT)*'I-Project Contingency'!$F$64)</f>
        <v>0</v>
      </c>
      <c r="EI52" s="334">
        <f>IF(BU52/SUM(BU:BU)*'I-Project Contingency'!$F$65=0,0,BU52/SUM(BU:BU)*'I-Project Contingency'!$F$65)</f>
        <v>0</v>
      </c>
      <c r="EJ52" s="334">
        <f>IF(BV52/SUM(BV:BV)*'I-Project Contingency'!$F$66=0,0,BV52/SUM(BV:BV)*'I-Project Contingency'!$F$66)</f>
        <v>0</v>
      </c>
      <c r="EK52" s="334">
        <f>IF(BW52/SUM(BW:BW)*'I-Project Contingency'!$F$67=0,0,BW52/SUM(BW:BW)*'I-Project Contingency'!$F$67)</f>
        <v>0</v>
      </c>
      <c r="EL52" s="334">
        <f>IF(BX52/SUM(BX:BX)*'I-Project Contingency'!$F$68=0,0,BX52/SUM(BX:BX)*'I-Project Contingency'!$F$68)</f>
        <v>0</v>
      </c>
      <c r="EM52" s="334">
        <f>IF(BY52/SUM(BY:BY)*'I-Project Contingency'!$F$69=0,0,BY52/SUM(BY:BY)*'I-Project Contingency'!$F$69)</f>
        <v>0</v>
      </c>
      <c r="EN52" s="334">
        <f>IF(BZ52/SUM(BZ:BZ)*'I-Project Contingency'!$F$70=0,0,BZ52/SUM(BZ:BZ)*'I-Project Contingency'!$F$70)</f>
        <v>0</v>
      </c>
      <c r="EO52" s="334">
        <f>IF(CA52/SUM(CA:CA)*'I-Project Contingency'!$F$71=0,0,CA52/SUM(CA:CA)*'I-Project Contingency'!$F$71)</f>
        <v>0</v>
      </c>
      <c r="EP52" s="334">
        <f>IF(CB52/SUM(CB:CB)*'I-Project Contingency'!$F$72=0,0,CB52/SUM(CB:CB)*'I-Project Contingency'!$F$72)</f>
        <v>0</v>
      </c>
      <c r="EQ52" s="334">
        <f>IF(CC52/SUM(CC:CC)*'I-Project Contingency'!$F$73=0,0,CC52/SUM(CC:CC)*'I-Project Contingency'!$F$73)</f>
        <v>0</v>
      </c>
      <c r="ER52" s="334">
        <f>IF(CD52/SUM(CD:CD)*'I-Project Contingency'!$F$74=0,0,CD52/SUM(CD:CD)*'I-Project Contingency'!$F$74)</f>
        <v>0</v>
      </c>
      <c r="ES52" s="334">
        <f>IF(CE52/SUM(CE:CE)*'I-Project Contingency'!$F$75=0,0,CE52/SUM(CE:CE)*'I-Project Contingency'!$F$75)</f>
        <v>0</v>
      </c>
      <c r="ET52" s="334">
        <f>IF(CF52/SUM(CF:CF)*'I-Project Contingency'!$F$76=0,0,CF52/SUM(CF:CF)*'I-Project Contingency'!$F$76)</f>
        <v>0</v>
      </c>
      <c r="EU52" s="334">
        <f>IF(CG52/SUM(CG:CG)*'I-Project Contingency'!$F$77=0,0,CG52/SUM(CG:CG)*'I-Project Contingency'!$F$77)</f>
        <v>0</v>
      </c>
      <c r="EV52" s="787">
        <f>IF(CH52/SUM(CH:CH)*'I-Project Contingency'!$F$78=0,0,CH52/SUM(CH:CH)*'I-Project Contingency'!$F$78)</f>
        <v>0</v>
      </c>
      <c r="EW52" s="787">
        <f>IF(CI52/SUM(CI:CI)*'I-Project Contingency'!$F$79=0,0,CI52/SUM(CI:CI)*'I-Project Contingency'!$F$79)</f>
        <v>0</v>
      </c>
      <c r="EX52" s="787">
        <f>IF(CJ52/SUM(CJ:CJ)*'I-Project Contingency'!$F$80=0,0,CJ52/SUM(CJ:CJ)*'I-Project Contingency'!$F$80)</f>
        <v>0</v>
      </c>
      <c r="EY52" s="787">
        <f>IF(CK52/SUM(CK:CK)*'I-Project Contingency'!$F$81=0,0,CK52/SUM(CK:CK)*'I-Project Contingency'!$F$81)</f>
        <v>0</v>
      </c>
      <c r="EZ52" s="333">
        <f>IF(FB52="N/A","N/A",ABS(INDEX(FB52:FV52,1,MATCH("ROM Schedule Risk @ "&amp;'D-Project Data'!$C$6*100&amp;"%",$FB$17:$FV$17,0))))</f>
        <v>0</v>
      </c>
      <c r="FA52" s="335">
        <f>IF(EZ52="N/A","N/A",RANK(EZ52,$EZ$18:$EZ$117,0)+COUNTIF($FB$18:FB52,FB52)-1)</f>
        <v>35</v>
      </c>
      <c r="FB52" s="788">
        <f>IF(DH52/SUM(DH:DH)*'I-Project Contingency'!$F$86=0,0,DH52/SUM(DH:DH)*'I-Project Contingency'!$F$86)</f>
        <v>0</v>
      </c>
      <c r="FC52" s="788">
        <f>IF(DI52/SUM(DI:DI)*'I-Project Contingency'!$F$87=0,0,DI52/SUM(DI:DI)*'I-Project Contingency'!$F$87)</f>
        <v>0</v>
      </c>
      <c r="FD52" s="788">
        <f>IF(DJ52/SUM(DJ:DJ)*'I-Project Contingency'!$F$88=0,0,DJ52/SUM(DJ:DJ)*'I-Project Contingency'!$F$88)</f>
        <v>0</v>
      </c>
      <c r="FE52" s="788">
        <f>IF(DK52/SUM(DK:DK)*'I-Project Contingency'!$F$89=0,0,DK52/SUM(DK:DK)*'I-Project Contingency'!$F$89)</f>
        <v>0</v>
      </c>
      <c r="FF52" s="788">
        <f>IF(DL52/SUM(DL:DL)*'I-Project Contingency'!$F$90=0,0,DL52/SUM(DL:DL)*'I-Project Contingency'!$F$90)</f>
        <v>0</v>
      </c>
      <c r="FG52" s="788">
        <f>IF(DM52/SUM(DM:DM)*'I-Project Contingency'!$F$91=0,0,DM52/SUM(DM:DM)*'I-Project Contingency'!$F$91)</f>
        <v>0</v>
      </c>
      <c r="FH52" s="788">
        <f>IF(DN52/SUM(DN:DN)*'I-Project Contingency'!$F$92=0,0,DN52/SUM(DN:DN)*'I-Project Contingency'!$F$92)</f>
        <v>0</v>
      </c>
      <c r="FI52" s="788">
        <f>IF(DO52/SUM(DO:DO)*'I-Project Contingency'!$F$93=0,0,DO52/SUM(DO:DO)*'I-Project Contingency'!$F$93)</f>
        <v>0</v>
      </c>
      <c r="FJ52" s="788">
        <f>IF(DP52/SUM(DP:DP)*'I-Project Contingency'!$F$94=0,0,DP52/SUM(DP:DP)*'I-Project Contingency'!$F$94)</f>
        <v>0</v>
      </c>
      <c r="FK52" s="788">
        <f>IF(DQ52/SUM(DQ:DQ)*'I-Project Contingency'!$F$95=0,0,DQ52/SUM(DQ:DQ)*'I-Project Contingency'!$F$95)</f>
        <v>0</v>
      </c>
      <c r="FL52" s="788">
        <f>IF(DR52/SUM(DR:DR)*'I-Project Contingency'!$F$96=0,0,DR52/SUM(DR:DR)*'I-Project Contingency'!$F$96)</f>
        <v>0</v>
      </c>
      <c r="FM52" s="788">
        <f>IF(DS52/SUM(DS:DS)*'I-Project Contingency'!$F$97=0,0,DS52/SUM(DS:DS)*'I-Project Contingency'!$F$97)</f>
        <v>0</v>
      </c>
      <c r="FN52" s="788">
        <f>IF(DT52/SUM(DT:DT)*'I-Project Contingency'!$F$98=0,0,DT52/SUM(DT:DT)*'I-Project Contingency'!$F$98)</f>
        <v>0</v>
      </c>
      <c r="FO52" s="788">
        <f>IF(DU52/SUM(DU:DU)*'I-Project Contingency'!$F$99=0,0,DU52/SUM(DU:DU)*'I-Project Contingency'!$F$99)</f>
        <v>0</v>
      </c>
      <c r="FP52" s="788">
        <f>IF(DV52/SUM(DV:DV)*'I-Project Contingency'!$F$100=0,0,DV52/SUM(DV:DV)*'I-Project Contingency'!$F$100)</f>
        <v>0</v>
      </c>
      <c r="FQ52" s="788">
        <f>IF(DW52/SUM(DW:DW)*'I-Project Contingency'!$F$101=0,0,DW52/SUM(DW:DW)*'I-Project Contingency'!$F$101)</f>
        <v>0</v>
      </c>
      <c r="FR52" s="788">
        <f>IF(DX52/SUM(DX:DX)*'I-Project Contingency'!$F$102=0,0,DX52/SUM(DX:DX)*'I-Project Contingency'!$F$102)</f>
        <v>0</v>
      </c>
      <c r="FS52" s="788">
        <f>IF(DY52/SUM(DY:DY)*'I-Project Contingency'!$F$103=0,0,DY52/SUM(DY:DY)*'I-Project Contingency'!$F$103)</f>
        <v>0</v>
      </c>
      <c r="FT52" s="788">
        <f>IF(DZ52/SUM(DZ:DZ)*'I-Project Contingency'!$F$104=0,0,DZ52/SUM(DZ:DZ)*'I-Project Contingency'!$F$104)</f>
        <v>0</v>
      </c>
      <c r="FU52" s="788">
        <f>IF(EA52/SUM(EA:EA)*'I-Project Contingency'!$F$105=0,0,EA52/SUM(EA:EA)*'I-Project Contingency'!$F$105)</f>
        <v>0</v>
      </c>
      <c r="FV52" s="788">
        <f>IF(EB52/SUM(EB:EB)*'I-Project Contingency'!$F$106=0,0,EB52/SUM(EB:EB)*'I-Project Contingency'!$F$106)</f>
        <v>0</v>
      </c>
      <c r="FW52" s="335">
        <f t="shared" si="37"/>
        <v>35</v>
      </c>
      <c r="FX52" s="336" t="str">
        <f t="shared" si="38"/>
        <v xml:space="preserve">35 - </v>
      </c>
      <c r="FY52" s="330">
        <f t="shared" si="26"/>
        <v>0</v>
      </c>
      <c r="FZ52" s="330">
        <f t="shared" si="27"/>
        <v>0</v>
      </c>
      <c r="GA52" s="332">
        <f t="shared" si="39"/>
        <v>0</v>
      </c>
      <c r="GB52" s="332">
        <f t="shared" si="40"/>
        <v>0</v>
      </c>
    </row>
    <row r="53" spans="1:184" ht="30" x14ac:dyDescent="0.25">
      <c r="A53" s="163">
        <f t="shared" si="23"/>
        <v>36</v>
      </c>
      <c r="B53" s="727" t="s">
        <v>728</v>
      </c>
      <c r="C53" s="729"/>
      <c r="D53" s="729"/>
      <c r="E53" s="729"/>
      <c r="F53" s="728" t="s">
        <v>728</v>
      </c>
      <c r="G53" s="728" t="s">
        <v>728</v>
      </c>
      <c r="H53" s="157" t="str">
        <f>IFERROR(IF('H-Risk Register-Model'!F53="Certain","Relook at Basis of Estimate",INDEX('G-Assumptions'!$F$8:$J$11,MATCH(F53,'G-Assumptions'!$D$8:$D$11,0),MATCH(G53,'G-Assumptions'!$F$6:$J$6,0))),"Unrated")</f>
        <v>Unrated</v>
      </c>
      <c r="I53" s="728" t="s">
        <v>728</v>
      </c>
      <c r="J53" s="157" t="str">
        <f>IFERROR(IF('H-Risk Register-Model'!F53="Certain","Relook at Basis of Estimate",INDEX('G-Assumptions'!$F$8:$J$11,MATCH(F53,'G-Assumptions'!$D$8:$D$11,0),MATCH(I53,'G-Assumptions'!$F$6:$J$6,0))),"Unrated")</f>
        <v>Unrated</v>
      </c>
      <c r="K53" s="728" t="s">
        <v>728</v>
      </c>
      <c r="L53" s="728" t="s">
        <v>728</v>
      </c>
      <c r="M53" s="728"/>
      <c r="N53" s="731" t="s">
        <v>728</v>
      </c>
      <c r="O53" s="731" t="s">
        <v>728</v>
      </c>
      <c r="P53" s="732"/>
      <c r="Q53" s="732"/>
      <c r="R53" s="732"/>
      <c r="S53" s="733"/>
      <c r="T53" s="733"/>
      <c r="U53" s="733"/>
      <c r="V53" s="734"/>
      <c r="W53" s="732"/>
      <c r="X53" s="732"/>
      <c r="Y53" s="735">
        <v>1</v>
      </c>
      <c r="Z53" s="736">
        <v>1</v>
      </c>
      <c r="AA53" s="166">
        <f t="shared" si="19"/>
        <v>0</v>
      </c>
      <c r="AB53" s="166">
        <f t="shared" si="20"/>
        <v>0</v>
      </c>
      <c r="AC53" s="166">
        <f t="shared" si="21"/>
        <v>0</v>
      </c>
      <c r="AD53" s="166"/>
      <c r="AE53" s="164">
        <f t="shared" si="24"/>
        <v>0</v>
      </c>
      <c r="AF53" s="167"/>
      <c r="AG53" s="165">
        <f t="shared" si="25"/>
        <v>0</v>
      </c>
      <c r="AH53" s="729"/>
      <c r="AI53" s="729"/>
      <c r="AJ53" s="8"/>
      <c r="AK53" s="495" t="str">
        <f t="shared" si="30"/>
        <v>No</v>
      </c>
      <c r="AL53" s="496">
        <f>'I-Project Contingency'!$I$4</f>
        <v>9000000</v>
      </c>
      <c r="AM53" s="326">
        <f>'I-Project Contingency'!$I$11</f>
        <v>23.978102189781023</v>
      </c>
      <c r="AN53" s="325">
        <f t="shared" si="31"/>
        <v>0</v>
      </c>
      <c r="AO53" s="326">
        <f t="shared" si="32"/>
        <v>0</v>
      </c>
      <c r="AP53" s="641" t="str">
        <f t="shared" si="33"/>
        <v/>
      </c>
      <c r="AQ53" s="641" t="str">
        <f t="shared" si="34"/>
        <v/>
      </c>
      <c r="AR53" s="497" t="str">
        <f t="shared" si="35"/>
        <v/>
      </c>
      <c r="AS53" s="497" t="str">
        <f t="shared" si="36"/>
        <v/>
      </c>
      <c r="AT53" s="8"/>
      <c r="AU53" s="329">
        <f>'I-Project Contingency'!$O$4-AE53</f>
        <v>0</v>
      </c>
      <c r="AV53" s="330">
        <v>-240515.59579276721</v>
      </c>
      <c r="AW53" s="330">
        <v>28172.931401335634</v>
      </c>
      <c r="AX53" s="330">
        <v>193478.84467429668</v>
      </c>
      <c r="AY53" s="330">
        <v>361668.20104834624</v>
      </c>
      <c r="AZ53" s="330">
        <v>524446.91524262261</v>
      </c>
      <c r="BA53" s="330">
        <v>704023.56387635041</v>
      </c>
      <c r="BB53" s="330">
        <v>886394.06956240814</v>
      </c>
      <c r="BC53" s="330">
        <v>1079363.7165157665</v>
      </c>
      <c r="BD53" s="330">
        <v>1280180.1532065615</v>
      </c>
      <c r="BE53" s="330">
        <v>1485323.8019108465</v>
      </c>
      <c r="BF53" s="330">
        <v>1703758.8827524669</v>
      </c>
      <c r="BG53" s="330">
        <v>1949523.4346483489</v>
      </c>
      <c r="BH53" s="330">
        <v>2177897.1603371189</v>
      </c>
      <c r="BI53" s="330">
        <v>2429374.4260425912</v>
      </c>
      <c r="BJ53" s="330">
        <v>2717092.7449284913</v>
      </c>
      <c r="BK53" s="330">
        <v>3010093.6968918457</v>
      </c>
      <c r="BL53" s="330">
        <v>3325414.5894657462</v>
      </c>
      <c r="BM53" s="330">
        <v>3690425.9159493577</v>
      </c>
      <c r="BN53" s="330">
        <v>4143935.1706127762</v>
      </c>
      <c r="BO53" s="330">
        <v>4722651.1159141911</v>
      </c>
      <c r="BP53" s="330">
        <v>5992048.8629153483</v>
      </c>
      <c r="BQ53" s="330">
        <f>'I-Project Contingency'!$E$61-AV53</f>
        <v>0</v>
      </c>
      <c r="BR53" s="330">
        <f>'I-Project Contingency'!$E$62-AW53</f>
        <v>0</v>
      </c>
      <c r="BS53" s="330">
        <f>'I-Project Contingency'!$E$63-AX53</f>
        <v>0</v>
      </c>
      <c r="BT53" s="330">
        <f>'I-Project Contingency'!$E$64-AY53</f>
        <v>0</v>
      </c>
      <c r="BU53" s="330">
        <f>'I-Project Contingency'!$E$65-AZ53</f>
        <v>0</v>
      </c>
      <c r="BV53" s="330">
        <f>'I-Project Contingency'!$E$66-BA53</f>
        <v>0</v>
      </c>
      <c r="BW53" s="330">
        <f>'I-Project Contingency'!$E$67-BB53</f>
        <v>0</v>
      </c>
      <c r="BX53" s="330">
        <f>'I-Project Contingency'!$E$68-BC53</f>
        <v>0</v>
      </c>
      <c r="BY53" s="330">
        <f>'I-Project Contingency'!$E$69-BD53</f>
        <v>0</v>
      </c>
      <c r="BZ53" s="330">
        <f>'I-Project Contingency'!$E$70-BE53</f>
        <v>0</v>
      </c>
      <c r="CA53" s="330">
        <f>'I-Project Contingency'!$E$71-BF53</f>
        <v>0</v>
      </c>
      <c r="CB53" s="330">
        <f>'I-Project Contingency'!$E$72-BG53</f>
        <v>0</v>
      </c>
      <c r="CC53" s="330">
        <f>'I-Project Contingency'!$E$73-BH53</f>
        <v>0</v>
      </c>
      <c r="CD53" s="330">
        <f>'I-Project Contingency'!$E$74-BI53</f>
        <v>0</v>
      </c>
      <c r="CE53" s="330">
        <f>'I-Project Contingency'!$E$75-BJ53</f>
        <v>0</v>
      </c>
      <c r="CF53" s="330">
        <f>'I-Project Contingency'!$E$76-BK53</f>
        <v>0</v>
      </c>
      <c r="CG53" s="330">
        <f>'I-Project Contingency'!$E$77-BL53</f>
        <v>0</v>
      </c>
      <c r="CH53" s="784">
        <f>'I-Project Contingency'!$E$78-BM53</f>
        <v>0</v>
      </c>
      <c r="CI53" s="330">
        <f>'I-Project Contingency'!$E$79-BN53</f>
        <v>0</v>
      </c>
      <c r="CJ53" s="330">
        <f>'I-Project Contingency'!$E$80-BO53</f>
        <v>0</v>
      </c>
      <c r="CK53" s="330">
        <f>'I-Project Contingency'!$E$81-BP53</f>
        <v>0</v>
      </c>
      <c r="CL53" s="331">
        <f>'I-Project Contingency'!$O$5-AG53</f>
        <v>0</v>
      </c>
      <c r="CM53" s="332">
        <v>-0.98711802853447173</v>
      </c>
      <c r="CN53" s="332">
        <v>-0.19547704728364468</v>
      </c>
      <c r="CO53" s="332">
        <v>0.126462150308498</v>
      </c>
      <c r="CP53" s="332">
        <v>0.45967989154545902</v>
      </c>
      <c r="CQ53" s="332">
        <v>0.78297319902744</v>
      </c>
      <c r="CR53" s="332">
        <v>1.0957191966482109</v>
      </c>
      <c r="CS53" s="332">
        <v>1.4418405003536849</v>
      </c>
      <c r="CT53" s="332">
        <v>1.801002404194165</v>
      </c>
      <c r="CU53" s="332">
        <v>2.1797608166947349</v>
      </c>
      <c r="CV53" s="332">
        <v>2.5671680610072478</v>
      </c>
      <c r="CW53" s="332">
        <v>2.9690760644797152</v>
      </c>
      <c r="CX53" s="332">
        <v>3.3964145469774811</v>
      </c>
      <c r="CY53" s="332">
        <v>3.864536087769562</v>
      </c>
      <c r="CZ53" s="332">
        <v>4.3569836138896116</v>
      </c>
      <c r="DA53" s="332">
        <v>4.8862357851222598</v>
      </c>
      <c r="DB53" s="332">
        <v>5.438836997347547</v>
      </c>
      <c r="DC53" s="332">
        <v>6.047993455908566</v>
      </c>
      <c r="DD53" s="785">
        <v>6.720204953601761</v>
      </c>
      <c r="DE53" s="333">
        <v>7.55131678090412</v>
      </c>
      <c r="DF53" s="332">
        <v>8.661446370835737</v>
      </c>
      <c r="DG53" s="332">
        <v>11.206316207857133</v>
      </c>
      <c r="DH53" s="332">
        <f>'I-Project Contingency'!$E$86-CM53</f>
        <v>0</v>
      </c>
      <c r="DI53" s="332">
        <f>'I-Project Contingency'!$E$87-CN53</f>
        <v>0</v>
      </c>
      <c r="DJ53" s="332">
        <f>'I-Project Contingency'!$E$88-CO53</f>
        <v>0</v>
      </c>
      <c r="DK53" s="332">
        <f>'I-Project Contingency'!$E$89-CP53</f>
        <v>0</v>
      </c>
      <c r="DL53" s="332">
        <f>'I-Project Contingency'!$E$90-CQ53</f>
        <v>0</v>
      </c>
      <c r="DM53" s="332">
        <f>'I-Project Contingency'!$E$91-CR53</f>
        <v>0</v>
      </c>
      <c r="DN53" s="332">
        <f>'I-Project Contingency'!$E$92-CS53</f>
        <v>0</v>
      </c>
      <c r="DO53" s="332">
        <f>'I-Project Contingency'!$E$93-CT53</f>
        <v>0</v>
      </c>
      <c r="DP53" s="332">
        <f>'I-Project Contingency'!$E$94-CU53</f>
        <v>0</v>
      </c>
      <c r="DQ53" s="332">
        <f>'I-Project Contingency'!$E$95-CV53</f>
        <v>0</v>
      </c>
      <c r="DR53" s="332">
        <f>'I-Project Contingency'!$E$96-CW53</f>
        <v>0</v>
      </c>
      <c r="DS53" s="332">
        <f>'I-Project Contingency'!$E$97-CX53</f>
        <v>0</v>
      </c>
      <c r="DT53" s="332">
        <f>'I-Project Contingency'!$E$98-CY53</f>
        <v>0</v>
      </c>
      <c r="DU53" s="332">
        <f>'I-Project Contingency'!$E$99-CZ53</f>
        <v>0</v>
      </c>
      <c r="DV53" s="332">
        <f>'I-Project Contingency'!$E$100-DA53</f>
        <v>0</v>
      </c>
      <c r="DW53" s="332">
        <f>'I-Project Contingency'!$E$101-DB53</f>
        <v>0</v>
      </c>
      <c r="DX53" s="332">
        <f>'I-Project Contingency'!$E$102-DC53</f>
        <v>0</v>
      </c>
      <c r="DY53" s="332">
        <f>'I-Project Contingency'!$E$103-DD53</f>
        <v>0</v>
      </c>
      <c r="DZ53" s="332">
        <f>'I-Project Contingency'!$E$104-DE53</f>
        <v>0</v>
      </c>
      <c r="EA53" s="332">
        <f>'I-Project Contingency'!$E$105-DF53</f>
        <v>0</v>
      </c>
      <c r="EB53" s="332">
        <f>'I-Project Contingency'!$E$106-DG53</f>
        <v>0</v>
      </c>
      <c r="EC53" s="334">
        <f>IF(EE53="N/A","N/A",ABS(INDEX(EE53:EY53,1,MATCH("ROM Cost Risk @ "&amp;'D-Project Data'!$C$6*100&amp;"%",$EE$17:$EY$17,0))))</f>
        <v>0</v>
      </c>
      <c r="ED53" s="335">
        <f>IF(EC53="N/A","N/A",RANK(EC53,$EC$18:$EC$117,0)+COUNTIF($EC$18:EC53,EC53)-1)</f>
        <v>36</v>
      </c>
      <c r="EE53" s="334">
        <f>IF(BQ53/SUM(BQ:BQ)*'I-Project Contingency'!$F$61=0,0,BQ53/SUM(BQ:BQ)*'I-Project Contingency'!$F$61)</f>
        <v>0</v>
      </c>
      <c r="EF53" s="334">
        <f>IF(BR53/SUM(BR:BR)*'I-Project Contingency'!$F$62=0,0,BR53/SUM(BR:BR)*'I-Project Contingency'!$F$62)</f>
        <v>0</v>
      </c>
      <c r="EG53" s="334">
        <f>IF(BS53/SUM(BS:BS)*'I-Project Contingency'!$F$63=0,0,BS53/SUM(BS:BS)*'I-Project Contingency'!$F$63)</f>
        <v>0</v>
      </c>
      <c r="EH53" s="334">
        <f>IF(BT53/SUM(BT:BT)*'I-Project Contingency'!$F$64=0,0,BT53/SUM(BT:BT)*'I-Project Contingency'!$F$64)</f>
        <v>0</v>
      </c>
      <c r="EI53" s="334">
        <f>IF(BU53/SUM(BU:BU)*'I-Project Contingency'!$F$65=0,0,BU53/SUM(BU:BU)*'I-Project Contingency'!$F$65)</f>
        <v>0</v>
      </c>
      <c r="EJ53" s="334">
        <f>IF(BV53/SUM(BV:BV)*'I-Project Contingency'!$F$66=0,0,BV53/SUM(BV:BV)*'I-Project Contingency'!$F$66)</f>
        <v>0</v>
      </c>
      <c r="EK53" s="334">
        <f>IF(BW53/SUM(BW:BW)*'I-Project Contingency'!$F$67=0,0,BW53/SUM(BW:BW)*'I-Project Contingency'!$F$67)</f>
        <v>0</v>
      </c>
      <c r="EL53" s="334">
        <f>IF(BX53/SUM(BX:BX)*'I-Project Contingency'!$F$68=0,0,BX53/SUM(BX:BX)*'I-Project Contingency'!$F$68)</f>
        <v>0</v>
      </c>
      <c r="EM53" s="334">
        <f>IF(BY53/SUM(BY:BY)*'I-Project Contingency'!$F$69=0,0,BY53/SUM(BY:BY)*'I-Project Contingency'!$F$69)</f>
        <v>0</v>
      </c>
      <c r="EN53" s="334">
        <f>IF(BZ53/SUM(BZ:BZ)*'I-Project Contingency'!$F$70=0,0,BZ53/SUM(BZ:BZ)*'I-Project Contingency'!$F$70)</f>
        <v>0</v>
      </c>
      <c r="EO53" s="334">
        <f>IF(CA53/SUM(CA:CA)*'I-Project Contingency'!$F$71=0,0,CA53/SUM(CA:CA)*'I-Project Contingency'!$F$71)</f>
        <v>0</v>
      </c>
      <c r="EP53" s="334">
        <f>IF(CB53/SUM(CB:CB)*'I-Project Contingency'!$F$72=0,0,CB53/SUM(CB:CB)*'I-Project Contingency'!$F$72)</f>
        <v>0</v>
      </c>
      <c r="EQ53" s="334">
        <f>IF(CC53/SUM(CC:CC)*'I-Project Contingency'!$F$73=0,0,CC53/SUM(CC:CC)*'I-Project Contingency'!$F$73)</f>
        <v>0</v>
      </c>
      <c r="ER53" s="334">
        <f>IF(CD53/SUM(CD:CD)*'I-Project Contingency'!$F$74=0,0,CD53/SUM(CD:CD)*'I-Project Contingency'!$F$74)</f>
        <v>0</v>
      </c>
      <c r="ES53" s="334">
        <f>IF(CE53/SUM(CE:CE)*'I-Project Contingency'!$F$75=0,0,CE53/SUM(CE:CE)*'I-Project Contingency'!$F$75)</f>
        <v>0</v>
      </c>
      <c r="ET53" s="334">
        <f>IF(CF53/SUM(CF:CF)*'I-Project Contingency'!$F$76=0,0,CF53/SUM(CF:CF)*'I-Project Contingency'!$F$76)</f>
        <v>0</v>
      </c>
      <c r="EU53" s="334">
        <f>IF(CG53/SUM(CG:CG)*'I-Project Contingency'!$F$77=0,0,CG53/SUM(CG:CG)*'I-Project Contingency'!$F$77)</f>
        <v>0</v>
      </c>
      <c r="EV53" s="787">
        <f>IF(CH53/SUM(CH:CH)*'I-Project Contingency'!$F$78=0,0,CH53/SUM(CH:CH)*'I-Project Contingency'!$F$78)</f>
        <v>0</v>
      </c>
      <c r="EW53" s="787">
        <f>IF(CI53/SUM(CI:CI)*'I-Project Contingency'!$F$79=0,0,CI53/SUM(CI:CI)*'I-Project Contingency'!$F$79)</f>
        <v>0</v>
      </c>
      <c r="EX53" s="787">
        <f>IF(CJ53/SUM(CJ:CJ)*'I-Project Contingency'!$F$80=0,0,CJ53/SUM(CJ:CJ)*'I-Project Contingency'!$F$80)</f>
        <v>0</v>
      </c>
      <c r="EY53" s="787">
        <f>IF(CK53/SUM(CK:CK)*'I-Project Contingency'!$F$81=0,0,CK53/SUM(CK:CK)*'I-Project Contingency'!$F$81)</f>
        <v>0</v>
      </c>
      <c r="EZ53" s="333">
        <f>IF(FB53="N/A","N/A",ABS(INDEX(FB53:FV53,1,MATCH("ROM Schedule Risk @ "&amp;'D-Project Data'!$C$6*100&amp;"%",$FB$17:$FV$17,0))))</f>
        <v>0</v>
      </c>
      <c r="FA53" s="335">
        <f>IF(EZ53="N/A","N/A",RANK(EZ53,$EZ$18:$EZ$117,0)+COUNTIF($FB$18:FB53,FB53)-1)</f>
        <v>36</v>
      </c>
      <c r="FB53" s="788">
        <f>IF(DH53/SUM(DH:DH)*'I-Project Contingency'!$F$86=0,0,DH53/SUM(DH:DH)*'I-Project Contingency'!$F$86)</f>
        <v>0</v>
      </c>
      <c r="FC53" s="788">
        <f>IF(DI53/SUM(DI:DI)*'I-Project Contingency'!$F$87=0,0,DI53/SUM(DI:DI)*'I-Project Contingency'!$F$87)</f>
        <v>0</v>
      </c>
      <c r="FD53" s="788">
        <f>IF(DJ53/SUM(DJ:DJ)*'I-Project Contingency'!$F$88=0,0,DJ53/SUM(DJ:DJ)*'I-Project Contingency'!$F$88)</f>
        <v>0</v>
      </c>
      <c r="FE53" s="788">
        <f>IF(DK53/SUM(DK:DK)*'I-Project Contingency'!$F$89=0,0,DK53/SUM(DK:DK)*'I-Project Contingency'!$F$89)</f>
        <v>0</v>
      </c>
      <c r="FF53" s="788">
        <f>IF(DL53/SUM(DL:DL)*'I-Project Contingency'!$F$90=0,0,DL53/SUM(DL:DL)*'I-Project Contingency'!$F$90)</f>
        <v>0</v>
      </c>
      <c r="FG53" s="788">
        <f>IF(DM53/SUM(DM:DM)*'I-Project Contingency'!$F$91=0,0,DM53/SUM(DM:DM)*'I-Project Contingency'!$F$91)</f>
        <v>0</v>
      </c>
      <c r="FH53" s="788">
        <f>IF(DN53/SUM(DN:DN)*'I-Project Contingency'!$F$92=0,0,DN53/SUM(DN:DN)*'I-Project Contingency'!$F$92)</f>
        <v>0</v>
      </c>
      <c r="FI53" s="788">
        <f>IF(DO53/SUM(DO:DO)*'I-Project Contingency'!$F$93=0,0,DO53/SUM(DO:DO)*'I-Project Contingency'!$F$93)</f>
        <v>0</v>
      </c>
      <c r="FJ53" s="788">
        <f>IF(DP53/SUM(DP:DP)*'I-Project Contingency'!$F$94=0,0,DP53/SUM(DP:DP)*'I-Project Contingency'!$F$94)</f>
        <v>0</v>
      </c>
      <c r="FK53" s="788">
        <f>IF(DQ53/SUM(DQ:DQ)*'I-Project Contingency'!$F$95=0,0,DQ53/SUM(DQ:DQ)*'I-Project Contingency'!$F$95)</f>
        <v>0</v>
      </c>
      <c r="FL53" s="788">
        <f>IF(DR53/SUM(DR:DR)*'I-Project Contingency'!$F$96=0,0,DR53/SUM(DR:DR)*'I-Project Contingency'!$F$96)</f>
        <v>0</v>
      </c>
      <c r="FM53" s="788">
        <f>IF(DS53/SUM(DS:DS)*'I-Project Contingency'!$F$97=0,0,DS53/SUM(DS:DS)*'I-Project Contingency'!$F$97)</f>
        <v>0</v>
      </c>
      <c r="FN53" s="788">
        <f>IF(DT53/SUM(DT:DT)*'I-Project Contingency'!$F$98=0,0,DT53/SUM(DT:DT)*'I-Project Contingency'!$F$98)</f>
        <v>0</v>
      </c>
      <c r="FO53" s="788">
        <f>IF(DU53/SUM(DU:DU)*'I-Project Contingency'!$F$99=0,0,DU53/SUM(DU:DU)*'I-Project Contingency'!$F$99)</f>
        <v>0</v>
      </c>
      <c r="FP53" s="788">
        <f>IF(DV53/SUM(DV:DV)*'I-Project Contingency'!$F$100=0,0,DV53/SUM(DV:DV)*'I-Project Contingency'!$F$100)</f>
        <v>0</v>
      </c>
      <c r="FQ53" s="788">
        <f>IF(DW53/SUM(DW:DW)*'I-Project Contingency'!$F$101=0,0,DW53/SUM(DW:DW)*'I-Project Contingency'!$F$101)</f>
        <v>0</v>
      </c>
      <c r="FR53" s="788">
        <f>IF(DX53/SUM(DX:DX)*'I-Project Contingency'!$F$102=0,0,DX53/SUM(DX:DX)*'I-Project Contingency'!$F$102)</f>
        <v>0</v>
      </c>
      <c r="FS53" s="788">
        <f>IF(DY53/SUM(DY:DY)*'I-Project Contingency'!$F$103=0,0,DY53/SUM(DY:DY)*'I-Project Contingency'!$F$103)</f>
        <v>0</v>
      </c>
      <c r="FT53" s="788">
        <f>IF(DZ53/SUM(DZ:DZ)*'I-Project Contingency'!$F$104=0,0,DZ53/SUM(DZ:DZ)*'I-Project Contingency'!$F$104)</f>
        <v>0</v>
      </c>
      <c r="FU53" s="788">
        <f>IF(EA53/SUM(EA:EA)*'I-Project Contingency'!$F$105=0,0,EA53/SUM(EA:EA)*'I-Project Contingency'!$F$105)</f>
        <v>0</v>
      </c>
      <c r="FV53" s="788">
        <f>IF(EB53/SUM(EB:EB)*'I-Project Contingency'!$F$106=0,0,EB53/SUM(EB:EB)*'I-Project Contingency'!$F$106)</f>
        <v>0</v>
      </c>
      <c r="FW53" s="335">
        <f t="shared" si="37"/>
        <v>36</v>
      </c>
      <c r="FX53" s="336" t="str">
        <f t="shared" si="38"/>
        <v xml:space="preserve">36 - </v>
      </c>
      <c r="FY53" s="330">
        <f t="shared" si="26"/>
        <v>0</v>
      </c>
      <c r="FZ53" s="330">
        <f t="shared" si="27"/>
        <v>0</v>
      </c>
      <c r="GA53" s="332">
        <f t="shared" si="39"/>
        <v>0</v>
      </c>
      <c r="GB53" s="332">
        <f t="shared" si="40"/>
        <v>0</v>
      </c>
    </row>
    <row r="54" spans="1:184" ht="30" x14ac:dyDescent="0.25">
      <c r="A54" s="163">
        <f t="shared" si="23"/>
        <v>37</v>
      </c>
      <c r="B54" s="727" t="s">
        <v>728</v>
      </c>
      <c r="C54" s="729"/>
      <c r="D54" s="729"/>
      <c r="E54" s="729"/>
      <c r="F54" s="728" t="s">
        <v>728</v>
      </c>
      <c r="G54" s="728" t="s">
        <v>728</v>
      </c>
      <c r="H54" s="157" t="str">
        <f>IFERROR(IF('H-Risk Register-Model'!F54="Certain","Relook at Basis of Estimate",INDEX('G-Assumptions'!$F$8:$J$11,MATCH(F54,'G-Assumptions'!$D$8:$D$11,0),MATCH(G54,'G-Assumptions'!$F$6:$J$6,0))),"Unrated")</f>
        <v>Unrated</v>
      </c>
      <c r="I54" s="728" t="s">
        <v>728</v>
      </c>
      <c r="J54" s="157" t="str">
        <f>IFERROR(IF('H-Risk Register-Model'!F54="Certain","Relook at Basis of Estimate",INDEX('G-Assumptions'!$F$8:$J$11,MATCH(F54,'G-Assumptions'!$D$8:$D$11,0),MATCH(I54,'G-Assumptions'!$F$6:$J$6,0))),"Unrated")</f>
        <v>Unrated</v>
      </c>
      <c r="K54" s="728" t="s">
        <v>728</v>
      </c>
      <c r="L54" s="728" t="s">
        <v>728</v>
      </c>
      <c r="M54" s="728"/>
      <c r="N54" s="731" t="s">
        <v>728</v>
      </c>
      <c r="O54" s="731" t="s">
        <v>728</v>
      </c>
      <c r="P54" s="732"/>
      <c r="Q54" s="732"/>
      <c r="R54" s="732"/>
      <c r="S54" s="733"/>
      <c r="T54" s="733"/>
      <c r="U54" s="733"/>
      <c r="V54" s="734"/>
      <c r="W54" s="732"/>
      <c r="X54" s="732"/>
      <c r="Y54" s="735">
        <v>1</v>
      </c>
      <c r="Z54" s="736">
        <v>1</v>
      </c>
      <c r="AA54" s="166">
        <f t="shared" si="19"/>
        <v>0</v>
      </c>
      <c r="AB54" s="166">
        <f t="shared" si="20"/>
        <v>0</v>
      </c>
      <c r="AC54" s="166">
        <f t="shared" si="21"/>
        <v>0</v>
      </c>
      <c r="AD54" s="166"/>
      <c r="AE54" s="164">
        <f t="shared" si="24"/>
        <v>0</v>
      </c>
      <c r="AF54" s="167"/>
      <c r="AG54" s="165">
        <f t="shared" si="25"/>
        <v>0</v>
      </c>
      <c r="AH54" s="729"/>
      <c r="AI54" s="729"/>
      <c r="AJ54" s="8"/>
      <c r="AK54" s="495" t="str">
        <f t="shared" si="30"/>
        <v>No</v>
      </c>
      <c r="AL54" s="496">
        <f>'I-Project Contingency'!$I$4</f>
        <v>9000000</v>
      </c>
      <c r="AM54" s="326">
        <f>'I-Project Contingency'!$I$11</f>
        <v>23.978102189781023</v>
      </c>
      <c r="AN54" s="325">
        <f t="shared" si="31"/>
        <v>0</v>
      </c>
      <c r="AO54" s="326">
        <f t="shared" si="32"/>
        <v>0</v>
      </c>
      <c r="AP54" s="641" t="str">
        <f t="shared" si="33"/>
        <v/>
      </c>
      <c r="AQ54" s="641" t="str">
        <f t="shared" si="34"/>
        <v/>
      </c>
      <c r="AR54" s="497" t="str">
        <f t="shared" si="35"/>
        <v/>
      </c>
      <c r="AS54" s="497" t="str">
        <f t="shared" si="36"/>
        <v/>
      </c>
      <c r="AT54" s="8"/>
      <c r="AU54" s="329">
        <f>'I-Project Contingency'!$O$4-AE54</f>
        <v>0</v>
      </c>
      <c r="AV54" s="330">
        <v>-240515.59579276721</v>
      </c>
      <c r="AW54" s="330">
        <v>28172.931401335634</v>
      </c>
      <c r="AX54" s="330">
        <v>193478.84467429668</v>
      </c>
      <c r="AY54" s="330">
        <v>361668.20104834624</v>
      </c>
      <c r="AZ54" s="330">
        <v>524446.91524262261</v>
      </c>
      <c r="BA54" s="330">
        <v>704023.56387635041</v>
      </c>
      <c r="BB54" s="330">
        <v>886394.06956240814</v>
      </c>
      <c r="BC54" s="330">
        <v>1079363.7165157665</v>
      </c>
      <c r="BD54" s="330">
        <v>1280180.1532065615</v>
      </c>
      <c r="BE54" s="330">
        <v>1485323.8019108465</v>
      </c>
      <c r="BF54" s="330">
        <v>1703758.8827524669</v>
      </c>
      <c r="BG54" s="330">
        <v>1949523.4346483489</v>
      </c>
      <c r="BH54" s="330">
        <v>2177897.1603371189</v>
      </c>
      <c r="BI54" s="330">
        <v>2429374.4260425912</v>
      </c>
      <c r="BJ54" s="330">
        <v>2717092.7449284913</v>
      </c>
      <c r="BK54" s="330">
        <v>3010093.6968918457</v>
      </c>
      <c r="BL54" s="330">
        <v>3325414.5894657462</v>
      </c>
      <c r="BM54" s="330">
        <v>3690425.9159493577</v>
      </c>
      <c r="BN54" s="330">
        <v>4143935.1706127762</v>
      </c>
      <c r="BO54" s="330">
        <v>4722651.1159141911</v>
      </c>
      <c r="BP54" s="330">
        <v>5992048.8629153483</v>
      </c>
      <c r="BQ54" s="330">
        <f>'I-Project Contingency'!$E$61-AV54</f>
        <v>0</v>
      </c>
      <c r="BR54" s="330">
        <f>'I-Project Contingency'!$E$62-AW54</f>
        <v>0</v>
      </c>
      <c r="BS54" s="330">
        <f>'I-Project Contingency'!$E$63-AX54</f>
        <v>0</v>
      </c>
      <c r="BT54" s="330">
        <f>'I-Project Contingency'!$E$64-AY54</f>
        <v>0</v>
      </c>
      <c r="BU54" s="330">
        <f>'I-Project Contingency'!$E$65-AZ54</f>
        <v>0</v>
      </c>
      <c r="BV54" s="330">
        <f>'I-Project Contingency'!$E$66-BA54</f>
        <v>0</v>
      </c>
      <c r="BW54" s="330">
        <f>'I-Project Contingency'!$E$67-BB54</f>
        <v>0</v>
      </c>
      <c r="BX54" s="330">
        <f>'I-Project Contingency'!$E$68-BC54</f>
        <v>0</v>
      </c>
      <c r="BY54" s="330">
        <f>'I-Project Contingency'!$E$69-BD54</f>
        <v>0</v>
      </c>
      <c r="BZ54" s="330">
        <f>'I-Project Contingency'!$E$70-BE54</f>
        <v>0</v>
      </c>
      <c r="CA54" s="330">
        <f>'I-Project Contingency'!$E$71-BF54</f>
        <v>0</v>
      </c>
      <c r="CB54" s="330">
        <f>'I-Project Contingency'!$E$72-BG54</f>
        <v>0</v>
      </c>
      <c r="CC54" s="330">
        <f>'I-Project Contingency'!$E$73-BH54</f>
        <v>0</v>
      </c>
      <c r="CD54" s="330">
        <f>'I-Project Contingency'!$E$74-BI54</f>
        <v>0</v>
      </c>
      <c r="CE54" s="330">
        <f>'I-Project Contingency'!$E$75-BJ54</f>
        <v>0</v>
      </c>
      <c r="CF54" s="330">
        <f>'I-Project Contingency'!$E$76-BK54</f>
        <v>0</v>
      </c>
      <c r="CG54" s="330">
        <f>'I-Project Contingency'!$E$77-BL54</f>
        <v>0</v>
      </c>
      <c r="CH54" s="784">
        <f>'I-Project Contingency'!$E$78-BM54</f>
        <v>0</v>
      </c>
      <c r="CI54" s="330">
        <f>'I-Project Contingency'!$E$79-BN54</f>
        <v>0</v>
      </c>
      <c r="CJ54" s="330">
        <f>'I-Project Contingency'!$E$80-BO54</f>
        <v>0</v>
      </c>
      <c r="CK54" s="330">
        <f>'I-Project Contingency'!$E$81-BP54</f>
        <v>0</v>
      </c>
      <c r="CL54" s="331">
        <f>'I-Project Contingency'!$O$5-AG54</f>
        <v>0</v>
      </c>
      <c r="CM54" s="332">
        <v>-0.98711802853447173</v>
      </c>
      <c r="CN54" s="332">
        <v>-0.19547704728364468</v>
      </c>
      <c r="CO54" s="332">
        <v>0.126462150308498</v>
      </c>
      <c r="CP54" s="332">
        <v>0.45967989154545902</v>
      </c>
      <c r="CQ54" s="332">
        <v>0.78297319902744</v>
      </c>
      <c r="CR54" s="332">
        <v>1.0957191966482109</v>
      </c>
      <c r="CS54" s="332">
        <v>1.4418405003536849</v>
      </c>
      <c r="CT54" s="332">
        <v>1.801002404194165</v>
      </c>
      <c r="CU54" s="332">
        <v>2.1797608166947349</v>
      </c>
      <c r="CV54" s="332">
        <v>2.5671680610072478</v>
      </c>
      <c r="CW54" s="332">
        <v>2.9690760644797152</v>
      </c>
      <c r="CX54" s="332">
        <v>3.3964145469774811</v>
      </c>
      <c r="CY54" s="332">
        <v>3.864536087769562</v>
      </c>
      <c r="CZ54" s="332">
        <v>4.3569836138896116</v>
      </c>
      <c r="DA54" s="332">
        <v>4.8862357851222598</v>
      </c>
      <c r="DB54" s="332">
        <v>5.438836997347547</v>
      </c>
      <c r="DC54" s="332">
        <v>6.047993455908566</v>
      </c>
      <c r="DD54" s="785">
        <v>6.720204953601761</v>
      </c>
      <c r="DE54" s="333">
        <v>7.55131678090412</v>
      </c>
      <c r="DF54" s="332">
        <v>8.661446370835737</v>
      </c>
      <c r="DG54" s="332">
        <v>11.206316207857133</v>
      </c>
      <c r="DH54" s="332">
        <f>'I-Project Contingency'!$E$86-CM54</f>
        <v>0</v>
      </c>
      <c r="DI54" s="332">
        <f>'I-Project Contingency'!$E$87-CN54</f>
        <v>0</v>
      </c>
      <c r="DJ54" s="332">
        <f>'I-Project Contingency'!$E$88-CO54</f>
        <v>0</v>
      </c>
      <c r="DK54" s="332">
        <f>'I-Project Contingency'!$E$89-CP54</f>
        <v>0</v>
      </c>
      <c r="DL54" s="332">
        <f>'I-Project Contingency'!$E$90-CQ54</f>
        <v>0</v>
      </c>
      <c r="DM54" s="332">
        <f>'I-Project Contingency'!$E$91-CR54</f>
        <v>0</v>
      </c>
      <c r="DN54" s="332">
        <f>'I-Project Contingency'!$E$92-CS54</f>
        <v>0</v>
      </c>
      <c r="DO54" s="332">
        <f>'I-Project Contingency'!$E$93-CT54</f>
        <v>0</v>
      </c>
      <c r="DP54" s="332">
        <f>'I-Project Contingency'!$E$94-CU54</f>
        <v>0</v>
      </c>
      <c r="DQ54" s="332">
        <f>'I-Project Contingency'!$E$95-CV54</f>
        <v>0</v>
      </c>
      <c r="DR54" s="332">
        <f>'I-Project Contingency'!$E$96-CW54</f>
        <v>0</v>
      </c>
      <c r="DS54" s="332">
        <f>'I-Project Contingency'!$E$97-CX54</f>
        <v>0</v>
      </c>
      <c r="DT54" s="332">
        <f>'I-Project Contingency'!$E$98-CY54</f>
        <v>0</v>
      </c>
      <c r="DU54" s="332">
        <f>'I-Project Contingency'!$E$99-CZ54</f>
        <v>0</v>
      </c>
      <c r="DV54" s="332">
        <f>'I-Project Contingency'!$E$100-DA54</f>
        <v>0</v>
      </c>
      <c r="DW54" s="332">
        <f>'I-Project Contingency'!$E$101-DB54</f>
        <v>0</v>
      </c>
      <c r="DX54" s="332">
        <f>'I-Project Contingency'!$E$102-DC54</f>
        <v>0</v>
      </c>
      <c r="DY54" s="332">
        <f>'I-Project Contingency'!$E$103-DD54</f>
        <v>0</v>
      </c>
      <c r="DZ54" s="332">
        <f>'I-Project Contingency'!$E$104-DE54</f>
        <v>0</v>
      </c>
      <c r="EA54" s="332">
        <f>'I-Project Contingency'!$E$105-DF54</f>
        <v>0</v>
      </c>
      <c r="EB54" s="332">
        <f>'I-Project Contingency'!$E$106-DG54</f>
        <v>0</v>
      </c>
      <c r="EC54" s="334">
        <f>IF(EE54="N/A","N/A",ABS(INDEX(EE54:EY54,1,MATCH("ROM Cost Risk @ "&amp;'D-Project Data'!$C$6*100&amp;"%",$EE$17:$EY$17,0))))</f>
        <v>0</v>
      </c>
      <c r="ED54" s="335">
        <f>IF(EC54="N/A","N/A",RANK(EC54,$EC$18:$EC$117,0)+COUNTIF($EC$18:EC54,EC54)-1)</f>
        <v>37</v>
      </c>
      <c r="EE54" s="334">
        <f>IF(BQ54/SUM(BQ:BQ)*'I-Project Contingency'!$F$61=0,0,BQ54/SUM(BQ:BQ)*'I-Project Contingency'!$F$61)</f>
        <v>0</v>
      </c>
      <c r="EF54" s="334">
        <f>IF(BR54/SUM(BR:BR)*'I-Project Contingency'!$F$62=0,0,BR54/SUM(BR:BR)*'I-Project Contingency'!$F$62)</f>
        <v>0</v>
      </c>
      <c r="EG54" s="334">
        <f>IF(BS54/SUM(BS:BS)*'I-Project Contingency'!$F$63=0,0,BS54/SUM(BS:BS)*'I-Project Contingency'!$F$63)</f>
        <v>0</v>
      </c>
      <c r="EH54" s="334">
        <f>IF(BT54/SUM(BT:BT)*'I-Project Contingency'!$F$64=0,0,BT54/SUM(BT:BT)*'I-Project Contingency'!$F$64)</f>
        <v>0</v>
      </c>
      <c r="EI54" s="334">
        <f>IF(BU54/SUM(BU:BU)*'I-Project Contingency'!$F$65=0,0,BU54/SUM(BU:BU)*'I-Project Contingency'!$F$65)</f>
        <v>0</v>
      </c>
      <c r="EJ54" s="334">
        <f>IF(BV54/SUM(BV:BV)*'I-Project Contingency'!$F$66=0,0,BV54/SUM(BV:BV)*'I-Project Contingency'!$F$66)</f>
        <v>0</v>
      </c>
      <c r="EK54" s="334">
        <f>IF(BW54/SUM(BW:BW)*'I-Project Contingency'!$F$67=0,0,BW54/SUM(BW:BW)*'I-Project Contingency'!$F$67)</f>
        <v>0</v>
      </c>
      <c r="EL54" s="334">
        <f>IF(BX54/SUM(BX:BX)*'I-Project Contingency'!$F$68=0,0,BX54/SUM(BX:BX)*'I-Project Contingency'!$F$68)</f>
        <v>0</v>
      </c>
      <c r="EM54" s="334">
        <f>IF(BY54/SUM(BY:BY)*'I-Project Contingency'!$F$69=0,0,BY54/SUM(BY:BY)*'I-Project Contingency'!$F$69)</f>
        <v>0</v>
      </c>
      <c r="EN54" s="334">
        <f>IF(BZ54/SUM(BZ:BZ)*'I-Project Contingency'!$F$70=0,0,BZ54/SUM(BZ:BZ)*'I-Project Contingency'!$F$70)</f>
        <v>0</v>
      </c>
      <c r="EO54" s="334">
        <f>IF(CA54/SUM(CA:CA)*'I-Project Contingency'!$F$71=0,0,CA54/SUM(CA:CA)*'I-Project Contingency'!$F$71)</f>
        <v>0</v>
      </c>
      <c r="EP54" s="334">
        <f>IF(CB54/SUM(CB:CB)*'I-Project Contingency'!$F$72=0,0,CB54/SUM(CB:CB)*'I-Project Contingency'!$F$72)</f>
        <v>0</v>
      </c>
      <c r="EQ54" s="334">
        <f>IF(CC54/SUM(CC:CC)*'I-Project Contingency'!$F$73=0,0,CC54/SUM(CC:CC)*'I-Project Contingency'!$F$73)</f>
        <v>0</v>
      </c>
      <c r="ER54" s="334">
        <f>IF(CD54/SUM(CD:CD)*'I-Project Contingency'!$F$74=0,0,CD54/SUM(CD:CD)*'I-Project Contingency'!$F$74)</f>
        <v>0</v>
      </c>
      <c r="ES54" s="334">
        <f>IF(CE54/SUM(CE:CE)*'I-Project Contingency'!$F$75=0,0,CE54/SUM(CE:CE)*'I-Project Contingency'!$F$75)</f>
        <v>0</v>
      </c>
      <c r="ET54" s="334">
        <f>IF(CF54/SUM(CF:CF)*'I-Project Contingency'!$F$76=0,0,CF54/SUM(CF:CF)*'I-Project Contingency'!$F$76)</f>
        <v>0</v>
      </c>
      <c r="EU54" s="334">
        <f>IF(CG54/SUM(CG:CG)*'I-Project Contingency'!$F$77=0,0,CG54/SUM(CG:CG)*'I-Project Contingency'!$F$77)</f>
        <v>0</v>
      </c>
      <c r="EV54" s="787">
        <f>IF(CH54/SUM(CH:CH)*'I-Project Contingency'!$F$78=0,0,CH54/SUM(CH:CH)*'I-Project Contingency'!$F$78)</f>
        <v>0</v>
      </c>
      <c r="EW54" s="787">
        <f>IF(CI54/SUM(CI:CI)*'I-Project Contingency'!$F$79=0,0,CI54/SUM(CI:CI)*'I-Project Contingency'!$F$79)</f>
        <v>0</v>
      </c>
      <c r="EX54" s="787">
        <f>IF(CJ54/SUM(CJ:CJ)*'I-Project Contingency'!$F$80=0,0,CJ54/SUM(CJ:CJ)*'I-Project Contingency'!$F$80)</f>
        <v>0</v>
      </c>
      <c r="EY54" s="787">
        <f>IF(CK54/SUM(CK:CK)*'I-Project Contingency'!$F$81=0,0,CK54/SUM(CK:CK)*'I-Project Contingency'!$F$81)</f>
        <v>0</v>
      </c>
      <c r="EZ54" s="333">
        <f>IF(FB54="N/A","N/A",ABS(INDEX(FB54:FV54,1,MATCH("ROM Schedule Risk @ "&amp;'D-Project Data'!$C$6*100&amp;"%",$FB$17:$FV$17,0))))</f>
        <v>0</v>
      </c>
      <c r="FA54" s="335">
        <f>IF(EZ54="N/A","N/A",RANK(EZ54,$EZ$18:$EZ$117,0)+COUNTIF($FB$18:FB54,FB54)-1)</f>
        <v>37</v>
      </c>
      <c r="FB54" s="788">
        <f>IF(DH54/SUM(DH:DH)*'I-Project Contingency'!$F$86=0,0,DH54/SUM(DH:DH)*'I-Project Contingency'!$F$86)</f>
        <v>0</v>
      </c>
      <c r="FC54" s="788">
        <f>IF(DI54/SUM(DI:DI)*'I-Project Contingency'!$F$87=0,0,DI54/SUM(DI:DI)*'I-Project Contingency'!$F$87)</f>
        <v>0</v>
      </c>
      <c r="FD54" s="788">
        <f>IF(DJ54/SUM(DJ:DJ)*'I-Project Contingency'!$F$88=0,0,DJ54/SUM(DJ:DJ)*'I-Project Contingency'!$F$88)</f>
        <v>0</v>
      </c>
      <c r="FE54" s="788">
        <f>IF(DK54/SUM(DK:DK)*'I-Project Contingency'!$F$89=0,0,DK54/SUM(DK:DK)*'I-Project Contingency'!$F$89)</f>
        <v>0</v>
      </c>
      <c r="FF54" s="788">
        <f>IF(DL54/SUM(DL:DL)*'I-Project Contingency'!$F$90=0,0,DL54/SUM(DL:DL)*'I-Project Contingency'!$F$90)</f>
        <v>0</v>
      </c>
      <c r="FG54" s="788">
        <f>IF(DM54/SUM(DM:DM)*'I-Project Contingency'!$F$91=0,0,DM54/SUM(DM:DM)*'I-Project Contingency'!$F$91)</f>
        <v>0</v>
      </c>
      <c r="FH54" s="788">
        <f>IF(DN54/SUM(DN:DN)*'I-Project Contingency'!$F$92=0,0,DN54/SUM(DN:DN)*'I-Project Contingency'!$F$92)</f>
        <v>0</v>
      </c>
      <c r="FI54" s="788">
        <f>IF(DO54/SUM(DO:DO)*'I-Project Contingency'!$F$93=0,0,DO54/SUM(DO:DO)*'I-Project Contingency'!$F$93)</f>
        <v>0</v>
      </c>
      <c r="FJ54" s="788">
        <f>IF(DP54/SUM(DP:DP)*'I-Project Contingency'!$F$94=0,0,DP54/SUM(DP:DP)*'I-Project Contingency'!$F$94)</f>
        <v>0</v>
      </c>
      <c r="FK54" s="788">
        <f>IF(DQ54/SUM(DQ:DQ)*'I-Project Contingency'!$F$95=0,0,DQ54/SUM(DQ:DQ)*'I-Project Contingency'!$F$95)</f>
        <v>0</v>
      </c>
      <c r="FL54" s="788">
        <f>IF(DR54/SUM(DR:DR)*'I-Project Contingency'!$F$96=0,0,DR54/SUM(DR:DR)*'I-Project Contingency'!$F$96)</f>
        <v>0</v>
      </c>
      <c r="FM54" s="788">
        <f>IF(DS54/SUM(DS:DS)*'I-Project Contingency'!$F$97=0,0,DS54/SUM(DS:DS)*'I-Project Contingency'!$F$97)</f>
        <v>0</v>
      </c>
      <c r="FN54" s="788">
        <f>IF(DT54/SUM(DT:DT)*'I-Project Contingency'!$F$98=0,0,DT54/SUM(DT:DT)*'I-Project Contingency'!$F$98)</f>
        <v>0</v>
      </c>
      <c r="FO54" s="788">
        <f>IF(DU54/SUM(DU:DU)*'I-Project Contingency'!$F$99=0,0,DU54/SUM(DU:DU)*'I-Project Contingency'!$F$99)</f>
        <v>0</v>
      </c>
      <c r="FP54" s="788">
        <f>IF(DV54/SUM(DV:DV)*'I-Project Contingency'!$F$100=0,0,DV54/SUM(DV:DV)*'I-Project Contingency'!$F$100)</f>
        <v>0</v>
      </c>
      <c r="FQ54" s="788">
        <f>IF(DW54/SUM(DW:DW)*'I-Project Contingency'!$F$101=0,0,DW54/SUM(DW:DW)*'I-Project Contingency'!$F$101)</f>
        <v>0</v>
      </c>
      <c r="FR54" s="788">
        <f>IF(DX54/SUM(DX:DX)*'I-Project Contingency'!$F$102=0,0,DX54/SUM(DX:DX)*'I-Project Contingency'!$F$102)</f>
        <v>0</v>
      </c>
      <c r="FS54" s="788">
        <f>IF(DY54/SUM(DY:DY)*'I-Project Contingency'!$F$103=0,0,DY54/SUM(DY:DY)*'I-Project Contingency'!$F$103)</f>
        <v>0</v>
      </c>
      <c r="FT54" s="788">
        <f>IF(DZ54/SUM(DZ:DZ)*'I-Project Contingency'!$F$104=0,0,DZ54/SUM(DZ:DZ)*'I-Project Contingency'!$F$104)</f>
        <v>0</v>
      </c>
      <c r="FU54" s="788">
        <f>IF(EA54/SUM(EA:EA)*'I-Project Contingency'!$F$105=0,0,EA54/SUM(EA:EA)*'I-Project Contingency'!$F$105)</f>
        <v>0</v>
      </c>
      <c r="FV54" s="788">
        <f>IF(EB54/SUM(EB:EB)*'I-Project Contingency'!$F$106=0,0,EB54/SUM(EB:EB)*'I-Project Contingency'!$F$106)</f>
        <v>0</v>
      </c>
      <c r="FW54" s="335">
        <f t="shared" si="37"/>
        <v>37</v>
      </c>
      <c r="FX54" s="336" t="str">
        <f t="shared" si="38"/>
        <v xml:space="preserve">37 - </v>
      </c>
      <c r="FY54" s="330">
        <f t="shared" si="26"/>
        <v>0</v>
      </c>
      <c r="FZ54" s="330">
        <f t="shared" si="27"/>
        <v>0</v>
      </c>
      <c r="GA54" s="332">
        <f t="shared" si="39"/>
        <v>0</v>
      </c>
      <c r="GB54" s="332">
        <f t="shared" si="40"/>
        <v>0</v>
      </c>
    </row>
    <row r="55" spans="1:184" ht="30" x14ac:dyDescent="0.25">
      <c r="A55" s="163">
        <f t="shared" si="23"/>
        <v>38</v>
      </c>
      <c r="B55" s="727" t="s">
        <v>728</v>
      </c>
      <c r="C55" s="729"/>
      <c r="D55" s="729"/>
      <c r="E55" s="729"/>
      <c r="F55" s="728" t="s">
        <v>728</v>
      </c>
      <c r="G55" s="728" t="s">
        <v>728</v>
      </c>
      <c r="H55" s="157" t="str">
        <f>IFERROR(IF('H-Risk Register-Model'!F55="Certain","Relook at Basis of Estimate",INDEX('G-Assumptions'!$F$8:$J$11,MATCH(F55,'G-Assumptions'!$D$8:$D$11,0),MATCH(G55,'G-Assumptions'!$F$6:$J$6,0))),"Unrated")</f>
        <v>Unrated</v>
      </c>
      <c r="I55" s="728" t="s">
        <v>728</v>
      </c>
      <c r="J55" s="157" t="str">
        <f>IFERROR(IF('H-Risk Register-Model'!F55="Certain","Relook at Basis of Estimate",INDEX('G-Assumptions'!$F$8:$J$11,MATCH(F55,'G-Assumptions'!$D$8:$D$11,0),MATCH(I55,'G-Assumptions'!$F$6:$J$6,0))),"Unrated")</f>
        <v>Unrated</v>
      </c>
      <c r="K55" s="728" t="s">
        <v>728</v>
      </c>
      <c r="L55" s="728" t="s">
        <v>728</v>
      </c>
      <c r="M55" s="728"/>
      <c r="N55" s="731" t="s">
        <v>728</v>
      </c>
      <c r="O55" s="731" t="s">
        <v>728</v>
      </c>
      <c r="P55" s="732"/>
      <c r="Q55" s="732"/>
      <c r="R55" s="732"/>
      <c r="S55" s="733"/>
      <c r="T55" s="733"/>
      <c r="U55" s="733"/>
      <c r="V55" s="734"/>
      <c r="W55" s="732"/>
      <c r="X55" s="732"/>
      <c r="Y55" s="735">
        <v>1</v>
      </c>
      <c r="Z55" s="736">
        <v>1</v>
      </c>
      <c r="AA55" s="166">
        <f t="shared" si="19"/>
        <v>0</v>
      </c>
      <c r="AB55" s="166">
        <f t="shared" si="20"/>
        <v>0</v>
      </c>
      <c r="AC55" s="166">
        <f t="shared" si="21"/>
        <v>0</v>
      </c>
      <c r="AD55" s="166"/>
      <c r="AE55" s="164">
        <f t="shared" si="24"/>
        <v>0</v>
      </c>
      <c r="AF55" s="167"/>
      <c r="AG55" s="165">
        <f t="shared" si="25"/>
        <v>0</v>
      </c>
      <c r="AH55" s="729"/>
      <c r="AI55" s="729"/>
      <c r="AJ55" s="8"/>
      <c r="AK55" s="495" t="str">
        <f t="shared" si="30"/>
        <v>No</v>
      </c>
      <c r="AL55" s="496">
        <f>'I-Project Contingency'!$I$4</f>
        <v>9000000</v>
      </c>
      <c r="AM55" s="326">
        <f>'I-Project Contingency'!$I$11</f>
        <v>23.978102189781023</v>
      </c>
      <c r="AN55" s="325">
        <f t="shared" si="31"/>
        <v>0</v>
      </c>
      <c r="AO55" s="326">
        <f t="shared" si="32"/>
        <v>0</v>
      </c>
      <c r="AP55" s="641" t="str">
        <f t="shared" si="33"/>
        <v/>
      </c>
      <c r="AQ55" s="641" t="str">
        <f t="shared" si="34"/>
        <v/>
      </c>
      <c r="AR55" s="497" t="str">
        <f t="shared" si="35"/>
        <v/>
      </c>
      <c r="AS55" s="497" t="str">
        <f t="shared" si="36"/>
        <v/>
      </c>
      <c r="AT55" s="8"/>
      <c r="AU55" s="329">
        <f>'I-Project Contingency'!$O$4-AE55</f>
        <v>0</v>
      </c>
      <c r="AV55" s="330">
        <v>-240515.59579276721</v>
      </c>
      <c r="AW55" s="330">
        <v>28172.931401335634</v>
      </c>
      <c r="AX55" s="330">
        <v>193478.84467429668</v>
      </c>
      <c r="AY55" s="330">
        <v>361668.20104834624</v>
      </c>
      <c r="AZ55" s="330">
        <v>524446.91524262261</v>
      </c>
      <c r="BA55" s="330">
        <v>704023.56387635041</v>
      </c>
      <c r="BB55" s="330">
        <v>886394.06956240814</v>
      </c>
      <c r="BC55" s="330">
        <v>1079363.7165157665</v>
      </c>
      <c r="BD55" s="330">
        <v>1280180.1532065615</v>
      </c>
      <c r="BE55" s="330">
        <v>1485323.8019108465</v>
      </c>
      <c r="BF55" s="330">
        <v>1703758.8827524669</v>
      </c>
      <c r="BG55" s="330">
        <v>1949523.4346483489</v>
      </c>
      <c r="BH55" s="330">
        <v>2177897.1603371189</v>
      </c>
      <c r="BI55" s="330">
        <v>2429374.4260425912</v>
      </c>
      <c r="BJ55" s="330">
        <v>2717092.7449284913</v>
      </c>
      <c r="BK55" s="330">
        <v>3010093.6968918457</v>
      </c>
      <c r="BL55" s="330">
        <v>3325414.5894657462</v>
      </c>
      <c r="BM55" s="330">
        <v>3690425.9159493577</v>
      </c>
      <c r="BN55" s="330">
        <v>4143935.1706127762</v>
      </c>
      <c r="BO55" s="330">
        <v>4722651.1159141911</v>
      </c>
      <c r="BP55" s="330">
        <v>5992048.8629153483</v>
      </c>
      <c r="BQ55" s="330">
        <f>'I-Project Contingency'!$E$61-AV55</f>
        <v>0</v>
      </c>
      <c r="BR55" s="330">
        <f>'I-Project Contingency'!$E$62-AW55</f>
        <v>0</v>
      </c>
      <c r="BS55" s="330">
        <f>'I-Project Contingency'!$E$63-AX55</f>
        <v>0</v>
      </c>
      <c r="BT55" s="330">
        <f>'I-Project Contingency'!$E$64-AY55</f>
        <v>0</v>
      </c>
      <c r="BU55" s="330">
        <f>'I-Project Contingency'!$E$65-AZ55</f>
        <v>0</v>
      </c>
      <c r="BV55" s="330">
        <f>'I-Project Contingency'!$E$66-BA55</f>
        <v>0</v>
      </c>
      <c r="BW55" s="330">
        <f>'I-Project Contingency'!$E$67-BB55</f>
        <v>0</v>
      </c>
      <c r="BX55" s="330">
        <f>'I-Project Contingency'!$E$68-BC55</f>
        <v>0</v>
      </c>
      <c r="BY55" s="330">
        <f>'I-Project Contingency'!$E$69-BD55</f>
        <v>0</v>
      </c>
      <c r="BZ55" s="330">
        <f>'I-Project Contingency'!$E$70-BE55</f>
        <v>0</v>
      </c>
      <c r="CA55" s="330">
        <f>'I-Project Contingency'!$E$71-BF55</f>
        <v>0</v>
      </c>
      <c r="CB55" s="330">
        <f>'I-Project Contingency'!$E$72-BG55</f>
        <v>0</v>
      </c>
      <c r="CC55" s="330">
        <f>'I-Project Contingency'!$E$73-BH55</f>
        <v>0</v>
      </c>
      <c r="CD55" s="330">
        <f>'I-Project Contingency'!$E$74-BI55</f>
        <v>0</v>
      </c>
      <c r="CE55" s="330">
        <f>'I-Project Contingency'!$E$75-BJ55</f>
        <v>0</v>
      </c>
      <c r="CF55" s="330">
        <f>'I-Project Contingency'!$E$76-BK55</f>
        <v>0</v>
      </c>
      <c r="CG55" s="330">
        <f>'I-Project Contingency'!$E$77-BL55</f>
        <v>0</v>
      </c>
      <c r="CH55" s="784">
        <f>'I-Project Contingency'!$E$78-BM55</f>
        <v>0</v>
      </c>
      <c r="CI55" s="330">
        <f>'I-Project Contingency'!$E$79-BN55</f>
        <v>0</v>
      </c>
      <c r="CJ55" s="330">
        <f>'I-Project Contingency'!$E$80-BO55</f>
        <v>0</v>
      </c>
      <c r="CK55" s="330">
        <f>'I-Project Contingency'!$E$81-BP55</f>
        <v>0</v>
      </c>
      <c r="CL55" s="331">
        <f>'I-Project Contingency'!$O$5-AG55</f>
        <v>0</v>
      </c>
      <c r="CM55" s="332">
        <v>-0.98711802853447173</v>
      </c>
      <c r="CN55" s="332">
        <v>-0.19547704728364468</v>
      </c>
      <c r="CO55" s="332">
        <v>0.126462150308498</v>
      </c>
      <c r="CP55" s="332">
        <v>0.45967989154545902</v>
      </c>
      <c r="CQ55" s="332">
        <v>0.78297319902744</v>
      </c>
      <c r="CR55" s="332">
        <v>1.0957191966482109</v>
      </c>
      <c r="CS55" s="332">
        <v>1.4418405003536849</v>
      </c>
      <c r="CT55" s="332">
        <v>1.801002404194165</v>
      </c>
      <c r="CU55" s="332">
        <v>2.1797608166947349</v>
      </c>
      <c r="CV55" s="332">
        <v>2.5671680610072478</v>
      </c>
      <c r="CW55" s="332">
        <v>2.9690760644797152</v>
      </c>
      <c r="CX55" s="332">
        <v>3.3964145469774811</v>
      </c>
      <c r="CY55" s="332">
        <v>3.864536087769562</v>
      </c>
      <c r="CZ55" s="332">
        <v>4.3569836138896116</v>
      </c>
      <c r="DA55" s="332">
        <v>4.8862357851222598</v>
      </c>
      <c r="DB55" s="332">
        <v>5.438836997347547</v>
      </c>
      <c r="DC55" s="332">
        <v>6.047993455908566</v>
      </c>
      <c r="DD55" s="785">
        <v>6.720204953601761</v>
      </c>
      <c r="DE55" s="333">
        <v>7.55131678090412</v>
      </c>
      <c r="DF55" s="332">
        <v>8.661446370835737</v>
      </c>
      <c r="DG55" s="332">
        <v>11.206316207857133</v>
      </c>
      <c r="DH55" s="332">
        <f>'I-Project Contingency'!$E$86-CM55</f>
        <v>0</v>
      </c>
      <c r="DI55" s="332">
        <f>'I-Project Contingency'!$E$87-CN55</f>
        <v>0</v>
      </c>
      <c r="DJ55" s="332">
        <f>'I-Project Contingency'!$E$88-CO55</f>
        <v>0</v>
      </c>
      <c r="DK55" s="332">
        <f>'I-Project Contingency'!$E$89-CP55</f>
        <v>0</v>
      </c>
      <c r="DL55" s="332">
        <f>'I-Project Contingency'!$E$90-CQ55</f>
        <v>0</v>
      </c>
      <c r="DM55" s="332">
        <f>'I-Project Contingency'!$E$91-CR55</f>
        <v>0</v>
      </c>
      <c r="DN55" s="332">
        <f>'I-Project Contingency'!$E$92-CS55</f>
        <v>0</v>
      </c>
      <c r="DO55" s="332">
        <f>'I-Project Contingency'!$E$93-CT55</f>
        <v>0</v>
      </c>
      <c r="DP55" s="332">
        <f>'I-Project Contingency'!$E$94-CU55</f>
        <v>0</v>
      </c>
      <c r="DQ55" s="332">
        <f>'I-Project Contingency'!$E$95-CV55</f>
        <v>0</v>
      </c>
      <c r="DR55" s="332">
        <f>'I-Project Contingency'!$E$96-CW55</f>
        <v>0</v>
      </c>
      <c r="DS55" s="332">
        <f>'I-Project Contingency'!$E$97-CX55</f>
        <v>0</v>
      </c>
      <c r="DT55" s="332">
        <f>'I-Project Contingency'!$E$98-CY55</f>
        <v>0</v>
      </c>
      <c r="DU55" s="332">
        <f>'I-Project Contingency'!$E$99-CZ55</f>
        <v>0</v>
      </c>
      <c r="DV55" s="332">
        <f>'I-Project Contingency'!$E$100-DA55</f>
        <v>0</v>
      </c>
      <c r="DW55" s="332">
        <f>'I-Project Contingency'!$E$101-DB55</f>
        <v>0</v>
      </c>
      <c r="DX55" s="332">
        <f>'I-Project Contingency'!$E$102-DC55</f>
        <v>0</v>
      </c>
      <c r="DY55" s="332">
        <f>'I-Project Contingency'!$E$103-DD55</f>
        <v>0</v>
      </c>
      <c r="DZ55" s="332">
        <f>'I-Project Contingency'!$E$104-DE55</f>
        <v>0</v>
      </c>
      <c r="EA55" s="332">
        <f>'I-Project Contingency'!$E$105-DF55</f>
        <v>0</v>
      </c>
      <c r="EB55" s="332">
        <f>'I-Project Contingency'!$E$106-DG55</f>
        <v>0</v>
      </c>
      <c r="EC55" s="334">
        <f>IF(EE55="N/A","N/A",ABS(INDEX(EE55:EY55,1,MATCH("ROM Cost Risk @ "&amp;'D-Project Data'!$C$6*100&amp;"%",$EE$17:$EY$17,0))))</f>
        <v>0</v>
      </c>
      <c r="ED55" s="335">
        <f>IF(EC55="N/A","N/A",RANK(EC55,$EC$18:$EC$117,0)+COUNTIF($EC$18:EC55,EC55)-1)</f>
        <v>38</v>
      </c>
      <c r="EE55" s="334">
        <f>IF(BQ55/SUM(BQ:BQ)*'I-Project Contingency'!$F$61=0,0,BQ55/SUM(BQ:BQ)*'I-Project Contingency'!$F$61)</f>
        <v>0</v>
      </c>
      <c r="EF55" s="334">
        <f>IF(BR55/SUM(BR:BR)*'I-Project Contingency'!$F$62=0,0,BR55/SUM(BR:BR)*'I-Project Contingency'!$F$62)</f>
        <v>0</v>
      </c>
      <c r="EG55" s="334">
        <f>IF(BS55/SUM(BS:BS)*'I-Project Contingency'!$F$63=0,0,BS55/SUM(BS:BS)*'I-Project Contingency'!$F$63)</f>
        <v>0</v>
      </c>
      <c r="EH55" s="334">
        <f>IF(BT55/SUM(BT:BT)*'I-Project Contingency'!$F$64=0,0,BT55/SUM(BT:BT)*'I-Project Contingency'!$F$64)</f>
        <v>0</v>
      </c>
      <c r="EI55" s="334">
        <f>IF(BU55/SUM(BU:BU)*'I-Project Contingency'!$F$65=0,0,BU55/SUM(BU:BU)*'I-Project Contingency'!$F$65)</f>
        <v>0</v>
      </c>
      <c r="EJ55" s="334">
        <f>IF(BV55/SUM(BV:BV)*'I-Project Contingency'!$F$66=0,0,BV55/SUM(BV:BV)*'I-Project Contingency'!$F$66)</f>
        <v>0</v>
      </c>
      <c r="EK55" s="334">
        <f>IF(BW55/SUM(BW:BW)*'I-Project Contingency'!$F$67=0,0,BW55/SUM(BW:BW)*'I-Project Contingency'!$F$67)</f>
        <v>0</v>
      </c>
      <c r="EL55" s="334">
        <f>IF(BX55/SUM(BX:BX)*'I-Project Contingency'!$F$68=0,0,BX55/SUM(BX:BX)*'I-Project Contingency'!$F$68)</f>
        <v>0</v>
      </c>
      <c r="EM55" s="334">
        <f>IF(BY55/SUM(BY:BY)*'I-Project Contingency'!$F$69=0,0,BY55/SUM(BY:BY)*'I-Project Contingency'!$F$69)</f>
        <v>0</v>
      </c>
      <c r="EN55" s="334">
        <f>IF(BZ55/SUM(BZ:BZ)*'I-Project Contingency'!$F$70=0,0,BZ55/SUM(BZ:BZ)*'I-Project Contingency'!$F$70)</f>
        <v>0</v>
      </c>
      <c r="EO55" s="334">
        <f>IF(CA55/SUM(CA:CA)*'I-Project Contingency'!$F$71=0,0,CA55/SUM(CA:CA)*'I-Project Contingency'!$F$71)</f>
        <v>0</v>
      </c>
      <c r="EP55" s="334">
        <f>IF(CB55/SUM(CB:CB)*'I-Project Contingency'!$F$72=0,0,CB55/SUM(CB:CB)*'I-Project Contingency'!$F$72)</f>
        <v>0</v>
      </c>
      <c r="EQ55" s="334">
        <f>IF(CC55/SUM(CC:CC)*'I-Project Contingency'!$F$73=0,0,CC55/SUM(CC:CC)*'I-Project Contingency'!$F$73)</f>
        <v>0</v>
      </c>
      <c r="ER55" s="334">
        <f>IF(CD55/SUM(CD:CD)*'I-Project Contingency'!$F$74=0,0,CD55/SUM(CD:CD)*'I-Project Contingency'!$F$74)</f>
        <v>0</v>
      </c>
      <c r="ES55" s="334">
        <f>IF(CE55/SUM(CE:CE)*'I-Project Contingency'!$F$75=0,0,CE55/SUM(CE:CE)*'I-Project Contingency'!$F$75)</f>
        <v>0</v>
      </c>
      <c r="ET55" s="334">
        <f>IF(CF55/SUM(CF:CF)*'I-Project Contingency'!$F$76=0,0,CF55/SUM(CF:CF)*'I-Project Contingency'!$F$76)</f>
        <v>0</v>
      </c>
      <c r="EU55" s="334">
        <f>IF(CG55/SUM(CG:CG)*'I-Project Contingency'!$F$77=0,0,CG55/SUM(CG:CG)*'I-Project Contingency'!$F$77)</f>
        <v>0</v>
      </c>
      <c r="EV55" s="787">
        <f>IF(CH55/SUM(CH:CH)*'I-Project Contingency'!$F$78=0,0,CH55/SUM(CH:CH)*'I-Project Contingency'!$F$78)</f>
        <v>0</v>
      </c>
      <c r="EW55" s="787">
        <f>IF(CI55/SUM(CI:CI)*'I-Project Contingency'!$F$79=0,0,CI55/SUM(CI:CI)*'I-Project Contingency'!$F$79)</f>
        <v>0</v>
      </c>
      <c r="EX55" s="787">
        <f>IF(CJ55/SUM(CJ:CJ)*'I-Project Contingency'!$F$80=0,0,CJ55/SUM(CJ:CJ)*'I-Project Contingency'!$F$80)</f>
        <v>0</v>
      </c>
      <c r="EY55" s="787">
        <f>IF(CK55/SUM(CK:CK)*'I-Project Contingency'!$F$81=0,0,CK55/SUM(CK:CK)*'I-Project Contingency'!$F$81)</f>
        <v>0</v>
      </c>
      <c r="EZ55" s="333">
        <f>IF(FB55="N/A","N/A",ABS(INDEX(FB55:FV55,1,MATCH("ROM Schedule Risk @ "&amp;'D-Project Data'!$C$6*100&amp;"%",$FB$17:$FV$17,0))))</f>
        <v>0</v>
      </c>
      <c r="FA55" s="335">
        <f>IF(EZ55="N/A","N/A",RANK(EZ55,$EZ$18:$EZ$117,0)+COUNTIF($FB$18:FB55,FB55)-1)</f>
        <v>38</v>
      </c>
      <c r="FB55" s="788">
        <f>IF(DH55/SUM(DH:DH)*'I-Project Contingency'!$F$86=0,0,DH55/SUM(DH:DH)*'I-Project Contingency'!$F$86)</f>
        <v>0</v>
      </c>
      <c r="FC55" s="788">
        <f>IF(DI55/SUM(DI:DI)*'I-Project Contingency'!$F$87=0,0,DI55/SUM(DI:DI)*'I-Project Contingency'!$F$87)</f>
        <v>0</v>
      </c>
      <c r="FD55" s="788">
        <f>IF(DJ55/SUM(DJ:DJ)*'I-Project Contingency'!$F$88=0,0,DJ55/SUM(DJ:DJ)*'I-Project Contingency'!$F$88)</f>
        <v>0</v>
      </c>
      <c r="FE55" s="788">
        <f>IF(DK55/SUM(DK:DK)*'I-Project Contingency'!$F$89=0,0,DK55/SUM(DK:DK)*'I-Project Contingency'!$F$89)</f>
        <v>0</v>
      </c>
      <c r="FF55" s="788">
        <f>IF(DL55/SUM(DL:DL)*'I-Project Contingency'!$F$90=0,0,DL55/SUM(DL:DL)*'I-Project Contingency'!$F$90)</f>
        <v>0</v>
      </c>
      <c r="FG55" s="788">
        <f>IF(DM55/SUM(DM:DM)*'I-Project Contingency'!$F$91=0,0,DM55/SUM(DM:DM)*'I-Project Contingency'!$F$91)</f>
        <v>0</v>
      </c>
      <c r="FH55" s="788">
        <f>IF(DN55/SUM(DN:DN)*'I-Project Contingency'!$F$92=0,0,DN55/SUM(DN:DN)*'I-Project Contingency'!$F$92)</f>
        <v>0</v>
      </c>
      <c r="FI55" s="788">
        <f>IF(DO55/SUM(DO:DO)*'I-Project Contingency'!$F$93=0,0,DO55/SUM(DO:DO)*'I-Project Contingency'!$F$93)</f>
        <v>0</v>
      </c>
      <c r="FJ55" s="788">
        <f>IF(DP55/SUM(DP:DP)*'I-Project Contingency'!$F$94=0,0,DP55/SUM(DP:DP)*'I-Project Contingency'!$F$94)</f>
        <v>0</v>
      </c>
      <c r="FK55" s="788">
        <f>IF(DQ55/SUM(DQ:DQ)*'I-Project Contingency'!$F$95=0,0,DQ55/SUM(DQ:DQ)*'I-Project Contingency'!$F$95)</f>
        <v>0</v>
      </c>
      <c r="FL55" s="788">
        <f>IF(DR55/SUM(DR:DR)*'I-Project Contingency'!$F$96=0,0,DR55/SUM(DR:DR)*'I-Project Contingency'!$F$96)</f>
        <v>0</v>
      </c>
      <c r="FM55" s="788">
        <f>IF(DS55/SUM(DS:DS)*'I-Project Contingency'!$F$97=0,0,DS55/SUM(DS:DS)*'I-Project Contingency'!$F$97)</f>
        <v>0</v>
      </c>
      <c r="FN55" s="788">
        <f>IF(DT55/SUM(DT:DT)*'I-Project Contingency'!$F$98=0,0,DT55/SUM(DT:DT)*'I-Project Contingency'!$F$98)</f>
        <v>0</v>
      </c>
      <c r="FO55" s="788">
        <f>IF(DU55/SUM(DU:DU)*'I-Project Contingency'!$F$99=0,0,DU55/SUM(DU:DU)*'I-Project Contingency'!$F$99)</f>
        <v>0</v>
      </c>
      <c r="FP55" s="788">
        <f>IF(DV55/SUM(DV:DV)*'I-Project Contingency'!$F$100=0,0,DV55/SUM(DV:DV)*'I-Project Contingency'!$F$100)</f>
        <v>0</v>
      </c>
      <c r="FQ55" s="788">
        <f>IF(DW55/SUM(DW:DW)*'I-Project Contingency'!$F$101=0,0,DW55/SUM(DW:DW)*'I-Project Contingency'!$F$101)</f>
        <v>0</v>
      </c>
      <c r="FR55" s="788">
        <f>IF(DX55/SUM(DX:DX)*'I-Project Contingency'!$F$102=0,0,DX55/SUM(DX:DX)*'I-Project Contingency'!$F$102)</f>
        <v>0</v>
      </c>
      <c r="FS55" s="788">
        <f>IF(DY55/SUM(DY:DY)*'I-Project Contingency'!$F$103=0,0,DY55/SUM(DY:DY)*'I-Project Contingency'!$F$103)</f>
        <v>0</v>
      </c>
      <c r="FT55" s="788">
        <f>IF(DZ55/SUM(DZ:DZ)*'I-Project Contingency'!$F$104=0,0,DZ55/SUM(DZ:DZ)*'I-Project Contingency'!$F$104)</f>
        <v>0</v>
      </c>
      <c r="FU55" s="788">
        <f>IF(EA55/SUM(EA:EA)*'I-Project Contingency'!$F$105=0,0,EA55/SUM(EA:EA)*'I-Project Contingency'!$F$105)</f>
        <v>0</v>
      </c>
      <c r="FV55" s="788">
        <f>IF(EB55/SUM(EB:EB)*'I-Project Contingency'!$F$106=0,0,EB55/SUM(EB:EB)*'I-Project Contingency'!$F$106)</f>
        <v>0</v>
      </c>
      <c r="FW55" s="335">
        <f t="shared" si="37"/>
        <v>38</v>
      </c>
      <c r="FX55" s="336" t="str">
        <f t="shared" si="38"/>
        <v xml:space="preserve">38 - </v>
      </c>
      <c r="FY55" s="330">
        <f t="shared" si="26"/>
        <v>0</v>
      </c>
      <c r="FZ55" s="330">
        <f t="shared" si="27"/>
        <v>0</v>
      </c>
      <c r="GA55" s="332">
        <f t="shared" si="39"/>
        <v>0</v>
      </c>
      <c r="GB55" s="332">
        <f t="shared" si="40"/>
        <v>0</v>
      </c>
    </row>
    <row r="56" spans="1:184" ht="30" x14ac:dyDescent="0.25">
      <c r="A56" s="163">
        <f t="shared" si="23"/>
        <v>39</v>
      </c>
      <c r="B56" s="727" t="s">
        <v>728</v>
      </c>
      <c r="C56" s="729"/>
      <c r="D56" s="729"/>
      <c r="E56" s="729"/>
      <c r="F56" s="728" t="s">
        <v>728</v>
      </c>
      <c r="G56" s="728" t="s">
        <v>728</v>
      </c>
      <c r="H56" s="157" t="str">
        <f>IFERROR(IF('H-Risk Register-Model'!F56="Certain","Relook at Basis of Estimate",INDEX('G-Assumptions'!$F$8:$J$11,MATCH(F56,'G-Assumptions'!$D$8:$D$11,0),MATCH(G56,'G-Assumptions'!$F$6:$J$6,0))),"Unrated")</f>
        <v>Unrated</v>
      </c>
      <c r="I56" s="728" t="s">
        <v>728</v>
      </c>
      <c r="J56" s="157" t="str">
        <f>IFERROR(IF('H-Risk Register-Model'!F56="Certain","Relook at Basis of Estimate",INDEX('G-Assumptions'!$F$8:$J$11,MATCH(F56,'G-Assumptions'!$D$8:$D$11,0),MATCH(I56,'G-Assumptions'!$F$6:$J$6,0))),"Unrated")</f>
        <v>Unrated</v>
      </c>
      <c r="K56" s="728" t="s">
        <v>728</v>
      </c>
      <c r="L56" s="728" t="s">
        <v>728</v>
      </c>
      <c r="M56" s="728"/>
      <c r="N56" s="731" t="s">
        <v>728</v>
      </c>
      <c r="O56" s="731" t="s">
        <v>728</v>
      </c>
      <c r="P56" s="732"/>
      <c r="Q56" s="732"/>
      <c r="R56" s="732"/>
      <c r="S56" s="733"/>
      <c r="T56" s="733"/>
      <c r="U56" s="733"/>
      <c r="V56" s="734"/>
      <c r="W56" s="732"/>
      <c r="X56" s="732"/>
      <c r="Y56" s="735">
        <v>1</v>
      </c>
      <c r="Z56" s="736">
        <v>1</v>
      </c>
      <c r="AA56" s="166">
        <f t="shared" si="19"/>
        <v>0</v>
      </c>
      <c r="AB56" s="166">
        <f t="shared" si="20"/>
        <v>0</v>
      </c>
      <c r="AC56" s="166">
        <f t="shared" si="21"/>
        <v>0</v>
      </c>
      <c r="AD56" s="166"/>
      <c r="AE56" s="164">
        <f t="shared" si="24"/>
        <v>0</v>
      </c>
      <c r="AF56" s="167"/>
      <c r="AG56" s="165">
        <f t="shared" si="25"/>
        <v>0</v>
      </c>
      <c r="AH56" s="729"/>
      <c r="AI56" s="729"/>
      <c r="AJ56" s="8"/>
      <c r="AK56" s="495" t="str">
        <f t="shared" si="30"/>
        <v>No</v>
      </c>
      <c r="AL56" s="496">
        <f>'I-Project Contingency'!$I$4</f>
        <v>9000000</v>
      </c>
      <c r="AM56" s="326">
        <f>'I-Project Contingency'!$I$11</f>
        <v>23.978102189781023</v>
      </c>
      <c r="AN56" s="325">
        <f t="shared" si="31"/>
        <v>0</v>
      </c>
      <c r="AO56" s="326">
        <f t="shared" si="32"/>
        <v>0</v>
      </c>
      <c r="AP56" s="641" t="str">
        <f t="shared" si="33"/>
        <v/>
      </c>
      <c r="AQ56" s="641" t="str">
        <f t="shared" si="34"/>
        <v/>
      </c>
      <c r="AR56" s="497" t="str">
        <f t="shared" si="35"/>
        <v/>
      </c>
      <c r="AS56" s="497" t="str">
        <f t="shared" si="36"/>
        <v/>
      </c>
      <c r="AT56" s="8"/>
      <c r="AU56" s="329">
        <f>'I-Project Contingency'!$O$4-AE56</f>
        <v>0</v>
      </c>
      <c r="AV56" s="330">
        <v>-240515.59579276721</v>
      </c>
      <c r="AW56" s="330">
        <v>28172.931401335634</v>
      </c>
      <c r="AX56" s="330">
        <v>193478.84467429668</v>
      </c>
      <c r="AY56" s="330">
        <v>361668.20104834624</v>
      </c>
      <c r="AZ56" s="330">
        <v>524446.91524262261</v>
      </c>
      <c r="BA56" s="330">
        <v>704023.56387635041</v>
      </c>
      <c r="BB56" s="330">
        <v>886394.06956240814</v>
      </c>
      <c r="BC56" s="330">
        <v>1079363.7165157665</v>
      </c>
      <c r="BD56" s="330">
        <v>1280180.1532065615</v>
      </c>
      <c r="BE56" s="330">
        <v>1485323.8019108465</v>
      </c>
      <c r="BF56" s="330">
        <v>1703758.8827524669</v>
      </c>
      <c r="BG56" s="330">
        <v>1949523.4346483489</v>
      </c>
      <c r="BH56" s="330">
        <v>2177897.1603371189</v>
      </c>
      <c r="BI56" s="330">
        <v>2429374.4260425912</v>
      </c>
      <c r="BJ56" s="330">
        <v>2717092.7449284913</v>
      </c>
      <c r="BK56" s="330">
        <v>3010093.6968918457</v>
      </c>
      <c r="BL56" s="330">
        <v>3325414.5894657462</v>
      </c>
      <c r="BM56" s="330">
        <v>3690425.9159493577</v>
      </c>
      <c r="BN56" s="330">
        <v>4143935.1706127762</v>
      </c>
      <c r="BO56" s="330">
        <v>4722651.1159141911</v>
      </c>
      <c r="BP56" s="330">
        <v>5992048.8629153483</v>
      </c>
      <c r="BQ56" s="330">
        <f>'I-Project Contingency'!$E$61-AV56</f>
        <v>0</v>
      </c>
      <c r="BR56" s="330">
        <f>'I-Project Contingency'!$E$62-AW56</f>
        <v>0</v>
      </c>
      <c r="BS56" s="330">
        <f>'I-Project Contingency'!$E$63-AX56</f>
        <v>0</v>
      </c>
      <c r="BT56" s="330">
        <f>'I-Project Contingency'!$E$64-AY56</f>
        <v>0</v>
      </c>
      <c r="BU56" s="330">
        <f>'I-Project Contingency'!$E$65-AZ56</f>
        <v>0</v>
      </c>
      <c r="BV56" s="330">
        <f>'I-Project Contingency'!$E$66-BA56</f>
        <v>0</v>
      </c>
      <c r="BW56" s="330">
        <f>'I-Project Contingency'!$E$67-BB56</f>
        <v>0</v>
      </c>
      <c r="BX56" s="330">
        <f>'I-Project Contingency'!$E$68-BC56</f>
        <v>0</v>
      </c>
      <c r="BY56" s="330">
        <f>'I-Project Contingency'!$E$69-BD56</f>
        <v>0</v>
      </c>
      <c r="BZ56" s="330">
        <f>'I-Project Contingency'!$E$70-BE56</f>
        <v>0</v>
      </c>
      <c r="CA56" s="330">
        <f>'I-Project Contingency'!$E$71-BF56</f>
        <v>0</v>
      </c>
      <c r="CB56" s="330">
        <f>'I-Project Contingency'!$E$72-BG56</f>
        <v>0</v>
      </c>
      <c r="CC56" s="330">
        <f>'I-Project Contingency'!$E$73-BH56</f>
        <v>0</v>
      </c>
      <c r="CD56" s="330">
        <f>'I-Project Contingency'!$E$74-BI56</f>
        <v>0</v>
      </c>
      <c r="CE56" s="330">
        <f>'I-Project Contingency'!$E$75-BJ56</f>
        <v>0</v>
      </c>
      <c r="CF56" s="330">
        <f>'I-Project Contingency'!$E$76-BK56</f>
        <v>0</v>
      </c>
      <c r="CG56" s="330">
        <f>'I-Project Contingency'!$E$77-BL56</f>
        <v>0</v>
      </c>
      <c r="CH56" s="784">
        <f>'I-Project Contingency'!$E$78-BM56</f>
        <v>0</v>
      </c>
      <c r="CI56" s="330">
        <f>'I-Project Contingency'!$E$79-BN56</f>
        <v>0</v>
      </c>
      <c r="CJ56" s="330">
        <f>'I-Project Contingency'!$E$80-BO56</f>
        <v>0</v>
      </c>
      <c r="CK56" s="330">
        <f>'I-Project Contingency'!$E$81-BP56</f>
        <v>0</v>
      </c>
      <c r="CL56" s="331">
        <f>'I-Project Contingency'!$O$5-AG56</f>
        <v>0</v>
      </c>
      <c r="CM56" s="332">
        <v>-0.98711802853447173</v>
      </c>
      <c r="CN56" s="332">
        <v>-0.19547704728364468</v>
      </c>
      <c r="CO56" s="332">
        <v>0.126462150308498</v>
      </c>
      <c r="CP56" s="332">
        <v>0.45967989154545902</v>
      </c>
      <c r="CQ56" s="332">
        <v>0.78297319902744</v>
      </c>
      <c r="CR56" s="332">
        <v>1.0957191966482109</v>
      </c>
      <c r="CS56" s="332">
        <v>1.4418405003536849</v>
      </c>
      <c r="CT56" s="332">
        <v>1.801002404194165</v>
      </c>
      <c r="CU56" s="332">
        <v>2.1797608166947349</v>
      </c>
      <c r="CV56" s="332">
        <v>2.5671680610072478</v>
      </c>
      <c r="CW56" s="332">
        <v>2.9690760644797152</v>
      </c>
      <c r="CX56" s="332">
        <v>3.3964145469774811</v>
      </c>
      <c r="CY56" s="332">
        <v>3.864536087769562</v>
      </c>
      <c r="CZ56" s="332">
        <v>4.3569836138896116</v>
      </c>
      <c r="DA56" s="332">
        <v>4.8862357851222598</v>
      </c>
      <c r="DB56" s="332">
        <v>5.438836997347547</v>
      </c>
      <c r="DC56" s="332">
        <v>6.047993455908566</v>
      </c>
      <c r="DD56" s="785">
        <v>6.720204953601761</v>
      </c>
      <c r="DE56" s="333">
        <v>7.55131678090412</v>
      </c>
      <c r="DF56" s="332">
        <v>8.661446370835737</v>
      </c>
      <c r="DG56" s="332">
        <v>11.206316207857133</v>
      </c>
      <c r="DH56" s="332">
        <f>'I-Project Contingency'!$E$86-CM56</f>
        <v>0</v>
      </c>
      <c r="DI56" s="332">
        <f>'I-Project Contingency'!$E$87-CN56</f>
        <v>0</v>
      </c>
      <c r="DJ56" s="332">
        <f>'I-Project Contingency'!$E$88-CO56</f>
        <v>0</v>
      </c>
      <c r="DK56" s="332">
        <f>'I-Project Contingency'!$E$89-CP56</f>
        <v>0</v>
      </c>
      <c r="DL56" s="332">
        <f>'I-Project Contingency'!$E$90-CQ56</f>
        <v>0</v>
      </c>
      <c r="DM56" s="332">
        <f>'I-Project Contingency'!$E$91-CR56</f>
        <v>0</v>
      </c>
      <c r="DN56" s="332">
        <f>'I-Project Contingency'!$E$92-CS56</f>
        <v>0</v>
      </c>
      <c r="DO56" s="332">
        <f>'I-Project Contingency'!$E$93-CT56</f>
        <v>0</v>
      </c>
      <c r="DP56" s="332">
        <f>'I-Project Contingency'!$E$94-CU56</f>
        <v>0</v>
      </c>
      <c r="DQ56" s="332">
        <f>'I-Project Contingency'!$E$95-CV56</f>
        <v>0</v>
      </c>
      <c r="DR56" s="332">
        <f>'I-Project Contingency'!$E$96-CW56</f>
        <v>0</v>
      </c>
      <c r="DS56" s="332">
        <f>'I-Project Contingency'!$E$97-CX56</f>
        <v>0</v>
      </c>
      <c r="DT56" s="332">
        <f>'I-Project Contingency'!$E$98-CY56</f>
        <v>0</v>
      </c>
      <c r="DU56" s="332">
        <f>'I-Project Contingency'!$E$99-CZ56</f>
        <v>0</v>
      </c>
      <c r="DV56" s="332">
        <f>'I-Project Contingency'!$E$100-DA56</f>
        <v>0</v>
      </c>
      <c r="DW56" s="332">
        <f>'I-Project Contingency'!$E$101-DB56</f>
        <v>0</v>
      </c>
      <c r="DX56" s="332">
        <f>'I-Project Contingency'!$E$102-DC56</f>
        <v>0</v>
      </c>
      <c r="DY56" s="332">
        <f>'I-Project Contingency'!$E$103-DD56</f>
        <v>0</v>
      </c>
      <c r="DZ56" s="332">
        <f>'I-Project Contingency'!$E$104-DE56</f>
        <v>0</v>
      </c>
      <c r="EA56" s="332">
        <f>'I-Project Contingency'!$E$105-DF56</f>
        <v>0</v>
      </c>
      <c r="EB56" s="332">
        <f>'I-Project Contingency'!$E$106-DG56</f>
        <v>0</v>
      </c>
      <c r="EC56" s="334">
        <f>IF(EE56="N/A","N/A",ABS(INDEX(EE56:EY56,1,MATCH("ROM Cost Risk @ "&amp;'D-Project Data'!$C$6*100&amp;"%",$EE$17:$EY$17,0))))</f>
        <v>0</v>
      </c>
      <c r="ED56" s="335">
        <f>IF(EC56="N/A","N/A",RANK(EC56,$EC$18:$EC$117,0)+COUNTIF($EC$18:EC56,EC56)-1)</f>
        <v>39</v>
      </c>
      <c r="EE56" s="334">
        <f>IF(BQ56/SUM(BQ:BQ)*'I-Project Contingency'!$F$61=0,0,BQ56/SUM(BQ:BQ)*'I-Project Contingency'!$F$61)</f>
        <v>0</v>
      </c>
      <c r="EF56" s="334">
        <f>IF(BR56/SUM(BR:BR)*'I-Project Contingency'!$F$62=0,0,BR56/SUM(BR:BR)*'I-Project Contingency'!$F$62)</f>
        <v>0</v>
      </c>
      <c r="EG56" s="334">
        <f>IF(BS56/SUM(BS:BS)*'I-Project Contingency'!$F$63=0,0,BS56/SUM(BS:BS)*'I-Project Contingency'!$F$63)</f>
        <v>0</v>
      </c>
      <c r="EH56" s="334">
        <f>IF(BT56/SUM(BT:BT)*'I-Project Contingency'!$F$64=0,0,BT56/SUM(BT:BT)*'I-Project Contingency'!$F$64)</f>
        <v>0</v>
      </c>
      <c r="EI56" s="334">
        <f>IF(BU56/SUM(BU:BU)*'I-Project Contingency'!$F$65=0,0,BU56/SUM(BU:BU)*'I-Project Contingency'!$F$65)</f>
        <v>0</v>
      </c>
      <c r="EJ56" s="334">
        <f>IF(BV56/SUM(BV:BV)*'I-Project Contingency'!$F$66=0,0,BV56/SUM(BV:BV)*'I-Project Contingency'!$F$66)</f>
        <v>0</v>
      </c>
      <c r="EK56" s="334">
        <f>IF(BW56/SUM(BW:BW)*'I-Project Contingency'!$F$67=0,0,BW56/SUM(BW:BW)*'I-Project Contingency'!$F$67)</f>
        <v>0</v>
      </c>
      <c r="EL56" s="334">
        <f>IF(BX56/SUM(BX:BX)*'I-Project Contingency'!$F$68=0,0,BX56/SUM(BX:BX)*'I-Project Contingency'!$F$68)</f>
        <v>0</v>
      </c>
      <c r="EM56" s="334">
        <f>IF(BY56/SUM(BY:BY)*'I-Project Contingency'!$F$69=0,0,BY56/SUM(BY:BY)*'I-Project Contingency'!$F$69)</f>
        <v>0</v>
      </c>
      <c r="EN56" s="334">
        <f>IF(BZ56/SUM(BZ:BZ)*'I-Project Contingency'!$F$70=0,0,BZ56/SUM(BZ:BZ)*'I-Project Contingency'!$F$70)</f>
        <v>0</v>
      </c>
      <c r="EO56" s="334">
        <f>IF(CA56/SUM(CA:CA)*'I-Project Contingency'!$F$71=0,0,CA56/SUM(CA:CA)*'I-Project Contingency'!$F$71)</f>
        <v>0</v>
      </c>
      <c r="EP56" s="334">
        <f>IF(CB56/SUM(CB:CB)*'I-Project Contingency'!$F$72=0,0,CB56/SUM(CB:CB)*'I-Project Contingency'!$F$72)</f>
        <v>0</v>
      </c>
      <c r="EQ56" s="334">
        <f>IF(CC56/SUM(CC:CC)*'I-Project Contingency'!$F$73=0,0,CC56/SUM(CC:CC)*'I-Project Contingency'!$F$73)</f>
        <v>0</v>
      </c>
      <c r="ER56" s="334">
        <f>IF(CD56/SUM(CD:CD)*'I-Project Contingency'!$F$74=0,0,CD56/SUM(CD:CD)*'I-Project Contingency'!$F$74)</f>
        <v>0</v>
      </c>
      <c r="ES56" s="334">
        <f>IF(CE56/SUM(CE:CE)*'I-Project Contingency'!$F$75=0,0,CE56/SUM(CE:CE)*'I-Project Contingency'!$F$75)</f>
        <v>0</v>
      </c>
      <c r="ET56" s="334">
        <f>IF(CF56/SUM(CF:CF)*'I-Project Contingency'!$F$76=0,0,CF56/SUM(CF:CF)*'I-Project Contingency'!$F$76)</f>
        <v>0</v>
      </c>
      <c r="EU56" s="334">
        <f>IF(CG56/SUM(CG:CG)*'I-Project Contingency'!$F$77=0,0,CG56/SUM(CG:CG)*'I-Project Contingency'!$F$77)</f>
        <v>0</v>
      </c>
      <c r="EV56" s="787">
        <f>IF(CH56/SUM(CH:CH)*'I-Project Contingency'!$F$78=0,0,CH56/SUM(CH:CH)*'I-Project Contingency'!$F$78)</f>
        <v>0</v>
      </c>
      <c r="EW56" s="787">
        <f>IF(CI56/SUM(CI:CI)*'I-Project Contingency'!$F$79=0,0,CI56/SUM(CI:CI)*'I-Project Contingency'!$F$79)</f>
        <v>0</v>
      </c>
      <c r="EX56" s="787">
        <f>IF(CJ56/SUM(CJ:CJ)*'I-Project Contingency'!$F$80=0,0,CJ56/SUM(CJ:CJ)*'I-Project Contingency'!$F$80)</f>
        <v>0</v>
      </c>
      <c r="EY56" s="787">
        <f>IF(CK56/SUM(CK:CK)*'I-Project Contingency'!$F$81=0,0,CK56/SUM(CK:CK)*'I-Project Contingency'!$F$81)</f>
        <v>0</v>
      </c>
      <c r="EZ56" s="333">
        <f>IF(FB56="N/A","N/A",ABS(INDEX(FB56:FV56,1,MATCH("ROM Schedule Risk @ "&amp;'D-Project Data'!$C$6*100&amp;"%",$FB$17:$FV$17,0))))</f>
        <v>0</v>
      </c>
      <c r="FA56" s="335">
        <f>IF(EZ56="N/A","N/A",RANK(EZ56,$EZ$18:$EZ$117,0)+COUNTIF($FB$18:FB56,FB56)-1)</f>
        <v>39</v>
      </c>
      <c r="FB56" s="788">
        <f>IF(DH56/SUM(DH:DH)*'I-Project Contingency'!$F$86=0,0,DH56/SUM(DH:DH)*'I-Project Contingency'!$F$86)</f>
        <v>0</v>
      </c>
      <c r="FC56" s="788">
        <f>IF(DI56/SUM(DI:DI)*'I-Project Contingency'!$F$87=0,0,DI56/SUM(DI:DI)*'I-Project Contingency'!$F$87)</f>
        <v>0</v>
      </c>
      <c r="FD56" s="788">
        <f>IF(DJ56/SUM(DJ:DJ)*'I-Project Contingency'!$F$88=0,0,DJ56/SUM(DJ:DJ)*'I-Project Contingency'!$F$88)</f>
        <v>0</v>
      </c>
      <c r="FE56" s="788">
        <f>IF(DK56/SUM(DK:DK)*'I-Project Contingency'!$F$89=0,0,DK56/SUM(DK:DK)*'I-Project Contingency'!$F$89)</f>
        <v>0</v>
      </c>
      <c r="FF56" s="788">
        <f>IF(DL56/SUM(DL:DL)*'I-Project Contingency'!$F$90=0,0,DL56/SUM(DL:DL)*'I-Project Contingency'!$F$90)</f>
        <v>0</v>
      </c>
      <c r="FG56" s="788">
        <f>IF(DM56/SUM(DM:DM)*'I-Project Contingency'!$F$91=0,0,DM56/SUM(DM:DM)*'I-Project Contingency'!$F$91)</f>
        <v>0</v>
      </c>
      <c r="FH56" s="788">
        <f>IF(DN56/SUM(DN:DN)*'I-Project Contingency'!$F$92=0,0,DN56/SUM(DN:DN)*'I-Project Contingency'!$F$92)</f>
        <v>0</v>
      </c>
      <c r="FI56" s="788">
        <f>IF(DO56/SUM(DO:DO)*'I-Project Contingency'!$F$93=0,0,DO56/SUM(DO:DO)*'I-Project Contingency'!$F$93)</f>
        <v>0</v>
      </c>
      <c r="FJ56" s="788">
        <f>IF(DP56/SUM(DP:DP)*'I-Project Contingency'!$F$94=0,0,DP56/SUM(DP:DP)*'I-Project Contingency'!$F$94)</f>
        <v>0</v>
      </c>
      <c r="FK56" s="788">
        <f>IF(DQ56/SUM(DQ:DQ)*'I-Project Contingency'!$F$95=0,0,DQ56/SUM(DQ:DQ)*'I-Project Contingency'!$F$95)</f>
        <v>0</v>
      </c>
      <c r="FL56" s="788">
        <f>IF(DR56/SUM(DR:DR)*'I-Project Contingency'!$F$96=0,0,DR56/SUM(DR:DR)*'I-Project Contingency'!$F$96)</f>
        <v>0</v>
      </c>
      <c r="FM56" s="788">
        <f>IF(DS56/SUM(DS:DS)*'I-Project Contingency'!$F$97=0,0,DS56/SUM(DS:DS)*'I-Project Contingency'!$F$97)</f>
        <v>0</v>
      </c>
      <c r="FN56" s="788">
        <f>IF(DT56/SUM(DT:DT)*'I-Project Contingency'!$F$98=0,0,DT56/SUM(DT:DT)*'I-Project Contingency'!$F$98)</f>
        <v>0</v>
      </c>
      <c r="FO56" s="788">
        <f>IF(DU56/SUM(DU:DU)*'I-Project Contingency'!$F$99=0,0,DU56/SUM(DU:DU)*'I-Project Contingency'!$F$99)</f>
        <v>0</v>
      </c>
      <c r="FP56" s="788">
        <f>IF(DV56/SUM(DV:DV)*'I-Project Contingency'!$F$100=0,0,DV56/SUM(DV:DV)*'I-Project Contingency'!$F$100)</f>
        <v>0</v>
      </c>
      <c r="FQ56" s="788">
        <f>IF(DW56/SUM(DW:DW)*'I-Project Contingency'!$F$101=0,0,DW56/SUM(DW:DW)*'I-Project Contingency'!$F$101)</f>
        <v>0</v>
      </c>
      <c r="FR56" s="788">
        <f>IF(DX56/SUM(DX:DX)*'I-Project Contingency'!$F$102=0,0,DX56/SUM(DX:DX)*'I-Project Contingency'!$F$102)</f>
        <v>0</v>
      </c>
      <c r="FS56" s="788">
        <f>IF(DY56/SUM(DY:DY)*'I-Project Contingency'!$F$103=0,0,DY56/SUM(DY:DY)*'I-Project Contingency'!$F$103)</f>
        <v>0</v>
      </c>
      <c r="FT56" s="788">
        <f>IF(DZ56/SUM(DZ:DZ)*'I-Project Contingency'!$F$104=0,0,DZ56/SUM(DZ:DZ)*'I-Project Contingency'!$F$104)</f>
        <v>0</v>
      </c>
      <c r="FU56" s="788">
        <f>IF(EA56/SUM(EA:EA)*'I-Project Contingency'!$F$105=0,0,EA56/SUM(EA:EA)*'I-Project Contingency'!$F$105)</f>
        <v>0</v>
      </c>
      <c r="FV56" s="788">
        <f>IF(EB56/SUM(EB:EB)*'I-Project Contingency'!$F$106=0,0,EB56/SUM(EB:EB)*'I-Project Contingency'!$F$106)</f>
        <v>0</v>
      </c>
      <c r="FW56" s="335">
        <f t="shared" si="37"/>
        <v>39</v>
      </c>
      <c r="FX56" s="336" t="str">
        <f t="shared" si="38"/>
        <v xml:space="preserve">39 - </v>
      </c>
      <c r="FY56" s="330">
        <f t="shared" si="26"/>
        <v>0</v>
      </c>
      <c r="FZ56" s="330">
        <f t="shared" si="27"/>
        <v>0</v>
      </c>
      <c r="GA56" s="332">
        <f t="shared" si="39"/>
        <v>0</v>
      </c>
      <c r="GB56" s="332">
        <f t="shared" si="40"/>
        <v>0</v>
      </c>
    </row>
    <row r="57" spans="1:184" ht="30" x14ac:dyDescent="0.25">
      <c r="A57" s="163">
        <f t="shared" si="23"/>
        <v>40</v>
      </c>
      <c r="B57" s="727" t="s">
        <v>728</v>
      </c>
      <c r="C57" s="729"/>
      <c r="D57" s="729"/>
      <c r="E57" s="729"/>
      <c r="F57" s="728" t="s">
        <v>728</v>
      </c>
      <c r="G57" s="728" t="s">
        <v>728</v>
      </c>
      <c r="H57" s="157" t="str">
        <f>IFERROR(IF('H-Risk Register-Model'!F57="Certain","Relook at Basis of Estimate",INDEX('G-Assumptions'!$F$8:$J$11,MATCH(F57,'G-Assumptions'!$D$8:$D$11,0),MATCH(G57,'G-Assumptions'!$F$6:$J$6,0))),"Unrated")</f>
        <v>Unrated</v>
      </c>
      <c r="I57" s="728" t="s">
        <v>728</v>
      </c>
      <c r="J57" s="157" t="str">
        <f>IFERROR(IF('H-Risk Register-Model'!F57="Certain","Relook at Basis of Estimate",INDEX('G-Assumptions'!$F$8:$J$11,MATCH(F57,'G-Assumptions'!$D$8:$D$11,0),MATCH(I57,'G-Assumptions'!$F$6:$J$6,0))),"Unrated")</f>
        <v>Unrated</v>
      </c>
      <c r="K57" s="728" t="s">
        <v>728</v>
      </c>
      <c r="L57" s="728" t="s">
        <v>728</v>
      </c>
      <c r="M57" s="728"/>
      <c r="N57" s="731" t="s">
        <v>728</v>
      </c>
      <c r="O57" s="731" t="s">
        <v>728</v>
      </c>
      <c r="P57" s="732"/>
      <c r="Q57" s="732"/>
      <c r="R57" s="732"/>
      <c r="S57" s="733"/>
      <c r="T57" s="733"/>
      <c r="U57" s="733"/>
      <c r="V57" s="734"/>
      <c r="W57" s="732"/>
      <c r="X57" s="732"/>
      <c r="Y57" s="735">
        <v>1</v>
      </c>
      <c r="Z57" s="736">
        <v>1</v>
      </c>
      <c r="AA57" s="166">
        <f t="shared" si="19"/>
        <v>0</v>
      </c>
      <c r="AB57" s="166">
        <f t="shared" si="20"/>
        <v>0</v>
      </c>
      <c r="AC57" s="166">
        <f t="shared" si="21"/>
        <v>0</v>
      </c>
      <c r="AD57" s="166"/>
      <c r="AE57" s="164">
        <f t="shared" si="24"/>
        <v>0</v>
      </c>
      <c r="AF57" s="167"/>
      <c r="AG57" s="165">
        <f t="shared" si="25"/>
        <v>0</v>
      </c>
      <c r="AH57" s="729"/>
      <c r="AI57" s="729"/>
      <c r="AJ57" s="8"/>
      <c r="AK57" s="495" t="str">
        <f t="shared" si="30"/>
        <v>No</v>
      </c>
      <c r="AL57" s="496">
        <f>'I-Project Contingency'!$I$4</f>
        <v>9000000</v>
      </c>
      <c r="AM57" s="326">
        <f>'I-Project Contingency'!$I$11</f>
        <v>23.978102189781023</v>
      </c>
      <c r="AN57" s="325">
        <f t="shared" si="31"/>
        <v>0</v>
      </c>
      <c r="AO57" s="326">
        <f t="shared" si="32"/>
        <v>0</v>
      </c>
      <c r="AP57" s="641" t="str">
        <f t="shared" si="33"/>
        <v/>
      </c>
      <c r="AQ57" s="641" t="str">
        <f t="shared" si="34"/>
        <v/>
      </c>
      <c r="AR57" s="497" t="str">
        <f t="shared" si="35"/>
        <v/>
      </c>
      <c r="AS57" s="497" t="str">
        <f t="shared" si="36"/>
        <v/>
      </c>
      <c r="AT57" s="8"/>
      <c r="AU57" s="329">
        <f>'I-Project Contingency'!$O$4-AE57</f>
        <v>0</v>
      </c>
      <c r="AV57" s="330">
        <v>-240515.59579276721</v>
      </c>
      <c r="AW57" s="330">
        <v>28172.931401335634</v>
      </c>
      <c r="AX57" s="330">
        <v>193478.84467429668</v>
      </c>
      <c r="AY57" s="330">
        <v>361668.20104834624</v>
      </c>
      <c r="AZ57" s="330">
        <v>524446.91524262261</v>
      </c>
      <c r="BA57" s="330">
        <v>704023.56387635041</v>
      </c>
      <c r="BB57" s="330">
        <v>886394.06956240814</v>
      </c>
      <c r="BC57" s="330">
        <v>1079363.7165157665</v>
      </c>
      <c r="BD57" s="330">
        <v>1280180.1532065615</v>
      </c>
      <c r="BE57" s="330">
        <v>1485323.8019108465</v>
      </c>
      <c r="BF57" s="330">
        <v>1703758.8827524669</v>
      </c>
      <c r="BG57" s="330">
        <v>1949523.4346483489</v>
      </c>
      <c r="BH57" s="330">
        <v>2177897.1603371189</v>
      </c>
      <c r="BI57" s="330">
        <v>2429374.4260425912</v>
      </c>
      <c r="BJ57" s="330">
        <v>2717092.7449284913</v>
      </c>
      <c r="BK57" s="330">
        <v>3010093.6968918457</v>
      </c>
      <c r="BL57" s="330">
        <v>3325414.5894657462</v>
      </c>
      <c r="BM57" s="330">
        <v>3690425.9159493577</v>
      </c>
      <c r="BN57" s="330">
        <v>4143935.1706127762</v>
      </c>
      <c r="BO57" s="330">
        <v>4722651.1159141911</v>
      </c>
      <c r="BP57" s="330">
        <v>5992048.8629153483</v>
      </c>
      <c r="BQ57" s="330">
        <f>'I-Project Contingency'!$E$61-AV57</f>
        <v>0</v>
      </c>
      <c r="BR57" s="330">
        <f>'I-Project Contingency'!$E$62-AW57</f>
        <v>0</v>
      </c>
      <c r="BS57" s="330">
        <f>'I-Project Contingency'!$E$63-AX57</f>
        <v>0</v>
      </c>
      <c r="BT57" s="330">
        <f>'I-Project Contingency'!$E$64-AY57</f>
        <v>0</v>
      </c>
      <c r="BU57" s="330">
        <f>'I-Project Contingency'!$E$65-AZ57</f>
        <v>0</v>
      </c>
      <c r="BV57" s="330">
        <f>'I-Project Contingency'!$E$66-BA57</f>
        <v>0</v>
      </c>
      <c r="BW57" s="330">
        <f>'I-Project Contingency'!$E$67-BB57</f>
        <v>0</v>
      </c>
      <c r="BX57" s="330">
        <f>'I-Project Contingency'!$E$68-BC57</f>
        <v>0</v>
      </c>
      <c r="BY57" s="330">
        <f>'I-Project Contingency'!$E$69-BD57</f>
        <v>0</v>
      </c>
      <c r="BZ57" s="330">
        <f>'I-Project Contingency'!$E$70-BE57</f>
        <v>0</v>
      </c>
      <c r="CA57" s="330">
        <f>'I-Project Contingency'!$E$71-BF57</f>
        <v>0</v>
      </c>
      <c r="CB57" s="330">
        <f>'I-Project Contingency'!$E$72-BG57</f>
        <v>0</v>
      </c>
      <c r="CC57" s="330">
        <f>'I-Project Contingency'!$E$73-BH57</f>
        <v>0</v>
      </c>
      <c r="CD57" s="330">
        <f>'I-Project Contingency'!$E$74-BI57</f>
        <v>0</v>
      </c>
      <c r="CE57" s="330">
        <f>'I-Project Contingency'!$E$75-BJ57</f>
        <v>0</v>
      </c>
      <c r="CF57" s="330">
        <f>'I-Project Contingency'!$E$76-BK57</f>
        <v>0</v>
      </c>
      <c r="CG57" s="330">
        <f>'I-Project Contingency'!$E$77-BL57</f>
        <v>0</v>
      </c>
      <c r="CH57" s="784">
        <f>'I-Project Contingency'!$E$78-BM57</f>
        <v>0</v>
      </c>
      <c r="CI57" s="330">
        <f>'I-Project Contingency'!$E$79-BN57</f>
        <v>0</v>
      </c>
      <c r="CJ57" s="330">
        <f>'I-Project Contingency'!$E$80-BO57</f>
        <v>0</v>
      </c>
      <c r="CK57" s="330">
        <f>'I-Project Contingency'!$E$81-BP57</f>
        <v>0</v>
      </c>
      <c r="CL57" s="331">
        <f>'I-Project Contingency'!$O$5-AG57</f>
        <v>0</v>
      </c>
      <c r="CM57" s="332">
        <v>-0.98711802853447173</v>
      </c>
      <c r="CN57" s="332">
        <v>-0.19547704728364468</v>
      </c>
      <c r="CO57" s="332">
        <v>0.126462150308498</v>
      </c>
      <c r="CP57" s="332">
        <v>0.45967989154545902</v>
      </c>
      <c r="CQ57" s="332">
        <v>0.78297319902744</v>
      </c>
      <c r="CR57" s="332">
        <v>1.0957191966482109</v>
      </c>
      <c r="CS57" s="332">
        <v>1.4418405003536849</v>
      </c>
      <c r="CT57" s="332">
        <v>1.801002404194165</v>
      </c>
      <c r="CU57" s="332">
        <v>2.1797608166947349</v>
      </c>
      <c r="CV57" s="332">
        <v>2.5671680610072478</v>
      </c>
      <c r="CW57" s="332">
        <v>2.9690760644797152</v>
      </c>
      <c r="CX57" s="332">
        <v>3.3964145469774811</v>
      </c>
      <c r="CY57" s="332">
        <v>3.864536087769562</v>
      </c>
      <c r="CZ57" s="332">
        <v>4.3569836138896116</v>
      </c>
      <c r="DA57" s="332">
        <v>4.8862357851222598</v>
      </c>
      <c r="DB57" s="332">
        <v>5.438836997347547</v>
      </c>
      <c r="DC57" s="332">
        <v>6.047993455908566</v>
      </c>
      <c r="DD57" s="785">
        <v>6.720204953601761</v>
      </c>
      <c r="DE57" s="333">
        <v>7.55131678090412</v>
      </c>
      <c r="DF57" s="332">
        <v>8.661446370835737</v>
      </c>
      <c r="DG57" s="332">
        <v>11.206316207857133</v>
      </c>
      <c r="DH57" s="332">
        <f>'I-Project Contingency'!$E$86-CM57</f>
        <v>0</v>
      </c>
      <c r="DI57" s="332">
        <f>'I-Project Contingency'!$E$87-CN57</f>
        <v>0</v>
      </c>
      <c r="DJ57" s="332">
        <f>'I-Project Contingency'!$E$88-CO57</f>
        <v>0</v>
      </c>
      <c r="DK57" s="332">
        <f>'I-Project Contingency'!$E$89-CP57</f>
        <v>0</v>
      </c>
      <c r="DL57" s="332">
        <f>'I-Project Contingency'!$E$90-CQ57</f>
        <v>0</v>
      </c>
      <c r="DM57" s="332">
        <f>'I-Project Contingency'!$E$91-CR57</f>
        <v>0</v>
      </c>
      <c r="DN57" s="332">
        <f>'I-Project Contingency'!$E$92-CS57</f>
        <v>0</v>
      </c>
      <c r="DO57" s="332">
        <f>'I-Project Contingency'!$E$93-CT57</f>
        <v>0</v>
      </c>
      <c r="DP57" s="332">
        <f>'I-Project Contingency'!$E$94-CU57</f>
        <v>0</v>
      </c>
      <c r="DQ57" s="332">
        <f>'I-Project Contingency'!$E$95-CV57</f>
        <v>0</v>
      </c>
      <c r="DR57" s="332">
        <f>'I-Project Contingency'!$E$96-CW57</f>
        <v>0</v>
      </c>
      <c r="DS57" s="332">
        <f>'I-Project Contingency'!$E$97-CX57</f>
        <v>0</v>
      </c>
      <c r="DT57" s="332">
        <f>'I-Project Contingency'!$E$98-CY57</f>
        <v>0</v>
      </c>
      <c r="DU57" s="332">
        <f>'I-Project Contingency'!$E$99-CZ57</f>
        <v>0</v>
      </c>
      <c r="DV57" s="332">
        <f>'I-Project Contingency'!$E$100-DA57</f>
        <v>0</v>
      </c>
      <c r="DW57" s="332">
        <f>'I-Project Contingency'!$E$101-DB57</f>
        <v>0</v>
      </c>
      <c r="DX57" s="332">
        <f>'I-Project Contingency'!$E$102-DC57</f>
        <v>0</v>
      </c>
      <c r="DY57" s="332">
        <f>'I-Project Contingency'!$E$103-DD57</f>
        <v>0</v>
      </c>
      <c r="DZ57" s="332">
        <f>'I-Project Contingency'!$E$104-DE57</f>
        <v>0</v>
      </c>
      <c r="EA57" s="332">
        <f>'I-Project Contingency'!$E$105-DF57</f>
        <v>0</v>
      </c>
      <c r="EB57" s="332">
        <f>'I-Project Contingency'!$E$106-DG57</f>
        <v>0</v>
      </c>
      <c r="EC57" s="334">
        <f>IF(EE57="N/A","N/A",ABS(INDEX(EE57:EY57,1,MATCH("ROM Cost Risk @ "&amp;'D-Project Data'!$C$6*100&amp;"%",$EE$17:$EY$17,0))))</f>
        <v>0</v>
      </c>
      <c r="ED57" s="335">
        <f>IF(EC57="N/A","N/A",RANK(EC57,$EC$18:$EC$117,0)+COUNTIF($EC$18:EC57,EC57)-1)</f>
        <v>40</v>
      </c>
      <c r="EE57" s="334">
        <f>IF(BQ57/SUM(BQ:BQ)*'I-Project Contingency'!$F$61=0,0,BQ57/SUM(BQ:BQ)*'I-Project Contingency'!$F$61)</f>
        <v>0</v>
      </c>
      <c r="EF57" s="334">
        <f>IF(BR57/SUM(BR:BR)*'I-Project Contingency'!$F$62=0,0,BR57/SUM(BR:BR)*'I-Project Contingency'!$F$62)</f>
        <v>0</v>
      </c>
      <c r="EG57" s="334">
        <f>IF(BS57/SUM(BS:BS)*'I-Project Contingency'!$F$63=0,0,BS57/SUM(BS:BS)*'I-Project Contingency'!$F$63)</f>
        <v>0</v>
      </c>
      <c r="EH57" s="334">
        <f>IF(BT57/SUM(BT:BT)*'I-Project Contingency'!$F$64=0,0,BT57/SUM(BT:BT)*'I-Project Contingency'!$F$64)</f>
        <v>0</v>
      </c>
      <c r="EI57" s="334">
        <f>IF(BU57/SUM(BU:BU)*'I-Project Contingency'!$F$65=0,0,BU57/SUM(BU:BU)*'I-Project Contingency'!$F$65)</f>
        <v>0</v>
      </c>
      <c r="EJ57" s="334">
        <f>IF(BV57/SUM(BV:BV)*'I-Project Contingency'!$F$66=0,0,BV57/SUM(BV:BV)*'I-Project Contingency'!$F$66)</f>
        <v>0</v>
      </c>
      <c r="EK57" s="334">
        <f>IF(BW57/SUM(BW:BW)*'I-Project Contingency'!$F$67=0,0,BW57/SUM(BW:BW)*'I-Project Contingency'!$F$67)</f>
        <v>0</v>
      </c>
      <c r="EL57" s="334">
        <f>IF(BX57/SUM(BX:BX)*'I-Project Contingency'!$F$68=0,0,BX57/SUM(BX:BX)*'I-Project Contingency'!$F$68)</f>
        <v>0</v>
      </c>
      <c r="EM57" s="334">
        <f>IF(BY57/SUM(BY:BY)*'I-Project Contingency'!$F$69=0,0,BY57/SUM(BY:BY)*'I-Project Contingency'!$F$69)</f>
        <v>0</v>
      </c>
      <c r="EN57" s="334">
        <f>IF(BZ57/SUM(BZ:BZ)*'I-Project Contingency'!$F$70=0,0,BZ57/SUM(BZ:BZ)*'I-Project Contingency'!$F$70)</f>
        <v>0</v>
      </c>
      <c r="EO57" s="334">
        <f>IF(CA57/SUM(CA:CA)*'I-Project Contingency'!$F$71=0,0,CA57/SUM(CA:CA)*'I-Project Contingency'!$F$71)</f>
        <v>0</v>
      </c>
      <c r="EP57" s="334">
        <f>IF(CB57/SUM(CB:CB)*'I-Project Contingency'!$F$72=0,0,CB57/SUM(CB:CB)*'I-Project Contingency'!$F$72)</f>
        <v>0</v>
      </c>
      <c r="EQ57" s="334">
        <f>IF(CC57/SUM(CC:CC)*'I-Project Contingency'!$F$73=0,0,CC57/SUM(CC:CC)*'I-Project Contingency'!$F$73)</f>
        <v>0</v>
      </c>
      <c r="ER57" s="334">
        <f>IF(CD57/SUM(CD:CD)*'I-Project Contingency'!$F$74=0,0,CD57/SUM(CD:CD)*'I-Project Contingency'!$F$74)</f>
        <v>0</v>
      </c>
      <c r="ES57" s="334">
        <f>IF(CE57/SUM(CE:CE)*'I-Project Contingency'!$F$75=0,0,CE57/SUM(CE:CE)*'I-Project Contingency'!$F$75)</f>
        <v>0</v>
      </c>
      <c r="ET57" s="334">
        <f>IF(CF57/SUM(CF:CF)*'I-Project Contingency'!$F$76=0,0,CF57/SUM(CF:CF)*'I-Project Contingency'!$F$76)</f>
        <v>0</v>
      </c>
      <c r="EU57" s="334">
        <f>IF(CG57/SUM(CG:CG)*'I-Project Contingency'!$F$77=0,0,CG57/SUM(CG:CG)*'I-Project Contingency'!$F$77)</f>
        <v>0</v>
      </c>
      <c r="EV57" s="787">
        <f>IF(CH57/SUM(CH:CH)*'I-Project Contingency'!$F$78=0,0,CH57/SUM(CH:CH)*'I-Project Contingency'!$F$78)</f>
        <v>0</v>
      </c>
      <c r="EW57" s="787">
        <f>IF(CI57/SUM(CI:CI)*'I-Project Contingency'!$F$79=0,0,CI57/SUM(CI:CI)*'I-Project Contingency'!$F$79)</f>
        <v>0</v>
      </c>
      <c r="EX57" s="787">
        <f>IF(CJ57/SUM(CJ:CJ)*'I-Project Contingency'!$F$80=0,0,CJ57/SUM(CJ:CJ)*'I-Project Contingency'!$F$80)</f>
        <v>0</v>
      </c>
      <c r="EY57" s="787">
        <f>IF(CK57/SUM(CK:CK)*'I-Project Contingency'!$F$81=0,0,CK57/SUM(CK:CK)*'I-Project Contingency'!$F$81)</f>
        <v>0</v>
      </c>
      <c r="EZ57" s="333">
        <f>IF(FB57="N/A","N/A",ABS(INDEX(FB57:FV57,1,MATCH("ROM Schedule Risk @ "&amp;'D-Project Data'!$C$6*100&amp;"%",$FB$17:$FV$17,0))))</f>
        <v>0</v>
      </c>
      <c r="FA57" s="335">
        <f>IF(EZ57="N/A","N/A",RANK(EZ57,$EZ$18:$EZ$117,0)+COUNTIF($FB$18:FB57,FB57)-1)</f>
        <v>40</v>
      </c>
      <c r="FB57" s="788">
        <f>IF(DH57/SUM(DH:DH)*'I-Project Contingency'!$F$86=0,0,DH57/SUM(DH:DH)*'I-Project Contingency'!$F$86)</f>
        <v>0</v>
      </c>
      <c r="FC57" s="788">
        <f>IF(DI57/SUM(DI:DI)*'I-Project Contingency'!$F$87=0,0,DI57/SUM(DI:DI)*'I-Project Contingency'!$F$87)</f>
        <v>0</v>
      </c>
      <c r="FD57" s="788">
        <f>IF(DJ57/SUM(DJ:DJ)*'I-Project Contingency'!$F$88=0,0,DJ57/SUM(DJ:DJ)*'I-Project Contingency'!$F$88)</f>
        <v>0</v>
      </c>
      <c r="FE57" s="788">
        <f>IF(DK57/SUM(DK:DK)*'I-Project Contingency'!$F$89=0,0,DK57/SUM(DK:DK)*'I-Project Contingency'!$F$89)</f>
        <v>0</v>
      </c>
      <c r="FF57" s="788">
        <f>IF(DL57/SUM(DL:DL)*'I-Project Contingency'!$F$90=0,0,DL57/SUM(DL:DL)*'I-Project Contingency'!$F$90)</f>
        <v>0</v>
      </c>
      <c r="FG57" s="788">
        <f>IF(DM57/SUM(DM:DM)*'I-Project Contingency'!$F$91=0,0,DM57/SUM(DM:DM)*'I-Project Contingency'!$F$91)</f>
        <v>0</v>
      </c>
      <c r="FH57" s="788">
        <f>IF(DN57/SUM(DN:DN)*'I-Project Contingency'!$F$92=0,0,DN57/SUM(DN:DN)*'I-Project Contingency'!$F$92)</f>
        <v>0</v>
      </c>
      <c r="FI57" s="788">
        <f>IF(DO57/SUM(DO:DO)*'I-Project Contingency'!$F$93=0,0,DO57/SUM(DO:DO)*'I-Project Contingency'!$F$93)</f>
        <v>0</v>
      </c>
      <c r="FJ57" s="788">
        <f>IF(DP57/SUM(DP:DP)*'I-Project Contingency'!$F$94=0,0,DP57/SUM(DP:DP)*'I-Project Contingency'!$F$94)</f>
        <v>0</v>
      </c>
      <c r="FK57" s="788">
        <f>IF(DQ57/SUM(DQ:DQ)*'I-Project Contingency'!$F$95=0,0,DQ57/SUM(DQ:DQ)*'I-Project Contingency'!$F$95)</f>
        <v>0</v>
      </c>
      <c r="FL57" s="788">
        <f>IF(DR57/SUM(DR:DR)*'I-Project Contingency'!$F$96=0,0,DR57/SUM(DR:DR)*'I-Project Contingency'!$F$96)</f>
        <v>0</v>
      </c>
      <c r="FM57" s="788">
        <f>IF(DS57/SUM(DS:DS)*'I-Project Contingency'!$F$97=0,0,DS57/SUM(DS:DS)*'I-Project Contingency'!$F$97)</f>
        <v>0</v>
      </c>
      <c r="FN57" s="788">
        <f>IF(DT57/SUM(DT:DT)*'I-Project Contingency'!$F$98=0,0,DT57/SUM(DT:DT)*'I-Project Contingency'!$F$98)</f>
        <v>0</v>
      </c>
      <c r="FO57" s="788">
        <f>IF(DU57/SUM(DU:DU)*'I-Project Contingency'!$F$99=0,0,DU57/SUM(DU:DU)*'I-Project Contingency'!$F$99)</f>
        <v>0</v>
      </c>
      <c r="FP57" s="788">
        <f>IF(DV57/SUM(DV:DV)*'I-Project Contingency'!$F$100=0,0,DV57/SUM(DV:DV)*'I-Project Contingency'!$F$100)</f>
        <v>0</v>
      </c>
      <c r="FQ57" s="788">
        <f>IF(DW57/SUM(DW:DW)*'I-Project Contingency'!$F$101=0,0,DW57/SUM(DW:DW)*'I-Project Contingency'!$F$101)</f>
        <v>0</v>
      </c>
      <c r="FR57" s="788">
        <f>IF(DX57/SUM(DX:DX)*'I-Project Contingency'!$F$102=0,0,DX57/SUM(DX:DX)*'I-Project Contingency'!$F$102)</f>
        <v>0</v>
      </c>
      <c r="FS57" s="788">
        <f>IF(DY57/SUM(DY:DY)*'I-Project Contingency'!$F$103=0,0,DY57/SUM(DY:DY)*'I-Project Contingency'!$F$103)</f>
        <v>0</v>
      </c>
      <c r="FT57" s="788">
        <f>IF(DZ57/SUM(DZ:DZ)*'I-Project Contingency'!$F$104=0,0,DZ57/SUM(DZ:DZ)*'I-Project Contingency'!$F$104)</f>
        <v>0</v>
      </c>
      <c r="FU57" s="788">
        <f>IF(EA57/SUM(EA:EA)*'I-Project Contingency'!$F$105=0,0,EA57/SUM(EA:EA)*'I-Project Contingency'!$F$105)</f>
        <v>0</v>
      </c>
      <c r="FV57" s="788">
        <f>IF(EB57/SUM(EB:EB)*'I-Project Contingency'!$F$106=0,0,EB57/SUM(EB:EB)*'I-Project Contingency'!$F$106)</f>
        <v>0</v>
      </c>
      <c r="FW57" s="335">
        <f t="shared" si="37"/>
        <v>40</v>
      </c>
      <c r="FX57" s="336" t="str">
        <f t="shared" si="38"/>
        <v xml:space="preserve">40 - </v>
      </c>
      <c r="FY57" s="330">
        <f t="shared" si="26"/>
        <v>0</v>
      </c>
      <c r="FZ57" s="330">
        <f t="shared" si="27"/>
        <v>0</v>
      </c>
      <c r="GA57" s="332">
        <f t="shared" si="39"/>
        <v>0</v>
      </c>
      <c r="GB57" s="332">
        <f t="shared" si="40"/>
        <v>0</v>
      </c>
    </row>
    <row r="58" spans="1:184" ht="30" x14ac:dyDescent="0.25">
      <c r="A58" s="163">
        <f t="shared" si="23"/>
        <v>41</v>
      </c>
      <c r="B58" s="727" t="s">
        <v>728</v>
      </c>
      <c r="C58" s="729"/>
      <c r="D58" s="729"/>
      <c r="E58" s="729"/>
      <c r="F58" s="728" t="s">
        <v>728</v>
      </c>
      <c r="G58" s="728" t="s">
        <v>728</v>
      </c>
      <c r="H58" s="157" t="str">
        <f>IFERROR(IF('H-Risk Register-Model'!F58="Certain","Relook at Basis of Estimate",INDEX('G-Assumptions'!$F$8:$J$11,MATCH(F58,'G-Assumptions'!$D$8:$D$11,0),MATCH(G58,'G-Assumptions'!$F$6:$J$6,0))),"Unrated")</f>
        <v>Unrated</v>
      </c>
      <c r="I58" s="728" t="s">
        <v>728</v>
      </c>
      <c r="J58" s="157" t="str">
        <f>IFERROR(IF('H-Risk Register-Model'!F58="Certain","Relook at Basis of Estimate",INDEX('G-Assumptions'!$F$8:$J$11,MATCH(F58,'G-Assumptions'!$D$8:$D$11,0),MATCH(I58,'G-Assumptions'!$F$6:$J$6,0))),"Unrated")</f>
        <v>Unrated</v>
      </c>
      <c r="K58" s="728" t="s">
        <v>728</v>
      </c>
      <c r="L58" s="728" t="s">
        <v>728</v>
      </c>
      <c r="M58" s="728"/>
      <c r="N58" s="731" t="s">
        <v>728</v>
      </c>
      <c r="O58" s="731" t="s">
        <v>728</v>
      </c>
      <c r="P58" s="732"/>
      <c r="Q58" s="732"/>
      <c r="R58" s="732"/>
      <c r="S58" s="733"/>
      <c r="T58" s="733"/>
      <c r="U58" s="733"/>
      <c r="V58" s="734"/>
      <c r="W58" s="732"/>
      <c r="X58" s="732"/>
      <c r="Y58" s="735">
        <v>1</v>
      </c>
      <c r="Z58" s="736">
        <v>1</v>
      </c>
      <c r="AA58" s="166">
        <f t="shared" si="19"/>
        <v>0</v>
      </c>
      <c r="AB58" s="166">
        <f t="shared" si="20"/>
        <v>0</v>
      </c>
      <c r="AC58" s="166">
        <f t="shared" si="21"/>
        <v>0</v>
      </c>
      <c r="AD58" s="166"/>
      <c r="AE58" s="164">
        <f t="shared" si="24"/>
        <v>0</v>
      </c>
      <c r="AF58" s="167"/>
      <c r="AG58" s="165">
        <f t="shared" si="25"/>
        <v>0</v>
      </c>
      <c r="AH58" s="729"/>
      <c r="AI58" s="729"/>
      <c r="AJ58" s="8"/>
      <c r="AK58" s="495" t="str">
        <f t="shared" si="30"/>
        <v>No</v>
      </c>
      <c r="AL58" s="496">
        <f>'I-Project Contingency'!$I$4</f>
        <v>9000000</v>
      </c>
      <c r="AM58" s="326">
        <f>'I-Project Contingency'!$I$11</f>
        <v>23.978102189781023</v>
      </c>
      <c r="AN58" s="325">
        <f t="shared" si="31"/>
        <v>0</v>
      </c>
      <c r="AO58" s="326">
        <f t="shared" si="32"/>
        <v>0</v>
      </c>
      <c r="AP58" s="641" t="str">
        <f t="shared" si="33"/>
        <v/>
      </c>
      <c r="AQ58" s="641" t="str">
        <f t="shared" si="34"/>
        <v/>
      </c>
      <c r="AR58" s="497" t="str">
        <f t="shared" si="35"/>
        <v/>
      </c>
      <c r="AS58" s="497" t="str">
        <f t="shared" si="36"/>
        <v/>
      </c>
      <c r="AT58" s="8"/>
      <c r="AU58" s="329">
        <f>'I-Project Contingency'!$O$4-AE58</f>
        <v>0</v>
      </c>
      <c r="AV58" s="330">
        <v>-240515.59579276721</v>
      </c>
      <c r="AW58" s="330">
        <v>28172.931401335634</v>
      </c>
      <c r="AX58" s="330">
        <v>193478.84467429668</v>
      </c>
      <c r="AY58" s="330">
        <v>361668.20104834624</v>
      </c>
      <c r="AZ58" s="330">
        <v>524446.91524262261</v>
      </c>
      <c r="BA58" s="330">
        <v>704023.56387635041</v>
      </c>
      <c r="BB58" s="330">
        <v>886394.06956240814</v>
      </c>
      <c r="BC58" s="330">
        <v>1079363.7165157665</v>
      </c>
      <c r="BD58" s="330">
        <v>1280180.1532065615</v>
      </c>
      <c r="BE58" s="330">
        <v>1485323.8019108465</v>
      </c>
      <c r="BF58" s="330">
        <v>1703758.8827524669</v>
      </c>
      <c r="BG58" s="330">
        <v>1949523.4346483489</v>
      </c>
      <c r="BH58" s="330">
        <v>2177897.1603371189</v>
      </c>
      <c r="BI58" s="330">
        <v>2429374.4260425912</v>
      </c>
      <c r="BJ58" s="330">
        <v>2717092.7449284913</v>
      </c>
      <c r="BK58" s="330">
        <v>3010093.6968918457</v>
      </c>
      <c r="BL58" s="330">
        <v>3325414.5894657462</v>
      </c>
      <c r="BM58" s="330">
        <v>3690425.9159493577</v>
      </c>
      <c r="BN58" s="330">
        <v>4143935.1706127762</v>
      </c>
      <c r="BO58" s="330">
        <v>4722651.1159141911</v>
      </c>
      <c r="BP58" s="330">
        <v>5992048.8629153483</v>
      </c>
      <c r="BQ58" s="330">
        <f>'I-Project Contingency'!$E$61-AV58</f>
        <v>0</v>
      </c>
      <c r="BR58" s="330">
        <f>'I-Project Contingency'!$E$62-AW58</f>
        <v>0</v>
      </c>
      <c r="BS58" s="330">
        <f>'I-Project Contingency'!$E$63-AX58</f>
        <v>0</v>
      </c>
      <c r="BT58" s="330">
        <f>'I-Project Contingency'!$E$64-AY58</f>
        <v>0</v>
      </c>
      <c r="BU58" s="330">
        <f>'I-Project Contingency'!$E$65-AZ58</f>
        <v>0</v>
      </c>
      <c r="BV58" s="330">
        <f>'I-Project Contingency'!$E$66-BA58</f>
        <v>0</v>
      </c>
      <c r="BW58" s="330">
        <f>'I-Project Contingency'!$E$67-BB58</f>
        <v>0</v>
      </c>
      <c r="BX58" s="330">
        <f>'I-Project Contingency'!$E$68-BC58</f>
        <v>0</v>
      </c>
      <c r="BY58" s="330">
        <f>'I-Project Contingency'!$E$69-BD58</f>
        <v>0</v>
      </c>
      <c r="BZ58" s="330">
        <f>'I-Project Contingency'!$E$70-BE58</f>
        <v>0</v>
      </c>
      <c r="CA58" s="330">
        <f>'I-Project Contingency'!$E$71-BF58</f>
        <v>0</v>
      </c>
      <c r="CB58" s="330">
        <f>'I-Project Contingency'!$E$72-BG58</f>
        <v>0</v>
      </c>
      <c r="CC58" s="330">
        <f>'I-Project Contingency'!$E$73-BH58</f>
        <v>0</v>
      </c>
      <c r="CD58" s="330">
        <f>'I-Project Contingency'!$E$74-BI58</f>
        <v>0</v>
      </c>
      <c r="CE58" s="330">
        <f>'I-Project Contingency'!$E$75-BJ58</f>
        <v>0</v>
      </c>
      <c r="CF58" s="330">
        <f>'I-Project Contingency'!$E$76-BK58</f>
        <v>0</v>
      </c>
      <c r="CG58" s="330">
        <f>'I-Project Contingency'!$E$77-BL58</f>
        <v>0</v>
      </c>
      <c r="CH58" s="784">
        <f>'I-Project Contingency'!$E$78-BM58</f>
        <v>0</v>
      </c>
      <c r="CI58" s="330">
        <f>'I-Project Contingency'!$E$79-BN58</f>
        <v>0</v>
      </c>
      <c r="CJ58" s="330">
        <f>'I-Project Contingency'!$E$80-BO58</f>
        <v>0</v>
      </c>
      <c r="CK58" s="330">
        <f>'I-Project Contingency'!$E$81-BP58</f>
        <v>0</v>
      </c>
      <c r="CL58" s="331">
        <f>'I-Project Contingency'!$O$5-AG58</f>
        <v>0</v>
      </c>
      <c r="CM58" s="332">
        <v>-0.98711802853447173</v>
      </c>
      <c r="CN58" s="332">
        <v>-0.19547704728364468</v>
      </c>
      <c r="CO58" s="332">
        <v>0.126462150308498</v>
      </c>
      <c r="CP58" s="332">
        <v>0.45967989154545902</v>
      </c>
      <c r="CQ58" s="332">
        <v>0.78297319902744</v>
      </c>
      <c r="CR58" s="332">
        <v>1.0957191966482109</v>
      </c>
      <c r="CS58" s="332">
        <v>1.4418405003536849</v>
      </c>
      <c r="CT58" s="332">
        <v>1.801002404194165</v>
      </c>
      <c r="CU58" s="332">
        <v>2.1797608166947349</v>
      </c>
      <c r="CV58" s="332">
        <v>2.5671680610072478</v>
      </c>
      <c r="CW58" s="332">
        <v>2.9690760644797152</v>
      </c>
      <c r="CX58" s="332">
        <v>3.3964145469774811</v>
      </c>
      <c r="CY58" s="332">
        <v>3.864536087769562</v>
      </c>
      <c r="CZ58" s="332">
        <v>4.3569836138896116</v>
      </c>
      <c r="DA58" s="332">
        <v>4.8862357851222598</v>
      </c>
      <c r="DB58" s="332">
        <v>5.438836997347547</v>
      </c>
      <c r="DC58" s="332">
        <v>6.047993455908566</v>
      </c>
      <c r="DD58" s="785">
        <v>6.720204953601761</v>
      </c>
      <c r="DE58" s="333">
        <v>7.55131678090412</v>
      </c>
      <c r="DF58" s="332">
        <v>8.661446370835737</v>
      </c>
      <c r="DG58" s="332">
        <v>11.206316207857133</v>
      </c>
      <c r="DH58" s="332">
        <f>'I-Project Contingency'!$E$86-CM58</f>
        <v>0</v>
      </c>
      <c r="DI58" s="332">
        <f>'I-Project Contingency'!$E$87-CN58</f>
        <v>0</v>
      </c>
      <c r="DJ58" s="332">
        <f>'I-Project Contingency'!$E$88-CO58</f>
        <v>0</v>
      </c>
      <c r="DK58" s="332">
        <f>'I-Project Contingency'!$E$89-CP58</f>
        <v>0</v>
      </c>
      <c r="DL58" s="332">
        <f>'I-Project Contingency'!$E$90-CQ58</f>
        <v>0</v>
      </c>
      <c r="DM58" s="332">
        <f>'I-Project Contingency'!$E$91-CR58</f>
        <v>0</v>
      </c>
      <c r="DN58" s="332">
        <f>'I-Project Contingency'!$E$92-CS58</f>
        <v>0</v>
      </c>
      <c r="DO58" s="332">
        <f>'I-Project Contingency'!$E$93-CT58</f>
        <v>0</v>
      </c>
      <c r="DP58" s="332">
        <f>'I-Project Contingency'!$E$94-CU58</f>
        <v>0</v>
      </c>
      <c r="DQ58" s="332">
        <f>'I-Project Contingency'!$E$95-CV58</f>
        <v>0</v>
      </c>
      <c r="DR58" s="332">
        <f>'I-Project Contingency'!$E$96-CW58</f>
        <v>0</v>
      </c>
      <c r="DS58" s="332">
        <f>'I-Project Contingency'!$E$97-CX58</f>
        <v>0</v>
      </c>
      <c r="DT58" s="332">
        <f>'I-Project Contingency'!$E$98-CY58</f>
        <v>0</v>
      </c>
      <c r="DU58" s="332">
        <f>'I-Project Contingency'!$E$99-CZ58</f>
        <v>0</v>
      </c>
      <c r="DV58" s="332">
        <f>'I-Project Contingency'!$E$100-DA58</f>
        <v>0</v>
      </c>
      <c r="DW58" s="332">
        <f>'I-Project Contingency'!$E$101-DB58</f>
        <v>0</v>
      </c>
      <c r="DX58" s="332">
        <f>'I-Project Contingency'!$E$102-DC58</f>
        <v>0</v>
      </c>
      <c r="DY58" s="332">
        <f>'I-Project Contingency'!$E$103-DD58</f>
        <v>0</v>
      </c>
      <c r="DZ58" s="332">
        <f>'I-Project Contingency'!$E$104-DE58</f>
        <v>0</v>
      </c>
      <c r="EA58" s="332">
        <f>'I-Project Contingency'!$E$105-DF58</f>
        <v>0</v>
      </c>
      <c r="EB58" s="332">
        <f>'I-Project Contingency'!$E$106-DG58</f>
        <v>0</v>
      </c>
      <c r="EC58" s="334">
        <f>IF(EE58="N/A","N/A",ABS(INDEX(EE58:EY58,1,MATCH("ROM Cost Risk @ "&amp;'D-Project Data'!$C$6*100&amp;"%",$EE$17:$EY$17,0))))</f>
        <v>0</v>
      </c>
      <c r="ED58" s="335">
        <f>IF(EC58="N/A","N/A",RANK(EC58,$EC$18:$EC$117,0)+COUNTIF($EC$18:EC58,EC58)-1)</f>
        <v>41</v>
      </c>
      <c r="EE58" s="334">
        <f>IF(BQ58/SUM(BQ:BQ)*'I-Project Contingency'!$F$61=0,0,BQ58/SUM(BQ:BQ)*'I-Project Contingency'!$F$61)</f>
        <v>0</v>
      </c>
      <c r="EF58" s="334">
        <f>IF(BR58/SUM(BR:BR)*'I-Project Contingency'!$F$62=0,0,BR58/SUM(BR:BR)*'I-Project Contingency'!$F$62)</f>
        <v>0</v>
      </c>
      <c r="EG58" s="334">
        <f>IF(BS58/SUM(BS:BS)*'I-Project Contingency'!$F$63=0,0,BS58/SUM(BS:BS)*'I-Project Contingency'!$F$63)</f>
        <v>0</v>
      </c>
      <c r="EH58" s="334">
        <f>IF(BT58/SUM(BT:BT)*'I-Project Contingency'!$F$64=0,0,BT58/SUM(BT:BT)*'I-Project Contingency'!$F$64)</f>
        <v>0</v>
      </c>
      <c r="EI58" s="334">
        <f>IF(BU58/SUM(BU:BU)*'I-Project Contingency'!$F$65=0,0,BU58/SUM(BU:BU)*'I-Project Contingency'!$F$65)</f>
        <v>0</v>
      </c>
      <c r="EJ58" s="334">
        <f>IF(BV58/SUM(BV:BV)*'I-Project Contingency'!$F$66=0,0,BV58/SUM(BV:BV)*'I-Project Contingency'!$F$66)</f>
        <v>0</v>
      </c>
      <c r="EK58" s="334">
        <f>IF(BW58/SUM(BW:BW)*'I-Project Contingency'!$F$67=0,0,BW58/SUM(BW:BW)*'I-Project Contingency'!$F$67)</f>
        <v>0</v>
      </c>
      <c r="EL58" s="334">
        <f>IF(BX58/SUM(BX:BX)*'I-Project Contingency'!$F$68=0,0,BX58/SUM(BX:BX)*'I-Project Contingency'!$F$68)</f>
        <v>0</v>
      </c>
      <c r="EM58" s="334">
        <f>IF(BY58/SUM(BY:BY)*'I-Project Contingency'!$F$69=0,0,BY58/SUM(BY:BY)*'I-Project Contingency'!$F$69)</f>
        <v>0</v>
      </c>
      <c r="EN58" s="334">
        <f>IF(BZ58/SUM(BZ:BZ)*'I-Project Contingency'!$F$70=0,0,BZ58/SUM(BZ:BZ)*'I-Project Contingency'!$F$70)</f>
        <v>0</v>
      </c>
      <c r="EO58" s="334">
        <f>IF(CA58/SUM(CA:CA)*'I-Project Contingency'!$F$71=0,0,CA58/SUM(CA:CA)*'I-Project Contingency'!$F$71)</f>
        <v>0</v>
      </c>
      <c r="EP58" s="334">
        <f>IF(CB58/SUM(CB:CB)*'I-Project Contingency'!$F$72=0,0,CB58/SUM(CB:CB)*'I-Project Contingency'!$F$72)</f>
        <v>0</v>
      </c>
      <c r="EQ58" s="334">
        <f>IF(CC58/SUM(CC:CC)*'I-Project Contingency'!$F$73=0,0,CC58/SUM(CC:CC)*'I-Project Contingency'!$F$73)</f>
        <v>0</v>
      </c>
      <c r="ER58" s="334">
        <f>IF(CD58/SUM(CD:CD)*'I-Project Contingency'!$F$74=0,0,CD58/SUM(CD:CD)*'I-Project Contingency'!$F$74)</f>
        <v>0</v>
      </c>
      <c r="ES58" s="334">
        <f>IF(CE58/SUM(CE:CE)*'I-Project Contingency'!$F$75=0,0,CE58/SUM(CE:CE)*'I-Project Contingency'!$F$75)</f>
        <v>0</v>
      </c>
      <c r="ET58" s="334">
        <f>IF(CF58/SUM(CF:CF)*'I-Project Contingency'!$F$76=0,0,CF58/SUM(CF:CF)*'I-Project Contingency'!$F$76)</f>
        <v>0</v>
      </c>
      <c r="EU58" s="334">
        <f>IF(CG58/SUM(CG:CG)*'I-Project Contingency'!$F$77=0,0,CG58/SUM(CG:CG)*'I-Project Contingency'!$F$77)</f>
        <v>0</v>
      </c>
      <c r="EV58" s="787">
        <f>IF(CH58/SUM(CH:CH)*'I-Project Contingency'!$F$78=0,0,CH58/SUM(CH:CH)*'I-Project Contingency'!$F$78)</f>
        <v>0</v>
      </c>
      <c r="EW58" s="787">
        <f>IF(CI58/SUM(CI:CI)*'I-Project Contingency'!$F$79=0,0,CI58/SUM(CI:CI)*'I-Project Contingency'!$F$79)</f>
        <v>0</v>
      </c>
      <c r="EX58" s="787">
        <f>IF(CJ58/SUM(CJ:CJ)*'I-Project Contingency'!$F$80=0,0,CJ58/SUM(CJ:CJ)*'I-Project Contingency'!$F$80)</f>
        <v>0</v>
      </c>
      <c r="EY58" s="787">
        <f>IF(CK58/SUM(CK:CK)*'I-Project Contingency'!$F$81=0,0,CK58/SUM(CK:CK)*'I-Project Contingency'!$F$81)</f>
        <v>0</v>
      </c>
      <c r="EZ58" s="333">
        <f>IF(FB58="N/A","N/A",ABS(INDEX(FB58:FV58,1,MATCH("ROM Schedule Risk @ "&amp;'D-Project Data'!$C$6*100&amp;"%",$FB$17:$FV$17,0))))</f>
        <v>0</v>
      </c>
      <c r="FA58" s="335">
        <f>IF(EZ58="N/A","N/A",RANK(EZ58,$EZ$18:$EZ$117,0)+COUNTIF($FB$18:FB58,FB58)-1)</f>
        <v>41</v>
      </c>
      <c r="FB58" s="788">
        <f>IF(DH58/SUM(DH:DH)*'I-Project Contingency'!$F$86=0,0,DH58/SUM(DH:DH)*'I-Project Contingency'!$F$86)</f>
        <v>0</v>
      </c>
      <c r="FC58" s="788">
        <f>IF(DI58/SUM(DI:DI)*'I-Project Contingency'!$F$87=0,0,DI58/SUM(DI:DI)*'I-Project Contingency'!$F$87)</f>
        <v>0</v>
      </c>
      <c r="FD58" s="788">
        <f>IF(DJ58/SUM(DJ:DJ)*'I-Project Contingency'!$F$88=0,0,DJ58/SUM(DJ:DJ)*'I-Project Contingency'!$F$88)</f>
        <v>0</v>
      </c>
      <c r="FE58" s="788">
        <f>IF(DK58/SUM(DK:DK)*'I-Project Contingency'!$F$89=0,0,DK58/SUM(DK:DK)*'I-Project Contingency'!$F$89)</f>
        <v>0</v>
      </c>
      <c r="FF58" s="788">
        <f>IF(DL58/SUM(DL:DL)*'I-Project Contingency'!$F$90=0,0,DL58/SUM(DL:DL)*'I-Project Contingency'!$F$90)</f>
        <v>0</v>
      </c>
      <c r="FG58" s="788">
        <f>IF(DM58/SUM(DM:DM)*'I-Project Contingency'!$F$91=0,0,DM58/SUM(DM:DM)*'I-Project Contingency'!$F$91)</f>
        <v>0</v>
      </c>
      <c r="FH58" s="788">
        <f>IF(DN58/SUM(DN:DN)*'I-Project Contingency'!$F$92=0,0,DN58/SUM(DN:DN)*'I-Project Contingency'!$F$92)</f>
        <v>0</v>
      </c>
      <c r="FI58" s="788">
        <f>IF(DO58/SUM(DO:DO)*'I-Project Contingency'!$F$93=0,0,DO58/SUM(DO:DO)*'I-Project Contingency'!$F$93)</f>
        <v>0</v>
      </c>
      <c r="FJ58" s="788">
        <f>IF(DP58/SUM(DP:DP)*'I-Project Contingency'!$F$94=0,0,DP58/SUM(DP:DP)*'I-Project Contingency'!$F$94)</f>
        <v>0</v>
      </c>
      <c r="FK58" s="788">
        <f>IF(DQ58/SUM(DQ:DQ)*'I-Project Contingency'!$F$95=0,0,DQ58/SUM(DQ:DQ)*'I-Project Contingency'!$F$95)</f>
        <v>0</v>
      </c>
      <c r="FL58" s="788">
        <f>IF(DR58/SUM(DR:DR)*'I-Project Contingency'!$F$96=0,0,DR58/SUM(DR:DR)*'I-Project Contingency'!$F$96)</f>
        <v>0</v>
      </c>
      <c r="FM58" s="788">
        <f>IF(DS58/SUM(DS:DS)*'I-Project Contingency'!$F$97=0,0,DS58/SUM(DS:DS)*'I-Project Contingency'!$F$97)</f>
        <v>0</v>
      </c>
      <c r="FN58" s="788">
        <f>IF(DT58/SUM(DT:DT)*'I-Project Contingency'!$F$98=0,0,DT58/SUM(DT:DT)*'I-Project Contingency'!$F$98)</f>
        <v>0</v>
      </c>
      <c r="FO58" s="788">
        <f>IF(DU58/SUM(DU:DU)*'I-Project Contingency'!$F$99=0,0,DU58/SUM(DU:DU)*'I-Project Contingency'!$F$99)</f>
        <v>0</v>
      </c>
      <c r="FP58" s="788">
        <f>IF(DV58/SUM(DV:DV)*'I-Project Contingency'!$F$100=0,0,DV58/SUM(DV:DV)*'I-Project Contingency'!$F$100)</f>
        <v>0</v>
      </c>
      <c r="FQ58" s="788">
        <f>IF(DW58/SUM(DW:DW)*'I-Project Contingency'!$F$101=0,0,DW58/SUM(DW:DW)*'I-Project Contingency'!$F$101)</f>
        <v>0</v>
      </c>
      <c r="FR58" s="788">
        <f>IF(DX58/SUM(DX:DX)*'I-Project Contingency'!$F$102=0,0,DX58/SUM(DX:DX)*'I-Project Contingency'!$F$102)</f>
        <v>0</v>
      </c>
      <c r="FS58" s="788">
        <f>IF(DY58/SUM(DY:DY)*'I-Project Contingency'!$F$103=0,0,DY58/SUM(DY:DY)*'I-Project Contingency'!$F$103)</f>
        <v>0</v>
      </c>
      <c r="FT58" s="788">
        <f>IF(DZ58/SUM(DZ:DZ)*'I-Project Contingency'!$F$104=0,0,DZ58/SUM(DZ:DZ)*'I-Project Contingency'!$F$104)</f>
        <v>0</v>
      </c>
      <c r="FU58" s="788">
        <f>IF(EA58/SUM(EA:EA)*'I-Project Contingency'!$F$105=0,0,EA58/SUM(EA:EA)*'I-Project Contingency'!$F$105)</f>
        <v>0</v>
      </c>
      <c r="FV58" s="788">
        <f>IF(EB58/SUM(EB:EB)*'I-Project Contingency'!$F$106=0,0,EB58/SUM(EB:EB)*'I-Project Contingency'!$F$106)</f>
        <v>0</v>
      </c>
      <c r="FW58" s="335">
        <f t="shared" si="37"/>
        <v>41</v>
      </c>
      <c r="FX58" s="336" t="str">
        <f t="shared" si="38"/>
        <v xml:space="preserve">41 - </v>
      </c>
      <c r="FY58" s="330">
        <f t="shared" si="26"/>
        <v>0</v>
      </c>
      <c r="FZ58" s="330">
        <f t="shared" si="27"/>
        <v>0</v>
      </c>
      <c r="GA58" s="332">
        <f t="shared" si="39"/>
        <v>0</v>
      </c>
      <c r="GB58" s="332">
        <f t="shared" si="40"/>
        <v>0</v>
      </c>
    </row>
    <row r="59" spans="1:184" ht="30" x14ac:dyDescent="0.25">
      <c r="A59" s="163">
        <f t="shared" si="23"/>
        <v>42</v>
      </c>
      <c r="B59" s="727" t="s">
        <v>728</v>
      </c>
      <c r="C59" s="729"/>
      <c r="D59" s="729"/>
      <c r="E59" s="729"/>
      <c r="F59" s="728" t="s">
        <v>728</v>
      </c>
      <c r="G59" s="728" t="s">
        <v>728</v>
      </c>
      <c r="H59" s="157" t="str">
        <f>IFERROR(IF('H-Risk Register-Model'!F59="Certain","Relook at Basis of Estimate",INDEX('G-Assumptions'!$F$8:$J$11,MATCH(F59,'G-Assumptions'!$D$8:$D$11,0),MATCH(G59,'G-Assumptions'!$F$6:$J$6,0))),"Unrated")</f>
        <v>Unrated</v>
      </c>
      <c r="I59" s="728" t="s">
        <v>728</v>
      </c>
      <c r="J59" s="157" t="str">
        <f>IFERROR(IF('H-Risk Register-Model'!F59="Certain","Relook at Basis of Estimate",INDEX('G-Assumptions'!$F$8:$J$11,MATCH(F59,'G-Assumptions'!$D$8:$D$11,0),MATCH(I59,'G-Assumptions'!$F$6:$J$6,0))),"Unrated")</f>
        <v>Unrated</v>
      </c>
      <c r="K59" s="728" t="s">
        <v>728</v>
      </c>
      <c r="L59" s="728" t="s">
        <v>728</v>
      </c>
      <c r="M59" s="728"/>
      <c r="N59" s="731" t="s">
        <v>728</v>
      </c>
      <c r="O59" s="731" t="s">
        <v>728</v>
      </c>
      <c r="P59" s="732"/>
      <c r="Q59" s="732"/>
      <c r="R59" s="732"/>
      <c r="S59" s="733"/>
      <c r="T59" s="733"/>
      <c r="U59" s="733"/>
      <c r="V59" s="734"/>
      <c r="W59" s="732"/>
      <c r="X59" s="732"/>
      <c r="Y59" s="735">
        <v>1</v>
      </c>
      <c r="Z59" s="736">
        <v>1</v>
      </c>
      <c r="AA59" s="166">
        <f t="shared" si="19"/>
        <v>0</v>
      </c>
      <c r="AB59" s="166">
        <f t="shared" si="20"/>
        <v>0</v>
      </c>
      <c r="AC59" s="166">
        <f t="shared" si="21"/>
        <v>0</v>
      </c>
      <c r="AD59" s="166"/>
      <c r="AE59" s="164">
        <f t="shared" si="24"/>
        <v>0</v>
      </c>
      <c r="AF59" s="167"/>
      <c r="AG59" s="165">
        <f t="shared" si="25"/>
        <v>0</v>
      </c>
      <c r="AH59" s="729"/>
      <c r="AI59" s="729"/>
      <c r="AJ59" s="8"/>
      <c r="AK59" s="495" t="str">
        <f t="shared" si="30"/>
        <v>No</v>
      </c>
      <c r="AL59" s="496">
        <f>'I-Project Contingency'!$I$4</f>
        <v>9000000</v>
      </c>
      <c r="AM59" s="326">
        <f>'I-Project Contingency'!$I$11</f>
        <v>23.978102189781023</v>
      </c>
      <c r="AN59" s="325">
        <f t="shared" si="31"/>
        <v>0</v>
      </c>
      <c r="AO59" s="326">
        <f t="shared" si="32"/>
        <v>0</v>
      </c>
      <c r="AP59" s="641" t="str">
        <f t="shared" si="33"/>
        <v/>
      </c>
      <c r="AQ59" s="641" t="str">
        <f t="shared" si="34"/>
        <v/>
      </c>
      <c r="AR59" s="497" t="str">
        <f t="shared" si="35"/>
        <v/>
      </c>
      <c r="AS59" s="497" t="str">
        <f t="shared" si="36"/>
        <v/>
      </c>
      <c r="AT59" s="8"/>
      <c r="AU59" s="329">
        <f>'I-Project Contingency'!$O$4-AE59</f>
        <v>0</v>
      </c>
      <c r="AV59" s="330">
        <v>-240515.59579276721</v>
      </c>
      <c r="AW59" s="330">
        <v>28172.931401335634</v>
      </c>
      <c r="AX59" s="330">
        <v>193478.84467429668</v>
      </c>
      <c r="AY59" s="330">
        <v>361668.20104834624</v>
      </c>
      <c r="AZ59" s="330">
        <v>524446.91524262261</v>
      </c>
      <c r="BA59" s="330">
        <v>704023.56387635041</v>
      </c>
      <c r="BB59" s="330">
        <v>886394.06956240814</v>
      </c>
      <c r="BC59" s="330">
        <v>1079363.7165157665</v>
      </c>
      <c r="BD59" s="330">
        <v>1280180.1532065615</v>
      </c>
      <c r="BE59" s="330">
        <v>1485323.8019108465</v>
      </c>
      <c r="BF59" s="330">
        <v>1703758.8827524669</v>
      </c>
      <c r="BG59" s="330">
        <v>1949523.4346483489</v>
      </c>
      <c r="BH59" s="330">
        <v>2177897.1603371189</v>
      </c>
      <c r="BI59" s="330">
        <v>2429374.4260425912</v>
      </c>
      <c r="BJ59" s="330">
        <v>2717092.7449284913</v>
      </c>
      <c r="BK59" s="330">
        <v>3010093.6968918457</v>
      </c>
      <c r="BL59" s="330">
        <v>3325414.5894657462</v>
      </c>
      <c r="BM59" s="330">
        <v>3690425.9159493577</v>
      </c>
      <c r="BN59" s="330">
        <v>4143935.1706127762</v>
      </c>
      <c r="BO59" s="330">
        <v>4722651.1159141911</v>
      </c>
      <c r="BP59" s="330">
        <v>5992048.8629153483</v>
      </c>
      <c r="BQ59" s="330">
        <f>'I-Project Contingency'!$E$61-AV59</f>
        <v>0</v>
      </c>
      <c r="BR59" s="330">
        <f>'I-Project Contingency'!$E$62-AW59</f>
        <v>0</v>
      </c>
      <c r="BS59" s="330">
        <f>'I-Project Contingency'!$E$63-AX59</f>
        <v>0</v>
      </c>
      <c r="BT59" s="330">
        <f>'I-Project Contingency'!$E$64-AY59</f>
        <v>0</v>
      </c>
      <c r="BU59" s="330">
        <f>'I-Project Contingency'!$E$65-AZ59</f>
        <v>0</v>
      </c>
      <c r="BV59" s="330">
        <f>'I-Project Contingency'!$E$66-BA59</f>
        <v>0</v>
      </c>
      <c r="BW59" s="330">
        <f>'I-Project Contingency'!$E$67-BB59</f>
        <v>0</v>
      </c>
      <c r="BX59" s="330">
        <f>'I-Project Contingency'!$E$68-BC59</f>
        <v>0</v>
      </c>
      <c r="BY59" s="330">
        <f>'I-Project Contingency'!$E$69-BD59</f>
        <v>0</v>
      </c>
      <c r="BZ59" s="330">
        <f>'I-Project Contingency'!$E$70-BE59</f>
        <v>0</v>
      </c>
      <c r="CA59" s="330">
        <f>'I-Project Contingency'!$E$71-BF59</f>
        <v>0</v>
      </c>
      <c r="CB59" s="330">
        <f>'I-Project Contingency'!$E$72-BG59</f>
        <v>0</v>
      </c>
      <c r="CC59" s="330">
        <f>'I-Project Contingency'!$E$73-BH59</f>
        <v>0</v>
      </c>
      <c r="CD59" s="330">
        <f>'I-Project Contingency'!$E$74-BI59</f>
        <v>0</v>
      </c>
      <c r="CE59" s="330">
        <f>'I-Project Contingency'!$E$75-BJ59</f>
        <v>0</v>
      </c>
      <c r="CF59" s="330">
        <f>'I-Project Contingency'!$E$76-BK59</f>
        <v>0</v>
      </c>
      <c r="CG59" s="330">
        <f>'I-Project Contingency'!$E$77-BL59</f>
        <v>0</v>
      </c>
      <c r="CH59" s="784">
        <f>'I-Project Contingency'!$E$78-BM59</f>
        <v>0</v>
      </c>
      <c r="CI59" s="330">
        <f>'I-Project Contingency'!$E$79-BN59</f>
        <v>0</v>
      </c>
      <c r="CJ59" s="330">
        <f>'I-Project Contingency'!$E$80-BO59</f>
        <v>0</v>
      </c>
      <c r="CK59" s="330">
        <f>'I-Project Contingency'!$E$81-BP59</f>
        <v>0</v>
      </c>
      <c r="CL59" s="331">
        <f>'I-Project Contingency'!$O$5-AG59</f>
        <v>0</v>
      </c>
      <c r="CM59" s="332">
        <v>-0.98711802853447173</v>
      </c>
      <c r="CN59" s="332">
        <v>-0.19547704728364468</v>
      </c>
      <c r="CO59" s="332">
        <v>0.126462150308498</v>
      </c>
      <c r="CP59" s="332">
        <v>0.45967989154545902</v>
      </c>
      <c r="CQ59" s="332">
        <v>0.78297319902744</v>
      </c>
      <c r="CR59" s="332">
        <v>1.0957191966482109</v>
      </c>
      <c r="CS59" s="332">
        <v>1.4418405003536849</v>
      </c>
      <c r="CT59" s="332">
        <v>1.801002404194165</v>
      </c>
      <c r="CU59" s="332">
        <v>2.1797608166947349</v>
      </c>
      <c r="CV59" s="332">
        <v>2.5671680610072478</v>
      </c>
      <c r="CW59" s="332">
        <v>2.9690760644797152</v>
      </c>
      <c r="CX59" s="332">
        <v>3.3964145469774811</v>
      </c>
      <c r="CY59" s="332">
        <v>3.864536087769562</v>
      </c>
      <c r="CZ59" s="332">
        <v>4.3569836138896116</v>
      </c>
      <c r="DA59" s="332">
        <v>4.8862357851222598</v>
      </c>
      <c r="DB59" s="332">
        <v>5.438836997347547</v>
      </c>
      <c r="DC59" s="332">
        <v>6.047993455908566</v>
      </c>
      <c r="DD59" s="785">
        <v>6.720204953601761</v>
      </c>
      <c r="DE59" s="333">
        <v>7.55131678090412</v>
      </c>
      <c r="DF59" s="332">
        <v>8.661446370835737</v>
      </c>
      <c r="DG59" s="332">
        <v>11.206316207857133</v>
      </c>
      <c r="DH59" s="332">
        <f>'I-Project Contingency'!$E$86-CM59</f>
        <v>0</v>
      </c>
      <c r="DI59" s="332">
        <f>'I-Project Contingency'!$E$87-CN59</f>
        <v>0</v>
      </c>
      <c r="DJ59" s="332">
        <f>'I-Project Contingency'!$E$88-CO59</f>
        <v>0</v>
      </c>
      <c r="DK59" s="332">
        <f>'I-Project Contingency'!$E$89-CP59</f>
        <v>0</v>
      </c>
      <c r="DL59" s="332">
        <f>'I-Project Contingency'!$E$90-CQ59</f>
        <v>0</v>
      </c>
      <c r="DM59" s="332">
        <f>'I-Project Contingency'!$E$91-CR59</f>
        <v>0</v>
      </c>
      <c r="DN59" s="332">
        <f>'I-Project Contingency'!$E$92-CS59</f>
        <v>0</v>
      </c>
      <c r="DO59" s="332">
        <f>'I-Project Contingency'!$E$93-CT59</f>
        <v>0</v>
      </c>
      <c r="DP59" s="332">
        <f>'I-Project Contingency'!$E$94-CU59</f>
        <v>0</v>
      </c>
      <c r="DQ59" s="332">
        <f>'I-Project Contingency'!$E$95-CV59</f>
        <v>0</v>
      </c>
      <c r="DR59" s="332">
        <f>'I-Project Contingency'!$E$96-CW59</f>
        <v>0</v>
      </c>
      <c r="DS59" s="332">
        <f>'I-Project Contingency'!$E$97-CX59</f>
        <v>0</v>
      </c>
      <c r="DT59" s="332">
        <f>'I-Project Contingency'!$E$98-CY59</f>
        <v>0</v>
      </c>
      <c r="DU59" s="332">
        <f>'I-Project Contingency'!$E$99-CZ59</f>
        <v>0</v>
      </c>
      <c r="DV59" s="332">
        <f>'I-Project Contingency'!$E$100-DA59</f>
        <v>0</v>
      </c>
      <c r="DW59" s="332">
        <f>'I-Project Contingency'!$E$101-DB59</f>
        <v>0</v>
      </c>
      <c r="DX59" s="332">
        <f>'I-Project Contingency'!$E$102-DC59</f>
        <v>0</v>
      </c>
      <c r="DY59" s="332">
        <f>'I-Project Contingency'!$E$103-DD59</f>
        <v>0</v>
      </c>
      <c r="DZ59" s="332">
        <f>'I-Project Contingency'!$E$104-DE59</f>
        <v>0</v>
      </c>
      <c r="EA59" s="332">
        <f>'I-Project Contingency'!$E$105-DF59</f>
        <v>0</v>
      </c>
      <c r="EB59" s="332">
        <f>'I-Project Contingency'!$E$106-DG59</f>
        <v>0</v>
      </c>
      <c r="EC59" s="334">
        <f>IF(EE59="N/A","N/A",ABS(INDEX(EE59:EY59,1,MATCH("ROM Cost Risk @ "&amp;'D-Project Data'!$C$6*100&amp;"%",$EE$17:$EY$17,0))))</f>
        <v>0</v>
      </c>
      <c r="ED59" s="335">
        <f>IF(EC59="N/A","N/A",RANK(EC59,$EC$18:$EC$117,0)+COUNTIF($EC$18:EC59,EC59)-1)</f>
        <v>42</v>
      </c>
      <c r="EE59" s="334">
        <f>IF(BQ59/SUM(BQ:BQ)*'I-Project Contingency'!$F$61=0,0,BQ59/SUM(BQ:BQ)*'I-Project Contingency'!$F$61)</f>
        <v>0</v>
      </c>
      <c r="EF59" s="334">
        <f>IF(BR59/SUM(BR:BR)*'I-Project Contingency'!$F$62=0,0,BR59/SUM(BR:BR)*'I-Project Contingency'!$F$62)</f>
        <v>0</v>
      </c>
      <c r="EG59" s="334">
        <f>IF(BS59/SUM(BS:BS)*'I-Project Contingency'!$F$63=0,0,BS59/SUM(BS:BS)*'I-Project Contingency'!$F$63)</f>
        <v>0</v>
      </c>
      <c r="EH59" s="334">
        <f>IF(BT59/SUM(BT:BT)*'I-Project Contingency'!$F$64=0,0,BT59/SUM(BT:BT)*'I-Project Contingency'!$F$64)</f>
        <v>0</v>
      </c>
      <c r="EI59" s="334">
        <f>IF(BU59/SUM(BU:BU)*'I-Project Contingency'!$F$65=0,0,BU59/SUM(BU:BU)*'I-Project Contingency'!$F$65)</f>
        <v>0</v>
      </c>
      <c r="EJ59" s="334">
        <f>IF(BV59/SUM(BV:BV)*'I-Project Contingency'!$F$66=0,0,BV59/SUM(BV:BV)*'I-Project Contingency'!$F$66)</f>
        <v>0</v>
      </c>
      <c r="EK59" s="334">
        <f>IF(BW59/SUM(BW:BW)*'I-Project Contingency'!$F$67=0,0,BW59/SUM(BW:BW)*'I-Project Contingency'!$F$67)</f>
        <v>0</v>
      </c>
      <c r="EL59" s="334">
        <f>IF(BX59/SUM(BX:BX)*'I-Project Contingency'!$F$68=0,0,BX59/SUM(BX:BX)*'I-Project Contingency'!$F$68)</f>
        <v>0</v>
      </c>
      <c r="EM59" s="334">
        <f>IF(BY59/SUM(BY:BY)*'I-Project Contingency'!$F$69=0,0,BY59/SUM(BY:BY)*'I-Project Contingency'!$F$69)</f>
        <v>0</v>
      </c>
      <c r="EN59" s="334">
        <f>IF(BZ59/SUM(BZ:BZ)*'I-Project Contingency'!$F$70=0,0,BZ59/SUM(BZ:BZ)*'I-Project Contingency'!$F$70)</f>
        <v>0</v>
      </c>
      <c r="EO59" s="334">
        <f>IF(CA59/SUM(CA:CA)*'I-Project Contingency'!$F$71=0,0,CA59/SUM(CA:CA)*'I-Project Contingency'!$F$71)</f>
        <v>0</v>
      </c>
      <c r="EP59" s="334">
        <f>IF(CB59/SUM(CB:CB)*'I-Project Contingency'!$F$72=0,0,CB59/SUM(CB:CB)*'I-Project Contingency'!$F$72)</f>
        <v>0</v>
      </c>
      <c r="EQ59" s="334">
        <f>IF(CC59/SUM(CC:CC)*'I-Project Contingency'!$F$73=0,0,CC59/SUM(CC:CC)*'I-Project Contingency'!$F$73)</f>
        <v>0</v>
      </c>
      <c r="ER59" s="334">
        <f>IF(CD59/SUM(CD:CD)*'I-Project Contingency'!$F$74=0,0,CD59/SUM(CD:CD)*'I-Project Contingency'!$F$74)</f>
        <v>0</v>
      </c>
      <c r="ES59" s="334">
        <f>IF(CE59/SUM(CE:CE)*'I-Project Contingency'!$F$75=0,0,CE59/SUM(CE:CE)*'I-Project Contingency'!$F$75)</f>
        <v>0</v>
      </c>
      <c r="ET59" s="334">
        <f>IF(CF59/SUM(CF:CF)*'I-Project Contingency'!$F$76=0,0,CF59/SUM(CF:CF)*'I-Project Contingency'!$F$76)</f>
        <v>0</v>
      </c>
      <c r="EU59" s="334">
        <f>IF(CG59/SUM(CG:CG)*'I-Project Contingency'!$F$77=0,0,CG59/SUM(CG:CG)*'I-Project Contingency'!$F$77)</f>
        <v>0</v>
      </c>
      <c r="EV59" s="787">
        <f>IF(CH59/SUM(CH:CH)*'I-Project Contingency'!$F$78=0,0,CH59/SUM(CH:CH)*'I-Project Contingency'!$F$78)</f>
        <v>0</v>
      </c>
      <c r="EW59" s="787">
        <f>IF(CI59/SUM(CI:CI)*'I-Project Contingency'!$F$79=0,0,CI59/SUM(CI:CI)*'I-Project Contingency'!$F$79)</f>
        <v>0</v>
      </c>
      <c r="EX59" s="787">
        <f>IF(CJ59/SUM(CJ:CJ)*'I-Project Contingency'!$F$80=0,0,CJ59/SUM(CJ:CJ)*'I-Project Contingency'!$F$80)</f>
        <v>0</v>
      </c>
      <c r="EY59" s="787">
        <f>IF(CK59/SUM(CK:CK)*'I-Project Contingency'!$F$81=0,0,CK59/SUM(CK:CK)*'I-Project Contingency'!$F$81)</f>
        <v>0</v>
      </c>
      <c r="EZ59" s="333">
        <f>IF(FB59="N/A","N/A",ABS(INDEX(FB59:FV59,1,MATCH("ROM Schedule Risk @ "&amp;'D-Project Data'!$C$6*100&amp;"%",$FB$17:$FV$17,0))))</f>
        <v>0</v>
      </c>
      <c r="FA59" s="335">
        <f>IF(EZ59="N/A","N/A",RANK(EZ59,$EZ$18:$EZ$117,0)+COUNTIF($FB$18:FB59,FB59)-1)</f>
        <v>42</v>
      </c>
      <c r="FB59" s="788">
        <f>IF(DH59/SUM(DH:DH)*'I-Project Contingency'!$F$86=0,0,DH59/SUM(DH:DH)*'I-Project Contingency'!$F$86)</f>
        <v>0</v>
      </c>
      <c r="FC59" s="788">
        <f>IF(DI59/SUM(DI:DI)*'I-Project Contingency'!$F$87=0,0,DI59/SUM(DI:DI)*'I-Project Contingency'!$F$87)</f>
        <v>0</v>
      </c>
      <c r="FD59" s="788">
        <f>IF(DJ59/SUM(DJ:DJ)*'I-Project Contingency'!$F$88=0,0,DJ59/SUM(DJ:DJ)*'I-Project Contingency'!$F$88)</f>
        <v>0</v>
      </c>
      <c r="FE59" s="788">
        <f>IF(DK59/SUM(DK:DK)*'I-Project Contingency'!$F$89=0,0,DK59/SUM(DK:DK)*'I-Project Contingency'!$F$89)</f>
        <v>0</v>
      </c>
      <c r="FF59" s="788">
        <f>IF(DL59/SUM(DL:DL)*'I-Project Contingency'!$F$90=0,0,DL59/SUM(DL:DL)*'I-Project Contingency'!$F$90)</f>
        <v>0</v>
      </c>
      <c r="FG59" s="788">
        <f>IF(DM59/SUM(DM:DM)*'I-Project Contingency'!$F$91=0,0,DM59/SUM(DM:DM)*'I-Project Contingency'!$F$91)</f>
        <v>0</v>
      </c>
      <c r="FH59" s="788">
        <f>IF(DN59/SUM(DN:DN)*'I-Project Contingency'!$F$92=0,0,DN59/SUM(DN:DN)*'I-Project Contingency'!$F$92)</f>
        <v>0</v>
      </c>
      <c r="FI59" s="788">
        <f>IF(DO59/SUM(DO:DO)*'I-Project Contingency'!$F$93=0,0,DO59/SUM(DO:DO)*'I-Project Contingency'!$F$93)</f>
        <v>0</v>
      </c>
      <c r="FJ59" s="788">
        <f>IF(DP59/SUM(DP:DP)*'I-Project Contingency'!$F$94=0,0,DP59/SUM(DP:DP)*'I-Project Contingency'!$F$94)</f>
        <v>0</v>
      </c>
      <c r="FK59" s="788">
        <f>IF(DQ59/SUM(DQ:DQ)*'I-Project Contingency'!$F$95=0,0,DQ59/SUM(DQ:DQ)*'I-Project Contingency'!$F$95)</f>
        <v>0</v>
      </c>
      <c r="FL59" s="788">
        <f>IF(DR59/SUM(DR:DR)*'I-Project Contingency'!$F$96=0,0,DR59/SUM(DR:DR)*'I-Project Contingency'!$F$96)</f>
        <v>0</v>
      </c>
      <c r="FM59" s="788">
        <f>IF(DS59/SUM(DS:DS)*'I-Project Contingency'!$F$97=0,0,DS59/SUM(DS:DS)*'I-Project Contingency'!$F$97)</f>
        <v>0</v>
      </c>
      <c r="FN59" s="788">
        <f>IF(DT59/SUM(DT:DT)*'I-Project Contingency'!$F$98=0,0,DT59/SUM(DT:DT)*'I-Project Contingency'!$F$98)</f>
        <v>0</v>
      </c>
      <c r="FO59" s="788">
        <f>IF(DU59/SUM(DU:DU)*'I-Project Contingency'!$F$99=0,0,DU59/SUM(DU:DU)*'I-Project Contingency'!$F$99)</f>
        <v>0</v>
      </c>
      <c r="FP59" s="788">
        <f>IF(DV59/SUM(DV:DV)*'I-Project Contingency'!$F$100=0,0,DV59/SUM(DV:DV)*'I-Project Contingency'!$F$100)</f>
        <v>0</v>
      </c>
      <c r="FQ59" s="788">
        <f>IF(DW59/SUM(DW:DW)*'I-Project Contingency'!$F$101=0,0,DW59/SUM(DW:DW)*'I-Project Contingency'!$F$101)</f>
        <v>0</v>
      </c>
      <c r="FR59" s="788">
        <f>IF(DX59/SUM(DX:DX)*'I-Project Contingency'!$F$102=0,0,DX59/SUM(DX:DX)*'I-Project Contingency'!$F$102)</f>
        <v>0</v>
      </c>
      <c r="FS59" s="788">
        <f>IF(DY59/SUM(DY:DY)*'I-Project Contingency'!$F$103=0,0,DY59/SUM(DY:DY)*'I-Project Contingency'!$F$103)</f>
        <v>0</v>
      </c>
      <c r="FT59" s="788">
        <f>IF(DZ59/SUM(DZ:DZ)*'I-Project Contingency'!$F$104=0,0,DZ59/SUM(DZ:DZ)*'I-Project Contingency'!$F$104)</f>
        <v>0</v>
      </c>
      <c r="FU59" s="788">
        <f>IF(EA59/SUM(EA:EA)*'I-Project Contingency'!$F$105=0,0,EA59/SUM(EA:EA)*'I-Project Contingency'!$F$105)</f>
        <v>0</v>
      </c>
      <c r="FV59" s="788">
        <f>IF(EB59/SUM(EB:EB)*'I-Project Contingency'!$F$106=0,0,EB59/SUM(EB:EB)*'I-Project Contingency'!$F$106)</f>
        <v>0</v>
      </c>
      <c r="FW59" s="335">
        <f t="shared" si="37"/>
        <v>42</v>
      </c>
      <c r="FX59" s="336" t="str">
        <f t="shared" si="38"/>
        <v xml:space="preserve">42 - </v>
      </c>
      <c r="FY59" s="330">
        <f t="shared" si="26"/>
        <v>0</v>
      </c>
      <c r="FZ59" s="330">
        <f t="shared" si="27"/>
        <v>0</v>
      </c>
      <c r="GA59" s="332">
        <f t="shared" si="39"/>
        <v>0</v>
      </c>
      <c r="GB59" s="332">
        <f t="shared" si="40"/>
        <v>0</v>
      </c>
    </row>
    <row r="60" spans="1:184" ht="30" x14ac:dyDescent="0.25">
      <c r="A60" s="163">
        <f t="shared" si="23"/>
        <v>43</v>
      </c>
      <c r="B60" s="727" t="s">
        <v>728</v>
      </c>
      <c r="C60" s="729"/>
      <c r="D60" s="729"/>
      <c r="E60" s="729"/>
      <c r="F60" s="728" t="s">
        <v>728</v>
      </c>
      <c r="G60" s="728" t="s">
        <v>728</v>
      </c>
      <c r="H60" s="157" t="str">
        <f>IFERROR(IF('H-Risk Register-Model'!F60="Certain","Relook at Basis of Estimate",INDEX('G-Assumptions'!$F$8:$J$11,MATCH(F60,'G-Assumptions'!$D$8:$D$11,0),MATCH(G60,'G-Assumptions'!$F$6:$J$6,0))),"Unrated")</f>
        <v>Unrated</v>
      </c>
      <c r="I60" s="728" t="s">
        <v>728</v>
      </c>
      <c r="J60" s="157" t="str">
        <f>IFERROR(IF('H-Risk Register-Model'!F60="Certain","Relook at Basis of Estimate",INDEX('G-Assumptions'!$F$8:$J$11,MATCH(F60,'G-Assumptions'!$D$8:$D$11,0),MATCH(I60,'G-Assumptions'!$F$6:$J$6,0))),"Unrated")</f>
        <v>Unrated</v>
      </c>
      <c r="K60" s="728" t="s">
        <v>728</v>
      </c>
      <c r="L60" s="728" t="s">
        <v>728</v>
      </c>
      <c r="M60" s="728"/>
      <c r="N60" s="731" t="s">
        <v>728</v>
      </c>
      <c r="O60" s="731" t="s">
        <v>728</v>
      </c>
      <c r="P60" s="732"/>
      <c r="Q60" s="732"/>
      <c r="R60" s="732"/>
      <c r="S60" s="733"/>
      <c r="T60" s="733"/>
      <c r="U60" s="733"/>
      <c r="V60" s="734"/>
      <c r="W60" s="732"/>
      <c r="X60" s="732"/>
      <c r="Y60" s="735">
        <v>1</v>
      </c>
      <c r="Z60" s="736">
        <v>1</v>
      </c>
      <c r="AA60" s="166">
        <f t="shared" si="19"/>
        <v>0</v>
      </c>
      <c r="AB60" s="166">
        <f t="shared" si="20"/>
        <v>0</v>
      </c>
      <c r="AC60" s="166">
        <f t="shared" si="21"/>
        <v>0</v>
      </c>
      <c r="AD60" s="166"/>
      <c r="AE60" s="164">
        <f t="shared" si="24"/>
        <v>0</v>
      </c>
      <c r="AF60" s="167"/>
      <c r="AG60" s="165">
        <f t="shared" si="25"/>
        <v>0</v>
      </c>
      <c r="AH60" s="729"/>
      <c r="AI60" s="729"/>
      <c r="AJ60" s="8"/>
      <c r="AK60" s="495" t="str">
        <f t="shared" si="30"/>
        <v>No</v>
      </c>
      <c r="AL60" s="496">
        <f>'I-Project Contingency'!$I$4</f>
        <v>9000000</v>
      </c>
      <c r="AM60" s="326">
        <f>'I-Project Contingency'!$I$11</f>
        <v>23.978102189781023</v>
      </c>
      <c r="AN60" s="325">
        <f t="shared" si="31"/>
        <v>0</v>
      </c>
      <c r="AO60" s="326">
        <f t="shared" si="32"/>
        <v>0</v>
      </c>
      <c r="AP60" s="641" t="str">
        <f t="shared" si="33"/>
        <v/>
      </c>
      <c r="AQ60" s="641" t="str">
        <f t="shared" si="34"/>
        <v/>
      </c>
      <c r="AR60" s="497" t="str">
        <f t="shared" si="35"/>
        <v/>
      </c>
      <c r="AS60" s="497" t="str">
        <f t="shared" si="36"/>
        <v/>
      </c>
      <c r="AT60" s="8"/>
      <c r="AU60" s="329">
        <f>'I-Project Contingency'!$O$4-AE60</f>
        <v>0</v>
      </c>
      <c r="AV60" s="330">
        <v>-240515.59579276721</v>
      </c>
      <c r="AW60" s="330">
        <v>28172.931401335634</v>
      </c>
      <c r="AX60" s="330">
        <v>193478.84467429668</v>
      </c>
      <c r="AY60" s="330">
        <v>361668.20104834624</v>
      </c>
      <c r="AZ60" s="330">
        <v>524446.91524262261</v>
      </c>
      <c r="BA60" s="330">
        <v>704023.56387635041</v>
      </c>
      <c r="BB60" s="330">
        <v>886394.06956240814</v>
      </c>
      <c r="BC60" s="330">
        <v>1079363.7165157665</v>
      </c>
      <c r="BD60" s="330">
        <v>1280180.1532065615</v>
      </c>
      <c r="BE60" s="330">
        <v>1485323.8019108465</v>
      </c>
      <c r="BF60" s="330">
        <v>1703758.8827524669</v>
      </c>
      <c r="BG60" s="330">
        <v>1949523.4346483489</v>
      </c>
      <c r="BH60" s="330">
        <v>2177897.1603371189</v>
      </c>
      <c r="BI60" s="330">
        <v>2429374.4260425912</v>
      </c>
      <c r="BJ60" s="330">
        <v>2717092.7449284913</v>
      </c>
      <c r="BK60" s="330">
        <v>3010093.6968918457</v>
      </c>
      <c r="BL60" s="330">
        <v>3325414.5894657462</v>
      </c>
      <c r="BM60" s="330">
        <v>3690425.9159493577</v>
      </c>
      <c r="BN60" s="330">
        <v>4143935.1706127762</v>
      </c>
      <c r="BO60" s="330">
        <v>4722651.1159141911</v>
      </c>
      <c r="BP60" s="330">
        <v>5992048.8629153483</v>
      </c>
      <c r="BQ60" s="330">
        <f>'I-Project Contingency'!$E$61-AV60</f>
        <v>0</v>
      </c>
      <c r="BR60" s="330">
        <f>'I-Project Contingency'!$E$62-AW60</f>
        <v>0</v>
      </c>
      <c r="BS60" s="330">
        <f>'I-Project Contingency'!$E$63-AX60</f>
        <v>0</v>
      </c>
      <c r="BT60" s="330">
        <f>'I-Project Contingency'!$E$64-AY60</f>
        <v>0</v>
      </c>
      <c r="BU60" s="330">
        <f>'I-Project Contingency'!$E$65-AZ60</f>
        <v>0</v>
      </c>
      <c r="BV60" s="330">
        <f>'I-Project Contingency'!$E$66-BA60</f>
        <v>0</v>
      </c>
      <c r="BW60" s="330">
        <f>'I-Project Contingency'!$E$67-BB60</f>
        <v>0</v>
      </c>
      <c r="BX60" s="330">
        <f>'I-Project Contingency'!$E$68-BC60</f>
        <v>0</v>
      </c>
      <c r="BY60" s="330">
        <f>'I-Project Contingency'!$E$69-BD60</f>
        <v>0</v>
      </c>
      <c r="BZ60" s="330">
        <f>'I-Project Contingency'!$E$70-BE60</f>
        <v>0</v>
      </c>
      <c r="CA60" s="330">
        <f>'I-Project Contingency'!$E$71-BF60</f>
        <v>0</v>
      </c>
      <c r="CB60" s="330">
        <f>'I-Project Contingency'!$E$72-BG60</f>
        <v>0</v>
      </c>
      <c r="CC60" s="330">
        <f>'I-Project Contingency'!$E$73-BH60</f>
        <v>0</v>
      </c>
      <c r="CD60" s="330">
        <f>'I-Project Contingency'!$E$74-BI60</f>
        <v>0</v>
      </c>
      <c r="CE60" s="330">
        <f>'I-Project Contingency'!$E$75-BJ60</f>
        <v>0</v>
      </c>
      <c r="CF60" s="330">
        <f>'I-Project Contingency'!$E$76-BK60</f>
        <v>0</v>
      </c>
      <c r="CG60" s="330">
        <f>'I-Project Contingency'!$E$77-BL60</f>
        <v>0</v>
      </c>
      <c r="CH60" s="784">
        <f>'I-Project Contingency'!$E$78-BM60</f>
        <v>0</v>
      </c>
      <c r="CI60" s="330">
        <f>'I-Project Contingency'!$E$79-BN60</f>
        <v>0</v>
      </c>
      <c r="CJ60" s="330">
        <f>'I-Project Contingency'!$E$80-BO60</f>
        <v>0</v>
      </c>
      <c r="CK60" s="330">
        <f>'I-Project Contingency'!$E$81-BP60</f>
        <v>0</v>
      </c>
      <c r="CL60" s="331">
        <f>'I-Project Contingency'!$O$5-AG60</f>
        <v>0</v>
      </c>
      <c r="CM60" s="332">
        <v>-0.98711802853447173</v>
      </c>
      <c r="CN60" s="332">
        <v>-0.19547704728364468</v>
      </c>
      <c r="CO60" s="332">
        <v>0.126462150308498</v>
      </c>
      <c r="CP60" s="332">
        <v>0.45967989154545902</v>
      </c>
      <c r="CQ60" s="332">
        <v>0.78297319902744</v>
      </c>
      <c r="CR60" s="332">
        <v>1.0957191966482109</v>
      </c>
      <c r="CS60" s="332">
        <v>1.4418405003536849</v>
      </c>
      <c r="CT60" s="332">
        <v>1.801002404194165</v>
      </c>
      <c r="CU60" s="332">
        <v>2.1797608166947349</v>
      </c>
      <c r="CV60" s="332">
        <v>2.5671680610072478</v>
      </c>
      <c r="CW60" s="332">
        <v>2.9690760644797152</v>
      </c>
      <c r="CX60" s="332">
        <v>3.3964145469774811</v>
      </c>
      <c r="CY60" s="332">
        <v>3.864536087769562</v>
      </c>
      <c r="CZ60" s="332">
        <v>4.3569836138896116</v>
      </c>
      <c r="DA60" s="332">
        <v>4.8862357851222598</v>
      </c>
      <c r="DB60" s="332">
        <v>5.438836997347547</v>
      </c>
      <c r="DC60" s="332">
        <v>6.047993455908566</v>
      </c>
      <c r="DD60" s="785">
        <v>6.720204953601761</v>
      </c>
      <c r="DE60" s="333">
        <v>7.55131678090412</v>
      </c>
      <c r="DF60" s="332">
        <v>8.661446370835737</v>
      </c>
      <c r="DG60" s="332">
        <v>11.206316207857133</v>
      </c>
      <c r="DH60" s="332">
        <f>'I-Project Contingency'!$E$86-CM60</f>
        <v>0</v>
      </c>
      <c r="DI60" s="332">
        <f>'I-Project Contingency'!$E$87-CN60</f>
        <v>0</v>
      </c>
      <c r="DJ60" s="332">
        <f>'I-Project Contingency'!$E$88-CO60</f>
        <v>0</v>
      </c>
      <c r="DK60" s="332">
        <f>'I-Project Contingency'!$E$89-CP60</f>
        <v>0</v>
      </c>
      <c r="DL60" s="332">
        <f>'I-Project Contingency'!$E$90-CQ60</f>
        <v>0</v>
      </c>
      <c r="DM60" s="332">
        <f>'I-Project Contingency'!$E$91-CR60</f>
        <v>0</v>
      </c>
      <c r="DN60" s="332">
        <f>'I-Project Contingency'!$E$92-CS60</f>
        <v>0</v>
      </c>
      <c r="DO60" s="332">
        <f>'I-Project Contingency'!$E$93-CT60</f>
        <v>0</v>
      </c>
      <c r="DP60" s="332">
        <f>'I-Project Contingency'!$E$94-CU60</f>
        <v>0</v>
      </c>
      <c r="DQ60" s="332">
        <f>'I-Project Contingency'!$E$95-CV60</f>
        <v>0</v>
      </c>
      <c r="DR60" s="332">
        <f>'I-Project Contingency'!$E$96-CW60</f>
        <v>0</v>
      </c>
      <c r="DS60" s="332">
        <f>'I-Project Contingency'!$E$97-CX60</f>
        <v>0</v>
      </c>
      <c r="DT60" s="332">
        <f>'I-Project Contingency'!$E$98-CY60</f>
        <v>0</v>
      </c>
      <c r="DU60" s="332">
        <f>'I-Project Contingency'!$E$99-CZ60</f>
        <v>0</v>
      </c>
      <c r="DV60" s="332">
        <f>'I-Project Contingency'!$E$100-DA60</f>
        <v>0</v>
      </c>
      <c r="DW60" s="332">
        <f>'I-Project Contingency'!$E$101-DB60</f>
        <v>0</v>
      </c>
      <c r="DX60" s="332">
        <f>'I-Project Contingency'!$E$102-DC60</f>
        <v>0</v>
      </c>
      <c r="DY60" s="332">
        <f>'I-Project Contingency'!$E$103-DD60</f>
        <v>0</v>
      </c>
      <c r="DZ60" s="332">
        <f>'I-Project Contingency'!$E$104-DE60</f>
        <v>0</v>
      </c>
      <c r="EA60" s="332">
        <f>'I-Project Contingency'!$E$105-DF60</f>
        <v>0</v>
      </c>
      <c r="EB60" s="332">
        <f>'I-Project Contingency'!$E$106-DG60</f>
        <v>0</v>
      </c>
      <c r="EC60" s="334">
        <f>IF(EE60="N/A","N/A",ABS(INDEX(EE60:EY60,1,MATCH("ROM Cost Risk @ "&amp;'D-Project Data'!$C$6*100&amp;"%",$EE$17:$EY$17,0))))</f>
        <v>0</v>
      </c>
      <c r="ED60" s="335">
        <f>IF(EC60="N/A","N/A",RANK(EC60,$EC$18:$EC$117,0)+COUNTIF($EC$18:EC60,EC60)-1)</f>
        <v>43</v>
      </c>
      <c r="EE60" s="334">
        <f>IF(BQ60/SUM(BQ:BQ)*'I-Project Contingency'!$F$61=0,0,BQ60/SUM(BQ:BQ)*'I-Project Contingency'!$F$61)</f>
        <v>0</v>
      </c>
      <c r="EF60" s="334">
        <f>IF(BR60/SUM(BR:BR)*'I-Project Contingency'!$F$62=0,0,BR60/SUM(BR:BR)*'I-Project Contingency'!$F$62)</f>
        <v>0</v>
      </c>
      <c r="EG60" s="334">
        <f>IF(BS60/SUM(BS:BS)*'I-Project Contingency'!$F$63=0,0,BS60/SUM(BS:BS)*'I-Project Contingency'!$F$63)</f>
        <v>0</v>
      </c>
      <c r="EH60" s="334">
        <f>IF(BT60/SUM(BT:BT)*'I-Project Contingency'!$F$64=0,0,BT60/SUM(BT:BT)*'I-Project Contingency'!$F$64)</f>
        <v>0</v>
      </c>
      <c r="EI60" s="334">
        <f>IF(BU60/SUM(BU:BU)*'I-Project Contingency'!$F$65=0,0,BU60/SUM(BU:BU)*'I-Project Contingency'!$F$65)</f>
        <v>0</v>
      </c>
      <c r="EJ60" s="334">
        <f>IF(BV60/SUM(BV:BV)*'I-Project Contingency'!$F$66=0,0,BV60/SUM(BV:BV)*'I-Project Contingency'!$F$66)</f>
        <v>0</v>
      </c>
      <c r="EK60" s="334">
        <f>IF(BW60/SUM(BW:BW)*'I-Project Contingency'!$F$67=0,0,BW60/SUM(BW:BW)*'I-Project Contingency'!$F$67)</f>
        <v>0</v>
      </c>
      <c r="EL60" s="334">
        <f>IF(BX60/SUM(BX:BX)*'I-Project Contingency'!$F$68=0,0,BX60/SUM(BX:BX)*'I-Project Contingency'!$F$68)</f>
        <v>0</v>
      </c>
      <c r="EM60" s="334">
        <f>IF(BY60/SUM(BY:BY)*'I-Project Contingency'!$F$69=0,0,BY60/SUM(BY:BY)*'I-Project Contingency'!$F$69)</f>
        <v>0</v>
      </c>
      <c r="EN60" s="334">
        <f>IF(BZ60/SUM(BZ:BZ)*'I-Project Contingency'!$F$70=0,0,BZ60/SUM(BZ:BZ)*'I-Project Contingency'!$F$70)</f>
        <v>0</v>
      </c>
      <c r="EO60" s="334">
        <f>IF(CA60/SUM(CA:CA)*'I-Project Contingency'!$F$71=0,0,CA60/SUM(CA:CA)*'I-Project Contingency'!$F$71)</f>
        <v>0</v>
      </c>
      <c r="EP60" s="334">
        <f>IF(CB60/SUM(CB:CB)*'I-Project Contingency'!$F$72=0,0,CB60/SUM(CB:CB)*'I-Project Contingency'!$F$72)</f>
        <v>0</v>
      </c>
      <c r="EQ60" s="334">
        <f>IF(CC60/SUM(CC:CC)*'I-Project Contingency'!$F$73=0,0,CC60/SUM(CC:CC)*'I-Project Contingency'!$F$73)</f>
        <v>0</v>
      </c>
      <c r="ER60" s="334">
        <f>IF(CD60/SUM(CD:CD)*'I-Project Contingency'!$F$74=0,0,CD60/SUM(CD:CD)*'I-Project Contingency'!$F$74)</f>
        <v>0</v>
      </c>
      <c r="ES60" s="334">
        <f>IF(CE60/SUM(CE:CE)*'I-Project Contingency'!$F$75=0,0,CE60/SUM(CE:CE)*'I-Project Contingency'!$F$75)</f>
        <v>0</v>
      </c>
      <c r="ET60" s="334">
        <f>IF(CF60/SUM(CF:CF)*'I-Project Contingency'!$F$76=0,0,CF60/SUM(CF:CF)*'I-Project Contingency'!$F$76)</f>
        <v>0</v>
      </c>
      <c r="EU60" s="334">
        <f>IF(CG60/SUM(CG:CG)*'I-Project Contingency'!$F$77=0,0,CG60/SUM(CG:CG)*'I-Project Contingency'!$F$77)</f>
        <v>0</v>
      </c>
      <c r="EV60" s="787">
        <f>IF(CH60/SUM(CH:CH)*'I-Project Contingency'!$F$78=0,0,CH60/SUM(CH:CH)*'I-Project Contingency'!$F$78)</f>
        <v>0</v>
      </c>
      <c r="EW60" s="787">
        <f>IF(CI60/SUM(CI:CI)*'I-Project Contingency'!$F$79=0,0,CI60/SUM(CI:CI)*'I-Project Contingency'!$F$79)</f>
        <v>0</v>
      </c>
      <c r="EX60" s="787">
        <f>IF(CJ60/SUM(CJ:CJ)*'I-Project Contingency'!$F$80=0,0,CJ60/SUM(CJ:CJ)*'I-Project Contingency'!$F$80)</f>
        <v>0</v>
      </c>
      <c r="EY60" s="787">
        <f>IF(CK60/SUM(CK:CK)*'I-Project Contingency'!$F$81=0,0,CK60/SUM(CK:CK)*'I-Project Contingency'!$F$81)</f>
        <v>0</v>
      </c>
      <c r="EZ60" s="333">
        <f>IF(FB60="N/A","N/A",ABS(INDEX(FB60:FV60,1,MATCH("ROM Schedule Risk @ "&amp;'D-Project Data'!$C$6*100&amp;"%",$FB$17:$FV$17,0))))</f>
        <v>0</v>
      </c>
      <c r="FA60" s="335">
        <f>IF(EZ60="N/A","N/A",RANK(EZ60,$EZ$18:$EZ$117,0)+COUNTIF($FB$18:FB60,FB60)-1)</f>
        <v>43</v>
      </c>
      <c r="FB60" s="788">
        <f>IF(DH60/SUM(DH:DH)*'I-Project Contingency'!$F$86=0,0,DH60/SUM(DH:DH)*'I-Project Contingency'!$F$86)</f>
        <v>0</v>
      </c>
      <c r="FC60" s="788">
        <f>IF(DI60/SUM(DI:DI)*'I-Project Contingency'!$F$87=0,0,DI60/SUM(DI:DI)*'I-Project Contingency'!$F$87)</f>
        <v>0</v>
      </c>
      <c r="FD60" s="788">
        <f>IF(DJ60/SUM(DJ:DJ)*'I-Project Contingency'!$F$88=0,0,DJ60/SUM(DJ:DJ)*'I-Project Contingency'!$F$88)</f>
        <v>0</v>
      </c>
      <c r="FE60" s="788">
        <f>IF(DK60/SUM(DK:DK)*'I-Project Contingency'!$F$89=0,0,DK60/SUM(DK:DK)*'I-Project Contingency'!$F$89)</f>
        <v>0</v>
      </c>
      <c r="FF60" s="788">
        <f>IF(DL60/SUM(DL:DL)*'I-Project Contingency'!$F$90=0,0,DL60/SUM(DL:DL)*'I-Project Contingency'!$F$90)</f>
        <v>0</v>
      </c>
      <c r="FG60" s="788">
        <f>IF(DM60/SUM(DM:DM)*'I-Project Contingency'!$F$91=0,0,DM60/SUM(DM:DM)*'I-Project Contingency'!$F$91)</f>
        <v>0</v>
      </c>
      <c r="FH60" s="788">
        <f>IF(DN60/SUM(DN:DN)*'I-Project Contingency'!$F$92=0,0,DN60/SUM(DN:DN)*'I-Project Contingency'!$F$92)</f>
        <v>0</v>
      </c>
      <c r="FI60" s="788">
        <f>IF(DO60/SUM(DO:DO)*'I-Project Contingency'!$F$93=0,0,DO60/SUM(DO:DO)*'I-Project Contingency'!$F$93)</f>
        <v>0</v>
      </c>
      <c r="FJ60" s="788">
        <f>IF(DP60/SUM(DP:DP)*'I-Project Contingency'!$F$94=0,0,DP60/SUM(DP:DP)*'I-Project Contingency'!$F$94)</f>
        <v>0</v>
      </c>
      <c r="FK60" s="788">
        <f>IF(DQ60/SUM(DQ:DQ)*'I-Project Contingency'!$F$95=0,0,DQ60/SUM(DQ:DQ)*'I-Project Contingency'!$F$95)</f>
        <v>0</v>
      </c>
      <c r="FL60" s="788">
        <f>IF(DR60/SUM(DR:DR)*'I-Project Contingency'!$F$96=0,0,DR60/SUM(DR:DR)*'I-Project Contingency'!$F$96)</f>
        <v>0</v>
      </c>
      <c r="FM60" s="788">
        <f>IF(DS60/SUM(DS:DS)*'I-Project Contingency'!$F$97=0,0,DS60/SUM(DS:DS)*'I-Project Contingency'!$F$97)</f>
        <v>0</v>
      </c>
      <c r="FN60" s="788">
        <f>IF(DT60/SUM(DT:DT)*'I-Project Contingency'!$F$98=0,0,DT60/SUM(DT:DT)*'I-Project Contingency'!$F$98)</f>
        <v>0</v>
      </c>
      <c r="FO60" s="788">
        <f>IF(DU60/SUM(DU:DU)*'I-Project Contingency'!$F$99=0,0,DU60/SUM(DU:DU)*'I-Project Contingency'!$F$99)</f>
        <v>0</v>
      </c>
      <c r="FP60" s="788">
        <f>IF(DV60/SUM(DV:DV)*'I-Project Contingency'!$F$100=0,0,DV60/SUM(DV:DV)*'I-Project Contingency'!$F$100)</f>
        <v>0</v>
      </c>
      <c r="FQ60" s="788">
        <f>IF(DW60/SUM(DW:DW)*'I-Project Contingency'!$F$101=0,0,DW60/SUM(DW:DW)*'I-Project Contingency'!$F$101)</f>
        <v>0</v>
      </c>
      <c r="FR60" s="788">
        <f>IF(DX60/SUM(DX:DX)*'I-Project Contingency'!$F$102=0,0,DX60/SUM(DX:DX)*'I-Project Contingency'!$F$102)</f>
        <v>0</v>
      </c>
      <c r="FS60" s="788">
        <f>IF(DY60/SUM(DY:DY)*'I-Project Contingency'!$F$103=0,0,DY60/SUM(DY:DY)*'I-Project Contingency'!$F$103)</f>
        <v>0</v>
      </c>
      <c r="FT60" s="788">
        <f>IF(DZ60/SUM(DZ:DZ)*'I-Project Contingency'!$F$104=0,0,DZ60/SUM(DZ:DZ)*'I-Project Contingency'!$F$104)</f>
        <v>0</v>
      </c>
      <c r="FU60" s="788">
        <f>IF(EA60/SUM(EA:EA)*'I-Project Contingency'!$F$105=0,0,EA60/SUM(EA:EA)*'I-Project Contingency'!$F$105)</f>
        <v>0</v>
      </c>
      <c r="FV60" s="788">
        <f>IF(EB60/SUM(EB:EB)*'I-Project Contingency'!$F$106=0,0,EB60/SUM(EB:EB)*'I-Project Contingency'!$F$106)</f>
        <v>0</v>
      </c>
      <c r="FW60" s="335">
        <f t="shared" si="37"/>
        <v>43</v>
      </c>
      <c r="FX60" s="336" t="str">
        <f t="shared" si="38"/>
        <v xml:space="preserve">43 - </v>
      </c>
      <c r="FY60" s="330">
        <f t="shared" si="26"/>
        <v>0</v>
      </c>
      <c r="FZ60" s="330">
        <f t="shared" si="27"/>
        <v>0</v>
      </c>
      <c r="GA60" s="332">
        <f t="shared" si="39"/>
        <v>0</v>
      </c>
      <c r="GB60" s="332">
        <f t="shared" si="40"/>
        <v>0</v>
      </c>
    </row>
    <row r="61" spans="1:184" ht="30" x14ac:dyDescent="0.25">
      <c r="A61" s="163">
        <f t="shared" si="23"/>
        <v>44</v>
      </c>
      <c r="B61" s="727" t="s">
        <v>728</v>
      </c>
      <c r="C61" s="729"/>
      <c r="D61" s="729"/>
      <c r="E61" s="729"/>
      <c r="F61" s="728" t="s">
        <v>728</v>
      </c>
      <c r="G61" s="728" t="s">
        <v>728</v>
      </c>
      <c r="H61" s="157" t="str">
        <f>IFERROR(IF('H-Risk Register-Model'!F61="Certain","Relook at Basis of Estimate",INDEX('G-Assumptions'!$F$8:$J$11,MATCH(F61,'G-Assumptions'!$D$8:$D$11,0),MATCH(G61,'G-Assumptions'!$F$6:$J$6,0))),"Unrated")</f>
        <v>Unrated</v>
      </c>
      <c r="I61" s="728" t="s">
        <v>728</v>
      </c>
      <c r="J61" s="157" t="str">
        <f>IFERROR(IF('H-Risk Register-Model'!F61="Certain","Relook at Basis of Estimate",INDEX('G-Assumptions'!$F$8:$J$11,MATCH(F61,'G-Assumptions'!$D$8:$D$11,0),MATCH(I61,'G-Assumptions'!$F$6:$J$6,0))),"Unrated")</f>
        <v>Unrated</v>
      </c>
      <c r="K61" s="728" t="s">
        <v>728</v>
      </c>
      <c r="L61" s="728" t="s">
        <v>728</v>
      </c>
      <c r="M61" s="728"/>
      <c r="N61" s="731" t="s">
        <v>728</v>
      </c>
      <c r="O61" s="731" t="s">
        <v>728</v>
      </c>
      <c r="P61" s="732"/>
      <c r="Q61" s="732"/>
      <c r="R61" s="732"/>
      <c r="S61" s="733"/>
      <c r="T61" s="733"/>
      <c r="U61" s="733"/>
      <c r="V61" s="734"/>
      <c r="W61" s="732"/>
      <c r="X61" s="732"/>
      <c r="Y61" s="735">
        <v>1</v>
      </c>
      <c r="Z61" s="736">
        <v>1</v>
      </c>
      <c r="AA61" s="166">
        <f t="shared" si="19"/>
        <v>0</v>
      </c>
      <c r="AB61" s="166">
        <f t="shared" si="20"/>
        <v>0</v>
      </c>
      <c r="AC61" s="166">
        <f t="shared" si="21"/>
        <v>0</v>
      </c>
      <c r="AD61" s="166"/>
      <c r="AE61" s="164">
        <f t="shared" si="24"/>
        <v>0</v>
      </c>
      <c r="AF61" s="167"/>
      <c r="AG61" s="165">
        <f t="shared" si="25"/>
        <v>0</v>
      </c>
      <c r="AH61" s="729"/>
      <c r="AI61" s="729"/>
      <c r="AJ61" s="8"/>
      <c r="AK61" s="495" t="str">
        <f t="shared" si="30"/>
        <v>No</v>
      </c>
      <c r="AL61" s="496">
        <f>'I-Project Contingency'!$I$4</f>
        <v>9000000</v>
      </c>
      <c r="AM61" s="326">
        <f>'I-Project Contingency'!$I$11</f>
        <v>23.978102189781023</v>
      </c>
      <c r="AN61" s="325">
        <f t="shared" si="31"/>
        <v>0</v>
      </c>
      <c r="AO61" s="326">
        <f t="shared" si="32"/>
        <v>0</v>
      </c>
      <c r="AP61" s="641" t="str">
        <f t="shared" si="33"/>
        <v/>
      </c>
      <c r="AQ61" s="641" t="str">
        <f t="shared" si="34"/>
        <v/>
      </c>
      <c r="AR61" s="497" t="str">
        <f t="shared" si="35"/>
        <v/>
      </c>
      <c r="AS61" s="497" t="str">
        <f t="shared" si="36"/>
        <v/>
      </c>
      <c r="AT61" s="8"/>
      <c r="AU61" s="329">
        <f>'I-Project Contingency'!$O$4-AE61</f>
        <v>0</v>
      </c>
      <c r="AV61" s="330">
        <v>-240515.59579276721</v>
      </c>
      <c r="AW61" s="330">
        <v>28172.931401335634</v>
      </c>
      <c r="AX61" s="330">
        <v>193478.84467429668</v>
      </c>
      <c r="AY61" s="330">
        <v>361668.20104834624</v>
      </c>
      <c r="AZ61" s="330">
        <v>524446.91524262261</v>
      </c>
      <c r="BA61" s="330">
        <v>704023.56387635041</v>
      </c>
      <c r="BB61" s="330">
        <v>886394.06956240814</v>
      </c>
      <c r="BC61" s="330">
        <v>1079363.7165157665</v>
      </c>
      <c r="BD61" s="330">
        <v>1280180.1532065615</v>
      </c>
      <c r="BE61" s="330">
        <v>1485323.8019108465</v>
      </c>
      <c r="BF61" s="330">
        <v>1703758.8827524669</v>
      </c>
      <c r="BG61" s="330">
        <v>1949523.4346483489</v>
      </c>
      <c r="BH61" s="330">
        <v>2177897.1603371189</v>
      </c>
      <c r="BI61" s="330">
        <v>2429374.4260425912</v>
      </c>
      <c r="BJ61" s="330">
        <v>2717092.7449284913</v>
      </c>
      <c r="BK61" s="330">
        <v>3010093.6968918457</v>
      </c>
      <c r="BL61" s="330">
        <v>3325414.5894657462</v>
      </c>
      <c r="BM61" s="330">
        <v>3690425.9159493577</v>
      </c>
      <c r="BN61" s="330">
        <v>4143935.1706127762</v>
      </c>
      <c r="BO61" s="330">
        <v>4722651.1159141911</v>
      </c>
      <c r="BP61" s="330">
        <v>5992048.8629153483</v>
      </c>
      <c r="BQ61" s="330">
        <f>'I-Project Contingency'!$E$61-AV61</f>
        <v>0</v>
      </c>
      <c r="BR61" s="330">
        <f>'I-Project Contingency'!$E$62-AW61</f>
        <v>0</v>
      </c>
      <c r="BS61" s="330">
        <f>'I-Project Contingency'!$E$63-AX61</f>
        <v>0</v>
      </c>
      <c r="BT61" s="330">
        <f>'I-Project Contingency'!$E$64-AY61</f>
        <v>0</v>
      </c>
      <c r="BU61" s="330">
        <f>'I-Project Contingency'!$E$65-AZ61</f>
        <v>0</v>
      </c>
      <c r="BV61" s="330">
        <f>'I-Project Contingency'!$E$66-BA61</f>
        <v>0</v>
      </c>
      <c r="BW61" s="330">
        <f>'I-Project Contingency'!$E$67-BB61</f>
        <v>0</v>
      </c>
      <c r="BX61" s="330">
        <f>'I-Project Contingency'!$E$68-BC61</f>
        <v>0</v>
      </c>
      <c r="BY61" s="330">
        <f>'I-Project Contingency'!$E$69-BD61</f>
        <v>0</v>
      </c>
      <c r="BZ61" s="330">
        <f>'I-Project Contingency'!$E$70-BE61</f>
        <v>0</v>
      </c>
      <c r="CA61" s="330">
        <f>'I-Project Contingency'!$E$71-BF61</f>
        <v>0</v>
      </c>
      <c r="CB61" s="330">
        <f>'I-Project Contingency'!$E$72-BG61</f>
        <v>0</v>
      </c>
      <c r="CC61" s="330">
        <f>'I-Project Contingency'!$E$73-BH61</f>
        <v>0</v>
      </c>
      <c r="CD61" s="330">
        <f>'I-Project Contingency'!$E$74-BI61</f>
        <v>0</v>
      </c>
      <c r="CE61" s="330">
        <f>'I-Project Contingency'!$E$75-BJ61</f>
        <v>0</v>
      </c>
      <c r="CF61" s="330">
        <f>'I-Project Contingency'!$E$76-BK61</f>
        <v>0</v>
      </c>
      <c r="CG61" s="330">
        <f>'I-Project Contingency'!$E$77-BL61</f>
        <v>0</v>
      </c>
      <c r="CH61" s="784">
        <f>'I-Project Contingency'!$E$78-BM61</f>
        <v>0</v>
      </c>
      <c r="CI61" s="330">
        <f>'I-Project Contingency'!$E$79-BN61</f>
        <v>0</v>
      </c>
      <c r="CJ61" s="330">
        <f>'I-Project Contingency'!$E$80-BO61</f>
        <v>0</v>
      </c>
      <c r="CK61" s="330">
        <f>'I-Project Contingency'!$E$81-BP61</f>
        <v>0</v>
      </c>
      <c r="CL61" s="331">
        <f>'I-Project Contingency'!$O$5-AG61</f>
        <v>0</v>
      </c>
      <c r="CM61" s="332">
        <v>-0.98711802853447173</v>
      </c>
      <c r="CN61" s="332">
        <v>-0.19547704728364468</v>
      </c>
      <c r="CO61" s="332">
        <v>0.126462150308498</v>
      </c>
      <c r="CP61" s="332">
        <v>0.45967989154545902</v>
      </c>
      <c r="CQ61" s="332">
        <v>0.78297319902744</v>
      </c>
      <c r="CR61" s="332">
        <v>1.0957191966482109</v>
      </c>
      <c r="CS61" s="332">
        <v>1.4418405003536849</v>
      </c>
      <c r="CT61" s="332">
        <v>1.801002404194165</v>
      </c>
      <c r="CU61" s="332">
        <v>2.1797608166947349</v>
      </c>
      <c r="CV61" s="332">
        <v>2.5671680610072478</v>
      </c>
      <c r="CW61" s="332">
        <v>2.9690760644797152</v>
      </c>
      <c r="CX61" s="332">
        <v>3.3964145469774811</v>
      </c>
      <c r="CY61" s="332">
        <v>3.864536087769562</v>
      </c>
      <c r="CZ61" s="332">
        <v>4.3569836138896116</v>
      </c>
      <c r="DA61" s="332">
        <v>4.8862357851222598</v>
      </c>
      <c r="DB61" s="332">
        <v>5.438836997347547</v>
      </c>
      <c r="DC61" s="332">
        <v>6.047993455908566</v>
      </c>
      <c r="DD61" s="785">
        <v>6.720204953601761</v>
      </c>
      <c r="DE61" s="333">
        <v>7.55131678090412</v>
      </c>
      <c r="DF61" s="332">
        <v>8.661446370835737</v>
      </c>
      <c r="DG61" s="332">
        <v>11.206316207857133</v>
      </c>
      <c r="DH61" s="332">
        <f>'I-Project Contingency'!$E$86-CM61</f>
        <v>0</v>
      </c>
      <c r="DI61" s="332">
        <f>'I-Project Contingency'!$E$87-CN61</f>
        <v>0</v>
      </c>
      <c r="DJ61" s="332">
        <f>'I-Project Contingency'!$E$88-CO61</f>
        <v>0</v>
      </c>
      <c r="DK61" s="332">
        <f>'I-Project Contingency'!$E$89-CP61</f>
        <v>0</v>
      </c>
      <c r="DL61" s="332">
        <f>'I-Project Contingency'!$E$90-CQ61</f>
        <v>0</v>
      </c>
      <c r="DM61" s="332">
        <f>'I-Project Contingency'!$E$91-CR61</f>
        <v>0</v>
      </c>
      <c r="DN61" s="332">
        <f>'I-Project Contingency'!$E$92-CS61</f>
        <v>0</v>
      </c>
      <c r="DO61" s="332">
        <f>'I-Project Contingency'!$E$93-CT61</f>
        <v>0</v>
      </c>
      <c r="DP61" s="332">
        <f>'I-Project Contingency'!$E$94-CU61</f>
        <v>0</v>
      </c>
      <c r="DQ61" s="332">
        <f>'I-Project Contingency'!$E$95-CV61</f>
        <v>0</v>
      </c>
      <c r="DR61" s="332">
        <f>'I-Project Contingency'!$E$96-CW61</f>
        <v>0</v>
      </c>
      <c r="DS61" s="332">
        <f>'I-Project Contingency'!$E$97-CX61</f>
        <v>0</v>
      </c>
      <c r="DT61" s="332">
        <f>'I-Project Contingency'!$E$98-CY61</f>
        <v>0</v>
      </c>
      <c r="DU61" s="332">
        <f>'I-Project Contingency'!$E$99-CZ61</f>
        <v>0</v>
      </c>
      <c r="DV61" s="332">
        <f>'I-Project Contingency'!$E$100-DA61</f>
        <v>0</v>
      </c>
      <c r="DW61" s="332">
        <f>'I-Project Contingency'!$E$101-DB61</f>
        <v>0</v>
      </c>
      <c r="DX61" s="332">
        <f>'I-Project Contingency'!$E$102-DC61</f>
        <v>0</v>
      </c>
      <c r="DY61" s="332">
        <f>'I-Project Contingency'!$E$103-DD61</f>
        <v>0</v>
      </c>
      <c r="DZ61" s="332">
        <f>'I-Project Contingency'!$E$104-DE61</f>
        <v>0</v>
      </c>
      <c r="EA61" s="332">
        <f>'I-Project Contingency'!$E$105-DF61</f>
        <v>0</v>
      </c>
      <c r="EB61" s="332">
        <f>'I-Project Contingency'!$E$106-DG61</f>
        <v>0</v>
      </c>
      <c r="EC61" s="334">
        <f>IF(EE61="N/A","N/A",ABS(INDEX(EE61:EY61,1,MATCH("ROM Cost Risk @ "&amp;'D-Project Data'!$C$6*100&amp;"%",$EE$17:$EY$17,0))))</f>
        <v>0</v>
      </c>
      <c r="ED61" s="335">
        <f>IF(EC61="N/A","N/A",RANK(EC61,$EC$18:$EC$117,0)+COUNTIF($EC$18:EC61,EC61)-1)</f>
        <v>44</v>
      </c>
      <c r="EE61" s="334">
        <f>IF(BQ61/SUM(BQ:BQ)*'I-Project Contingency'!$F$61=0,0,BQ61/SUM(BQ:BQ)*'I-Project Contingency'!$F$61)</f>
        <v>0</v>
      </c>
      <c r="EF61" s="334">
        <f>IF(BR61/SUM(BR:BR)*'I-Project Contingency'!$F$62=0,0,BR61/SUM(BR:BR)*'I-Project Contingency'!$F$62)</f>
        <v>0</v>
      </c>
      <c r="EG61" s="334">
        <f>IF(BS61/SUM(BS:BS)*'I-Project Contingency'!$F$63=0,0,BS61/SUM(BS:BS)*'I-Project Contingency'!$F$63)</f>
        <v>0</v>
      </c>
      <c r="EH61" s="334">
        <f>IF(BT61/SUM(BT:BT)*'I-Project Contingency'!$F$64=0,0,BT61/SUM(BT:BT)*'I-Project Contingency'!$F$64)</f>
        <v>0</v>
      </c>
      <c r="EI61" s="334">
        <f>IF(BU61/SUM(BU:BU)*'I-Project Contingency'!$F$65=0,0,BU61/SUM(BU:BU)*'I-Project Contingency'!$F$65)</f>
        <v>0</v>
      </c>
      <c r="EJ61" s="334">
        <f>IF(BV61/SUM(BV:BV)*'I-Project Contingency'!$F$66=0,0,BV61/SUM(BV:BV)*'I-Project Contingency'!$F$66)</f>
        <v>0</v>
      </c>
      <c r="EK61" s="334">
        <f>IF(BW61/SUM(BW:BW)*'I-Project Contingency'!$F$67=0,0,BW61/SUM(BW:BW)*'I-Project Contingency'!$F$67)</f>
        <v>0</v>
      </c>
      <c r="EL61" s="334">
        <f>IF(BX61/SUM(BX:BX)*'I-Project Contingency'!$F$68=0,0,BX61/SUM(BX:BX)*'I-Project Contingency'!$F$68)</f>
        <v>0</v>
      </c>
      <c r="EM61" s="334">
        <f>IF(BY61/SUM(BY:BY)*'I-Project Contingency'!$F$69=0,0,BY61/SUM(BY:BY)*'I-Project Contingency'!$F$69)</f>
        <v>0</v>
      </c>
      <c r="EN61" s="334">
        <f>IF(BZ61/SUM(BZ:BZ)*'I-Project Contingency'!$F$70=0,0,BZ61/SUM(BZ:BZ)*'I-Project Contingency'!$F$70)</f>
        <v>0</v>
      </c>
      <c r="EO61" s="334">
        <f>IF(CA61/SUM(CA:CA)*'I-Project Contingency'!$F$71=0,0,CA61/SUM(CA:CA)*'I-Project Contingency'!$F$71)</f>
        <v>0</v>
      </c>
      <c r="EP61" s="334">
        <f>IF(CB61/SUM(CB:CB)*'I-Project Contingency'!$F$72=0,0,CB61/SUM(CB:CB)*'I-Project Contingency'!$F$72)</f>
        <v>0</v>
      </c>
      <c r="EQ61" s="334">
        <f>IF(CC61/SUM(CC:CC)*'I-Project Contingency'!$F$73=0,0,CC61/SUM(CC:CC)*'I-Project Contingency'!$F$73)</f>
        <v>0</v>
      </c>
      <c r="ER61" s="334">
        <f>IF(CD61/SUM(CD:CD)*'I-Project Contingency'!$F$74=0,0,CD61/SUM(CD:CD)*'I-Project Contingency'!$F$74)</f>
        <v>0</v>
      </c>
      <c r="ES61" s="334">
        <f>IF(CE61/SUM(CE:CE)*'I-Project Contingency'!$F$75=0,0,CE61/SUM(CE:CE)*'I-Project Contingency'!$F$75)</f>
        <v>0</v>
      </c>
      <c r="ET61" s="334">
        <f>IF(CF61/SUM(CF:CF)*'I-Project Contingency'!$F$76=0,0,CF61/SUM(CF:CF)*'I-Project Contingency'!$F$76)</f>
        <v>0</v>
      </c>
      <c r="EU61" s="334">
        <f>IF(CG61/SUM(CG:CG)*'I-Project Contingency'!$F$77=0,0,CG61/SUM(CG:CG)*'I-Project Contingency'!$F$77)</f>
        <v>0</v>
      </c>
      <c r="EV61" s="787">
        <f>IF(CH61/SUM(CH:CH)*'I-Project Contingency'!$F$78=0,0,CH61/SUM(CH:CH)*'I-Project Contingency'!$F$78)</f>
        <v>0</v>
      </c>
      <c r="EW61" s="787">
        <f>IF(CI61/SUM(CI:CI)*'I-Project Contingency'!$F$79=0,0,CI61/SUM(CI:CI)*'I-Project Contingency'!$F$79)</f>
        <v>0</v>
      </c>
      <c r="EX61" s="787">
        <f>IF(CJ61/SUM(CJ:CJ)*'I-Project Contingency'!$F$80=0,0,CJ61/SUM(CJ:CJ)*'I-Project Contingency'!$F$80)</f>
        <v>0</v>
      </c>
      <c r="EY61" s="787">
        <f>IF(CK61/SUM(CK:CK)*'I-Project Contingency'!$F$81=0,0,CK61/SUM(CK:CK)*'I-Project Contingency'!$F$81)</f>
        <v>0</v>
      </c>
      <c r="EZ61" s="333">
        <f>IF(FB61="N/A","N/A",ABS(INDEX(FB61:FV61,1,MATCH("ROM Schedule Risk @ "&amp;'D-Project Data'!$C$6*100&amp;"%",$FB$17:$FV$17,0))))</f>
        <v>0</v>
      </c>
      <c r="FA61" s="335">
        <f>IF(EZ61="N/A","N/A",RANK(EZ61,$EZ$18:$EZ$117,0)+COUNTIF($FB$18:FB61,FB61)-1)</f>
        <v>44</v>
      </c>
      <c r="FB61" s="788">
        <f>IF(DH61/SUM(DH:DH)*'I-Project Contingency'!$F$86=0,0,DH61/SUM(DH:DH)*'I-Project Contingency'!$F$86)</f>
        <v>0</v>
      </c>
      <c r="FC61" s="788">
        <f>IF(DI61/SUM(DI:DI)*'I-Project Contingency'!$F$87=0,0,DI61/SUM(DI:DI)*'I-Project Contingency'!$F$87)</f>
        <v>0</v>
      </c>
      <c r="FD61" s="788">
        <f>IF(DJ61/SUM(DJ:DJ)*'I-Project Contingency'!$F$88=0,0,DJ61/SUM(DJ:DJ)*'I-Project Contingency'!$F$88)</f>
        <v>0</v>
      </c>
      <c r="FE61" s="788">
        <f>IF(DK61/SUM(DK:DK)*'I-Project Contingency'!$F$89=0,0,DK61/SUM(DK:DK)*'I-Project Contingency'!$F$89)</f>
        <v>0</v>
      </c>
      <c r="FF61" s="788">
        <f>IF(DL61/SUM(DL:DL)*'I-Project Contingency'!$F$90=0,0,DL61/SUM(DL:DL)*'I-Project Contingency'!$F$90)</f>
        <v>0</v>
      </c>
      <c r="FG61" s="788">
        <f>IF(DM61/SUM(DM:DM)*'I-Project Contingency'!$F$91=0,0,DM61/SUM(DM:DM)*'I-Project Contingency'!$F$91)</f>
        <v>0</v>
      </c>
      <c r="FH61" s="788">
        <f>IF(DN61/SUM(DN:DN)*'I-Project Contingency'!$F$92=0,0,DN61/SUM(DN:DN)*'I-Project Contingency'!$F$92)</f>
        <v>0</v>
      </c>
      <c r="FI61" s="788">
        <f>IF(DO61/SUM(DO:DO)*'I-Project Contingency'!$F$93=0,0,DO61/SUM(DO:DO)*'I-Project Contingency'!$F$93)</f>
        <v>0</v>
      </c>
      <c r="FJ61" s="788">
        <f>IF(DP61/SUM(DP:DP)*'I-Project Contingency'!$F$94=0,0,DP61/SUM(DP:DP)*'I-Project Contingency'!$F$94)</f>
        <v>0</v>
      </c>
      <c r="FK61" s="788">
        <f>IF(DQ61/SUM(DQ:DQ)*'I-Project Contingency'!$F$95=0,0,DQ61/SUM(DQ:DQ)*'I-Project Contingency'!$F$95)</f>
        <v>0</v>
      </c>
      <c r="FL61" s="788">
        <f>IF(DR61/SUM(DR:DR)*'I-Project Contingency'!$F$96=0,0,DR61/SUM(DR:DR)*'I-Project Contingency'!$F$96)</f>
        <v>0</v>
      </c>
      <c r="FM61" s="788">
        <f>IF(DS61/SUM(DS:DS)*'I-Project Contingency'!$F$97=0,0,DS61/SUM(DS:DS)*'I-Project Contingency'!$F$97)</f>
        <v>0</v>
      </c>
      <c r="FN61" s="788">
        <f>IF(DT61/SUM(DT:DT)*'I-Project Contingency'!$F$98=0,0,DT61/SUM(DT:DT)*'I-Project Contingency'!$F$98)</f>
        <v>0</v>
      </c>
      <c r="FO61" s="788">
        <f>IF(DU61/SUM(DU:DU)*'I-Project Contingency'!$F$99=0,0,DU61/SUM(DU:DU)*'I-Project Contingency'!$F$99)</f>
        <v>0</v>
      </c>
      <c r="FP61" s="788">
        <f>IF(DV61/SUM(DV:DV)*'I-Project Contingency'!$F$100=0,0,DV61/SUM(DV:DV)*'I-Project Contingency'!$F$100)</f>
        <v>0</v>
      </c>
      <c r="FQ61" s="788">
        <f>IF(DW61/SUM(DW:DW)*'I-Project Contingency'!$F$101=0,0,DW61/SUM(DW:DW)*'I-Project Contingency'!$F$101)</f>
        <v>0</v>
      </c>
      <c r="FR61" s="788">
        <f>IF(DX61/SUM(DX:DX)*'I-Project Contingency'!$F$102=0,0,DX61/SUM(DX:DX)*'I-Project Contingency'!$F$102)</f>
        <v>0</v>
      </c>
      <c r="FS61" s="788">
        <f>IF(DY61/SUM(DY:DY)*'I-Project Contingency'!$F$103=0,0,DY61/SUM(DY:DY)*'I-Project Contingency'!$F$103)</f>
        <v>0</v>
      </c>
      <c r="FT61" s="788">
        <f>IF(DZ61/SUM(DZ:DZ)*'I-Project Contingency'!$F$104=0,0,DZ61/SUM(DZ:DZ)*'I-Project Contingency'!$F$104)</f>
        <v>0</v>
      </c>
      <c r="FU61" s="788">
        <f>IF(EA61/SUM(EA:EA)*'I-Project Contingency'!$F$105=0,0,EA61/SUM(EA:EA)*'I-Project Contingency'!$F$105)</f>
        <v>0</v>
      </c>
      <c r="FV61" s="788">
        <f>IF(EB61/SUM(EB:EB)*'I-Project Contingency'!$F$106=0,0,EB61/SUM(EB:EB)*'I-Project Contingency'!$F$106)</f>
        <v>0</v>
      </c>
      <c r="FW61" s="335">
        <f t="shared" si="37"/>
        <v>44</v>
      </c>
      <c r="FX61" s="336" t="str">
        <f t="shared" si="38"/>
        <v xml:space="preserve">44 - </v>
      </c>
      <c r="FY61" s="330">
        <f t="shared" si="26"/>
        <v>0</v>
      </c>
      <c r="FZ61" s="330">
        <f t="shared" si="27"/>
        <v>0</v>
      </c>
      <c r="GA61" s="332">
        <f t="shared" si="39"/>
        <v>0</v>
      </c>
      <c r="GB61" s="332">
        <f t="shared" si="40"/>
        <v>0</v>
      </c>
    </row>
    <row r="62" spans="1:184" ht="30" x14ac:dyDescent="0.25">
      <c r="A62" s="163">
        <f t="shared" si="23"/>
        <v>45</v>
      </c>
      <c r="B62" s="727" t="s">
        <v>728</v>
      </c>
      <c r="C62" s="729" t="s">
        <v>659</v>
      </c>
      <c r="D62" s="729" t="s">
        <v>659</v>
      </c>
      <c r="E62" s="729" t="s">
        <v>659</v>
      </c>
      <c r="F62" s="728" t="s">
        <v>728</v>
      </c>
      <c r="G62" s="728" t="s">
        <v>728</v>
      </c>
      <c r="H62" s="157" t="str">
        <f>IFERROR(IF('H-Risk Register-Model'!F62="Certain","Relook at Basis of Estimate",INDEX('G-Assumptions'!$F$8:$J$11,MATCH(F62,'G-Assumptions'!$D$8:$D$11,0),MATCH(G62,'G-Assumptions'!$F$6:$J$6,0))),"Unrated")</f>
        <v>Unrated</v>
      </c>
      <c r="I62" s="728" t="s">
        <v>728</v>
      </c>
      <c r="J62" s="157" t="str">
        <f>IFERROR(IF('H-Risk Register-Model'!F62="Certain","Relook at Basis of Estimate",INDEX('G-Assumptions'!$F$8:$J$11,MATCH(F62,'G-Assumptions'!$D$8:$D$11,0),MATCH(I62,'G-Assumptions'!$F$6:$J$6,0))),"Unrated")</f>
        <v>Unrated</v>
      </c>
      <c r="K62" s="728" t="s">
        <v>728</v>
      </c>
      <c r="L62" s="728" t="s">
        <v>728</v>
      </c>
      <c r="M62" s="728"/>
      <c r="N62" s="731" t="s">
        <v>728</v>
      </c>
      <c r="O62" s="731" t="s">
        <v>728</v>
      </c>
      <c r="P62" s="732"/>
      <c r="Q62" s="732"/>
      <c r="R62" s="732"/>
      <c r="S62" s="733"/>
      <c r="T62" s="733"/>
      <c r="U62" s="733"/>
      <c r="V62" s="734"/>
      <c r="W62" s="732"/>
      <c r="X62" s="732"/>
      <c r="Y62" s="735">
        <v>1</v>
      </c>
      <c r="Z62" s="736">
        <v>1</v>
      </c>
      <c r="AA62" s="166">
        <f t="shared" si="19"/>
        <v>0</v>
      </c>
      <c r="AB62" s="166">
        <f t="shared" si="20"/>
        <v>0</v>
      </c>
      <c r="AC62" s="166">
        <f t="shared" si="21"/>
        <v>0</v>
      </c>
      <c r="AD62" s="166"/>
      <c r="AE62" s="164">
        <f t="shared" si="24"/>
        <v>0</v>
      </c>
      <c r="AF62" s="167"/>
      <c r="AG62" s="165">
        <f t="shared" si="25"/>
        <v>0</v>
      </c>
      <c r="AH62" s="729"/>
      <c r="AI62" s="729"/>
      <c r="AJ62" s="8"/>
      <c r="AK62" s="495" t="str">
        <f t="shared" si="30"/>
        <v>No</v>
      </c>
      <c r="AL62" s="496">
        <f>'I-Project Contingency'!$I$4</f>
        <v>9000000</v>
      </c>
      <c r="AM62" s="326">
        <f>'I-Project Contingency'!$I$11</f>
        <v>23.978102189781023</v>
      </c>
      <c r="AN62" s="325">
        <f t="shared" si="31"/>
        <v>0</v>
      </c>
      <c r="AO62" s="326">
        <f t="shared" si="32"/>
        <v>0</v>
      </c>
      <c r="AP62" s="641" t="str">
        <f t="shared" si="33"/>
        <v/>
      </c>
      <c r="AQ62" s="641" t="str">
        <f t="shared" si="34"/>
        <v/>
      </c>
      <c r="AR62" s="497" t="str">
        <f t="shared" si="35"/>
        <v/>
      </c>
      <c r="AS62" s="497" t="str">
        <f t="shared" si="36"/>
        <v/>
      </c>
      <c r="AT62" s="8"/>
      <c r="AU62" s="329">
        <f>'I-Project Contingency'!$O$4-AE62</f>
        <v>0</v>
      </c>
      <c r="AV62" s="330">
        <v>-240515.59579276721</v>
      </c>
      <c r="AW62" s="330">
        <v>28172.931401335634</v>
      </c>
      <c r="AX62" s="330">
        <v>193478.84467429668</v>
      </c>
      <c r="AY62" s="330">
        <v>361668.20104834624</v>
      </c>
      <c r="AZ62" s="330">
        <v>524446.91524262261</v>
      </c>
      <c r="BA62" s="330">
        <v>704023.56387635041</v>
      </c>
      <c r="BB62" s="330">
        <v>886394.06956240814</v>
      </c>
      <c r="BC62" s="330">
        <v>1079363.7165157665</v>
      </c>
      <c r="BD62" s="330">
        <v>1280180.1532065615</v>
      </c>
      <c r="BE62" s="330">
        <v>1485323.8019108465</v>
      </c>
      <c r="BF62" s="330">
        <v>1703758.8827524669</v>
      </c>
      <c r="BG62" s="330">
        <v>1949523.4346483489</v>
      </c>
      <c r="BH62" s="330">
        <v>2177897.1603371189</v>
      </c>
      <c r="BI62" s="330">
        <v>2429374.4260425912</v>
      </c>
      <c r="BJ62" s="330">
        <v>2717092.7449284913</v>
      </c>
      <c r="BK62" s="330">
        <v>3010093.6968918457</v>
      </c>
      <c r="BL62" s="330">
        <v>3325414.5894657462</v>
      </c>
      <c r="BM62" s="330">
        <v>3690425.9159493577</v>
      </c>
      <c r="BN62" s="330">
        <v>4143935.1706127762</v>
      </c>
      <c r="BO62" s="330">
        <v>4722651.1159141911</v>
      </c>
      <c r="BP62" s="330">
        <v>5992048.8629153483</v>
      </c>
      <c r="BQ62" s="330">
        <f>'I-Project Contingency'!$E$61-AV62</f>
        <v>0</v>
      </c>
      <c r="BR62" s="330">
        <f>'I-Project Contingency'!$E$62-AW62</f>
        <v>0</v>
      </c>
      <c r="BS62" s="330">
        <f>'I-Project Contingency'!$E$63-AX62</f>
        <v>0</v>
      </c>
      <c r="BT62" s="330">
        <f>'I-Project Contingency'!$E$64-AY62</f>
        <v>0</v>
      </c>
      <c r="BU62" s="330">
        <f>'I-Project Contingency'!$E$65-AZ62</f>
        <v>0</v>
      </c>
      <c r="BV62" s="330">
        <f>'I-Project Contingency'!$E$66-BA62</f>
        <v>0</v>
      </c>
      <c r="BW62" s="330">
        <f>'I-Project Contingency'!$E$67-BB62</f>
        <v>0</v>
      </c>
      <c r="BX62" s="330">
        <f>'I-Project Contingency'!$E$68-BC62</f>
        <v>0</v>
      </c>
      <c r="BY62" s="330">
        <f>'I-Project Contingency'!$E$69-BD62</f>
        <v>0</v>
      </c>
      <c r="BZ62" s="330">
        <f>'I-Project Contingency'!$E$70-BE62</f>
        <v>0</v>
      </c>
      <c r="CA62" s="330">
        <f>'I-Project Contingency'!$E$71-BF62</f>
        <v>0</v>
      </c>
      <c r="CB62" s="330">
        <f>'I-Project Contingency'!$E$72-BG62</f>
        <v>0</v>
      </c>
      <c r="CC62" s="330">
        <f>'I-Project Contingency'!$E$73-BH62</f>
        <v>0</v>
      </c>
      <c r="CD62" s="330">
        <f>'I-Project Contingency'!$E$74-BI62</f>
        <v>0</v>
      </c>
      <c r="CE62" s="330">
        <f>'I-Project Contingency'!$E$75-BJ62</f>
        <v>0</v>
      </c>
      <c r="CF62" s="330">
        <f>'I-Project Contingency'!$E$76-BK62</f>
        <v>0</v>
      </c>
      <c r="CG62" s="330">
        <f>'I-Project Contingency'!$E$77-BL62</f>
        <v>0</v>
      </c>
      <c r="CH62" s="784">
        <f>'I-Project Contingency'!$E$78-BM62</f>
        <v>0</v>
      </c>
      <c r="CI62" s="330">
        <f>'I-Project Contingency'!$E$79-BN62</f>
        <v>0</v>
      </c>
      <c r="CJ62" s="330">
        <f>'I-Project Contingency'!$E$80-BO62</f>
        <v>0</v>
      </c>
      <c r="CK62" s="330">
        <f>'I-Project Contingency'!$E$81-BP62</f>
        <v>0</v>
      </c>
      <c r="CL62" s="331">
        <f>'I-Project Contingency'!$O$5-AG62</f>
        <v>0</v>
      </c>
      <c r="CM62" s="332">
        <v>-0.98711802853447173</v>
      </c>
      <c r="CN62" s="332">
        <v>-0.19547704728364468</v>
      </c>
      <c r="CO62" s="332">
        <v>0.126462150308498</v>
      </c>
      <c r="CP62" s="332">
        <v>0.45967989154545902</v>
      </c>
      <c r="CQ62" s="332">
        <v>0.78297319902744</v>
      </c>
      <c r="CR62" s="332">
        <v>1.0957191966482109</v>
      </c>
      <c r="CS62" s="332">
        <v>1.4418405003536849</v>
      </c>
      <c r="CT62" s="332">
        <v>1.801002404194165</v>
      </c>
      <c r="CU62" s="332">
        <v>2.1797608166947349</v>
      </c>
      <c r="CV62" s="332">
        <v>2.5671680610072478</v>
      </c>
      <c r="CW62" s="332">
        <v>2.9690760644797152</v>
      </c>
      <c r="CX62" s="332">
        <v>3.3964145469774811</v>
      </c>
      <c r="CY62" s="332">
        <v>3.864536087769562</v>
      </c>
      <c r="CZ62" s="332">
        <v>4.3569836138896116</v>
      </c>
      <c r="DA62" s="332">
        <v>4.8862357851222598</v>
      </c>
      <c r="DB62" s="332">
        <v>5.438836997347547</v>
      </c>
      <c r="DC62" s="332">
        <v>6.047993455908566</v>
      </c>
      <c r="DD62" s="785">
        <v>6.720204953601761</v>
      </c>
      <c r="DE62" s="333">
        <v>7.55131678090412</v>
      </c>
      <c r="DF62" s="332">
        <v>8.661446370835737</v>
      </c>
      <c r="DG62" s="332">
        <v>11.206316207857133</v>
      </c>
      <c r="DH62" s="332">
        <f>'I-Project Contingency'!$E$86-CM62</f>
        <v>0</v>
      </c>
      <c r="DI62" s="332">
        <f>'I-Project Contingency'!$E$87-CN62</f>
        <v>0</v>
      </c>
      <c r="DJ62" s="332">
        <f>'I-Project Contingency'!$E$88-CO62</f>
        <v>0</v>
      </c>
      <c r="DK62" s="332">
        <f>'I-Project Contingency'!$E$89-CP62</f>
        <v>0</v>
      </c>
      <c r="DL62" s="332">
        <f>'I-Project Contingency'!$E$90-CQ62</f>
        <v>0</v>
      </c>
      <c r="DM62" s="332">
        <f>'I-Project Contingency'!$E$91-CR62</f>
        <v>0</v>
      </c>
      <c r="DN62" s="332">
        <f>'I-Project Contingency'!$E$92-CS62</f>
        <v>0</v>
      </c>
      <c r="DO62" s="332">
        <f>'I-Project Contingency'!$E$93-CT62</f>
        <v>0</v>
      </c>
      <c r="DP62" s="332">
        <f>'I-Project Contingency'!$E$94-CU62</f>
        <v>0</v>
      </c>
      <c r="DQ62" s="332">
        <f>'I-Project Contingency'!$E$95-CV62</f>
        <v>0</v>
      </c>
      <c r="DR62" s="332">
        <f>'I-Project Contingency'!$E$96-CW62</f>
        <v>0</v>
      </c>
      <c r="DS62" s="332">
        <f>'I-Project Contingency'!$E$97-CX62</f>
        <v>0</v>
      </c>
      <c r="DT62" s="332">
        <f>'I-Project Contingency'!$E$98-CY62</f>
        <v>0</v>
      </c>
      <c r="DU62" s="332">
        <f>'I-Project Contingency'!$E$99-CZ62</f>
        <v>0</v>
      </c>
      <c r="DV62" s="332">
        <f>'I-Project Contingency'!$E$100-DA62</f>
        <v>0</v>
      </c>
      <c r="DW62" s="332">
        <f>'I-Project Contingency'!$E$101-DB62</f>
        <v>0</v>
      </c>
      <c r="DX62" s="332">
        <f>'I-Project Contingency'!$E$102-DC62</f>
        <v>0</v>
      </c>
      <c r="DY62" s="332">
        <f>'I-Project Contingency'!$E$103-DD62</f>
        <v>0</v>
      </c>
      <c r="DZ62" s="332">
        <f>'I-Project Contingency'!$E$104-DE62</f>
        <v>0</v>
      </c>
      <c r="EA62" s="332">
        <f>'I-Project Contingency'!$E$105-DF62</f>
        <v>0</v>
      </c>
      <c r="EB62" s="332">
        <f>'I-Project Contingency'!$E$106-DG62</f>
        <v>0</v>
      </c>
      <c r="EC62" s="334">
        <f>IF(EE62="N/A","N/A",ABS(INDEX(EE62:EY62,1,MATCH("ROM Cost Risk @ "&amp;'D-Project Data'!$C$6*100&amp;"%",$EE$17:$EY$17,0))))</f>
        <v>0</v>
      </c>
      <c r="ED62" s="335">
        <f>IF(EC62="N/A","N/A",RANK(EC62,$EC$18:$EC$117,0)+COUNTIF($EC$18:EC62,EC62)-1)</f>
        <v>45</v>
      </c>
      <c r="EE62" s="334">
        <f>IF(BQ62/SUM(BQ:BQ)*'I-Project Contingency'!$F$61=0,0,BQ62/SUM(BQ:BQ)*'I-Project Contingency'!$F$61)</f>
        <v>0</v>
      </c>
      <c r="EF62" s="334">
        <f>IF(BR62/SUM(BR:BR)*'I-Project Contingency'!$F$62=0,0,BR62/SUM(BR:BR)*'I-Project Contingency'!$F$62)</f>
        <v>0</v>
      </c>
      <c r="EG62" s="334">
        <f>IF(BS62/SUM(BS:BS)*'I-Project Contingency'!$F$63=0,0,BS62/SUM(BS:BS)*'I-Project Contingency'!$F$63)</f>
        <v>0</v>
      </c>
      <c r="EH62" s="334">
        <f>IF(BT62/SUM(BT:BT)*'I-Project Contingency'!$F$64=0,0,BT62/SUM(BT:BT)*'I-Project Contingency'!$F$64)</f>
        <v>0</v>
      </c>
      <c r="EI62" s="334">
        <f>IF(BU62/SUM(BU:BU)*'I-Project Contingency'!$F$65=0,0,BU62/SUM(BU:BU)*'I-Project Contingency'!$F$65)</f>
        <v>0</v>
      </c>
      <c r="EJ62" s="334">
        <f>IF(BV62/SUM(BV:BV)*'I-Project Contingency'!$F$66=0,0,BV62/SUM(BV:BV)*'I-Project Contingency'!$F$66)</f>
        <v>0</v>
      </c>
      <c r="EK62" s="334">
        <f>IF(BW62/SUM(BW:BW)*'I-Project Contingency'!$F$67=0,0,BW62/SUM(BW:BW)*'I-Project Contingency'!$F$67)</f>
        <v>0</v>
      </c>
      <c r="EL62" s="334">
        <f>IF(BX62/SUM(BX:BX)*'I-Project Contingency'!$F$68=0,0,BX62/SUM(BX:BX)*'I-Project Contingency'!$F$68)</f>
        <v>0</v>
      </c>
      <c r="EM62" s="334">
        <f>IF(BY62/SUM(BY:BY)*'I-Project Contingency'!$F$69=0,0,BY62/SUM(BY:BY)*'I-Project Contingency'!$F$69)</f>
        <v>0</v>
      </c>
      <c r="EN62" s="334">
        <f>IF(BZ62/SUM(BZ:BZ)*'I-Project Contingency'!$F$70=0,0,BZ62/SUM(BZ:BZ)*'I-Project Contingency'!$F$70)</f>
        <v>0</v>
      </c>
      <c r="EO62" s="334">
        <f>IF(CA62/SUM(CA:CA)*'I-Project Contingency'!$F$71=0,0,CA62/SUM(CA:CA)*'I-Project Contingency'!$F$71)</f>
        <v>0</v>
      </c>
      <c r="EP62" s="334">
        <f>IF(CB62/SUM(CB:CB)*'I-Project Contingency'!$F$72=0,0,CB62/SUM(CB:CB)*'I-Project Contingency'!$F$72)</f>
        <v>0</v>
      </c>
      <c r="EQ62" s="334">
        <f>IF(CC62/SUM(CC:CC)*'I-Project Contingency'!$F$73=0,0,CC62/SUM(CC:CC)*'I-Project Contingency'!$F$73)</f>
        <v>0</v>
      </c>
      <c r="ER62" s="334">
        <f>IF(CD62/SUM(CD:CD)*'I-Project Contingency'!$F$74=0,0,CD62/SUM(CD:CD)*'I-Project Contingency'!$F$74)</f>
        <v>0</v>
      </c>
      <c r="ES62" s="334">
        <f>IF(CE62/SUM(CE:CE)*'I-Project Contingency'!$F$75=0,0,CE62/SUM(CE:CE)*'I-Project Contingency'!$F$75)</f>
        <v>0</v>
      </c>
      <c r="ET62" s="334">
        <f>IF(CF62/SUM(CF:CF)*'I-Project Contingency'!$F$76=0,0,CF62/SUM(CF:CF)*'I-Project Contingency'!$F$76)</f>
        <v>0</v>
      </c>
      <c r="EU62" s="334">
        <f>IF(CG62/SUM(CG:CG)*'I-Project Contingency'!$F$77=0,0,CG62/SUM(CG:CG)*'I-Project Contingency'!$F$77)</f>
        <v>0</v>
      </c>
      <c r="EV62" s="787">
        <f>IF(CH62/SUM(CH:CH)*'I-Project Contingency'!$F$78=0,0,CH62/SUM(CH:CH)*'I-Project Contingency'!$F$78)</f>
        <v>0</v>
      </c>
      <c r="EW62" s="787">
        <f>IF(CI62/SUM(CI:CI)*'I-Project Contingency'!$F$79=0,0,CI62/SUM(CI:CI)*'I-Project Contingency'!$F$79)</f>
        <v>0</v>
      </c>
      <c r="EX62" s="787">
        <f>IF(CJ62/SUM(CJ:CJ)*'I-Project Contingency'!$F$80=0,0,CJ62/SUM(CJ:CJ)*'I-Project Contingency'!$F$80)</f>
        <v>0</v>
      </c>
      <c r="EY62" s="787">
        <f>IF(CK62/SUM(CK:CK)*'I-Project Contingency'!$F$81=0,0,CK62/SUM(CK:CK)*'I-Project Contingency'!$F$81)</f>
        <v>0</v>
      </c>
      <c r="EZ62" s="333">
        <f>IF(FB62="N/A","N/A",ABS(INDEX(FB62:FV62,1,MATCH("ROM Schedule Risk @ "&amp;'D-Project Data'!$C$6*100&amp;"%",$FB$17:$FV$17,0))))</f>
        <v>0</v>
      </c>
      <c r="FA62" s="335">
        <f>IF(EZ62="N/A","N/A",RANK(EZ62,$EZ$18:$EZ$117,0)+COUNTIF($FB$18:FB62,FB62)-1)</f>
        <v>45</v>
      </c>
      <c r="FB62" s="788">
        <f>IF(DH62/SUM(DH:DH)*'I-Project Contingency'!$F$86=0,0,DH62/SUM(DH:DH)*'I-Project Contingency'!$F$86)</f>
        <v>0</v>
      </c>
      <c r="FC62" s="788">
        <f>IF(DI62/SUM(DI:DI)*'I-Project Contingency'!$F$87=0,0,DI62/SUM(DI:DI)*'I-Project Contingency'!$F$87)</f>
        <v>0</v>
      </c>
      <c r="FD62" s="788">
        <f>IF(DJ62/SUM(DJ:DJ)*'I-Project Contingency'!$F$88=0,0,DJ62/SUM(DJ:DJ)*'I-Project Contingency'!$F$88)</f>
        <v>0</v>
      </c>
      <c r="FE62" s="788">
        <f>IF(DK62/SUM(DK:DK)*'I-Project Contingency'!$F$89=0,0,DK62/SUM(DK:DK)*'I-Project Contingency'!$F$89)</f>
        <v>0</v>
      </c>
      <c r="FF62" s="788">
        <f>IF(DL62/SUM(DL:DL)*'I-Project Contingency'!$F$90=0,0,DL62/SUM(DL:DL)*'I-Project Contingency'!$F$90)</f>
        <v>0</v>
      </c>
      <c r="FG62" s="788">
        <f>IF(DM62/SUM(DM:DM)*'I-Project Contingency'!$F$91=0,0,DM62/SUM(DM:DM)*'I-Project Contingency'!$F$91)</f>
        <v>0</v>
      </c>
      <c r="FH62" s="788">
        <f>IF(DN62/SUM(DN:DN)*'I-Project Contingency'!$F$92=0,0,DN62/SUM(DN:DN)*'I-Project Contingency'!$F$92)</f>
        <v>0</v>
      </c>
      <c r="FI62" s="788">
        <f>IF(DO62/SUM(DO:DO)*'I-Project Contingency'!$F$93=0,0,DO62/SUM(DO:DO)*'I-Project Contingency'!$F$93)</f>
        <v>0</v>
      </c>
      <c r="FJ62" s="788">
        <f>IF(DP62/SUM(DP:DP)*'I-Project Contingency'!$F$94=0,0,DP62/SUM(DP:DP)*'I-Project Contingency'!$F$94)</f>
        <v>0</v>
      </c>
      <c r="FK62" s="788">
        <f>IF(DQ62/SUM(DQ:DQ)*'I-Project Contingency'!$F$95=0,0,DQ62/SUM(DQ:DQ)*'I-Project Contingency'!$F$95)</f>
        <v>0</v>
      </c>
      <c r="FL62" s="788">
        <f>IF(DR62/SUM(DR:DR)*'I-Project Contingency'!$F$96=0,0,DR62/SUM(DR:DR)*'I-Project Contingency'!$F$96)</f>
        <v>0</v>
      </c>
      <c r="FM62" s="788">
        <f>IF(DS62/SUM(DS:DS)*'I-Project Contingency'!$F$97=0,0,DS62/SUM(DS:DS)*'I-Project Contingency'!$F$97)</f>
        <v>0</v>
      </c>
      <c r="FN62" s="788">
        <f>IF(DT62/SUM(DT:DT)*'I-Project Contingency'!$F$98=0,0,DT62/SUM(DT:DT)*'I-Project Contingency'!$F$98)</f>
        <v>0</v>
      </c>
      <c r="FO62" s="788">
        <f>IF(DU62/SUM(DU:DU)*'I-Project Contingency'!$F$99=0,0,DU62/SUM(DU:DU)*'I-Project Contingency'!$F$99)</f>
        <v>0</v>
      </c>
      <c r="FP62" s="788">
        <f>IF(DV62/SUM(DV:DV)*'I-Project Contingency'!$F$100=0,0,DV62/SUM(DV:DV)*'I-Project Contingency'!$F$100)</f>
        <v>0</v>
      </c>
      <c r="FQ62" s="788">
        <f>IF(DW62/SUM(DW:DW)*'I-Project Contingency'!$F$101=0,0,DW62/SUM(DW:DW)*'I-Project Contingency'!$F$101)</f>
        <v>0</v>
      </c>
      <c r="FR62" s="788">
        <f>IF(DX62/SUM(DX:DX)*'I-Project Contingency'!$F$102=0,0,DX62/SUM(DX:DX)*'I-Project Contingency'!$F$102)</f>
        <v>0</v>
      </c>
      <c r="FS62" s="788">
        <f>IF(DY62/SUM(DY:DY)*'I-Project Contingency'!$F$103=0,0,DY62/SUM(DY:DY)*'I-Project Contingency'!$F$103)</f>
        <v>0</v>
      </c>
      <c r="FT62" s="788">
        <f>IF(DZ62/SUM(DZ:DZ)*'I-Project Contingency'!$F$104=0,0,DZ62/SUM(DZ:DZ)*'I-Project Contingency'!$F$104)</f>
        <v>0</v>
      </c>
      <c r="FU62" s="788">
        <f>IF(EA62/SUM(EA:EA)*'I-Project Contingency'!$F$105=0,0,EA62/SUM(EA:EA)*'I-Project Contingency'!$F$105)</f>
        <v>0</v>
      </c>
      <c r="FV62" s="788">
        <f>IF(EB62/SUM(EB:EB)*'I-Project Contingency'!$F$106=0,0,EB62/SUM(EB:EB)*'I-Project Contingency'!$F$106)</f>
        <v>0</v>
      </c>
      <c r="FW62" s="335">
        <f t="shared" si="37"/>
        <v>45</v>
      </c>
      <c r="FX62" s="336" t="str">
        <f t="shared" si="38"/>
        <v xml:space="preserve">45 -  </v>
      </c>
      <c r="FY62" s="330">
        <f t="shared" si="26"/>
        <v>0</v>
      </c>
      <c r="FZ62" s="330">
        <f t="shared" si="27"/>
        <v>0</v>
      </c>
      <c r="GA62" s="332">
        <f t="shared" si="39"/>
        <v>0</v>
      </c>
      <c r="GB62" s="332">
        <f t="shared" si="40"/>
        <v>0</v>
      </c>
    </row>
    <row r="63" spans="1:184" ht="30" x14ac:dyDescent="0.25">
      <c r="A63" s="163">
        <f t="shared" si="23"/>
        <v>46</v>
      </c>
      <c r="B63" s="727" t="s">
        <v>728</v>
      </c>
      <c r="C63" s="729" t="s">
        <v>659</v>
      </c>
      <c r="D63" s="729" t="s">
        <v>659</v>
      </c>
      <c r="E63" s="729" t="s">
        <v>659</v>
      </c>
      <c r="F63" s="728" t="s">
        <v>728</v>
      </c>
      <c r="G63" s="728" t="s">
        <v>728</v>
      </c>
      <c r="H63" s="157" t="str">
        <f>IFERROR(IF('H-Risk Register-Model'!F63="Certain","Relook at Basis of Estimate",INDEX('G-Assumptions'!$F$8:$J$11,MATCH(F63,'G-Assumptions'!$D$8:$D$11,0),MATCH(G63,'G-Assumptions'!$F$6:$J$6,0))),"Unrated")</f>
        <v>Unrated</v>
      </c>
      <c r="I63" s="728" t="s">
        <v>728</v>
      </c>
      <c r="J63" s="157" t="str">
        <f>IFERROR(IF('H-Risk Register-Model'!F63="Certain","Relook at Basis of Estimate",INDEX('G-Assumptions'!$F$8:$J$11,MATCH(F63,'G-Assumptions'!$D$8:$D$11,0),MATCH(I63,'G-Assumptions'!$F$6:$J$6,0))),"Unrated")</f>
        <v>Unrated</v>
      </c>
      <c r="K63" s="728" t="s">
        <v>728</v>
      </c>
      <c r="L63" s="728" t="s">
        <v>728</v>
      </c>
      <c r="M63" s="728"/>
      <c r="N63" s="731" t="s">
        <v>728</v>
      </c>
      <c r="O63" s="731" t="s">
        <v>728</v>
      </c>
      <c r="P63" s="732"/>
      <c r="Q63" s="732"/>
      <c r="R63" s="732"/>
      <c r="S63" s="733"/>
      <c r="T63" s="733"/>
      <c r="U63" s="733"/>
      <c r="V63" s="734"/>
      <c r="W63" s="732"/>
      <c r="X63" s="732"/>
      <c r="Y63" s="735">
        <v>1</v>
      </c>
      <c r="Z63" s="736">
        <v>1</v>
      </c>
      <c r="AA63" s="166">
        <f t="shared" si="19"/>
        <v>0</v>
      </c>
      <c r="AB63" s="166">
        <f t="shared" si="20"/>
        <v>0</v>
      </c>
      <c r="AC63" s="166">
        <f t="shared" si="21"/>
        <v>0</v>
      </c>
      <c r="AD63" s="166"/>
      <c r="AE63" s="164">
        <f t="shared" ref="AE63:AE117" si="41">AD63*Z63</f>
        <v>0</v>
      </c>
      <c r="AF63" s="167"/>
      <c r="AG63" s="165">
        <f t="shared" ref="AG63:AG117" si="42">AF63*Z63</f>
        <v>0</v>
      </c>
      <c r="AH63" s="729"/>
      <c r="AI63" s="729"/>
      <c r="AJ63" s="8"/>
      <c r="AK63" s="495" t="str">
        <f t="shared" si="30"/>
        <v>No</v>
      </c>
      <c r="AL63" s="496">
        <f>'I-Project Contingency'!$I$4</f>
        <v>9000000</v>
      </c>
      <c r="AM63" s="326">
        <f>'I-Project Contingency'!$I$11</f>
        <v>23.978102189781023</v>
      </c>
      <c r="AN63" s="325">
        <f t="shared" si="31"/>
        <v>0</v>
      </c>
      <c r="AO63" s="326">
        <f t="shared" si="32"/>
        <v>0</v>
      </c>
      <c r="AP63" s="641" t="str">
        <f t="shared" si="33"/>
        <v/>
      </c>
      <c r="AQ63" s="641" t="str">
        <f t="shared" si="34"/>
        <v/>
      </c>
      <c r="AR63" s="497" t="str">
        <f t="shared" si="35"/>
        <v/>
      </c>
      <c r="AS63" s="497" t="str">
        <f t="shared" si="36"/>
        <v/>
      </c>
      <c r="AT63" s="8"/>
      <c r="AU63" s="329">
        <f>'I-Project Contingency'!$O$4-AE63</f>
        <v>0</v>
      </c>
      <c r="AV63" s="330">
        <v>-240515.59579276721</v>
      </c>
      <c r="AW63" s="330">
        <v>28172.931401335634</v>
      </c>
      <c r="AX63" s="330">
        <v>193478.84467429668</v>
      </c>
      <c r="AY63" s="330">
        <v>361668.20104834624</v>
      </c>
      <c r="AZ63" s="330">
        <v>524446.91524262261</v>
      </c>
      <c r="BA63" s="330">
        <v>704023.56387635041</v>
      </c>
      <c r="BB63" s="330">
        <v>886394.06956240814</v>
      </c>
      <c r="BC63" s="330">
        <v>1079363.7165157665</v>
      </c>
      <c r="BD63" s="330">
        <v>1280180.1532065615</v>
      </c>
      <c r="BE63" s="330">
        <v>1485323.8019108465</v>
      </c>
      <c r="BF63" s="330">
        <v>1703758.8827524669</v>
      </c>
      <c r="BG63" s="330">
        <v>1949523.4346483489</v>
      </c>
      <c r="BH63" s="330">
        <v>2177897.1603371189</v>
      </c>
      <c r="BI63" s="330">
        <v>2429374.4260425912</v>
      </c>
      <c r="BJ63" s="330">
        <v>2717092.7449284913</v>
      </c>
      <c r="BK63" s="330">
        <v>3010093.6968918457</v>
      </c>
      <c r="BL63" s="330">
        <v>3325414.5894657462</v>
      </c>
      <c r="BM63" s="330">
        <v>3690425.9159493577</v>
      </c>
      <c r="BN63" s="330">
        <v>4143935.1706127762</v>
      </c>
      <c r="BO63" s="330">
        <v>4722651.1159141911</v>
      </c>
      <c r="BP63" s="330">
        <v>5992048.8629153483</v>
      </c>
      <c r="BQ63" s="330">
        <f>'I-Project Contingency'!$E$61-AV63</f>
        <v>0</v>
      </c>
      <c r="BR63" s="330">
        <f>'I-Project Contingency'!$E$62-AW63</f>
        <v>0</v>
      </c>
      <c r="BS63" s="330">
        <f>'I-Project Contingency'!$E$63-AX63</f>
        <v>0</v>
      </c>
      <c r="BT63" s="330">
        <f>'I-Project Contingency'!$E$64-AY63</f>
        <v>0</v>
      </c>
      <c r="BU63" s="330">
        <f>'I-Project Contingency'!$E$65-AZ63</f>
        <v>0</v>
      </c>
      <c r="BV63" s="330">
        <f>'I-Project Contingency'!$E$66-BA63</f>
        <v>0</v>
      </c>
      <c r="BW63" s="330">
        <f>'I-Project Contingency'!$E$67-BB63</f>
        <v>0</v>
      </c>
      <c r="BX63" s="330">
        <f>'I-Project Contingency'!$E$68-BC63</f>
        <v>0</v>
      </c>
      <c r="BY63" s="330">
        <f>'I-Project Contingency'!$E$69-BD63</f>
        <v>0</v>
      </c>
      <c r="BZ63" s="330">
        <f>'I-Project Contingency'!$E$70-BE63</f>
        <v>0</v>
      </c>
      <c r="CA63" s="330">
        <f>'I-Project Contingency'!$E$71-BF63</f>
        <v>0</v>
      </c>
      <c r="CB63" s="330">
        <f>'I-Project Contingency'!$E$72-BG63</f>
        <v>0</v>
      </c>
      <c r="CC63" s="330">
        <f>'I-Project Contingency'!$E$73-BH63</f>
        <v>0</v>
      </c>
      <c r="CD63" s="330">
        <f>'I-Project Contingency'!$E$74-BI63</f>
        <v>0</v>
      </c>
      <c r="CE63" s="330">
        <f>'I-Project Contingency'!$E$75-BJ63</f>
        <v>0</v>
      </c>
      <c r="CF63" s="330">
        <f>'I-Project Contingency'!$E$76-BK63</f>
        <v>0</v>
      </c>
      <c r="CG63" s="330">
        <f>'I-Project Contingency'!$E$77-BL63</f>
        <v>0</v>
      </c>
      <c r="CH63" s="784">
        <f>'I-Project Contingency'!$E$78-BM63</f>
        <v>0</v>
      </c>
      <c r="CI63" s="330">
        <f>'I-Project Contingency'!$E$79-BN63</f>
        <v>0</v>
      </c>
      <c r="CJ63" s="330">
        <f>'I-Project Contingency'!$E$80-BO63</f>
        <v>0</v>
      </c>
      <c r="CK63" s="330">
        <f>'I-Project Contingency'!$E$81-BP63</f>
        <v>0</v>
      </c>
      <c r="CL63" s="331">
        <f>'I-Project Contingency'!$O$5-AG63</f>
        <v>0</v>
      </c>
      <c r="CM63" s="332">
        <v>-0.98711802853447173</v>
      </c>
      <c r="CN63" s="332">
        <v>-0.19547704728364468</v>
      </c>
      <c r="CO63" s="332">
        <v>0.126462150308498</v>
      </c>
      <c r="CP63" s="332">
        <v>0.45967989154545902</v>
      </c>
      <c r="CQ63" s="332">
        <v>0.78297319902744</v>
      </c>
      <c r="CR63" s="332">
        <v>1.0957191966482109</v>
      </c>
      <c r="CS63" s="332">
        <v>1.4418405003536849</v>
      </c>
      <c r="CT63" s="332">
        <v>1.801002404194165</v>
      </c>
      <c r="CU63" s="332">
        <v>2.1797608166947349</v>
      </c>
      <c r="CV63" s="332">
        <v>2.5671680610072478</v>
      </c>
      <c r="CW63" s="332">
        <v>2.9690760644797152</v>
      </c>
      <c r="CX63" s="332">
        <v>3.3964145469774811</v>
      </c>
      <c r="CY63" s="332">
        <v>3.864536087769562</v>
      </c>
      <c r="CZ63" s="332">
        <v>4.3569836138896116</v>
      </c>
      <c r="DA63" s="332">
        <v>4.8862357851222598</v>
      </c>
      <c r="DB63" s="332">
        <v>5.438836997347547</v>
      </c>
      <c r="DC63" s="332">
        <v>6.047993455908566</v>
      </c>
      <c r="DD63" s="785">
        <v>6.720204953601761</v>
      </c>
      <c r="DE63" s="333">
        <v>7.55131678090412</v>
      </c>
      <c r="DF63" s="332">
        <v>8.661446370835737</v>
      </c>
      <c r="DG63" s="332">
        <v>11.206316207857133</v>
      </c>
      <c r="DH63" s="332">
        <f>'I-Project Contingency'!$E$86-CM63</f>
        <v>0</v>
      </c>
      <c r="DI63" s="332">
        <f>'I-Project Contingency'!$E$87-CN63</f>
        <v>0</v>
      </c>
      <c r="DJ63" s="332">
        <f>'I-Project Contingency'!$E$88-CO63</f>
        <v>0</v>
      </c>
      <c r="DK63" s="332">
        <f>'I-Project Contingency'!$E$89-CP63</f>
        <v>0</v>
      </c>
      <c r="DL63" s="332">
        <f>'I-Project Contingency'!$E$90-CQ63</f>
        <v>0</v>
      </c>
      <c r="DM63" s="332">
        <f>'I-Project Contingency'!$E$91-CR63</f>
        <v>0</v>
      </c>
      <c r="DN63" s="332">
        <f>'I-Project Contingency'!$E$92-CS63</f>
        <v>0</v>
      </c>
      <c r="DO63" s="332">
        <f>'I-Project Contingency'!$E$93-CT63</f>
        <v>0</v>
      </c>
      <c r="DP63" s="332">
        <f>'I-Project Contingency'!$E$94-CU63</f>
        <v>0</v>
      </c>
      <c r="DQ63" s="332">
        <f>'I-Project Contingency'!$E$95-CV63</f>
        <v>0</v>
      </c>
      <c r="DR63" s="332">
        <f>'I-Project Contingency'!$E$96-CW63</f>
        <v>0</v>
      </c>
      <c r="DS63" s="332">
        <f>'I-Project Contingency'!$E$97-CX63</f>
        <v>0</v>
      </c>
      <c r="DT63" s="332">
        <f>'I-Project Contingency'!$E$98-CY63</f>
        <v>0</v>
      </c>
      <c r="DU63" s="332">
        <f>'I-Project Contingency'!$E$99-CZ63</f>
        <v>0</v>
      </c>
      <c r="DV63" s="332">
        <f>'I-Project Contingency'!$E$100-DA63</f>
        <v>0</v>
      </c>
      <c r="DW63" s="332">
        <f>'I-Project Contingency'!$E$101-DB63</f>
        <v>0</v>
      </c>
      <c r="DX63" s="332">
        <f>'I-Project Contingency'!$E$102-DC63</f>
        <v>0</v>
      </c>
      <c r="DY63" s="332">
        <f>'I-Project Contingency'!$E$103-DD63</f>
        <v>0</v>
      </c>
      <c r="DZ63" s="332">
        <f>'I-Project Contingency'!$E$104-DE63</f>
        <v>0</v>
      </c>
      <c r="EA63" s="332">
        <f>'I-Project Contingency'!$E$105-DF63</f>
        <v>0</v>
      </c>
      <c r="EB63" s="332">
        <f>'I-Project Contingency'!$E$106-DG63</f>
        <v>0</v>
      </c>
      <c r="EC63" s="334">
        <f>IF(EE63="N/A","N/A",ABS(INDEX(EE63:EY63,1,MATCH("ROM Cost Risk @ "&amp;'D-Project Data'!$C$6*100&amp;"%",$EE$17:$EY$17,0))))</f>
        <v>0</v>
      </c>
      <c r="ED63" s="335">
        <f>IF(EC63="N/A","N/A",RANK(EC63,$EC$18:$EC$117,0)+COUNTIF($EC$18:EC63,EC63)-1)</f>
        <v>46</v>
      </c>
      <c r="EE63" s="334">
        <f>IF(BQ63/SUM(BQ:BQ)*'I-Project Contingency'!$F$61=0,0,BQ63/SUM(BQ:BQ)*'I-Project Contingency'!$F$61)</f>
        <v>0</v>
      </c>
      <c r="EF63" s="334">
        <f>IF(BR63/SUM(BR:BR)*'I-Project Contingency'!$F$62=0,0,BR63/SUM(BR:BR)*'I-Project Contingency'!$F$62)</f>
        <v>0</v>
      </c>
      <c r="EG63" s="334">
        <f>IF(BS63/SUM(BS:BS)*'I-Project Contingency'!$F$63=0,0,BS63/SUM(BS:BS)*'I-Project Contingency'!$F$63)</f>
        <v>0</v>
      </c>
      <c r="EH63" s="334">
        <f>IF(BT63/SUM(BT:BT)*'I-Project Contingency'!$F$64=0,0,BT63/SUM(BT:BT)*'I-Project Contingency'!$F$64)</f>
        <v>0</v>
      </c>
      <c r="EI63" s="334">
        <f>IF(BU63/SUM(BU:BU)*'I-Project Contingency'!$F$65=0,0,BU63/SUM(BU:BU)*'I-Project Contingency'!$F$65)</f>
        <v>0</v>
      </c>
      <c r="EJ63" s="334">
        <f>IF(BV63/SUM(BV:BV)*'I-Project Contingency'!$F$66=0,0,BV63/SUM(BV:BV)*'I-Project Contingency'!$F$66)</f>
        <v>0</v>
      </c>
      <c r="EK63" s="334">
        <f>IF(BW63/SUM(BW:BW)*'I-Project Contingency'!$F$67=0,0,BW63/SUM(BW:BW)*'I-Project Contingency'!$F$67)</f>
        <v>0</v>
      </c>
      <c r="EL63" s="334">
        <f>IF(BX63/SUM(BX:BX)*'I-Project Contingency'!$F$68=0,0,BX63/SUM(BX:BX)*'I-Project Contingency'!$F$68)</f>
        <v>0</v>
      </c>
      <c r="EM63" s="334">
        <f>IF(BY63/SUM(BY:BY)*'I-Project Contingency'!$F$69=0,0,BY63/SUM(BY:BY)*'I-Project Contingency'!$F$69)</f>
        <v>0</v>
      </c>
      <c r="EN63" s="334">
        <f>IF(BZ63/SUM(BZ:BZ)*'I-Project Contingency'!$F$70=0,0,BZ63/SUM(BZ:BZ)*'I-Project Contingency'!$F$70)</f>
        <v>0</v>
      </c>
      <c r="EO63" s="334">
        <f>IF(CA63/SUM(CA:CA)*'I-Project Contingency'!$F$71=0,0,CA63/SUM(CA:CA)*'I-Project Contingency'!$F$71)</f>
        <v>0</v>
      </c>
      <c r="EP63" s="334">
        <f>IF(CB63/SUM(CB:CB)*'I-Project Contingency'!$F$72=0,0,CB63/SUM(CB:CB)*'I-Project Contingency'!$F$72)</f>
        <v>0</v>
      </c>
      <c r="EQ63" s="334">
        <f>IF(CC63/SUM(CC:CC)*'I-Project Contingency'!$F$73=0,0,CC63/SUM(CC:CC)*'I-Project Contingency'!$F$73)</f>
        <v>0</v>
      </c>
      <c r="ER63" s="334">
        <f>IF(CD63/SUM(CD:CD)*'I-Project Contingency'!$F$74=0,0,CD63/SUM(CD:CD)*'I-Project Contingency'!$F$74)</f>
        <v>0</v>
      </c>
      <c r="ES63" s="334">
        <f>IF(CE63/SUM(CE:CE)*'I-Project Contingency'!$F$75=0,0,CE63/SUM(CE:CE)*'I-Project Contingency'!$F$75)</f>
        <v>0</v>
      </c>
      <c r="ET63" s="334">
        <f>IF(CF63/SUM(CF:CF)*'I-Project Contingency'!$F$76=0,0,CF63/SUM(CF:CF)*'I-Project Contingency'!$F$76)</f>
        <v>0</v>
      </c>
      <c r="EU63" s="334">
        <f>IF(CG63/SUM(CG:CG)*'I-Project Contingency'!$F$77=0,0,CG63/SUM(CG:CG)*'I-Project Contingency'!$F$77)</f>
        <v>0</v>
      </c>
      <c r="EV63" s="787">
        <f>IF(CH63/SUM(CH:CH)*'I-Project Contingency'!$F$78=0,0,CH63/SUM(CH:CH)*'I-Project Contingency'!$F$78)</f>
        <v>0</v>
      </c>
      <c r="EW63" s="787">
        <f>IF(CI63/SUM(CI:CI)*'I-Project Contingency'!$F$79=0,0,CI63/SUM(CI:CI)*'I-Project Contingency'!$F$79)</f>
        <v>0</v>
      </c>
      <c r="EX63" s="787">
        <f>IF(CJ63/SUM(CJ:CJ)*'I-Project Contingency'!$F$80=0,0,CJ63/SUM(CJ:CJ)*'I-Project Contingency'!$F$80)</f>
        <v>0</v>
      </c>
      <c r="EY63" s="787">
        <f>IF(CK63/SUM(CK:CK)*'I-Project Contingency'!$F$81=0,0,CK63/SUM(CK:CK)*'I-Project Contingency'!$F$81)</f>
        <v>0</v>
      </c>
      <c r="EZ63" s="333">
        <f>IF(FB63="N/A","N/A",ABS(INDEX(FB63:FV63,1,MATCH("ROM Schedule Risk @ "&amp;'D-Project Data'!$C$6*100&amp;"%",$FB$17:$FV$17,0))))</f>
        <v>0</v>
      </c>
      <c r="FA63" s="335">
        <f>IF(EZ63="N/A","N/A",RANK(EZ63,$EZ$18:$EZ$117,0)+COUNTIF($FB$18:FB63,FB63)-1)</f>
        <v>46</v>
      </c>
      <c r="FB63" s="788">
        <f>IF(DH63/SUM(DH:DH)*'I-Project Contingency'!$F$86=0,0,DH63/SUM(DH:DH)*'I-Project Contingency'!$F$86)</f>
        <v>0</v>
      </c>
      <c r="FC63" s="788">
        <f>IF(DI63/SUM(DI:DI)*'I-Project Contingency'!$F$87=0,0,DI63/SUM(DI:DI)*'I-Project Contingency'!$F$87)</f>
        <v>0</v>
      </c>
      <c r="FD63" s="788">
        <f>IF(DJ63/SUM(DJ:DJ)*'I-Project Contingency'!$F$88=0,0,DJ63/SUM(DJ:DJ)*'I-Project Contingency'!$F$88)</f>
        <v>0</v>
      </c>
      <c r="FE63" s="788">
        <f>IF(DK63/SUM(DK:DK)*'I-Project Contingency'!$F$89=0,0,DK63/SUM(DK:DK)*'I-Project Contingency'!$F$89)</f>
        <v>0</v>
      </c>
      <c r="FF63" s="788">
        <f>IF(DL63/SUM(DL:DL)*'I-Project Contingency'!$F$90=0,0,DL63/SUM(DL:DL)*'I-Project Contingency'!$F$90)</f>
        <v>0</v>
      </c>
      <c r="FG63" s="788">
        <f>IF(DM63/SUM(DM:DM)*'I-Project Contingency'!$F$91=0,0,DM63/SUM(DM:DM)*'I-Project Contingency'!$F$91)</f>
        <v>0</v>
      </c>
      <c r="FH63" s="788">
        <f>IF(DN63/SUM(DN:DN)*'I-Project Contingency'!$F$92=0,0,DN63/SUM(DN:DN)*'I-Project Contingency'!$F$92)</f>
        <v>0</v>
      </c>
      <c r="FI63" s="788">
        <f>IF(DO63/SUM(DO:DO)*'I-Project Contingency'!$F$93=0,0,DO63/SUM(DO:DO)*'I-Project Contingency'!$F$93)</f>
        <v>0</v>
      </c>
      <c r="FJ63" s="788">
        <f>IF(DP63/SUM(DP:DP)*'I-Project Contingency'!$F$94=0,0,DP63/SUM(DP:DP)*'I-Project Contingency'!$F$94)</f>
        <v>0</v>
      </c>
      <c r="FK63" s="788">
        <f>IF(DQ63/SUM(DQ:DQ)*'I-Project Contingency'!$F$95=0,0,DQ63/SUM(DQ:DQ)*'I-Project Contingency'!$F$95)</f>
        <v>0</v>
      </c>
      <c r="FL63" s="788">
        <f>IF(DR63/SUM(DR:DR)*'I-Project Contingency'!$F$96=0,0,DR63/SUM(DR:DR)*'I-Project Contingency'!$F$96)</f>
        <v>0</v>
      </c>
      <c r="FM63" s="788">
        <f>IF(DS63/SUM(DS:DS)*'I-Project Contingency'!$F$97=0,0,DS63/SUM(DS:DS)*'I-Project Contingency'!$F$97)</f>
        <v>0</v>
      </c>
      <c r="FN63" s="788">
        <f>IF(DT63/SUM(DT:DT)*'I-Project Contingency'!$F$98=0,0,DT63/SUM(DT:DT)*'I-Project Contingency'!$F$98)</f>
        <v>0</v>
      </c>
      <c r="FO63" s="788">
        <f>IF(DU63/SUM(DU:DU)*'I-Project Contingency'!$F$99=0,0,DU63/SUM(DU:DU)*'I-Project Contingency'!$F$99)</f>
        <v>0</v>
      </c>
      <c r="FP63" s="788">
        <f>IF(DV63/SUM(DV:DV)*'I-Project Contingency'!$F$100=0,0,DV63/SUM(DV:DV)*'I-Project Contingency'!$F$100)</f>
        <v>0</v>
      </c>
      <c r="FQ63" s="788">
        <f>IF(DW63/SUM(DW:DW)*'I-Project Contingency'!$F$101=0,0,DW63/SUM(DW:DW)*'I-Project Contingency'!$F$101)</f>
        <v>0</v>
      </c>
      <c r="FR63" s="788">
        <f>IF(DX63/SUM(DX:DX)*'I-Project Contingency'!$F$102=0,0,DX63/SUM(DX:DX)*'I-Project Contingency'!$F$102)</f>
        <v>0</v>
      </c>
      <c r="FS63" s="788">
        <f>IF(DY63/SUM(DY:DY)*'I-Project Contingency'!$F$103=0,0,DY63/SUM(DY:DY)*'I-Project Contingency'!$F$103)</f>
        <v>0</v>
      </c>
      <c r="FT63" s="788">
        <f>IF(DZ63/SUM(DZ:DZ)*'I-Project Contingency'!$F$104=0,0,DZ63/SUM(DZ:DZ)*'I-Project Contingency'!$F$104)</f>
        <v>0</v>
      </c>
      <c r="FU63" s="788">
        <f>IF(EA63/SUM(EA:EA)*'I-Project Contingency'!$F$105=0,0,EA63/SUM(EA:EA)*'I-Project Contingency'!$F$105)</f>
        <v>0</v>
      </c>
      <c r="FV63" s="788">
        <f>IF(EB63/SUM(EB:EB)*'I-Project Contingency'!$F$106=0,0,EB63/SUM(EB:EB)*'I-Project Contingency'!$F$106)</f>
        <v>0</v>
      </c>
      <c r="FW63" s="335">
        <f t="shared" si="37"/>
        <v>46</v>
      </c>
      <c r="FX63" s="336" t="str">
        <f t="shared" si="38"/>
        <v xml:space="preserve">46 -  </v>
      </c>
      <c r="FY63" s="330">
        <f t="shared" ref="FY63:FY117" si="43">AA63</f>
        <v>0</v>
      </c>
      <c r="FZ63" s="330">
        <f t="shared" ref="FZ63:FZ117" si="44">AC63</f>
        <v>0</v>
      </c>
      <c r="GA63" s="332">
        <f t="shared" si="39"/>
        <v>0</v>
      </c>
      <c r="GB63" s="332">
        <f t="shared" si="40"/>
        <v>0</v>
      </c>
    </row>
    <row r="64" spans="1:184" ht="30" x14ac:dyDescent="0.25">
      <c r="A64" s="163">
        <f t="shared" si="23"/>
        <v>47</v>
      </c>
      <c r="B64" s="727" t="s">
        <v>728</v>
      </c>
      <c r="C64" s="729" t="s">
        <v>659</v>
      </c>
      <c r="D64" s="729" t="s">
        <v>659</v>
      </c>
      <c r="E64" s="729" t="s">
        <v>659</v>
      </c>
      <c r="F64" s="728" t="s">
        <v>728</v>
      </c>
      <c r="G64" s="728" t="s">
        <v>728</v>
      </c>
      <c r="H64" s="157" t="str">
        <f>IFERROR(IF('H-Risk Register-Model'!F64="Certain","Relook at Basis of Estimate",INDEX('G-Assumptions'!$F$8:$J$11,MATCH(F64,'G-Assumptions'!$D$8:$D$11,0),MATCH(G64,'G-Assumptions'!$F$6:$J$6,0))),"Unrated")</f>
        <v>Unrated</v>
      </c>
      <c r="I64" s="728" t="s">
        <v>728</v>
      </c>
      <c r="J64" s="157" t="str">
        <f>IFERROR(IF('H-Risk Register-Model'!F64="Certain","Relook at Basis of Estimate",INDEX('G-Assumptions'!$F$8:$J$11,MATCH(F64,'G-Assumptions'!$D$8:$D$11,0),MATCH(I64,'G-Assumptions'!$F$6:$J$6,0))),"Unrated")</f>
        <v>Unrated</v>
      </c>
      <c r="K64" s="728" t="s">
        <v>728</v>
      </c>
      <c r="L64" s="728" t="s">
        <v>728</v>
      </c>
      <c r="M64" s="728"/>
      <c r="N64" s="731" t="s">
        <v>728</v>
      </c>
      <c r="O64" s="731" t="s">
        <v>728</v>
      </c>
      <c r="P64" s="732"/>
      <c r="Q64" s="732"/>
      <c r="R64" s="732"/>
      <c r="S64" s="733"/>
      <c r="T64" s="733"/>
      <c r="U64" s="733"/>
      <c r="V64" s="734"/>
      <c r="W64" s="732"/>
      <c r="X64" s="732"/>
      <c r="Y64" s="735">
        <v>1</v>
      </c>
      <c r="Z64" s="736">
        <v>1</v>
      </c>
      <c r="AA64" s="166">
        <f t="shared" si="19"/>
        <v>0</v>
      </c>
      <c r="AB64" s="166">
        <f t="shared" si="20"/>
        <v>0</v>
      </c>
      <c r="AC64" s="166">
        <f t="shared" si="21"/>
        <v>0</v>
      </c>
      <c r="AD64" s="166"/>
      <c r="AE64" s="164">
        <f t="shared" si="41"/>
        <v>0</v>
      </c>
      <c r="AF64" s="167"/>
      <c r="AG64" s="165">
        <f t="shared" si="42"/>
        <v>0</v>
      </c>
      <c r="AH64" s="729"/>
      <c r="AI64" s="729"/>
      <c r="AJ64" s="8"/>
      <c r="AK64" s="495" t="str">
        <f t="shared" si="30"/>
        <v>No</v>
      </c>
      <c r="AL64" s="496">
        <f>'I-Project Contingency'!$I$4</f>
        <v>9000000</v>
      </c>
      <c r="AM64" s="326">
        <f>'I-Project Contingency'!$I$11</f>
        <v>23.978102189781023</v>
      </c>
      <c r="AN64" s="325">
        <f t="shared" si="31"/>
        <v>0</v>
      </c>
      <c r="AO64" s="326">
        <f t="shared" si="32"/>
        <v>0</v>
      </c>
      <c r="AP64" s="641" t="str">
        <f t="shared" si="33"/>
        <v/>
      </c>
      <c r="AQ64" s="641" t="str">
        <f t="shared" si="34"/>
        <v/>
      </c>
      <c r="AR64" s="497" t="str">
        <f t="shared" si="35"/>
        <v/>
      </c>
      <c r="AS64" s="497" t="str">
        <f t="shared" si="36"/>
        <v/>
      </c>
      <c r="AT64" s="8"/>
      <c r="AU64" s="329">
        <f>'I-Project Contingency'!$O$4-AE64</f>
        <v>0</v>
      </c>
      <c r="AV64" s="330">
        <v>-240515.59579276721</v>
      </c>
      <c r="AW64" s="330">
        <v>28172.931401335634</v>
      </c>
      <c r="AX64" s="330">
        <v>193478.84467429668</v>
      </c>
      <c r="AY64" s="330">
        <v>361668.20104834624</v>
      </c>
      <c r="AZ64" s="330">
        <v>524446.91524262261</v>
      </c>
      <c r="BA64" s="330">
        <v>704023.56387635041</v>
      </c>
      <c r="BB64" s="330">
        <v>886394.06956240814</v>
      </c>
      <c r="BC64" s="330">
        <v>1079363.7165157665</v>
      </c>
      <c r="BD64" s="330">
        <v>1280180.1532065615</v>
      </c>
      <c r="BE64" s="330">
        <v>1485323.8019108465</v>
      </c>
      <c r="BF64" s="330">
        <v>1703758.8827524669</v>
      </c>
      <c r="BG64" s="330">
        <v>1949523.4346483489</v>
      </c>
      <c r="BH64" s="330">
        <v>2177897.1603371189</v>
      </c>
      <c r="BI64" s="330">
        <v>2429374.4260425912</v>
      </c>
      <c r="BJ64" s="330">
        <v>2717092.7449284913</v>
      </c>
      <c r="BK64" s="330">
        <v>3010093.6968918457</v>
      </c>
      <c r="BL64" s="330">
        <v>3325414.5894657462</v>
      </c>
      <c r="BM64" s="330">
        <v>3690425.9159493577</v>
      </c>
      <c r="BN64" s="330">
        <v>4143935.1706127762</v>
      </c>
      <c r="BO64" s="330">
        <v>4722651.1159141911</v>
      </c>
      <c r="BP64" s="330">
        <v>5992048.8629153483</v>
      </c>
      <c r="BQ64" s="330">
        <f>'I-Project Contingency'!$E$61-AV64</f>
        <v>0</v>
      </c>
      <c r="BR64" s="330">
        <f>'I-Project Contingency'!$E$62-AW64</f>
        <v>0</v>
      </c>
      <c r="BS64" s="330">
        <f>'I-Project Contingency'!$E$63-AX64</f>
        <v>0</v>
      </c>
      <c r="BT64" s="330">
        <f>'I-Project Contingency'!$E$64-AY64</f>
        <v>0</v>
      </c>
      <c r="BU64" s="330">
        <f>'I-Project Contingency'!$E$65-AZ64</f>
        <v>0</v>
      </c>
      <c r="BV64" s="330">
        <f>'I-Project Contingency'!$E$66-BA64</f>
        <v>0</v>
      </c>
      <c r="BW64" s="330">
        <f>'I-Project Contingency'!$E$67-BB64</f>
        <v>0</v>
      </c>
      <c r="BX64" s="330">
        <f>'I-Project Contingency'!$E$68-BC64</f>
        <v>0</v>
      </c>
      <c r="BY64" s="330">
        <f>'I-Project Contingency'!$E$69-BD64</f>
        <v>0</v>
      </c>
      <c r="BZ64" s="330">
        <f>'I-Project Contingency'!$E$70-BE64</f>
        <v>0</v>
      </c>
      <c r="CA64" s="330">
        <f>'I-Project Contingency'!$E$71-BF64</f>
        <v>0</v>
      </c>
      <c r="CB64" s="330">
        <f>'I-Project Contingency'!$E$72-BG64</f>
        <v>0</v>
      </c>
      <c r="CC64" s="330">
        <f>'I-Project Contingency'!$E$73-BH64</f>
        <v>0</v>
      </c>
      <c r="CD64" s="330">
        <f>'I-Project Contingency'!$E$74-BI64</f>
        <v>0</v>
      </c>
      <c r="CE64" s="330">
        <f>'I-Project Contingency'!$E$75-BJ64</f>
        <v>0</v>
      </c>
      <c r="CF64" s="330">
        <f>'I-Project Contingency'!$E$76-BK64</f>
        <v>0</v>
      </c>
      <c r="CG64" s="330">
        <f>'I-Project Contingency'!$E$77-BL64</f>
        <v>0</v>
      </c>
      <c r="CH64" s="784">
        <f>'I-Project Contingency'!$E$78-BM64</f>
        <v>0</v>
      </c>
      <c r="CI64" s="330">
        <f>'I-Project Contingency'!$E$79-BN64</f>
        <v>0</v>
      </c>
      <c r="CJ64" s="330">
        <f>'I-Project Contingency'!$E$80-BO64</f>
        <v>0</v>
      </c>
      <c r="CK64" s="330">
        <f>'I-Project Contingency'!$E$81-BP64</f>
        <v>0</v>
      </c>
      <c r="CL64" s="331">
        <f>'I-Project Contingency'!$O$5-AG64</f>
        <v>0</v>
      </c>
      <c r="CM64" s="332">
        <v>-0.98711802853447173</v>
      </c>
      <c r="CN64" s="332">
        <v>-0.19547704728364468</v>
      </c>
      <c r="CO64" s="332">
        <v>0.126462150308498</v>
      </c>
      <c r="CP64" s="332">
        <v>0.45967989154545902</v>
      </c>
      <c r="CQ64" s="332">
        <v>0.78297319902744</v>
      </c>
      <c r="CR64" s="332">
        <v>1.0957191966482109</v>
      </c>
      <c r="CS64" s="332">
        <v>1.4418405003536849</v>
      </c>
      <c r="CT64" s="332">
        <v>1.801002404194165</v>
      </c>
      <c r="CU64" s="332">
        <v>2.1797608166947349</v>
      </c>
      <c r="CV64" s="332">
        <v>2.5671680610072478</v>
      </c>
      <c r="CW64" s="332">
        <v>2.9690760644797152</v>
      </c>
      <c r="CX64" s="332">
        <v>3.3964145469774811</v>
      </c>
      <c r="CY64" s="332">
        <v>3.864536087769562</v>
      </c>
      <c r="CZ64" s="332">
        <v>4.3569836138896116</v>
      </c>
      <c r="DA64" s="332">
        <v>4.8862357851222598</v>
      </c>
      <c r="DB64" s="332">
        <v>5.438836997347547</v>
      </c>
      <c r="DC64" s="332">
        <v>6.047993455908566</v>
      </c>
      <c r="DD64" s="785">
        <v>6.720204953601761</v>
      </c>
      <c r="DE64" s="333">
        <v>7.55131678090412</v>
      </c>
      <c r="DF64" s="332">
        <v>8.661446370835737</v>
      </c>
      <c r="DG64" s="332">
        <v>11.206316207857133</v>
      </c>
      <c r="DH64" s="332">
        <f>'I-Project Contingency'!$E$86-CM64</f>
        <v>0</v>
      </c>
      <c r="DI64" s="332">
        <f>'I-Project Contingency'!$E$87-CN64</f>
        <v>0</v>
      </c>
      <c r="DJ64" s="332">
        <f>'I-Project Contingency'!$E$88-CO64</f>
        <v>0</v>
      </c>
      <c r="DK64" s="332">
        <f>'I-Project Contingency'!$E$89-CP64</f>
        <v>0</v>
      </c>
      <c r="DL64" s="332">
        <f>'I-Project Contingency'!$E$90-CQ64</f>
        <v>0</v>
      </c>
      <c r="DM64" s="332">
        <f>'I-Project Contingency'!$E$91-CR64</f>
        <v>0</v>
      </c>
      <c r="DN64" s="332">
        <f>'I-Project Contingency'!$E$92-CS64</f>
        <v>0</v>
      </c>
      <c r="DO64" s="332">
        <f>'I-Project Contingency'!$E$93-CT64</f>
        <v>0</v>
      </c>
      <c r="DP64" s="332">
        <f>'I-Project Contingency'!$E$94-CU64</f>
        <v>0</v>
      </c>
      <c r="DQ64" s="332">
        <f>'I-Project Contingency'!$E$95-CV64</f>
        <v>0</v>
      </c>
      <c r="DR64" s="332">
        <f>'I-Project Contingency'!$E$96-CW64</f>
        <v>0</v>
      </c>
      <c r="DS64" s="332">
        <f>'I-Project Contingency'!$E$97-CX64</f>
        <v>0</v>
      </c>
      <c r="DT64" s="332">
        <f>'I-Project Contingency'!$E$98-CY64</f>
        <v>0</v>
      </c>
      <c r="DU64" s="332">
        <f>'I-Project Contingency'!$E$99-CZ64</f>
        <v>0</v>
      </c>
      <c r="DV64" s="332">
        <f>'I-Project Contingency'!$E$100-DA64</f>
        <v>0</v>
      </c>
      <c r="DW64" s="332">
        <f>'I-Project Contingency'!$E$101-DB64</f>
        <v>0</v>
      </c>
      <c r="DX64" s="332">
        <f>'I-Project Contingency'!$E$102-DC64</f>
        <v>0</v>
      </c>
      <c r="DY64" s="332">
        <f>'I-Project Contingency'!$E$103-DD64</f>
        <v>0</v>
      </c>
      <c r="DZ64" s="332">
        <f>'I-Project Contingency'!$E$104-DE64</f>
        <v>0</v>
      </c>
      <c r="EA64" s="332">
        <f>'I-Project Contingency'!$E$105-DF64</f>
        <v>0</v>
      </c>
      <c r="EB64" s="332">
        <f>'I-Project Contingency'!$E$106-DG64</f>
        <v>0</v>
      </c>
      <c r="EC64" s="334">
        <f>IF(EE64="N/A","N/A",ABS(INDEX(EE64:EY64,1,MATCH("ROM Cost Risk @ "&amp;'D-Project Data'!$C$6*100&amp;"%",$EE$17:$EY$17,0))))</f>
        <v>0</v>
      </c>
      <c r="ED64" s="335">
        <f>IF(EC64="N/A","N/A",RANK(EC64,$EC$18:$EC$117,0)+COUNTIF($EC$18:EC64,EC64)-1)</f>
        <v>47</v>
      </c>
      <c r="EE64" s="334">
        <f>IF(BQ64/SUM(BQ:BQ)*'I-Project Contingency'!$F$61=0,0,BQ64/SUM(BQ:BQ)*'I-Project Contingency'!$F$61)</f>
        <v>0</v>
      </c>
      <c r="EF64" s="334">
        <f>IF(BR64/SUM(BR:BR)*'I-Project Contingency'!$F$62=0,0,BR64/SUM(BR:BR)*'I-Project Contingency'!$F$62)</f>
        <v>0</v>
      </c>
      <c r="EG64" s="334">
        <f>IF(BS64/SUM(BS:BS)*'I-Project Contingency'!$F$63=0,0,BS64/SUM(BS:BS)*'I-Project Contingency'!$F$63)</f>
        <v>0</v>
      </c>
      <c r="EH64" s="334">
        <f>IF(BT64/SUM(BT:BT)*'I-Project Contingency'!$F$64=0,0,BT64/SUM(BT:BT)*'I-Project Contingency'!$F$64)</f>
        <v>0</v>
      </c>
      <c r="EI64" s="334">
        <f>IF(BU64/SUM(BU:BU)*'I-Project Contingency'!$F$65=0,0,BU64/SUM(BU:BU)*'I-Project Contingency'!$F$65)</f>
        <v>0</v>
      </c>
      <c r="EJ64" s="334">
        <f>IF(BV64/SUM(BV:BV)*'I-Project Contingency'!$F$66=0,0,BV64/SUM(BV:BV)*'I-Project Contingency'!$F$66)</f>
        <v>0</v>
      </c>
      <c r="EK64" s="334">
        <f>IF(BW64/SUM(BW:BW)*'I-Project Contingency'!$F$67=0,0,BW64/SUM(BW:BW)*'I-Project Contingency'!$F$67)</f>
        <v>0</v>
      </c>
      <c r="EL64" s="334">
        <f>IF(BX64/SUM(BX:BX)*'I-Project Contingency'!$F$68=0,0,BX64/SUM(BX:BX)*'I-Project Contingency'!$F$68)</f>
        <v>0</v>
      </c>
      <c r="EM64" s="334">
        <f>IF(BY64/SUM(BY:BY)*'I-Project Contingency'!$F$69=0,0,BY64/SUM(BY:BY)*'I-Project Contingency'!$F$69)</f>
        <v>0</v>
      </c>
      <c r="EN64" s="334">
        <f>IF(BZ64/SUM(BZ:BZ)*'I-Project Contingency'!$F$70=0,0,BZ64/SUM(BZ:BZ)*'I-Project Contingency'!$F$70)</f>
        <v>0</v>
      </c>
      <c r="EO64" s="334">
        <f>IF(CA64/SUM(CA:CA)*'I-Project Contingency'!$F$71=0,0,CA64/SUM(CA:CA)*'I-Project Contingency'!$F$71)</f>
        <v>0</v>
      </c>
      <c r="EP64" s="334">
        <f>IF(CB64/SUM(CB:CB)*'I-Project Contingency'!$F$72=0,0,CB64/SUM(CB:CB)*'I-Project Contingency'!$F$72)</f>
        <v>0</v>
      </c>
      <c r="EQ64" s="334">
        <f>IF(CC64/SUM(CC:CC)*'I-Project Contingency'!$F$73=0,0,CC64/SUM(CC:CC)*'I-Project Contingency'!$F$73)</f>
        <v>0</v>
      </c>
      <c r="ER64" s="334">
        <f>IF(CD64/SUM(CD:CD)*'I-Project Contingency'!$F$74=0,0,CD64/SUM(CD:CD)*'I-Project Contingency'!$F$74)</f>
        <v>0</v>
      </c>
      <c r="ES64" s="334">
        <f>IF(CE64/SUM(CE:CE)*'I-Project Contingency'!$F$75=0,0,CE64/SUM(CE:CE)*'I-Project Contingency'!$F$75)</f>
        <v>0</v>
      </c>
      <c r="ET64" s="334">
        <f>IF(CF64/SUM(CF:CF)*'I-Project Contingency'!$F$76=0,0,CF64/SUM(CF:CF)*'I-Project Contingency'!$F$76)</f>
        <v>0</v>
      </c>
      <c r="EU64" s="334">
        <f>IF(CG64/SUM(CG:CG)*'I-Project Contingency'!$F$77=0,0,CG64/SUM(CG:CG)*'I-Project Contingency'!$F$77)</f>
        <v>0</v>
      </c>
      <c r="EV64" s="787">
        <f>IF(CH64/SUM(CH:CH)*'I-Project Contingency'!$F$78=0,0,CH64/SUM(CH:CH)*'I-Project Contingency'!$F$78)</f>
        <v>0</v>
      </c>
      <c r="EW64" s="787">
        <f>IF(CI64/SUM(CI:CI)*'I-Project Contingency'!$F$79=0,0,CI64/SUM(CI:CI)*'I-Project Contingency'!$F$79)</f>
        <v>0</v>
      </c>
      <c r="EX64" s="787">
        <f>IF(CJ64/SUM(CJ:CJ)*'I-Project Contingency'!$F$80=0,0,CJ64/SUM(CJ:CJ)*'I-Project Contingency'!$F$80)</f>
        <v>0</v>
      </c>
      <c r="EY64" s="787">
        <f>IF(CK64/SUM(CK:CK)*'I-Project Contingency'!$F$81=0,0,CK64/SUM(CK:CK)*'I-Project Contingency'!$F$81)</f>
        <v>0</v>
      </c>
      <c r="EZ64" s="333">
        <f>IF(FB64="N/A","N/A",ABS(INDEX(FB64:FV64,1,MATCH("ROM Schedule Risk @ "&amp;'D-Project Data'!$C$6*100&amp;"%",$FB$17:$FV$17,0))))</f>
        <v>0</v>
      </c>
      <c r="FA64" s="335">
        <f>IF(EZ64="N/A","N/A",RANK(EZ64,$EZ$18:$EZ$117,0)+COUNTIF($FB$18:FB64,FB64)-1)</f>
        <v>47</v>
      </c>
      <c r="FB64" s="788">
        <f>IF(DH64/SUM(DH:DH)*'I-Project Contingency'!$F$86=0,0,DH64/SUM(DH:DH)*'I-Project Contingency'!$F$86)</f>
        <v>0</v>
      </c>
      <c r="FC64" s="788">
        <f>IF(DI64/SUM(DI:DI)*'I-Project Contingency'!$F$87=0,0,DI64/SUM(DI:DI)*'I-Project Contingency'!$F$87)</f>
        <v>0</v>
      </c>
      <c r="FD64" s="788">
        <f>IF(DJ64/SUM(DJ:DJ)*'I-Project Contingency'!$F$88=0,0,DJ64/SUM(DJ:DJ)*'I-Project Contingency'!$F$88)</f>
        <v>0</v>
      </c>
      <c r="FE64" s="788">
        <f>IF(DK64/SUM(DK:DK)*'I-Project Contingency'!$F$89=0,0,DK64/SUM(DK:DK)*'I-Project Contingency'!$F$89)</f>
        <v>0</v>
      </c>
      <c r="FF64" s="788">
        <f>IF(DL64/SUM(DL:DL)*'I-Project Contingency'!$F$90=0,0,DL64/SUM(DL:DL)*'I-Project Contingency'!$F$90)</f>
        <v>0</v>
      </c>
      <c r="FG64" s="788">
        <f>IF(DM64/SUM(DM:DM)*'I-Project Contingency'!$F$91=0,0,DM64/SUM(DM:DM)*'I-Project Contingency'!$F$91)</f>
        <v>0</v>
      </c>
      <c r="FH64" s="788">
        <f>IF(DN64/SUM(DN:DN)*'I-Project Contingency'!$F$92=0,0,DN64/SUM(DN:DN)*'I-Project Contingency'!$F$92)</f>
        <v>0</v>
      </c>
      <c r="FI64" s="788">
        <f>IF(DO64/SUM(DO:DO)*'I-Project Contingency'!$F$93=0,0,DO64/SUM(DO:DO)*'I-Project Contingency'!$F$93)</f>
        <v>0</v>
      </c>
      <c r="FJ64" s="788">
        <f>IF(DP64/SUM(DP:DP)*'I-Project Contingency'!$F$94=0,0,DP64/SUM(DP:DP)*'I-Project Contingency'!$F$94)</f>
        <v>0</v>
      </c>
      <c r="FK64" s="788">
        <f>IF(DQ64/SUM(DQ:DQ)*'I-Project Contingency'!$F$95=0,0,DQ64/SUM(DQ:DQ)*'I-Project Contingency'!$F$95)</f>
        <v>0</v>
      </c>
      <c r="FL64" s="788">
        <f>IF(DR64/SUM(DR:DR)*'I-Project Contingency'!$F$96=0,0,DR64/SUM(DR:DR)*'I-Project Contingency'!$F$96)</f>
        <v>0</v>
      </c>
      <c r="FM64" s="788">
        <f>IF(DS64/SUM(DS:DS)*'I-Project Contingency'!$F$97=0,0,DS64/SUM(DS:DS)*'I-Project Contingency'!$F$97)</f>
        <v>0</v>
      </c>
      <c r="FN64" s="788">
        <f>IF(DT64/SUM(DT:DT)*'I-Project Contingency'!$F$98=0,0,DT64/SUM(DT:DT)*'I-Project Contingency'!$F$98)</f>
        <v>0</v>
      </c>
      <c r="FO64" s="788">
        <f>IF(DU64/SUM(DU:DU)*'I-Project Contingency'!$F$99=0,0,DU64/SUM(DU:DU)*'I-Project Contingency'!$F$99)</f>
        <v>0</v>
      </c>
      <c r="FP64" s="788">
        <f>IF(DV64/SUM(DV:DV)*'I-Project Contingency'!$F$100=0,0,DV64/SUM(DV:DV)*'I-Project Contingency'!$F$100)</f>
        <v>0</v>
      </c>
      <c r="FQ64" s="788">
        <f>IF(DW64/SUM(DW:DW)*'I-Project Contingency'!$F$101=0,0,DW64/SUM(DW:DW)*'I-Project Contingency'!$F$101)</f>
        <v>0</v>
      </c>
      <c r="FR64" s="788">
        <f>IF(DX64/SUM(DX:DX)*'I-Project Contingency'!$F$102=0,0,DX64/SUM(DX:DX)*'I-Project Contingency'!$F$102)</f>
        <v>0</v>
      </c>
      <c r="FS64" s="788">
        <f>IF(DY64/SUM(DY:DY)*'I-Project Contingency'!$F$103=0,0,DY64/SUM(DY:DY)*'I-Project Contingency'!$F$103)</f>
        <v>0</v>
      </c>
      <c r="FT64" s="788">
        <f>IF(DZ64/SUM(DZ:DZ)*'I-Project Contingency'!$F$104=0,0,DZ64/SUM(DZ:DZ)*'I-Project Contingency'!$F$104)</f>
        <v>0</v>
      </c>
      <c r="FU64" s="788">
        <f>IF(EA64/SUM(EA:EA)*'I-Project Contingency'!$F$105=0,0,EA64/SUM(EA:EA)*'I-Project Contingency'!$F$105)</f>
        <v>0</v>
      </c>
      <c r="FV64" s="788">
        <f>IF(EB64/SUM(EB:EB)*'I-Project Contingency'!$F$106=0,0,EB64/SUM(EB:EB)*'I-Project Contingency'!$F$106)</f>
        <v>0</v>
      </c>
      <c r="FW64" s="335">
        <f t="shared" si="37"/>
        <v>47</v>
      </c>
      <c r="FX64" s="336" t="str">
        <f t="shared" si="38"/>
        <v xml:space="preserve">47 -  </v>
      </c>
      <c r="FY64" s="330">
        <f t="shared" si="43"/>
        <v>0</v>
      </c>
      <c r="FZ64" s="330">
        <f t="shared" si="44"/>
        <v>0</v>
      </c>
      <c r="GA64" s="332">
        <f t="shared" si="39"/>
        <v>0</v>
      </c>
      <c r="GB64" s="332">
        <f t="shared" si="40"/>
        <v>0</v>
      </c>
    </row>
    <row r="65" spans="1:184" ht="30" x14ac:dyDescent="0.25">
      <c r="A65" s="163">
        <f t="shared" si="23"/>
        <v>48</v>
      </c>
      <c r="B65" s="727" t="s">
        <v>728</v>
      </c>
      <c r="C65" s="729" t="s">
        <v>659</v>
      </c>
      <c r="D65" s="729" t="s">
        <v>659</v>
      </c>
      <c r="E65" s="729" t="s">
        <v>659</v>
      </c>
      <c r="F65" s="728" t="s">
        <v>728</v>
      </c>
      <c r="G65" s="728" t="s">
        <v>728</v>
      </c>
      <c r="H65" s="157" t="str">
        <f>IFERROR(IF('H-Risk Register-Model'!F65="Certain","Relook at Basis of Estimate",INDEX('G-Assumptions'!$F$8:$J$11,MATCH(F65,'G-Assumptions'!$D$8:$D$11,0),MATCH(G65,'G-Assumptions'!$F$6:$J$6,0))),"Unrated")</f>
        <v>Unrated</v>
      </c>
      <c r="I65" s="728" t="s">
        <v>728</v>
      </c>
      <c r="J65" s="157" t="str">
        <f>IFERROR(IF('H-Risk Register-Model'!F65="Certain","Relook at Basis of Estimate",INDEX('G-Assumptions'!$F$8:$J$11,MATCH(F65,'G-Assumptions'!$D$8:$D$11,0),MATCH(I65,'G-Assumptions'!$F$6:$J$6,0))),"Unrated")</f>
        <v>Unrated</v>
      </c>
      <c r="K65" s="728" t="s">
        <v>728</v>
      </c>
      <c r="L65" s="728" t="s">
        <v>728</v>
      </c>
      <c r="M65" s="728"/>
      <c r="N65" s="731" t="s">
        <v>728</v>
      </c>
      <c r="O65" s="731" t="s">
        <v>728</v>
      </c>
      <c r="P65" s="732"/>
      <c r="Q65" s="732"/>
      <c r="R65" s="732"/>
      <c r="S65" s="733"/>
      <c r="T65" s="733"/>
      <c r="U65" s="733"/>
      <c r="V65" s="734"/>
      <c r="W65" s="732"/>
      <c r="X65" s="732"/>
      <c r="Y65" s="735">
        <v>1</v>
      </c>
      <c r="Z65" s="736">
        <v>1</v>
      </c>
      <c r="AA65" s="166">
        <f t="shared" si="19"/>
        <v>0</v>
      </c>
      <c r="AB65" s="166">
        <f t="shared" si="20"/>
        <v>0</v>
      </c>
      <c r="AC65" s="166">
        <f t="shared" si="21"/>
        <v>0</v>
      </c>
      <c r="AD65" s="166"/>
      <c r="AE65" s="164">
        <f t="shared" si="41"/>
        <v>0</v>
      </c>
      <c r="AF65" s="167"/>
      <c r="AG65" s="165">
        <f t="shared" si="42"/>
        <v>0</v>
      </c>
      <c r="AH65" s="729"/>
      <c r="AI65" s="729"/>
      <c r="AJ65" s="8"/>
      <c r="AK65" s="495" t="str">
        <f t="shared" si="30"/>
        <v>No</v>
      </c>
      <c r="AL65" s="496">
        <f>'I-Project Contingency'!$I$4</f>
        <v>9000000</v>
      </c>
      <c r="AM65" s="326">
        <f>'I-Project Contingency'!$I$11</f>
        <v>23.978102189781023</v>
      </c>
      <c r="AN65" s="325">
        <f t="shared" si="31"/>
        <v>0</v>
      </c>
      <c r="AO65" s="326">
        <f t="shared" si="32"/>
        <v>0</v>
      </c>
      <c r="AP65" s="641" t="str">
        <f t="shared" si="33"/>
        <v/>
      </c>
      <c r="AQ65" s="641" t="str">
        <f t="shared" si="34"/>
        <v/>
      </c>
      <c r="AR65" s="497" t="str">
        <f t="shared" si="35"/>
        <v/>
      </c>
      <c r="AS65" s="497" t="str">
        <f t="shared" si="36"/>
        <v/>
      </c>
      <c r="AT65" s="8"/>
      <c r="AU65" s="329">
        <f>'I-Project Contingency'!$O$4-AE65</f>
        <v>0</v>
      </c>
      <c r="AV65" s="330">
        <v>-240515.59579276721</v>
      </c>
      <c r="AW65" s="330">
        <v>28172.931401335634</v>
      </c>
      <c r="AX65" s="330">
        <v>193478.84467429668</v>
      </c>
      <c r="AY65" s="330">
        <v>361668.20104834624</v>
      </c>
      <c r="AZ65" s="330">
        <v>524446.91524262261</v>
      </c>
      <c r="BA65" s="330">
        <v>704023.56387635041</v>
      </c>
      <c r="BB65" s="330">
        <v>886394.06956240814</v>
      </c>
      <c r="BC65" s="330">
        <v>1079363.7165157665</v>
      </c>
      <c r="BD65" s="330">
        <v>1280180.1532065615</v>
      </c>
      <c r="BE65" s="330">
        <v>1485323.8019108465</v>
      </c>
      <c r="BF65" s="330">
        <v>1703758.8827524669</v>
      </c>
      <c r="BG65" s="330">
        <v>1949523.4346483489</v>
      </c>
      <c r="BH65" s="330">
        <v>2177897.1603371189</v>
      </c>
      <c r="BI65" s="330">
        <v>2429374.4260425912</v>
      </c>
      <c r="BJ65" s="330">
        <v>2717092.7449284913</v>
      </c>
      <c r="BK65" s="330">
        <v>3010093.6968918457</v>
      </c>
      <c r="BL65" s="330">
        <v>3325414.5894657462</v>
      </c>
      <c r="BM65" s="330">
        <v>3690425.9159493577</v>
      </c>
      <c r="BN65" s="330">
        <v>4143935.1706127762</v>
      </c>
      <c r="BO65" s="330">
        <v>4722651.1159141911</v>
      </c>
      <c r="BP65" s="330">
        <v>5992048.8629153483</v>
      </c>
      <c r="BQ65" s="330">
        <f>'I-Project Contingency'!$E$61-AV65</f>
        <v>0</v>
      </c>
      <c r="BR65" s="330">
        <f>'I-Project Contingency'!$E$62-AW65</f>
        <v>0</v>
      </c>
      <c r="BS65" s="330">
        <f>'I-Project Contingency'!$E$63-AX65</f>
        <v>0</v>
      </c>
      <c r="BT65" s="330">
        <f>'I-Project Contingency'!$E$64-AY65</f>
        <v>0</v>
      </c>
      <c r="BU65" s="330">
        <f>'I-Project Contingency'!$E$65-AZ65</f>
        <v>0</v>
      </c>
      <c r="BV65" s="330">
        <f>'I-Project Contingency'!$E$66-BA65</f>
        <v>0</v>
      </c>
      <c r="BW65" s="330">
        <f>'I-Project Contingency'!$E$67-BB65</f>
        <v>0</v>
      </c>
      <c r="BX65" s="330">
        <f>'I-Project Contingency'!$E$68-BC65</f>
        <v>0</v>
      </c>
      <c r="BY65" s="330">
        <f>'I-Project Contingency'!$E$69-BD65</f>
        <v>0</v>
      </c>
      <c r="BZ65" s="330">
        <f>'I-Project Contingency'!$E$70-BE65</f>
        <v>0</v>
      </c>
      <c r="CA65" s="330">
        <f>'I-Project Contingency'!$E$71-BF65</f>
        <v>0</v>
      </c>
      <c r="CB65" s="330">
        <f>'I-Project Contingency'!$E$72-BG65</f>
        <v>0</v>
      </c>
      <c r="CC65" s="330">
        <f>'I-Project Contingency'!$E$73-BH65</f>
        <v>0</v>
      </c>
      <c r="CD65" s="330">
        <f>'I-Project Contingency'!$E$74-BI65</f>
        <v>0</v>
      </c>
      <c r="CE65" s="330">
        <f>'I-Project Contingency'!$E$75-BJ65</f>
        <v>0</v>
      </c>
      <c r="CF65" s="330">
        <f>'I-Project Contingency'!$E$76-BK65</f>
        <v>0</v>
      </c>
      <c r="CG65" s="330">
        <f>'I-Project Contingency'!$E$77-BL65</f>
        <v>0</v>
      </c>
      <c r="CH65" s="784">
        <f>'I-Project Contingency'!$E$78-BM65</f>
        <v>0</v>
      </c>
      <c r="CI65" s="330">
        <f>'I-Project Contingency'!$E$79-BN65</f>
        <v>0</v>
      </c>
      <c r="CJ65" s="330">
        <f>'I-Project Contingency'!$E$80-BO65</f>
        <v>0</v>
      </c>
      <c r="CK65" s="330">
        <f>'I-Project Contingency'!$E$81-BP65</f>
        <v>0</v>
      </c>
      <c r="CL65" s="331">
        <f>'I-Project Contingency'!$O$5-AG65</f>
        <v>0</v>
      </c>
      <c r="CM65" s="332">
        <v>-0.98711802853447173</v>
      </c>
      <c r="CN65" s="332">
        <v>-0.19547704728364468</v>
      </c>
      <c r="CO65" s="332">
        <v>0.126462150308498</v>
      </c>
      <c r="CP65" s="332">
        <v>0.45967989154545902</v>
      </c>
      <c r="CQ65" s="332">
        <v>0.78297319902744</v>
      </c>
      <c r="CR65" s="332">
        <v>1.0957191966482109</v>
      </c>
      <c r="CS65" s="332">
        <v>1.4418405003536849</v>
      </c>
      <c r="CT65" s="332">
        <v>1.801002404194165</v>
      </c>
      <c r="CU65" s="332">
        <v>2.1797608166947349</v>
      </c>
      <c r="CV65" s="332">
        <v>2.5671680610072478</v>
      </c>
      <c r="CW65" s="332">
        <v>2.9690760644797152</v>
      </c>
      <c r="CX65" s="332">
        <v>3.3964145469774811</v>
      </c>
      <c r="CY65" s="332">
        <v>3.864536087769562</v>
      </c>
      <c r="CZ65" s="332">
        <v>4.3569836138896116</v>
      </c>
      <c r="DA65" s="332">
        <v>4.8862357851222598</v>
      </c>
      <c r="DB65" s="332">
        <v>5.438836997347547</v>
      </c>
      <c r="DC65" s="332">
        <v>6.047993455908566</v>
      </c>
      <c r="DD65" s="785">
        <v>6.720204953601761</v>
      </c>
      <c r="DE65" s="333">
        <v>7.55131678090412</v>
      </c>
      <c r="DF65" s="332">
        <v>8.661446370835737</v>
      </c>
      <c r="DG65" s="332">
        <v>11.206316207857133</v>
      </c>
      <c r="DH65" s="332">
        <f>'I-Project Contingency'!$E$86-CM65</f>
        <v>0</v>
      </c>
      <c r="DI65" s="332">
        <f>'I-Project Contingency'!$E$87-CN65</f>
        <v>0</v>
      </c>
      <c r="DJ65" s="332">
        <f>'I-Project Contingency'!$E$88-CO65</f>
        <v>0</v>
      </c>
      <c r="DK65" s="332">
        <f>'I-Project Contingency'!$E$89-CP65</f>
        <v>0</v>
      </c>
      <c r="DL65" s="332">
        <f>'I-Project Contingency'!$E$90-CQ65</f>
        <v>0</v>
      </c>
      <c r="DM65" s="332">
        <f>'I-Project Contingency'!$E$91-CR65</f>
        <v>0</v>
      </c>
      <c r="DN65" s="332">
        <f>'I-Project Contingency'!$E$92-CS65</f>
        <v>0</v>
      </c>
      <c r="DO65" s="332">
        <f>'I-Project Contingency'!$E$93-CT65</f>
        <v>0</v>
      </c>
      <c r="DP65" s="332">
        <f>'I-Project Contingency'!$E$94-CU65</f>
        <v>0</v>
      </c>
      <c r="DQ65" s="332">
        <f>'I-Project Contingency'!$E$95-CV65</f>
        <v>0</v>
      </c>
      <c r="DR65" s="332">
        <f>'I-Project Contingency'!$E$96-CW65</f>
        <v>0</v>
      </c>
      <c r="DS65" s="332">
        <f>'I-Project Contingency'!$E$97-CX65</f>
        <v>0</v>
      </c>
      <c r="DT65" s="332">
        <f>'I-Project Contingency'!$E$98-CY65</f>
        <v>0</v>
      </c>
      <c r="DU65" s="332">
        <f>'I-Project Contingency'!$E$99-CZ65</f>
        <v>0</v>
      </c>
      <c r="DV65" s="332">
        <f>'I-Project Contingency'!$E$100-DA65</f>
        <v>0</v>
      </c>
      <c r="DW65" s="332">
        <f>'I-Project Contingency'!$E$101-DB65</f>
        <v>0</v>
      </c>
      <c r="DX65" s="332">
        <f>'I-Project Contingency'!$E$102-DC65</f>
        <v>0</v>
      </c>
      <c r="DY65" s="332">
        <f>'I-Project Contingency'!$E$103-DD65</f>
        <v>0</v>
      </c>
      <c r="DZ65" s="332">
        <f>'I-Project Contingency'!$E$104-DE65</f>
        <v>0</v>
      </c>
      <c r="EA65" s="332">
        <f>'I-Project Contingency'!$E$105-DF65</f>
        <v>0</v>
      </c>
      <c r="EB65" s="332">
        <f>'I-Project Contingency'!$E$106-DG65</f>
        <v>0</v>
      </c>
      <c r="EC65" s="334">
        <f>IF(EE65="N/A","N/A",ABS(INDEX(EE65:EY65,1,MATCH("ROM Cost Risk @ "&amp;'D-Project Data'!$C$6*100&amp;"%",$EE$17:$EY$17,0))))</f>
        <v>0</v>
      </c>
      <c r="ED65" s="335">
        <f>IF(EC65="N/A","N/A",RANK(EC65,$EC$18:$EC$117,0)+COUNTIF($EC$18:EC65,EC65)-1)</f>
        <v>48</v>
      </c>
      <c r="EE65" s="334">
        <f>IF(BQ65/SUM(BQ:BQ)*'I-Project Contingency'!$F$61=0,0,BQ65/SUM(BQ:BQ)*'I-Project Contingency'!$F$61)</f>
        <v>0</v>
      </c>
      <c r="EF65" s="334">
        <f>IF(BR65/SUM(BR:BR)*'I-Project Contingency'!$F$62=0,0,BR65/SUM(BR:BR)*'I-Project Contingency'!$F$62)</f>
        <v>0</v>
      </c>
      <c r="EG65" s="334">
        <f>IF(BS65/SUM(BS:BS)*'I-Project Contingency'!$F$63=0,0,BS65/SUM(BS:BS)*'I-Project Contingency'!$F$63)</f>
        <v>0</v>
      </c>
      <c r="EH65" s="334">
        <f>IF(BT65/SUM(BT:BT)*'I-Project Contingency'!$F$64=0,0,BT65/SUM(BT:BT)*'I-Project Contingency'!$F$64)</f>
        <v>0</v>
      </c>
      <c r="EI65" s="334">
        <f>IF(BU65/SUM(BU:BU)*'I-Project Contingency'!$F$65=0,0,BU65/SUM(BU:BU)*'I-Project Contingency'!$F$65)</f>
        <v>0</v>
      </c>
      <c r="EJ65" s="334">
        <f>IF(BV65/SUM(BV:BV)*'I-Project Contingency'!$F$66=0,0,BV65/SUM(BV:BV)*'I-Project Contingency'!$F$66)</f>
        <v>0</v>
      </c>
      <c r="EK65" s="334">
        <f>IF(BW65/SUM(BW:BW)*'I-Project Contingency'!$F$67=0,0,BW65/SUM(BW:BW)*'I-Project Contingency'!$F$67)</f>
        <v>0</v>
      </c>
      <c r="EL65" s="334">
        <f>IF(BX65/SUM(BX:BX)*'I-Project Contingency'!$F$68=0,0,BX65/SUM(BX:BX)*'I-Project Contingency'!$F$68)</f>
        <v>0</v>
      </c>
      <c r="EM65" s="334">
        <f>IF(BY65/SUM(BY:BY)*'I-Project Contingency'!$F$69=0,0,BY65/SUM(BY:BY)*'I-Project Contingency'!$F$69)</f>
        <v>0</v>
      </c>
      <c r="EN65" s="334">
        <f>IF(BZ65/SUM(BZ:BZ)*'I-Project Contingency'!$F$70=0,0,BZ65/SUM(BZ:BZ)*'I-Project Contingency'!$F$70)</f>
        <v>0</v>
      </c>
      <c r="EO65" s="334">
        <f>IF(CA65/SUM(CA:CA)*'I-Project Contingency'!$F$71=0,0,CA65/SUM(CA:CA)*'I-Project Contingency'!$F$71)</f>
        <v>0</v>
      </c>
      <c r="EP65" s="334">
        <f>IF(CB65/SUM(CB:CB)*'I-Project Contingency'!$F$72=0,0,CB65/SUM(CB:CB)*'I-Project Contingency'!$F$72)</f>
        <v>0</v>
      </c>
      <c r="EQ65" s="334">
        <f>IF(CC65/SUM(CC:CC)*'I-Project Contingency'!$F$73=0,0,CC65/SUM(CC:CC)*'I-Project Contingency'!$F$73)</f>
        <v>0</v>
      </c>
      <c r="ER65" s="334">
        <f>IF(CD65/SUM(CD:CD)*'I-Project Contingency'!$F$74=0,0,CD65/SUM(CD:CD)*'I-Project Contingency'!$F$74)</f>
        <v>0</v>
      </c>
      <c r="ES65" s="334">
        <f>IF(CE65/SUM(CE:CE)*'I-Project Contingency'!$F$75=0,0,CE65/SUM(CE:CE)*'I-Project Contingency'!$F$75)</f>
        <v>0</v>
      </c>
      <c r="ET65" s="334">
        <f>IF(CF65/SUM(CF:CF)*'I-Project Contingency'!$F$76=0,0,CF65/SUM(CF:CF)*'I-Project Contingency'!$F$76)</f>
        <v>0</v>
      </c>
      <c r="EU65" s="334">
        <f>IF(CG65/SUM(CG:CG)*'I-Project Contingency'!$F$77=0,0,CG65/SUM(CG:CG)*'I-Project Contingency'!$F$77)</f>
        <v>0</v>
      </c>
      <c r="EV65" s="787">
        <f>IF(CH65/SUM(CH:CH)*'I-Project Contingency'!$F$78=0,0,CH65/SUM(CH:CH)*'I-Project Contingency'!$F$78)</f>
        <v>0</v>
      </c>
      <c r="EW65" s="787">
        <f>IF(CI65/SUM(CI:CI)*'I-Project Contingency'!$F$79=0,0,CI65/SUM(CI:CI)*'I-Project Contingency'!$F$79)</f>
        <v>0</v>
      </c>
      <c r="EX65" s="787">
        <f>IF(CJ65/SUM(CJ:CJ)*'I-Project Contingency'!$F$80=0,0,CJ65/SUM(CJ:CJ)*'I-Project Contingency'!$F$80)</f>
        <v>0</v>
      </c>
      <c r="EY65" s="787">
        <f>IF(CK65/SUM(CK:CK)*'I-Project Contingency'!$F$81=0,0,CK65/SUM(CK:CK)*'I-Project Contingency'!$F$81)</f>
        <v>0</v>
      </c>
      <c r="EZ65" s="333">
        <f>IF(FB65="N/A","N/A",ABS(INDEX(FB65:FV65,1,MATCH("ROM Schedule Risk @ "&amp;'D-Project Data'!$C$6*100&amp;"%",$FB$17:$FV$17,0))))</f>
        <v>0</v>
      </c>
      <c r="FA65" s="335">
        <f>IF(EZ65="N/A","N/A",RANK(EZ65,$EZ$18:$EZ$117,0)+COUNTIF($FB$18:FB65,FB65)-1)</f>
        <v>48</v>
      </c>
      <c r="FB65" s="788">
        <f>IF(DH65/SUM(DH:DH)*'I-Project Contingency'!$F$86=0,0,DH65/SUM(DH:DH)*'I-Project Contingency'!$F$86)</f>
        <v>0</v>
      </c>
      <c r="FC65" s="788">
        <f>IF(DI65/SUM(DI:DI)*'I-Project Contingency'!$F$87=0,0,DI65/SUM(DI:DI)*'I-Project Contingency'!$F$87)</f>
        <v>0</v>
      </c>
      <c r="FD65" s="788">
        <f>IF(DJ65/SUM(DJ:DJ)*'I-Project Contingency'!$F$88=0,0,DJ65/SUM(DJ:DJ)*'I-Project Contingency'!$F$88)</f>
        <v>0</v>
      </c>
      <c r="FE65" s="788">
        <f>IF(DK65/SUM(DK:DK)*'I-Project Contingency'!$F$89=0,0,DK65/SUM(DK:DK)*'I-Project Contingency'!$F$89)</f>
        <v>0</v>
      </c>
      <c r="FF65" s="788">
        <f>IF(DL65/SUM(DL:DL)*'I-Project Contingency'!$F$90=0,0,DL65/SUM(DL:DL)*'I-Project Contingency'!$F$90)</f>
        <v>0</v>
      </c>
      <c r="FG65" s="788">
        <f>IF(DM65/SUM(DM:DM)*'I-Project Contingency'!$F$91=0,0,DM65/SUM(DM:DM)*'I-Project Contingency'!$F$91)</f>
        <v>0</v>
      </c>
      <c r="FH65" s="788">
        <f>IF(DN65/SUM(DN:DN)*'I-Project Contingency'!$F$92=0,0,DN65/SUM(DN:DN)*'I-Project Contingency'!$F$92)</f>
        <v>0</v>
      </c>
      <c r="FI65" s="788">
        <f>IF(DO65/SUM(DO:DO)*'I-Project Contingency'!$F$93=0,0,DO65/SUM(DO:DO)*'I-Project Contingency'!$F$93)</f>
        <v>0</v>
      </c>
      <c r="FJ65" s="788">
        <f>IF(DP65/SUM(DP:DP)*'I-Project Contingency'!$F$94=0,0,DP65/SUM(DP:DP)*'I-Project Contingency'!$F$94)</f>
        <v>0</v>
      </c>
      <c r="FK65" s="788">
        <f>IF(DQ65/SUM(DQ:DQ)*'I-Project Contingency'!$F$95=0,0,DQ65/SUM(DQ:DQ)*'I-Project Contingency'!$F$95)</f>
        <v>0</v>
      </c>
      <c r="FL65" s="788">
        <f>IF(DR65/SUM(DR:DR)*'I-Project Contingency'!$F$96=0,0,DR65/SUM(DR:DR)*'I-Project Contingency'!$F$96)</f>
        <v>0</v>
      </c>
      <c r="FM65" s="788">
        <f>IF(DS65/SUM(DS:DS)*'I-Project Contingency'!$F$97=0,0,DS65/SUM(DS:DS)*'I-Project Contingency'!$F$97)</f>
        <v>0</v>
      </c>
      <c r="FN65" s="788">
        <f>IF(DT65/SUM(DT:DT)*'I-Project Contingency'!$F$98=0,0,DT65/SUM(DT:DT)*'I-Project Contingency'!$F$98)</f>
        <v>0</v>
      </c>
      <c r="FO65" s="788">
        <f>IF(DU65/SUM(DU:DU)*'I-Project Contingency'!$F$99=0,0,DU65/SUM(DU:DU)*'I-Project Contingency'!$F$99)</f>
        <v>0</v>
      </c>
      <c r="FP65" s="788">
        <f>IF(DV65/SUM(DV:DV)*'I-Project Contingency'!$F$100=0,0,DV65/SUM(DV:DV)*'I-Project Contingency'!$F$100)</f>
        <v>0</v>
      </c>
      <c r="FQ65" s="788">
        <f>IF(DW65/SUM(DW:DW)*'I-Project Contingency'!$F$101=0,0,DW65/SUM(DW:DW)*'I-Project Contingency'!$F$101)</f>
        <v>0</v>
      </c>
      <c r="FR65" s="788">
        <f>IF(DX65/SUM(DX:DX)*'I-Project Contingency'!$F$102=0,0,DX65/SUM(DX:DX)*'I-Project Contingency'!$F$102)</f>
        <v>0</v>
      </c>
      <c r="FS65" s="788">
        <f>IF(DY65/SUM(DY:DY)*'I-Project Contingency'!$F$103=0,0,DY65/SUM(DY:DY)*'I-Project Contingency'!$F$103)</f>
        <v>0</v>
      </c>
      <c r="FT65" s="788">
        <f>IF(DZ65/SUM(DZ:DZ)*'I-Project Contingency'!$F$104=0,0,DZ65/SUM(DZ:DZ)*'I-Project Contingency'!$F$104)</f>
        <v>0</v>
      </c>
      <c r="FU65" s="788">
        <f>IF(EA65/SUM(EA:EA)*'I-Project Contingency'!$F$105=0,0,EA65/SUM(EA:EA)*'I-Project Contingency'!$F$105)</f>
        <v>0</v>
      </c>
      <c r="FV65" s="788">
        <f>IF(EB65/SUM(EB:EB)*'I-Project Contingency'!$F$106=0,0,EB65/SUM(EB:EB)*'I-Project Contingency'!$F$106)</f>
        <v>0</v>
      </c>
      <c r="FW65" s="335">
        <f t="shared" si="37"/>
        <v>48</v>
      </c>
      <c r="FX65" s="336" t="str">
        <f t="shared" si="38"/>
        <v xml:space="preserve">48 -  </v>
      </c>
      <c r="FY65" s="330">
        <f t="shared" si="43"/>
        <v>0</v>
      </c>
      <c r="FZ65" s="330">
        <f t="shared" si="44"/>
        <v>0</v>
      </c>
      <c r="GA65" s="332">
        <f t="shared" si="39"/>
        <v>0</v>
      </c>
      <c r="GB65" s="332">
        <f t="shared" si="40"/>
        <v>0</v>
      </c>
    </row>
    <row r="66" spans="1:184" ht="30" x14ac:dyDescent="0.25">
      <c r="A66" s="163">
        <f t="shared" si="23"/>
        <v>49</v>
      </c>
      <c r="B66" s="727" t="s">
        <v>728</v>
      </c>
      <c r="C66" s="729" t="s">
        <v>659</v>
      </c>
      <c r="D66" s="729" t="s">
        <v>659</v>
      </c>
      <c r="E66" s="729" t="s">
        <v>659</v>
      </c>
      <c r="F66" s="728" t="s">
        <v>728</v>
      </c>
      <c r="G66" s="728" t="s">
        <v>728</v>
      </c>
      <c r="H66" s="157" t="str">
        <f>IFERROR(IF('H-Risk Register-Model'!F66="Certain","Relook at Basis of Estimate",INDEX('G-Assumptions'!$F$8:$J$11,MATCH(F66,'G-Assumptions'!$D$8:$D$11,0),MATCH(G66,'G-Assumptions'!$F$6:$J$6,0))),"Unrated")</f>
        <v>Unrated</v>
      </c>
      <c r="I66" s="728" t="s">
        <v>728</v>
      </c>
      <c r="J66" s="157" t="str">
        <f>IFERROR(IF('H-Risk Register-Model'!F66="Certain","Relook at Basis of Estimate",INDEX('G-Assumptions'!$F$8:$J$11,MATCH(F66,'G-Assumptions'!$D$8:$D$11,0),MATCH(I66,'G-Assumptions'!$F$6:$J$6,0))),"Unrated")</f>
        <v>Unrated</v>
      </c>
      <c r="K66" s="728" t="s">
        <v>728</v>
      </c>
      <c r="L66" s="728" t="s">
        <v>728</v>
      </c>
      <c r="M66" s="728"/>
      <c r="N66" s="731" t="s">
        <v>728</v>
      </c>
      <c r="O66" s="731" t="s">
        <v>728</v>
      </c>
      <c r="P66" s="732"/>
      <c r="Q66" s="732"/>
      <c r="R66" s="732"/>
      <c r="S66" s="733"/>
      <c r="T66" s="733"/>
      <c r="U66" s="733"/>
      <c r="V66" s="734"/>
      <c r="W66" s="732"/>
      <c r="X66" s="732"/>
      <c r="Y66" s="735">
        <v>1</v>
      </c>
      <c r="Z66" s="736">
        <v>1</v>
      </c>
      <c r="AA66" s="166">
        <f t="shared" si="19"/>
        <v>0</v>
      </c>
      <c r="AB66" s="166">
        <f t="shared" si="20"/>
        <v>0</v>
      </c>
      <c r="AC66" s="166">
        <f t="shared" si="21"/>
        <v>0</v>
      </c>
      <c r="AD66" s="166"/>
      <c r="AE66" s="164">
        <f t="shared" si="41"/>
        <v>0</v>
      </c>
      <c r="AF66" s="167"/>
      <c r="AG66" s="165">
        <f t="shared" si="42"/>
        <v>0</v>
      </c>
      <c r="AH66" s="729"/>
      <c r="AI66" s="729"/>
      <c r="AJ66" s="8"/>
      <c r="AK66" s="495" t="str">
        <f t="shared" si="30"/>
        <v>No</v>
      </c>
      <c r="AL66" s="496">
        <f>'I-Project Contingency'!$I$4</f>
        <v>9000000</v>
      </c>
      <c r="AM66" s="326">
        <f>'I-Project Contingency'!$I$11</f>
        <v>23.978102189781023</v>
      </c>
      <c r="AN66" s="325">
        <f t="shared" si="31"/>
        <v>0</v>
      </c>
      <c r="AO66" s="326">
        <f t="shared" si="32"/>
        <v>0</v>
      </c>
      <c r="AP66" s="641" t="str">
        <f t="shared" si="33"/>
        <v/>
      </c>
      <c r="AQ66" s="641" t="str">
        <f t="shared" si="34"/>
        <v/>
      </c>
      <c r="AR66" s="497" t="str">
        <f t="shared" si="35"/>
        <v/>
      </c>
      <c r="AS66" s="497" t="str">
        <f t="shared" si="36"/>
        <v/>
      </c>
      <c r="AT66" s="8"/>
      <c r="AU66" s="329">
        <f>'I-Project Contingency'!$O$4-AE66</f>
        <v>0</v>
      </c>
      <c r="AV66" s="330">
        <v>-240515.59579276721</v>
      </c>
      <c r="AW66" s="330">
        <v>28172.931401335634</v>
      </c>
      <c r="AX66" s="330">
        <v>193478.84467429668</v>
      </c>
      <c r="AY66" s="330">
        <v>361668.20104834624</v>
      </c>
      <c r="AZ66" s="330">
        <v>524446.91524262261</v>
      </c>
      <c r="BA66" s="330">
        <v>704023.56387635041</v>
      </c>
      <c r="BB66" s="330">
        <v>886394.06956240814</v>
      </c>
      <c r="BC66" s="330">
        <v>1079363.7165157665</v>
      </c>
      <c r="BD66" s="330">
        <v>1280180.1532065615</v>
      </c>
      <c r="BE66" s="330">
        <v>1485323.8019108465</v>
      </c>
      <c r="BF66" s="330">
        <v>1703758.8827524669</v>
      </c>
      <c r="BG66" s="330">
        <v>1949523.4346483489</v>
      </c>
      <c r="BH66" s="330">
        <v>2177897.1603371189</v>
      </c>
      <c r="BI66" s="330">
        <v>2429374.4260425912</v>
      </c>
      <c r="BJ66" s="330">
        <v>2717092.7449284913</v>
      </c>
      <c r="BK66" s="330">
        <v>3010093.6968918457</v>
      </c>
      <c r="BL66" s="330">
        <v>3325414.5894657462</v>
      </c>
      <c r="BM66" s="330">
        <v>3690425.9159493577</v>
      </c>
      <c r="BN66" s="330">
        <v>4143935.1706127762</v>
      </c>
      <c r="BO66" s="330">
        <v>4722651.1159141911</v>
      </c>
      <c r="BP66" s="330">
        <v>5992048.8629153483</v>
      </c>
      <c r="BQ66" s="330">
        <f>'I-Project Contingency'!$E$61-AV66</f>
        <v>0</v>
      </c>
      <c r="BR66" s="330">
        <f>'I-Project Contingency'!$E$62-AW66</f>
        <v>0</v>
      </c>
      <c r="BS66" s="330">
        <f>'I-Project Contingency'!$E$63-AX66</f>
        <v>0</v>
      </c>
      <c r="BT66" s="330">
        <f>'I-Project Contingency'!$E$64-AY66</f>
        <v>0</v>
      </c>
      <c r="BU66" s="330">
        <f>'I-Project Contingency'!$E$65-AZ66</f>
        <v>0</v>
      </c>
      <c r="BV66" s="330">
        <f>'I-Project Contingency'!$E$66-BA66</f>
        <v>0</v>
      </c>
      <c r="BW66" s="330">
        <f>'I-Project Contingency'!$E$67-BB66</f>
        <v>0</v>
      </c>
      <c r="BX66" s="330">
        <f>'I-Project Contingency'!$E$68-BC66</f>
        <v>0</v>
      </c>
      <c r="BY66" s="330">
        <f>'I-Project Contingency'!$E$69-BD66</f>
        <v>0</v>
      </c>
      <c r="BZ66" s="330">
        <f>'I-Project Contingency'!$E$70-BE66</f>
        <v>0</v>
      </c>
      <c r="CA66" s="330">
        <f>'I-Project Contingency'!$E$71-BF66</f>
        <v>0</v>
      </c>
      <c r="CB66" s="330">
        <f>'I-Project Contingency'!$E$72-BG66</f>
        <v>0</v>
      </c>
      <c r="CC66" s="330">
        <f>'I-Project Contingency'!$E$73-BH66</f>
        <v>0</v>
      </c>
      <c r="CD66" s="330">
        <f>'I-Project Contingency'!$E$74-BI66</f>
        <v>0</v>
      </c>
      <c r="CE66" s="330">
        <f>'I-Project Contingency'!$E$75-BJ66</f>
        <v>0</v>
      </c>
      <c r="CF66" s="330">
        <f>'I-Project Contingency'!$E$76-BK66</f>
        <v>0</v>
      </c>
      <c r="CG66" s="330">
        <f>'I-Project Contingency'!$E$77-BL66</f>
        <v>0</v>
      </c>
      <c r="CH66" s="784">
        <f>'I-Project Contingency'!$E$78-BM66</f>
        <v>0</v>
      </c>
      <c r="CI66" s="330">
        <f>'I-Project Contingency'!$E$79-BN66</f>
        <v>0</v>
      </c>
      <c r="CJ66" s="330">
        <f>'I-Project Contingency'!$E$80-BO66</f>
        <v>0</v>
      </c>
      <c r="CK66" s="330">
        <f>'I-Project Contingency'!$E$81-BP66</f>
        <v>0</v>
      </c>
      <c r="CL66" s="331">
        <f>'I-Project Contingency'!$O$5-AG66</f>
        <v>0</v>
      </c>
      <c r="CM66" s="332">
        <v>-0.98711802853447173</v>
      </c>
      <c r="CN66" s="332">
        <v>-0.19547704728364468</v>
      </c>
      <c r="CO66" s="332">
        <v>0.126462150308498</v>
      </c>
      <c r="CP66" s="332">
        <v>0.45967989154545902</v>
      </c>
      <c r="CQ66" s="332">
        <v>0.78297319902744</v>
      </c>
      <c r="CR66" s="332">
        <v>1.0957191966482109</v>
      </c>
      <c r="CS66" s="332">
        <v>1.4418405003536849</v>
      </c>
      <c r="CT66" s="332">
        <v>1.801002404194165</v>
      </c>
      <c r="CU66" s="332">
        <v>2.1797608166947349</v>
      </c>
      <c r="CV66" s="332">
        <v>2.5671680610072478</v>
      </c>
      <c r="CW66" s="332">
        <v>2.9690760644797152</v>
      </c>
      <c r="CX66" s="332">
        <v>3.3964145469774811</v>
      </c>
      <c r="CY66" s="332">
        <v>3.864536087769562</v>
      </c>
      <c r="CZ66" s="332">
        <v>4.3569836138896116</v>
      </c>
      <c r="DA66" s="332">
        <v>4.8862357851222598</v>
      </c>
      <c r="DB66" s="332">
        <v>5.438836997347547</v>
      </c>
      <c r="DC66" s="332">
        <v>6.047993455908566</v>
      </c>
      <c r="DD66" s="785">
        <v>6.720204953601761</v>
      </c>
      <c r="DE66" s="333">
        <v>7.55131678090412</v>
      </c>
      <c r="DF66" s="332">
        <v>8.661446370835737</v>
      </c>
      <c r="DG66" s="332">
        <v>11.206316207857133</v>
      </c>
      <c r="DH66" s="332">
        <f>'I-Project Contingency'!$E$86-CM66</f>
        <v>0</v>
      </c>
      <c r="DI66" s="332">
        <f>'I-Project Contingency'!$E$87-CN66</f>
        <v>0</v>
      </c>
      <c r="DJ66" s="332">
        <f>'I-Project Contingency'!$E$88-CO66</f>
        <v>0</v>
      </c>
      <c r="DK66" s="332">
        <f>'I-Project Contingency'!$E$89-CP66</f>
        <v>0</v>
      </c>
      <c r="DL66" s="332">
        <f>'I-Project Contingency'!$E$90-CQ66</f>
        <v>0</v>
      </c>
      <c r="DM66" s="332">
        <f>'I-Project Contingency'!$E$91-CR66</f>
        <v>0</v>
      </c>
      <c r="DN66" s="332">
        <f>'I-Project Contingency'!$E$92-CS66</f>
        <v>0</v>
      </c>
      <c r="DO66" s="332">
        <f>'I-Project Contingency'!$E$93-CT66</f>
        <v>0</v>
      </c>
      <c r="DP66" s="332">
        <f>'I-Project Contingency'!$E$94-CU66</f>
        <v>0</v>
      </c>
      <c r="DQ66" s="332">
        <f>'I-Project Contingency'!$E$95-CV66</f>
        <v>0</v>
      </c>
      <c r="DR66" s="332">
        <f>'I-Project Contingency'!$E$96-CW66</f>
        <v>0</v>
      </c>
      <c r="DS66" s="332">
        <f>'I-Project Contingency'!$E$97-CX66</f>
        <v>0</v>
      </c>
      <c r="DT66" s="332">
        <f>'I-Project Contingency'!$E$98-CY66</f>
        <v>0</v>
      </c>
      <c r="DU66" s="332">
        <f>'I-Project Contingency'!$E$99-CZ66</f>
        <v>0</v>
      </c>
      <c r="DV66" s="332">
        <f>'I-Project Contingency'!$E$100-DA66</f>
        <v>0</v>
      </c>
      <c r="DW66" s="332">
        <f>'I-Project Contingency'!$E$101-DB66</f>
        <v>0</v>
      </c>
      <c r="DX66" s="332">
        <f>'I-Project Contingency'!$E$102-DC66</f>
        <v>0</v>
      </c>
      <c r="DY66" s="332">
        <f>'I-Project Contingency'!$E$103-DD66</f>
        <v>0</v>
      </c>
      <c r="DZ66" s="332">
        <f>'I-Project Contingency'!$E$104-DE66</f>
        <v>0</v>
      </c>
      <c r="EA66" s="332">
        <f>'I-Project Contingency'!$E$105-DF66</f>
        <v>0</v>
      </c>
      <c r="EB66" s="332">
        <f>'I-Project Contingency'!$E$106-DG66</f>
        <v>0</v>
      </c>
      <c r="EC66" s="334">
        <f>IF(EE66="N/A","N/A",ABS(INDEX(EE66:EY66,1,MATCH("ROM Cost Risk @ "&amp;'D-Project Data'!$C$6*100&amp;"%",$EE$17:$EY$17,0))))</f>
        <v>0</v>
      </c>
      <c r="ED66" s="335">
        <f>IF(EC66="N/A","N/A",RANK(EC66,$EC$18:$EC$117,0)+COUNTIF($EC$18:EC66,EC66)-1)</f>
        <v>49</v>
      </c>
      <c r="EE66" s="334">
        <f>IF(BQ66/SUM(BQ:BQ)*'I-Project Contingency'!$F$61=0,0,BQ66/SUM(BQ:BQ)*'I-Project Contingency'!$F$61)</f>
        <v>0</v>
      </c>
      <c r="EF66" s="334">
        <f>IF(BR66/SUM(BR:BR)*'I-Project Contingency'!$F$62=0,0,BR66/SUM(BR:BR)*'I-Project Contingency'!$F$62)</f>
        <v>0</v>
      </c>
      <c r="EG66" s="334">
        <f>IF(BS66/SUM(BS:BS)*'I-Project Contingency'!$F$63=0,0,BS66/SUM(BS:BS)*'I-Project Contingency'!$F$63)</f>
        <v>0</v>
      </c>
      <c r="EH66" s="334">
        <f>IF(BT66/SUM(BT:BT)*'I-Project Contingency'!$F$64=0,0,BT66/SUM(BT:BT)*'I-Project Contingency'!$F$64)</f>
        <v>0</v>
      </c>
      <c r="EI66" s="334">
        <f>IF(BU66/SUM(BU:BU)*'I-Project Contingency'!$F$65=0,0,BU66/SUM(BU:BU)*'I-Project Contingency'!$F$65)</f>
        <v>0</v>
      </c>
      <c r="EJ66" s="334">
        <f>IF(BV66/SUM(BV:BV)*'I-Project Contingency'!$F$66=0,0,BV66/SUM(BV:BV)*'I-Project Contingency'!$F$66)</f>
        <v>0</v>
      </c>
      <c r="EK66" s="334">
        <f>IF(BW66/SUM(BW:BW)*'I-Project Contingency'!$F$67=0,0,BW66/SUM(BW:BW)*'I-Project Contingency'!$F$67)</f>
        <v>0</v>
      </c>
      <c r="EL66" s="334">
        <f>IF(BX66/SUM(BX:BX)*'I-Project Contingency'!$F$68=0,0,BX66/SUM(BX:BX)*'I-Project Contingency'!$F$68)</f>
        <v>0</v>
      </c>
      <c r="EM66" s="334">
        <f>IF(BY66/SUM(BY:BY)*'I-Project Contingency'!$F$69=0,0,BY66/SUM(BY:BY)*'I-Project Contingency'!$F$69)</f>
        <v>0</v>
      </c>
      <c r="EN66" s="334">
        <f>IF(BZ66/SUM(BZ:BZ)*'I-Project Contingency'!$F$70=0,0,BZ66/SUM(BZ:BZ)*'I-Project Contingency'!$F$70)</f>
        <v>0</v>
      </c>
      <c r="EO66" s="334">
        <f>IF(CA66/SUM(CA:CA)*'I-Project Contingency'!$F$71=0,0,CA66/SUM(CA:CA)*'I-Project Contingency'!$F$71)</f>
        <v>0</v>
      </c>
      <c r="EP66" s="334">
        <f>IF(CB66/SUM(CB:CB)*'I-Project Contingency'!$F$72=0,0,CB66/SUM(CB:CB)*'I-Project Contingency'!$F$72)</f>
        <v>0</v>
      </c>
      <c r="EQ66" s="334">
        <f>IF(CC66/SUM(CC:CC)*'I-Project Contingency'!$F$73=0,0,CC66/SUM(CC:CC)*'I-Project Contingency'!$F$73)</f>
        <v>0</v>
      </c>
      <c r="ER66" s="334">
        <f>IF(CD66/SUM(CD:CD)*'I-Project Contingency'!$F$74=0,0,CD66/SUM(CD:CD)*'I-Project Contingency'!$F$74)</f>
        <v>0</v>
      </c>
      <c r="ES66" s="334">
        <f>IF(CE66/SUM(CE:CE)*'I-Project Contingency'!$F$75=0,0,CE66/SUM(CE:CE)*'I-Project Contingency'!$F$75)</f>
        <v>0</v>
      </c>
      <c r="ET66" s="334">
        <f>IF(CF66/SUM(CF:CF)*'I-Project Contingency'!$F$76=0,0,CF66/SUM(CF:CF)*'I-Project Contingency'!$F$76)</f>
        <v>0</v>
      </c>
      <c r="EU66" s="334">
        <f>IF(CG66/SUM(CG:CG)*'I-Project Contingency'!$F$77=0,0,CG66/SUM(CG:CG)*'I-Project Contingency'!$F$77)</f>
        <v>0</v>
      </c>
      <c r="EV66" s="787">
        <f>IF(CH66/SUM(CH:CH)*'I-Project Contingency'!$F$78=0,0,CH66/SUM(CH:CH)*'I-Project Contingency'!$F$78)</f>
        <v>0</v>
      </c>
      <c r="EW66" s="787">
        <f>IF(CI66/SUM(CI:CI)*'I-Project Contingency'!$F$79=0,0,CI66/SUM(CI:CI)*'I-Project Contingency'!$F$79)</f>
        <v>0</v>
      </c>
      <c r="EX66" s="787">
        <f>IF(CJ66/SUM(CJ:CJ)*'I-Project Contingency'!$F$80=0,0,CJ66/SUM(CJ:CJ)*'I-Project Contingency'!$F$80)</f>
        <v>0</v>
      </c>
      <c r="EY66" s="787">
        <f>IF(CK66/SUM(CK:CK)*'I-Project Contingency'!$F$81=0,0,CK66/SUM(CK:CK)*'I-Project Contingency'!$F$81)</f>
        <v>0</v>
      </c>
      <c r="EZ66" s="333">
        <f>IF(FB66="N/A","N/A",ABS(INDEX(FB66:FV66,1,MATCH("ROM Schedule Risk @ "&amp;'D-Project Data'!$C$6*100&amp;"%",$FB$17:$FV$17,0))))</f>
        <v>0</v>
      </c>
      <c r="FA66" s="335">
        <f>IF(EZ66="N/A","N/A",RANK(EZ66,$EZ$18:$EZ$117,0)+COUNTIF($FB$18:FB66,FB66)-1)</f>
        <v>49</v>
      </c>
      <c r="FB66" s="788">
        <f>IF(DH66/SUM(DH:DH)*'I-Project Contingency'!$F$86=0,0,DH66/SUM(DH:DH)*'I-Project Contingency'!$F$86)</f>
        <v>0</v>
      </c>
      <c r="FC66" s="788">
        <f>IF(DI66/SUM(DI:DI)*'I-Project Contingency'!$F$87=0,0,DI66/SUM(DI:DI)*'I-Project Contingency'!$F$87)</f>
        <v>0</v>
      </c>
      <c r="FD66" s="788">
        <f>IF(DJ66/SUM(DJ:DJ)*'I-Project Contingency'!$F$88=0,0,DJ66/SUM(DJ:DJ)*'I-Project Contingency'!$F$88)</f>
        <v>0</v>
      </c>
      <c r="FE66" s="788">
        <f>IF(DK66/SUM(DK:DK)*'I-Project Contingency'!$F$89=0,0,DK66/SUM(DK:DK)*'I-Project Contingency'!$F$89)</f>
        <v>0</v>
      </c>
      <c r="FF66" s="788">
        <f>IF(DL66/SUM(DL:DL)*'I-Project Contingency'!$F$90=0,0,DL66/SUM(DL:DL)*'I-Project Contingency'!$F$90)</f>
        <v>0</v>
      </c>
      <c r="FG66" s="788">
        <f>IF(DM66/SUM(DM:DM)*'I-Project Contingency'!$F$91=0,0,DM66/SUM(DM:DM)*'I-Project Contingency'!$F$91)</f>
        <v>0</v>
      </c>
      <c r="FH66" s="788">
        <f>IF(DN66/SUM(DN:DN)*'I-Project Contingency'!$F$92=0,0,DN66/SUM(DN:DN)*'I-Project Contingency'!$F$92)</f>
        <v>0</v>
      </c>
      <c r="FI66" s="788">
        <f>IF(DO66/SUM(DO:DO)*'I-Project Contingency'!$F$93=0,0,DO66/SUM(DO:DO)*'I-Project Contingency'!$F$93)</f>
        <v>0</v>
      </c>
      <c r="FJ66" s="788">
        <f>IF(DP66/SUM(DP:DP)*'I-Project Contingency'!$F$94=0,0,DP66/SUM(DP:DP)*'I-Project Contingency'!$F$94)</f>
        <v>0</v>
      </c>
      <c r="FK66" s="788">
        <f>IF(DQ66/SUM(DQ:DQ)*'I-Project Contingency'!$F$95=0,0,DQ66/SUM(DQ:DQ)*'I-Project Contingency'!$F$95)</f>
        <v>0</v>
      </c>
      <c r="FL66" s="788">
        <f>IF(DR66/SUM(DR:DR)*'I-Project Contingency'!$F$96=0,0,DR66/SUM(DR:DR)*'I-Project Contingency'!$F$96)</f>
        <v>0</v>
      </c>
      <c r="FM66" s="788">
        <f>IF(DS66/SUM(DS:DS)*'I-Project Contingency'!$F$97=0,0,DS66/SUM(DS:DS)*'I-Project Contingency'!$F$97)</f>
        <v>0</v>
      </c>
      <c r="FN66" s="788">
        <f>IF(DT66/SUM(DT:DT)*'I-Project Contingency'!$F$98=0,0,DT66/SUM(DT:DT)*'I-Project Contingency'!$F$98)</f>
        <v>0</v>
      </c>
      <c r="FO66" s="788">
        <f>IF(DU66/SUM(DU:DU)*'I-Project Contingency'!$F$99=0,0,DU66/SUM(DU:DU)*'I-Project Contingency'!$F$99)</f>
        <v>0</v>
      </c>
      <c r="FP66" s="788">
        <f>IF(DV66/SUM(DV:DV)*'I-Project Contingency'!$F$100=0,0,DV66/SUM(DV:DV)*'I-Project Contingency'!$F$100)</f>
        <v>0</v>
      </c>
      <c r="FQ66" s="788">
        <f>IF(DW66/SUM(DW:DW)*'I-Project Contingency'!$F$101=0,0,DW66/SUM(DW:DW)*'I-Project Contingency'!$F$101)</f>
        <v>0</v>
      </c>
      <c r="FR66" s="788">
        <f>IF(DX66/SUM(DX:DX)*'I-Project Contingency'!$F$102=0,0,DX66/SUM(DX:DX)*'I-Project Contingency'!$F$102)</f>
        <v>0</v>
      </c>
      <c r="FS66" s="788">
        <f>IF(DY66/SUM(DY:DY)*'I-Project Contingency'!$F$103=0,0,DY66/SUM(DY:DY)*'I-Project Contingency'!$F$103)</f>
        <v>0</v>
      </c>
      <c r="FT66" s="788">
        <f>IF(DZ66/SUM(DZ:DZ)*'I-Project Contingency'!$F$104=0,0,DZ66/SUM(DZ:DZ)*'I-Project Contingency'!$F$104)</f>
        <v>0</v>
      </c>
      <c r="FU66" s="788">
        <f>IF(EA66/SUM(EA:EA)*'I-Project Contingency'!$F$105=0,0,EA66/SUM(EA:EA)*'I-Project Contingency'!$F$105)</f>
        <v>0</v>
      </c>
      <c r="FV66" s="788">
        <f>IF(EB66/SUM(EB:EB)*'I-Project Contingency'!$F$106=0,0,EB66/SUM(EB:EB)*'I-Project Contingency'!$F$106)</f>
        <v>0</v>
      </c>
      <c r="FW66" s="335">
        <f t="shared" si="37"/>
        <v>49</v>
      </c>
      <c r="FX66" s="336" t="str">
        <f t="shared" si="38"/>
        <v xml:space="preserve">49 -  </v>
      </c>
      <c r="FY66" s="330">
        <f t="shared" si="43"/>
        <v>0</v>
      </c>
      <c r="FZ66" s="330">
        <f t="shared" si="44"/>
        <v>0</v>
      </c>
      <c r="GA66" s="332">
        <f t="shared" si="39"/>
        <v>0</v>
      </c>
      <c r="GB66" s="332">
        <f t="shared" si="40"/>
        <v>0</v>
      </c>
    </row>
    <row r="67" spans="1:184" ht="30" x14ac:dyDescent="0.25">
      <c r="A67" s="163">
        <f t="shared" si="23"/>
        <v>50</v>
      </c>
      <c r="B67" s="727" t="s">
        <v>728</v>
      </c>
      <c r="C67" s="729" t="s">
        <v>659</v>
      </c>
      <c r="D67" s="729" t="s">
        <v>659</v>
      </c>
      <c r="E67" s="729" t="s">
        <v>659</v>
      </c>
      <c r="F67" s="728" t="s">
        <v>728</v>
      </c>
      <c r="G67" s="728" t="s">
        <v>728</v>
      </c>
      <c r="H67" s="157" t="str">
        <f>IFERROR(IF('H-Risk Register-Model'!F67="Certain","Relook at Basis of Estimate",INDEX('G-Assumptions'!$F$8:$J$11,MATCH(F67,'G-Assumptions'!$D$8:$D$11,0),MATCH(G67,'G-Assumptions'!$F$6:$J$6,0))),"Unrated")</f>
        <v>Unrated</v>
      </c>
      <c r="I67" s="728" t="s">
        <v>728</v>
      </c>
      <c r="J67" s="157" t="str">
        <f>IFERROR(IF('H-Risk Register-Model'!F67="Certain","Relook at Basis of Estimate",INDEX('G-Assumptions'!$F$8:$J$11,MATCH(F67,'G-Assumptions'!$D$8:$D$11,0),MATCH(I67,'G-Assumptions'!$F$6:$J$6,0))),"Unrated")</f>
        <v>Unrated</v>
      </c>
      <c r="K67" s="728" t="s">
        <v>728</v>
      </c>
      <c r="L67" s="728" t="s">
        <v>728</v>
      </c>
      <c r="M67" s="728"/>
      <c r="N67" s="731" t="s">
        <v>728</v>
      </c>
      <c r="O67" s="731" t="s">
        <v>728</v>
      </c>
      <c r="P67" s="732"/>
      <c r="Q67" s="732"/>
      <c r="R67" s="732"/>
      <c r="S67" s="733"/>
      <c r="T67" s="733"/>
      <c r="U67" s="733"/>
      <c r="V67" s="734"/>
      <c r="W67" s="732"/>
      <c r="X67" s="732"/>
      <c r="Y67" s="735">
        <v>1</v>
      </c>
      <c r="Z67" s="736">
        <v>1</v>
      </c>
      <c r="AA67" s="166">
        <f t="shared" si="19"/>
        <v>0</v>
      </c>
      <c r="AB67" s="166">
        <f t="shared" si="20"/>
        <v>0</v>
      </c>
      <c r="AC67" s="166">
        <f t="shared" si="21"/>
        <v>0</v>
      </c>
      <c r="AD67" s="166"/>
      <c r="AE67" s="164">
        <f t="shared" si="41"/>
        <v>0</v>
      </c>
      <c r="AF67" s="167"/>
      <c r="AG67" s="165">
        <f t="shared" si="42"/>
        <v>0</v>
      </c>
      <c r="AH67" s="729"/>
      <c r="AI67" s="729"/>
      <c r="AJ67" s="8"/>
      <c r="AK67" s="495" t="str">
        <f t="shared" si="30"/>
        <v>No</v>
      </c>
      <c r="AL67" s="496">
        <f>'I-Project Contingency'!$I$4</f>
        <v>9000000</v>
      </c>
      <c r="AM67" s="326">
        <f>'I-Project Contingency'!$I$11</f>
        <v>23.978102189781023</v>
      </c>
      <c r="AN67" s="325">
        <f t="shared" si="31"/>
        <v>0</v>
      </c>
      <c r="AO67" s="326">
        <f t="shared" si="32"/>
        <v>0</v>
      </c>
      <c r="AP67" s="641" t="str">
        <f t="shared" si="33"/>
        <v/>
      </c>
      <c r="AQ67" s="641" t="str">
        <f t="shared" si="34"/>
        <v/>
      </c>
      <c r="AR67" s="497" t="str">
        <f t="shared" si="35"/>
        <v/>
      </c>
      <c r="AS67" s="497" t="str">
        <f t="shared" si="36"/>
        <v/>
      </c>
      <c r="AT67" s="8"/>
      <c r="AU67" s="329">
        <f>'I-Project Contingency'!$O$4-AE67</f>
        <v>0</v>
      </c>
      <c r="AV67" s="330">
        <v>-240515.59579276721</v>
      </c>
      <c r="AW67" s="330">
        <v>28172.931401335634</v>
      </c>
      <c r="AX67" s="330">
        <v>193478.84467429668</v>
      </c>
      <c r="AY67" s="330">
        <v>361668.20104834624</v>
      </c>
      <c r="AZ67" s="330">
        <v>524446.91524262261</v>
      </c>
      <c r="BA67" s="330">
        <v>704023.56387635041</v>
      </c>
      <c r="BB67" s="330">
        <v>886394.06956240814</v>
      </c>
      <c r="BC67" s="330">
        <v>1079363.7165157665</v>
      </c>
      <c r="BD67" s="330">
        <v>1280180.1532065615</v>
      </c>
      <c r="BE67" s="330">
        <v>1485323.8019108465</v>
      </c>
      <c r="BF67" s="330">
        <v>1703758.8827524669</v>
      </c>
      <c r="BG67" s="330">
        <v>1949523.4346483489</v>
      </c>
      <c r="BH67" s="330">
        <v>2177897.1603371189</v>
      </c>
      <c r="BI67" s="330">
        <v>2429374.4260425912</v>
      </c>
      <c r="BJ67" s="330">
        <v>2717092.7449284913</v>
      </c>
      <c r="BK67" s="330">
        <v>3010093.6968918457</v>
      </c>
      <c r="BL67" s="330">
        <v>3325414.5894657462</v>
      </c>
      <c r="BM67" s="330">
        <v>3690425.9159493577</v>
      </c>
      <c r="BN67" s="330">
        <v>4143935.1706127762</v>
      </c>
      <c r="BO67" s="330">
        <v>4722651.1159141911</v>
      </c>
      <c r="BP67" s="330">
        <v>5992048.8629153483</v>
      </c>
      <c r="BQ67" s="330">
        <f>'I-Project Contingency'!$E$61-AV67</f>
        <v>0</v>
      </c>
      <c r="BR67" s="330">
        <f>'I-Project Contingency'!$E$62-AW67</f>
        <v>0</v>
      </c>
      <c r="BS67" s="330">
        <f>'I-Project Contingency'!$E$63-AX67</f>
        <v>0</v>
      </c>
      <c r="BT67" s="330">
        <f>'I-Project Contingency'!$E$64-AY67</f>
        <v>0</v>
      </c>
      <c r="BU67" s="330">
        <f>'I-Project Contingency'!$E$65-AZ67</f>
        <v>0</v>
      </c>
      <c r="BV67" s="330">
        <f>'I-Project Contingency'!$E$66-BA67</f>
        <v>0</v>
      </c>
      <c r="BW67" s="330">
        <f>'I-Project Contingency'!$E$67-BB67</f>
        <v>0</v>
      </c>
      <c r="BX67" s="330">
        <f>'I-Project Contingency'!$E$68-BC67</f>
        <v>0</v>
      </c>
      <c r="BY67" s="330">
        <f>'I-Project Contingency'!$E$69-BD67</f>
        <v>0</v>
      </c>
      <c r="BZ67" s="330">
        <f>'I-Project Contingency'!$E$70-BE67</f>
        <v>0</v>
      </c>
      <c r="CA67" s="330">
        <f>'I-Project Contingency'!$E$71-BF67</f>
        <v>0</v>
      </c>
      <c r="CB67" s="330">
        <f>'I-Project Contingency'!$E$72-BG67</f>
        <v>0</v>
      </c>
      <c r="CC67" s="330">
        <f>'I-Project Contingency'!$E$73-BH67</f>
        <v>0</v>
      </c>
      <c r="CD67" s="330">
        <f>'I-Project Contingency'!$E$74-BI67</f>
        <v>0</v>
      </c>
      <c r="CE67" s="330">
        <f>'I-Project Contingency'!$E$75-BJ67</f>
        <v>0</v>
      </c>
      <c r="CF67" s="330">
        <f>'I-Project Contingency'!$E$76-BK67</f>
        <v>0</v>
      </c>
      <c r="CG67" s="330">
        <f>'I-Project Contingency'!$E$77-BL67</f>
        <v>0</v>
      </c>
      <c r="CH67" s="784">
        <f>'I-Project Contingency'!$E$78-BM67</f>
        <v>0</v>
      </c>
      <c r="CI67" s="330">
        <f>'I-Project Contingency'!$E$79-BN67</f>
        <v>0</v>
      </c>
      <c r="CJ67" s="330">
        <f>'I-Project Contingency'!$E$80-BO67</f>
        <v>0</v>
      </c>
      <c r="CK67" s="330">
        <f>'I-Project Contingency'!$E$81-BP67</f>
        <v>0</v>
      </c>
      <c r="CL67" s="331">
        <f>'I-Project Contingency'!$O$5-AG67</f>
        <v>0</v>
      </c>
      <c r="CM67" s="332">
        <v>-0.98711802853447173</v>
      </c>
      <c r="CN67" s="332">
        <v>-0.19547704728364468</v>
      </c>
      <c r="CO67" s="332">
        <v>0.126462150308498</v>
      </c>
      <c r="CP67" s="332">
        <v>0.45967989154545902</v>
      </c>
      <c r="CQ67" s="332">
        <v>0.78297319902744</v>
      </c>
      <c r="CR67" s="332">
        <v>1.0957191966482109</v>
      </c>
      <c r="CS67" s="332">
        <v>1.4418405003536849</v>
      </c>
      <c r="CT67" s="332">
        <v>1.801002404194165</v>
      </c>
      <c r="CU67" s="332">
        <v>2.1797608166947349</v>
      </c>
      <c r="CV67" s="332">
        <v>2.5671680610072478</v>
      </c>
      <c r="CW67" s="332">
        <v>2.9690760644797152</v>
      </c>
      <c r="CX67" s="332">
        <v>3.3964145469774811</v>
      </c>
      <c r="CY67" s="332">
        <v>3.864536087769562</v>
      </c>
      <c r="CZ67" s="332">
        <v>4.3569836138896116</v>
      </c>
      <c r="DA67" s="332">
        <v>4.8862357851222598</v>
      </c>
      <c r="DB67" s="332">
        <v>5.438836997347547</v>
      </c>
      <c r="DC67" s="332">
        <v>6.047993455908566</v>
      </c>
      <c r="DD67" s="785">
        <v>6.720204953601761</v>
      </c>
      <c r="DE67" s="333">
        <v>7.55131678090412</v>
      </c>
      <c r="DF67" s="332">
        <v>8.661446370835737</v>
      </c>
      <c r="DG67" s="332">
        <v>11.206316207857133</v>
      </c>
      <c r="DH67" s="332">
        <f>'I-Project Contingency'!$E$86-CM67</f>
        <v>0</v>
      </c>
      <c r="DI67" s="332">
        <f>'I-Project Contingency'!$E$87-CN67</f>
        <v>0</v>
      </c>
      <c r="DJ67" s="332">
        <f>'I-Project Contingency'!$E$88-CO67</f>
        <v>0</v>
      </c>
      <c r="DK67" s="332">
        <f>'I-Project Contingency'!$E$89-CP67</f>
        <v>0</v>
      </c>
      <c r="DL67" s="332">
        <f>'I-Project Contingency'!$E$90-CQ67</f>
        <v>0</v>
      </c>
      <c r="DM67" s="332">
        <f>'I-Project Contingency'!$E$91-CR67</f>
        <v>0</v>
      </c>
      <c r="DN67" s="332">
        <f>'I-Project Contingency'!$E$92-CS67</f>
        <v>0</v>
      </c>
      <c r="DO67" s="332">
        <f>'I-Project Contingency'!$E$93-CT67</f>
        <v>0</v>
      </c>
      <c r="DP67" s="332">
        <f>'I-Project Contingency'!$E$94-CU67</f>
        <v>0</v>
      </c>
      <c r="DQ67" s="332">
        <f>'I-Project Contingency'!$E$95-CV67</f>
        <v>0</v>
      </c>
      <c r="DR67" s="332">
        <f>'I-Project Contingency'!$E$96-CW67</f>
        <v>0</v>
      </c>
      <c r="DS67" s="332">
        <f>'I-Project Contingency'!$E$97-CX67</f>
        <v>0</v>
      </c>
      <c r="DT67" s="332">
        <f>'I-Project Contingency'!$E$98-CY67</f>
        <v>0</v>
      </c>
      <c r="DU67" s="332">
        <f>'I-Project Contingency'!$E$99-CZ67</f>
        <v>0</v>
      </c>
      <c r="DV67" s="332">
        <f>'I-Project Contingency'!$E$100-DA67</f>
        <v>0</v>
      </c>
      <c r="DW67" s="332">
        <f>'I-Project Contingency'!$E$101-DB67</f>
        <v>0</v>
      </c>
      <c r="DX67" s="332">
        <f>'I-Project Contingency'!$E$102-DC67</f>
        <v>0</v>
      </c>
      <c r="DY67" s="332">
        <f>'I-Project Contingency'!$E$103-DD67</f>
        <v>0</v>
      </c>
      <c r="DZ67" s="332">
        <f>'I-Project Contingency'!$E$104-DE67</f>
        <v>0</v>
      </c>
      <c r="EA67" s="332">
        <f>'I-Project Contingency'!$E$105-DF67</f>
        <v>0</v>
      </c>
      <c r="EB67" s="332">
        <f>'I-Project Contingency'!$E$106-DG67</f>
        <v>0</v>
      </c>
      <c r="EC67" s="334">
        <f>IF(EE67="N/A","N/A",ABS(INDEX(EE67:EY67,1,MATCH("ROM Cost Risk @ "&amp;'D-Project Data'!$C$6*100&amp;"%",$EE$17:$EY$17,0))))</f>
        <v>0</v>
      </c>
      <c r="ED67" s="335">
        <f>IF(EC67="N/A","N/A",RANK(EC67,$EC$18:$EC$117,0)+COUNTIF($EC$18:EC67,EC67)-1)</f>
        <v>50</v>
      </c>
      <c r="EE67" s="334">
        <f>IF(BQ67/SUM(BQ:BQ)*'I-Project Contingency'!$F$61=0,0,BQ67/SUM(BQ:BQ)*'I-Project Contingency'!$F$61)</f>
        <v>0</v>
      </c>
      <c r="EF67" s="334">
        <f>IF(BR67/SUM(BR:BR)*'I-Project Contingency'!$F$62=0,0,BR67/SUM(BR:BR)*'I-Project Contingency'!$F$62)</f>
        <v>0</v>
      </c>
      <c r="EG67" s="334">
        <f>IF(BS67/SUM(BS:BS)*'I-Project Contingency'!$F$63=0,0,BS67/SUM(BS:BS)*'I-Project Contingency'!$F$63)</f>
        <v>0</v>
      </c>
      <c r="EH67" s="334">
        <f>IF(BT67/SUM(BT:BT)*'I-Project Contingency'!$F$64=0,0,BT67/SUM(BT:BT)*'I-Project Contingency'!$F$64)</f>
        <v>0</v>
      </c>
      <c r="EI67" s="334">
        <f>IF(BU67/SUM(BU:BU)*'I-Project Contingency'!$F$65=0,0,BU67/SUM(BU:BU)*'I-Project Contingency'!$F$65)</f>
        <v>0</v>
      </c>
      <c r="EJ67" s="334">
        <f>IF(BV67/SUM(BV:BV)*'I-Project Contingency'!$F$66=0,0,BV67/SUM(BV:BV)*'I-Project Contingency'!$F$66)</f>
        <v>0</v>
      </c>
      <c r="EK67" s="334">
        <f>IF(BW67/SUM(BW:BW)*'I-Project Contingency'!$F$67=0,0,BW67/SUM(BW:BW)*'I-Project Contingency'!$F$67)</f>
        <v>0</v>
      </c>
      <c r="EL67" s="334">
        <f>IF(BX67/SUM(BX:BX)*'I-Project Contingency'!$F$68=0,0,BX67/SUM(BX:BX)*'I-Project Contingency'!$F$68)</f>
        <v>0</v>
      </c>
      <c r="EM67" s="334">
        <f>IF(BY67/SUM(BY:BY)*'I-Project Contingency'!$F$69=0,0,BY67/SUM(BY:BY)*'I-Project Contingency'!$F$69)</f>
        <v>0</v>
      </c>
      <c r="EN67" s="334">
        <f>IF(BZ67/SUM(BZ:BZ)*'I-Project Contingency'!$F$70=0,0,BZ67/SUM(BZ:BZ)*'I-Project Contingency'!$F$70)</f>
        <v>0</v>
      </c>
      <c r="EO67" s="334">
        <f>IF(CA67/SUM(CA:CA)*'I-Project Contingency'!$F$71=0,0,CA67/SUM(CA:CA)*'I-Project Contingency'!$F$71)</f>
        <v>0</v>
      </c>
      <c r="EP67" s="334">
        <f>IF(CB67/SUM(CB:CB)*'I-Project Contingency'!$F$72=0,0,CB67/SUM(CB:CB)*'I-Project Contingency'!$F$72)</f>
        <v>0</v>
      </c>
      <c r="EQ67" s="334">
        <f>IF(CC67/SUM(CC:CC)*'I-Project Contingency'!$F$73=0,0,CC67/SUM(CC:CC)*'I-Project Contingency'!$F$73)</f>
        <v>0</v>
      </c>
      <c r="ER67" s="334">
        <f>IF(CD67/SUM(CD:CD)*'I-Project Contingency'!$F$74=0,0,CD67/SUM(CD:CD)*'I-Project Contingency'!$F$74)</f>
        <v>0</v>
      </c>
      <c r="ES67" s="334">
        <f>IF(CE67/SUM(CE:CE)*'I-Project Contingency'!$F$75=0,0,CE67/SUM(CE:CE)*'I-Project Contingency'!$F$75)</f>
        <v>0</v>
      </c>
      <c r="ET67" s="334">
        <f>IF(CF67/SUM(CF:CF)*'I-Project Contingency'!$F$76=0,0,CF67/SUM(CF:CF)*'I-Project Contingency'!$F$76)</f>
        <v>0</v>
      </c>
      <c r="EU67" s="334">
        <f>IF(CG67/SUM(CG:CG)*'I-Project Contingency'!$F$77=0,0,CG67/SUM(CG:CG)*'I-Project Contingency'!$F$77)</f>
        <v>0</v>
      </c>
      <c r="EV67" s="787">
        <f>IF(CH67/SUM(CH:CH)*'I-Project Contingency'!$F$78=0,0,CH67/SUM(CH:CH)*'I-Project Contingency'!$F$78)</f>
        <v>0</v>
      </c>
      <c r="EW67" s="787">
        <f>IF(CI67/SUM(CI:CI)*'I-Project Contingency'!$F$79=0,0,CI67/SUM(CI:CI)*'I-Project Contingency'!$F$79)</f>
        <v>0</v>
      </c>
      <c r="EX67" s="787">
        <f>IF(CJ67/SUM(CJ:CJ)*'I-Project Contingency'!$F$80=0,0,CJ67/SUM(CJ:CJ)*'I-Project Contingency'!$F$80)</f>
        <v>0</v>
      </c>
      <c r="EY67" s="787">
        <f>IF(CK67/SUM(CK:CK)*'I-Project Contingency'!$F$81=0,0,CK67/SUM(CK:CK)*'I-Project Contingency'!$F$81)</f>
        <v>0</v>
      </c>
      <c r="EZ67" s="333">
        <f>IF(FB67="N/A","N/A",ABS(INDEX(FB67:FV67,1,MATCH("ROM Schedule Risk @ "&amp;'D-Project Data'!$C$6*100&amp;"%",$FB$17:$FV$17,0))))</f>
        <v>0</v>
      </c>
      <c r="FA67" s="335">
        <f>IF(EZ67="N/A","N/A",RANK(EZ67,$EZ$18:$EZ$117,0)+COUNTIF($FB$18:FB67,FB67)-1)</f>
        <v>50</v>
      </c>
      <c r="FB67" s="788">
        <f>IF(DH67/SUM(DH:DH)*'I-Project Contingency'!$F$86=0,0,DH67/SUM(DH:DH)*'I-Project Contingency'!$F$86)</f>
        <v>0</v>
      </c>
      <c r="FC67" s="788">
        <f>IF(DI67/SUM(DI:DI)*'I-Project Contingency'!$F$87=0,0,DI67/SUM(DI:DI)*'I-Project Contingency'!$F$87)</f>
        <v>0</v>
      </c>
      <c r="FD67" s="788">
        <f>IF(DJ67/SUM(DJ:DJ)*'I-Project Contingency'!$F$88=0,0,DJ67/SUM(DJ:DJ)*'I-Project Contingency'!$F$88)</f>
        <v>0</v>
      </c>
      <c r="FE67" s="788">
        <f>IF(DK67/SUM(DK:DK)*'I-Project Contingency'!$F$89=0,0,DK67/SUM(DK:DK)*'I-Project Contingency'!$F$89)</f>
        <v>0</v>
      </c>
      <c r="FF67" s="788">
        <f>IF(DL67/SUM(DL:DL)*'I-Project Contingency'!$F$90=0,0,DL67/SUM(DL:DL)*'I-Project Contingency'!$F$90)</f>
        <v>0</v>
      </c>
      <c r="FG67" s="788">
        <f>IF(DM67/SUM(DM:DM)*'I-Project Contingency'!$F$91=0,0,DM67/SUM(DM:DM)*'I-Project Contingency'!$F$91)</f>
        <v>0</v>
      </c>
      <c r="FH67" s="788">
        <f>IF(DN67/SUM(DN:DN)*'I-Project Contingency'!$F$92=0,0,DN67/SUM(DN:DN)*'I-Project Contingency'!$F$92)</f>
        <v>0</v>
      </c>
      <c r="FI67" s="788">
        <f>IF(DO67/SUM(DO:DO)*'I-Project Contingency'!$F$93=0,0,DO67/SUM(DO:DO)*'I-Project Contingency'!$F$93)</f>
        <v>0</v>
      </c>
      <c r="FJ67" s="788">
        <f>IF(DP67/SUM(DP:DP)*'I-Project Contingency'!$F$94=0,0,DP67/SUM(DP:DP)*'I-Project Contingency'!$F$94)</f>
        <v>0</v>
      </c>
      <c r="FK67" s="788">
        <f>IF(DQ67/SUM(DQ:DQ)*'I-Project Contingency'!$F$95=0,0,DQ67/SUM(DQ:DQ)*'I-Project Contingency'!$F$95)</f>
        <v>0</v>
      </c>
      <c r="FL67" s="788">
        <f>IF(DR67/SUM(DR:DR)*'I-Project Contingency'!$F$96=0,0,DR67/SUM(DR:DR)*'I-Project Contingency'!$F$96)</f>
        <v>0</v>
      </c>
      <c r="FM67" s="788">
        <f>IF(DS67/SUM(DS:DS)*'I-Project Contingency'!$F$97=0,0,DS67/SUM(DS:DS)*'I-Project Contingency'!$F$97)</f>
        <v>0</v>
      </c>
      <c r="FN67" s="788">
        <f>IF(DT67/SUM(DT:DT)*'I-Project Contingency'!$F$98=0,0,DT67/SUM(DT:DT)*'I-Project Contingency'!$F$98)</f>
        <v>0</v>
      </c>
      <c r="FO67" s="788">
        <f>IF(DU67/SUM(DU:DU)*'I-Project Contingency'!$F$99=0,0,DU67/SUM(DU:DU)*'I-Project Contingency'!$F$99)</f>
        <v>0</v>
      </c>
      <c r="FP67" s="788">
        <f>IF(DV67/SUM(DV:DV)*'I-Project Contingency'!$F$100=0,0,DV67/SUM(DV:DV)*'I-Project Contingency'!$F$100)</f>
        <v>0</v>
      </c>
      <c r="FQ67" s="788">
        <f>IF(DW67/SUM(DW:DW)*'I-Project Contingency'!$F$101=0,0,DW67/SUM(DW:DW)*'I-Project Contingency'!$F$101)</f>
        <v>0</v>
      </c>
      <c r="FR67" s="788">
        <f>IF(DX67/SUM(DX:DX)*'I-Project Contingency'!$F$102=0,0,DX67/SUM(DX:DX)*'I-Project Contingency'!$F$102)</f>
        <v>0</v>
      </c>
      <c r="FS67" s="788">
        <f>IF(DY67/SUM(DY:DY)*'I-Project Contingency'!$F$103=0,0,DY67/SUM(DY:DY)*'I-Project Contingency'!$F$103)</f>
        <v>0</v>
      </c>
      <c r="FT67" s="788">
        <f>IF(DZ67/SUM(DZ:DZ)*'I-Project Contingency'!$F$104=0,0,DZ67/SUM(DZ:DZ)*'I-Project Contingency'!$F$104)</f>
        <v>0</v>
      </c>
      <c r="FU67" s="788">
        <f>IF(EA67/SUM(EA:EA)*'I-Project Contingency'!$F$105=0,0,EA67/SUM(EA:EA)*'I-Project Contingency'!$F$105)</f>
        <v>0</v>
      </c>
      <c r="FV67" s="788">
        <f>IF(EB67/SUM(EB:EB)*'I-Project Contingency'!$F$106=0,0,EB67/SUM(EB:EB)*'I-Project Contingency'!$F$106)</f>
        <v>0</v>
      </c>
      <c r="FW67" s="335">
        <f t="shared" si="37"/>
        <v>50</v>
      </c>
      <c r="FX67" s="336" t="str">
        <f t="shared" si="38"/>
        <v xml:space="preserve">50 -  </v>
      </c>
      <c r="FY67" s="330">
        <f t="shared" si="43"/>
        <v>0</v>
      </c>
      <c r="FZ67" s="330">
        <f t="shared" si="44"/>
        <v>0</v>
      </c>
      <c r="GA67" s="332">
        <f t="shared" si="39"/>
        <v>0</v>
      </c>
      <c r="GB67" s="332">
        <f t="shared" si="40"/>
        <v>0</v>
      </c>
    </row>
    <row r="68" spans="1:184" ht="30" x14ac:dyDescent="0.25">
      <c r="A68" s="163">
        <f t="shared" si="23"/>
        <v>51</v>
      </c>
      <c r="B68" s="727" t="s">
        <v>728</v>
      </c>
      <c r="C68" s="729" t="s">
        <v>659</v>
      </c>
      <c r="D68" s="729" t="s">
        <v>659</v>
      </c>
      <c r="E68" s="729" t="s">
        <v>659</v>
      </c>
      <c r="F68" s="728" t="s">
        <v>728</v>
      </c>
      <c r="G68" s="728" t="s">
        <v>728</v>
      </c>
      <c r="H68" s="157" t="str">
        <f>IFERROR(IF('H-Risk Register-Model'!F68="Certain","Relook at Basis of Estimate",INDEX('G-Assumptions'!$F$8:$J$11,MATCH(F68,'G-Assumptions'!$D$8:$D$11,0),MATCH(G68,'G-Assumptions'!$F$6:$J$6,0))),"Unrated")</f>
        <v>Unrated</v>
      </c>
      <c r="I68" s="728" t="s">
        <v>728</v>
      </c>
      <c r="J68" s="157" t="str">
        <f>IFERROR(IF('H-Risk Register-Model'!F68="Certain","Relook at Basis of Estimate",INDEX('G-Assumptions'!$F$8:$J$11,MATCH(F68,'G-Assumptions'!$D$8:$D$11,0),MATCH(I68,'G-Assumptions'!$F$6:$J$6,0))),"Unrated")</f>
        <v>Unrated</v>
      </c>
      <c r="K68" s="728" t="s">
        <v>728</v>
      </c>
      <c r="L68" s="728" t="s">
        <v>728</v>
      </c>
      <c r="M68" s="728"/>
      <c r="N68" s="731" t="s">
        <v>728</v>
      </c>
      <c r="O68" s="731" t="s">
        <v>728</v>
      </c>
      <c r="P68" s="732"/>
      <c r="Q68" s="732"/>
      <c r="R68" s="732"/>
      <c r="S68" s="733"/>
      <c r="T68" s="733"/>
      <c r="U68" s="733"/>
      <c r="V68" s="734"/>
      <c r="W68" s="732"/>
      <c r="X68" s="732"/>
      <c r="Y68" s="735">
        <v>1</v>
      </c>
      <c r="Z68" s="736">
        <v>1</v>
      </c>
      <c r="AA68" s="166">
        <f t="shared" si="19"/>
        <v>0</v>
      </c>
      <c r="AB68" s="166">
        <f t="shared" si="20"/>
        <v>0</v>
      </c>
      <c r="AC68" s="166">
        <f t="shared" si="21"/>
        <v>0</v>
      </c>
      <c r="AD68" s="166"/>
      <c r="AE68" s="164">
        <f t="shared" si="41"/>
        <v>0</v>
      </c>
      <c r="AF68" s="167"/>
      <c r="AG68" s="165">
        <f t="shared" si="42"/>
        <v>0</v>
      </c>
      <c r="AH68" s="729"/>
      <c r="AI68" s="729"/>
      <c r="AJ68" s="8"/>
      <c r="AK68" s="495" t="str">
        <f t="shared" si="30"/>
        <v>No</v>
      </c>
      <c r="AL68" s="496">
        <f>'I-Project Contingency'!$I$4</f>
        <v>9000000</v>
      </c>
      <c r="AM68" s="326">
        <f>'I-Project Contingency'!$I$11</f>
        <v>23.978102189781023</v>
      </c>
      <c r="AN68" s="325">
        <f t="shared" si="31"/>
        <v>0</v>
      </c>
      <c r="AO68" s="326">
        <f t="shared" si="32"/>
        <v>0</v>
      </c>
      <c r="AP68" s="641" t="str">
        <f t="shared" si="33"/>
        <v/>
      </c>
      <c r="AQ68" s="641" t="str">
        <f t="shared" si="34"/>
        <v/>
      </c>
      <c r="AR68" s="497" t="str">
        <f t="shared" si="35"/>
        <v/>
      </c>
      <c r="AS68" s="497" t="str">
        <f t="shared" si="36"/>
        <v/>
      </c>
      <c r="AT68" s="8"/>
      <c r="AU68" s="329">
        <f>'I-Project Contingency'!$O$4-AE68</f>
        <v>0</v>
      </c>
      <c r="AV68" s="330">
        <v>-240515.59579276721</v>
      </c>
      <c r="AW68" s="330">
        <v>28172.931401335634</v>
      </c>
      <c r="AX68" s="330">
        <v>193478.84467429668</v>
      </c>
      <c r="AY68" s="330">
        <v>361668.20104834624</v>
      </c>
      <c r="AZ68" s="330">
        <v>524446.91524262261</v>
      </c>
      <c r="BA68" s="330">
        <v>704023.56387635041</v>
      </c>
      <c r="BB68" s="330">
        <v>886394.06956240814</v>
      </c>
      <c r="BC68" s="330">
        <v>1079363.7165157665</v>
      </c>
      <c r="BD68" s="330">
        <v>1280180.1532065615</v>
      </c>
      <c r="BE68" s="330">
        <v>1485323.8019108465</v>
      </c>
      <c r="BF68" s="330">
        <v>1703758.8827524669</v>
      </c>
      <c r="BG68" s="330">
        <v>1949523.4346483489</v>
      </c>
      <c r="BH68" s="330">
        <v>2177897.1603371189</v>
      </c>
      <c r="BI68" s="330">
        <v>2429374.4260425912</v>
      </c>
      <c r="BJ68" s="330">
        <v>2717092.7449284913</v>
      </c>
      <c r="BK68" s="330">
        <v>3010093.6968918457</v>
      </c>
      <c r="BL68" s="330">
        <v>3325414.5894657462</v>
      </c>
      <c r="BM68" s="330">
        <v>3690425.9159493577</v>
      </c>
      <c r="BN68" s="330">
        <v>4143935.1706127762</v>
      </c>
      <c r="BO68" s="330">
        <v>4722651.1159141911</v>
      </c>
      <c r="BP68" s="330">
        <v>5992048.8629153483</v>
      </c>
      <c r="BQ68" s="330">
        <f>'I-Project Contingency'!$E$61-AV68</f>
        <v>0</v>
      </c>
      <c r="BR68" s="330">
        <f>'I-Project Contingency'!$E$62-AW68</f>
        <v>0</v>
      </c>
      <c r="BS68" s="330">
        <f>'I-Project Contingency'!$E$63-AX68</f>
        <v>0</v>
      </c>
      <c r="BT68" s="330">
        <f>'I-Project Contingency'!$E$64-AY68</f>
        <v>0</v>
      </c>
      <c r="BU68" s="330">
        <f>'I-Project Contingency'!$E$65-AZ68</f>
        <v>0</v>
      </c>
      <c r="BV68" s="330">
        <f>'I-Project Contingency'!$E$66-BA68</f>
        <v>0</v>
      </c>
      <c r="BW68" s="330">
        <f>'I-Project Contingency'!$E$67-BB68</f>
        <v>0</v>
      </c>
      <c r="BX68" s="330">
        <f>'I-Project Contingency'!$E$68-BC68</f>
        <v>0</v>
      </c>
      <c r="BY68" s="330">
        <f>'I-Project Contingency'!$E$69-BD68</f>
        <v>0</v>
      </c>
      <c r="BZ68" s="330">
        <f>'I-Project Contingency'!$E$70-BE68</f>
        <v>0</v>
      </c>
      <c r="CA68" s="330">
        <f>'I-Project Contingency'!$E$71-BF68</f>
        <v>0</v>
      </c>
      <c r="CB68" s="330">
        <f>'I-Project Contingency'!$E$72-BG68</f>
        <v>0</v>
      </c>
      <c r="CC68" s="330">
        <f>'I-Project Contingency'!$E$73-BH68</f>
        <v>0</v>
      </c>
      <c r="CD68" s="330">
        <f>'I-Project Contingency'!$E$74-BI68</f>
        <v>0</v>
      </c>
      <c r="CE68" s="330">
        <f>'I-Project Contingency'!$E$75-BJ68</f>
        <v>0</v>
      </c>
      <c r="CF68" s="330">
        <f>'I-Project Contingency'!$E$76-BK68</f>
        <v>0</v>
      </c>
      <c r="CG68" s="330">
        <f>'I-Project Contingency'!$E$77-BL68</f>
        <v>0</v>
      </c>
      <c r="CH68" s="784">
        <f>'I-Project Contingency'!$E$78-BM68</f>
        <v>0</v>
      </c>
      <c r="CI68" s="330">
        <f>'I-Project Contingency'!$E$79-BN68</f>
        <v>0</v>
      </c>
      <c r="CJ68" s="330">
        <f>'I-Project Contingency'!$E$80-BO68</f>
        <v>0</v>
      </c>
      <c r="CK68" s="330">
        <f>'I-Project Contingency'!$E$81-BP68</f>
        <v>0</v>
      </c>
      <c r="CL68" s="331">
        <f>'I-Project Contingency'!$O$5-AG68</f>
        <v>0</v>
      </c>
      <c r="CM68" s="332">
        <v>-0.98711802853447173</v>
      </c>
      <c r="CN68" s="332">
        <v>-0.19547704728364468</v>
      </c>
      <c r="CO68" s="332">
        <v>0.126462150308498</v>
      </c>
      <c r="CP68" s="332">
        <v>0.45967989154545902</v>
      </c>
      <c r="CQ68" s="332">
        <v>0.78297319902744</v>
      </c>
      <c r="CR68" s="332">
        <v>1.0957191966482109</v>
      </c>
      <c r="CS68" s="332">
        <v>1.4418405003536849</v>
      </c>
      <c r="CT68" s="332">
        <v>1.801002404194165</v>
      </c>
      <c r="CU68" s="332">
        <v>2.1797608166947349</v>
      </c>
      <c r="CV68" s="332">
        <v>2.5671680610072478</v>
      </c>
      <c r="CW68" s="332">
        <v>2.9690760644797152</v>
      </c>
      <c r="CX68" s="332">
        <v>3.3964145469774811</v>
      </c>
      <c r="CY68" s="332">
        <v>3.864536087769562</v>
      </c>
      <c r="CZ68" s="332">
        <v>4.3569836138896116</v>
      </c>
      <c r="DA68" s="332">
        <v>4.8862357851222598</v>
      </c>
      <c r="DB68" s="332">
        <v>5.438836997347547</v>
      </c>
      <c r="DC68" s="332">
        <v>6.047993455908566</v>
      </c>
      <c r="DD68" s="785">
        <v>6.720204953601761</v>
      </c>
      <c r="DE68" s="333">
        <v>7.55131678090412</v>
      </c>
      <c r="DF68" s="332">
        <v>8.661446370835737</v>
      </c>
      <c r="DG68" s="332">
        <v>11.206316207857133</v>
      </c>
      <c r="DH68" s="332">
        <f>'I-Project Contingency'!$E$86-CM68</f>
        <v>0</v>
      </c>
      <c r="DI68" s="332">
        <f>'I-Project Contingency'!$E$87-CN68</f>
        <v>0</v>
      </c>
      <c r="DJ68" s="332">
        <f>'I-Project Contingency'!$E$88-CO68</f>
        <v>0</v>
      </c>
      <c r="DK68" s="332">
        <f>'I-Project Contingency'!$E$89-CP68</f>
        <v>0</v>
      </c>
      <c r="DL68" s="332">
        <f>'I-Project Contingency'!$E$90-CQ68</f>
        <v>0</v>
      </c>
      <c r="DM68" s="332">
        <f>'I-Project Contingency'!$E$91-CR68</f>
        <v>0</v>
      </c>
      <c r="DN68" s="332">
        <f>'I-Project Contingency'!$E$92-CS68</f>
        <v>0</v>
      </c>
      <c r="DO68" s="332">
        <f>'I-Project Contingency'!$E$93-CT68</f>
        <v>0</v>
      </c>
      <c r="DP68" s="332">
        <f>'I-Project Contingency'!$E$94-CU68</f>
        <v>0</v>
      </c>
      <c r="DQ68" s="332">
        <f>'I-Project Contingency'!$E$95-CV68</f>
        <v>0</v>
      </c>
      <c r="DR68" s="332">
        <f>'I-Project Contingency'!$E$96-CW68</f>
        <v>0</v>
      </c>
      <c r="DS68" s="332">
        <f>'I-Project Contingency'!$E$97-CX68</f>
        <v>0</v>
      </c>
      <c r="DT68" s="332">
        <f>'I-Project Contingency'!$E$98-CY68</f>
        <v>0</v>
      </c>
      <c r="DU68" s="332">
        <f>'I-Project Contingency'!$E$99-CZ68</f>
        <v>0</v>
      </c>
      <c r="DV68" s="332">
        <f>'I-Project Contingency'!$E$100-DA68</f>
        <v>0</v>
      </c>
      <c r="DW68" s="332">
        <f>'I-Project Contingency'!$E$101-DB68</f>
        <v>0</v>
      </c>
      <c r="DX68" s="332">
        <f>'I-Project Contingency'!$E$102-DC68</f>
        <v>0</v>
      </c>
      <c r="DY68" s="332">
        <f>'I-Project Contingency'!$E$103-DD68</f>
        <v>0</v>
      </c>
      <c r="DZ68" s="332">
        <f>'I-Project Contingency'!$E$104-DE68</f>
        <v>0</v>
      </c>
      <c r="EA68" s="332">
        <f>'I-Project Contingency'!$E$105-DF68</f>
        <v>0</v>
      </c>
      <c r="EB68" s="332">
        <f>'I-Project Contingency'!$E$106-DG68</f>
        <v>0</v>
      </c>
      <c r="EC68" s="334">
        <f>IF(EE68="N/A","N/A",ABS(INDEX(EE68:EY68,1,MATCH("ROM Cost Risk @ "&amp;'D-Project Data'!$C$6*100&amp;"%",$EE$17:$EY$17,0))))</f>
        <v>0</v>
      </c>
      <c r="ED68" s="335">
        <f>IF(EC68="N/A","N/A",RANK(EC68,$EC$18:$EC$117,0)+COUNTIF($EC$18:EC68,EC68)-1)</f>
        <v>51</v>
      </c>
      <c r="EE68" s="334">
        <f>IF(BQ68/SUM(BQ:BQ)*'I-Project Contingency'!$F$61=0,0,BQ68/SUM(BQ:BQ)*'I-Project Contingency'!$F$61)</f>
        <v>0</v>
      </c>
      <c r="EF68" s="334">
        <f>IF(BR68/SUM(BR:BR)*'I-Project Contingency'!$F$62=0,0,BR68/SUM(BR:BR)*'I-Project Contingency'!$F$62)</f>
        <v>0</v>
      </c>
      <c r="EG68" s="334">
        <f>IF(BS68/SUM(BS:BS)*'I-Project Contingency'!$F$63=0,0,BS68/SUM(BS:BS)*'I-Project Contingency'!$F$63)</f>
        <v>0</v>
      </c>
      <c r="EH68" s="334">
        <f>IF(BT68/SUM(BT:BT)*'I-Project Contingency'!$F$64=0,0,BT68/SUM(BT:BT)*'I-Project Contingency'!$F$64)</f>
        <v>0</v>
      </c>
      <c r="EI68" s="334">
        <f>IF(BU68/SUM(BU:BU)*'I-Project Contingency'!$F$65=0,0,BU68/SUM(BU:BU)*'I-Project Contingency'!$F$65)</f>
        <v>0</v>
      </c>
      <c r="EJ68" s="334">
        <f>IF(BV68/SUM(BV:BV)*'I-Project Contingency'!$F$66=0,0,BV68/SUM(BV:BV)*'I-Project Contingency'!$F$66)</f>
        <v>0</v>
      </c>
      <c r="EK68" s="334">
        <f>IF(BW68/SUM(BW:BW)*'I-Project Contingency'!$F$67=0,0,BW68/SUM(BW:BW)*'I-Project Contingency'!$F$67)</f>
        <v>0</v>
      </c>
      <c r="EL68" s="334">
        <f>IF(BX68/SUM(BX:BX)*'I-Project Contingency'!$F$68=0,0,BX68/SUM(BX:BX)*'I-Project Contingency'!$F$68)</f>
        <v>0</v>
      </c>
      <c r="EM68" s="334">
        <f>IF(BY68/SUM(BY:BY)*'I-Project Contingency'!$F$69=0,0,BY68/SUM(BY:BY)*'I-Project Contingency'!$F$69)</f>
        <v>0</v>
      </c>
      <c r="EN68" s="334">
        <f>IF(BZ68/SUM(BZ:BZ)*'I-Project Contingency'!$F$70=0,0,BZ68/SUM(BZ:BZ)*'I-Project Contingency'!$F$70)</f>
        <v>0</v>
      </c>
      <c r="EO68" s="334">
        <f>IF(CA68/SUM(CA:CA)*'I-Project Contingency'!$F$71=0,0,CA68/SUM(CA:CA)*'I-Project Contingency'!$F$71)</f>
        <v>0</v>
      </c>
      <c r="EP68" s="334">
        <f>IF(CB68/SUM(CB:CB)*'I-Project Contingency'!$F$72=0,0,CB68/SUM(CB:CB)*'I-Project Contingency'!$F$72)</f>
        <v>0</v>
      </c>
      <c r="EQ68" s="334">
        <f>IF(CC68/SUM(CC:CC)*'I-Project Contingency'!$F$73=0,0,CC68/SUM(CC:CC)*'I-Project Contingency'!$F$73)</f>
        <v>0</v>
      </c>
      <c r="ER68" s="334">
        <f>IF(CD68/SUM(CD:CD)*'I-Project Contingency'!$F$74=0,0,CD68/SUM(CD:CD)*'I-Project Contingency'!$F$74)</f>
        <v>0</v>
      </c>
      <c r="ES68" s="334">
        <f>IF(CE68/SUM(CE:CE)*'I-Project Contingency'!$F$75=0,0,CE68/SUM(CE:CE)*'I-Project Contingency'!$F$75)</f>
        <v>0</v>
      </c>
      <c r="ET68" s="334">
        <f>IF(CF68/SUM(CF:CF)*'I-Project Contingency'!$F$76=0,0,CF68/SUM(CF:CF)*'I-Project Contingency'!$F$76)</f>
        <v>0</v>
      </c>
      <c r="EU68" s="334">
        <f>IF(CG68/SUM(CG:CG)*'I-Project Contingency'!$F$77=0,0,CG68/SUM(CG:CG)*'I-Project Contingency'!$F$77)</f>
        <v>0</v>
      </c>
      <c r="EV68" s="787">
        <f>IF(CH68/SUM(CH:CH)*'I-Project Contingency'!$F$78=0,0,CH68/SUM(CH:CH)*'I-Project Contingency'!$F$78)</f>
        <v>0</v>
      </c>
      <c r="EW68" s="787">
        <f>IF(CI68/SUM(CI:CI)*'I-Project Contingency'!$F$79=0,0,CI68/SUM(CI:CI)*'I-Project Contingency'!$F$79)</f>
        <v>0</v>
      </c>
      <c r="EX68" s="787">
        <f>IF(CJ68/SUM(CJ:CJ)*'I-Project Contingency'!$F$80=0,0,CJ68/SUM(CJ:CJ)*'I-Project Contingency'!$F$80)</f>
        <v>0</v>
      </c>
      <c r="EY68" s="787">
        <f>IF(CK68/SUM(CK:CK)*'I-Project Contingency'!$F$81=0,0,CK68/SUM(CK:CK)*'I-Project Contingency'!$F$81)</f>
        <v>0</v>
      </c>
      <c r="EZ68" s="333">
        <f>IF(FB68="N/A","N/A",ABS(INDEX(FB68:FV68,1,MATCH("ROM Schedule Risk @ "&amp;'D-Project Data'!$C$6*100&amp;"%",$FB$17:$FV$17,0))))</f>
        <v>0</v>
      </c>
      <c r="FA68" s="335">
        <f>IF(EZ68="N/A","N/A",RANK(EZ68,$EZ$18:$EZ$117,0)+COUNTIF($FB$18:FB68,FB68)-1)</f>
        <v>51</v>
      </c>
      <c r="FB68" s="788">
        <f>IF(DH68/SUM(DH:DH)*'I-Project Contingency'!$F$86=0,0,DH68/SUM(DH:DH)*'I-Project Contingency'!$F$86)</f>
        <v>0</v>
      </c>
      <c r="FC68" s="788">
        <f>IF(DI68/SUM(DI:DI)*'I-Project Contingency'!$F$87=0,0,DI68/SUM(DI:DI)*'I-Project Contingency'!$F$87)</f>
        <v>0</v>
      </c>
      <c r="FD68" s="788">
        <f>IF(DJ68/SUM(DJ:DJ)*'I-Project Contingency'!$F$88=0,0,DJ68/SUM(DJ:DJ)*'I-Project Contingency'!$F$88)</f>
        <v>0</v>
      </c>
      <c r="FE68" s="788">
        <f>IF(DK68/SUM(DK:DK)*'I-Project Contingency'!$F$89=0,0,DK68/SUM(DK:DK)*'I-Project Contingency'!$F$89)</f>
        <v>0</v>
      </c>
      <c r="FF68" s="788">
        <f>IF(DL68/SUM(DL:DL)*'I-Project Contingency'!$F$90=0,0,DL68/SUM(DL:DL)*'I-Project Contingency'!$F$90)</f>
        <v>0</v>
      </c>
      <c r="FG68" s="788">
        <f>IF(DM68/SUM(DM:DM)*'I-Project Contingency'!$F$91=0,0,DM68/SUM(DM:DM)*'I-Project Contingency'!$F$91)</f>
        <v>0</v>
      </c>
      <c r="FH68" s="788">
        <f>IF(DN68/SUM(DN:DN)*'I-Project Contingency'!$F$92=0,0,DN68/SUM(DN:DN)*'I-Project Contingency'!$F$92)</f>
        <v>0</v>
      </c>
      <c r="FI68" s="788">
        <f>IF(DO68/SUM(DO:DO)*'I-Project Contingency'!$F$93=0,0,DO68/SUM(DO:DO)*'I-Project Contingency'!$F$93)</f>
        <v>0</v>
      </c>
      <c r="FJ68" s="788">
        <f>IF(DP68/SUM(DP:DP)*'I-Project Contingency'!$F$94=0,0,DP68/SUM(DP:DP)*'I-Project Contingency'!$F$94)</f>
        <v>0</v>
      </c>
      <c r="FK68" s="788">
        <f>IF(DQ68/SUM(DQ:DQ)*'I-Project Contingency'!$F$95=0,0,DQ68/SUM(DQ:DQ)*'I-Project Contingency'!$F$95)</f>
        <v>0</v>
      </c>
      <c r="FL68" s="788">
        <f>IF(DR68/SUM(DR:DR)*'I-Project Contingency'!$F$96=0,0,DR68/SUM(DR:DR)*'I-Project Contingency'!$F$96)</f>
        <v>0</v>
      </c>
      <c r="FM68" s="788">
        <f>IF(DS68/SUM(DS:DS)*'I-Project Contingency'!$F$97=0,0,DS68/SUM(DS:DS)*'I-Project Contingency'!$F$97)</f>
        <v>0</v>
      </c>
      <c r="FN68" s="788">
        <f>IF(DT68/SUM(DT:DT)*'I-Project Contingency'!$F$98=0,0,DT68/SUM(DT:DT)*'I-Project Contingency'!$F$98)</f>
        <v>0</v>
      </c>
      <c r="FO68" s="788">
        <f>IF(DU68/SUM(DU:DU)*'I-Project Contingency'!$F$99=0,0,DU68/SUM(DU:DU)*'I-Project Contingency'!$F$99)</f>
        <v>0</v>
      </c>
      <c r="FP68" s="788">
        <f>IF(DV68/SUM(DV:DV)*'I-Project Contingency'!$F$100=0,0,DV68/SUM(DV:DV)*'I-Project Contingency'!$F$100)</f>
        <v>0</v>
      </c>
      <c r="FQ68" s="788">
        <f>IF(DW68/SUM(DW:DW)*'I-Project Contingency'!$F$101=0,0,DW68/SUM(DW:DW)*'I-Project Contingency'!$F$101)</f>
        <v>0</v>
      </c>
      <c r="FR68" s="788">
        <f>IF(DX68/SUM(DX:DX)*'I-Project Contingency'!$F$102=0,0,DX68/SUM(DX:DX)*'I-Project Contingency'!$F$102)</f>
        <v>0</v>
      </c>
      <c r="FS68" s="788">
        <f>IF(DY68/SUM(DY:DY)*'I-Project Contingency'!$F$103=0,0,DY68/SUM(DY:DY)*'I-Project Contingency'!$F$103)</f>
        <v>0</v>
      </c>
      <c r="FT68" s="788">
        <f>IF(DZ68/SUM(DZ:DZ)*'I-Project Contingency'!$F$104=0,0,DZ68/SUM(DZ:DZ)*'I-Project Contingency'!$F$104)</f>
        <v>0</v>
      </c>
      <c r="FU68" s="788">
        <f>IF(EA68/SUM(EA:EA)*'I-Project Contingency'!$F$105=0,0,EA68/SUM(EA:EA)*'I-Project Contingency'!$F$105)</f>
        <v>0</v>
      </c>
      <c r="FV68" s="788">
        <f>IF(EB68/SUM(EB:EB)*'I-Project Contingency'!$F$106=0,0,EB68/SUM(EB:EB)*'I-Project Contingency'!$F$106)</f>
        <v>0</v>
      </c>
      <c r="FW68" s="335">
        <f t="shared" si="37"/>
        <v>51</v>
      </c>
      <c r="FX68" s="336" t="str">
        <f t="shared" si="38"/>
        <v xml:space="preserve">51 -  </v>
      </c>
      <c r="FY68" s="330">
        <f t="shared" si="43"/>
        <v>0</v>
      </c>
      <c r="FZ68" s="330">
        <f t="shared" si="44"/>
        <v>0</v>
      </c>
      <c r="GA68" s="332">
        <f t="shared" si="39"/>
        <v>0</v>
      </c>
      <c r="GB68" s="332">
        <f t="shared" si="40"/>
        <v>0</v>
      </c>
    </row>
    <row r="69" spans="1:184" ht="30" x14ac:dyDescent="0.25">
      <c r="A69" s="163">
        <f t="shared" si="23"/>
        <v>52</v>
      </c>
      <c r="B69" s="727" t="s">
        <v>728</v>
      </c>
      <c r="C69" s="729" t="s">
        <v>659</v>
      </c>
      <c r="D69" s="729" t="s">
        <v>659</v>
      </c>
      <c r="E69" s="729" t="s">
        <v>659</v>
      </c>
      <c r="F69" s="728" t="s">
        <v>728</v>
      </c>
      <c r="G69" s="728" t="s">
        <v>728</v>
      </c>
      <c r="H69" s="157" t="str">
        <f>IFERROR(IF('H-Risk Register-Model'!F69="Certain","Relook at Basis of Estimate",INDEX('G-Assumptions'!$F$8:$J$11,MATCH(F69,'G-Assumptions'!$D$8:$D$11,0),MATCH(G69,'G-Assumptions'!$F$6:$J$6,0))),"Unrated")</f>
        <v>Unrated</v>
      </c>
      <c r="I69" s="728" t="s">
        <v>728</v>
      </c>
      <c r="J69" s="157" t="str">
        <f>IFERROR(IF('H-Risk Register-Model'!F69="Certain","Relook at Basis of Estimate",INDEX('G-Assumptions'!$F$8:$J$11,MATCH(F69,'G-Assumptions'!$D$8:$D$11,0),MATCH(I69,'G-Assumptions'!$F$6:$J$6,0))),"Unrated")</f>
        <v>Unrated</v>
      </c>
      <c r="K69" s="728" t="s">
        <v>728</v>
      </c>
      <c r="L69" s="728" t="s">
        <v>728</v>
      </c>
      <c r="M69" s="728"/>
      <c r="N69" s="731" t="s">
        <v>728</v>
      </c>
      <c r="O69" s="731" t="s">
        <v>728</v>
      </c>
      <c r="P69" s="732"/>
      <c r="Q69" s="732"/>
      <c r="R69" s="732"/>
      <c r="S69" s="733"/>
      <c r="T69" s="733"/>
      <c r="U69" s="733"/>
      <c r="V69" s="734"/>
      <c r="W69" s="732"/>
      <c r="X69" s="732"/>
      <c r="Y69" s="735">
        <v>1</v>
      </c>
      <c r="Z69" s="736">
        <v>1</v>
      </c>
      <c r="AA69" s="166">
        <f t="shared" si="19"/>
        <v>0</v>
      </c>
      <c r="AB69" s="166">
        <f t="shared" si="20"/>
        <v>0</v>
      </c>
      <c r="AC69" s="166">
        <f t="shared" si="21"/>
        <v>0</v>
      </c>
      <c r="AD69" s="166"/>
      <c r="AE69" s="164">
        <f t="shared" si="41"/>
        <v>0</v>
      </c>
      <c r="AF69" s="167"/>
      <c r="AG69" s="165">
        <f t="shared" si="42"/>
        <v>0</v>
      </c>
      <c r="AH69" s="729"/>
      <c r="AI69" s="729"/>
      <c r="AJ69" s="8"/>
      <c r="AK69" s="495" t="str">
        <f t="shared" si="30"/>
        <v>No</v>
      </c>
      <c r="AL69" s="496">
        <f>'I-Project Contingency'!$I$4</f>
        <v>9000000</v>
      </c>
      <c r="AM69" s="326">
        <f>'I-Project Contingency'!$I$11</f>
        <v>23.978102189781023</v>
      </c>
      <c r="AN69" s="325">
        <f t="shared" si="31"/>
        <v>0</v>
      </c>
      <c r="AO69" s="326">
        <f t="shared" si="32"/>
        <v>0</v>
      </c>
      <c r="AP69" s="641" t="str">
        <f t="shared" si="33"/>
        <v/>
      </c>
      <c r="AQ69" s="641" t="str">
        <f t="shared" si="34"/>
        <v/>
      </c>
      <c r="AR69" s="497" t="str">
        <f t="shared" si="35"/>
        <v/>
      </c>
      <c r="AS69" s="497" t="str">
        <f t="shared" si="36"/>
        <v/>
      </c>
      <c r="AT69" s="8"/>
      <c r="AU69" s="329">
        <f>'I-Project Contingency'!$O$4-AE69</f>
        <v>0</v>
      </c>
      <c r="AV69" s="330">
        <v>-240515.59579276721</v>
      </c>
      <c r="AW69" s="330">
        <v>28172.931401335634</v>
      </c>
      <c r="AX69" s="330">
        <v>193478.84467429668</v>
      </c>
      <c r="AY69" s="330">
        <v>361668.20104834624</v>
      </c>
      <c r="AZ69" s="330">
        <v>524446.91524262261</v>
      </c>
      <c r="BA69" s="330">
        <v>704023.56387635041</v>
      </c>
      <c r="BB69" s="330">
        <v>886394.06956240814</v>
      </c>
      <c r="BC69" s="330">
        <v>1079363.7165157665</v>
      </c>
      <c r="BD69" s="330">
        <v>1280180.1532065615</v>
      </c>
      <c r="BE69" s="330">
        <v>1485323.8019108465</v>
      </c>
      <c r="BF69" s="330">
        <v>1703758.8827524669</v>
      </c>
      <c r="BG69" s="330">
        <v>1949523.4346483489</v>
      </c>
      <c r="BH69" s="330">
        <v>2177897.1603371189</v>
      </c>
      <c r="BI69" s="330">
        <v>2429374.4260425912</v>
      </c>
      <c r="BJ69" s="330">
        <v>2717092.7449284913</v>
      </c>
      <c r="BK69" s="330">
        <v>3010093.6968918457</v>
      </c>
      <c r="BL69" s="330">
        <v>3325414.5894657462</v>
      </c>
      <c r="BM69" s="330">
        <v>3690425.9159493577</v>
      </c>
      <c r="BN69" s="330">
        <v>4143935.1706127762</v>
      </c>
      <c r="BO69" s="330">
        <v>4722651.1159141911</v>
      </c>
      <c r="BP69" s="330">
        <v>5992048.8629153483</v>
      </c>
      <c r="BQ69" s="330">
        <f>'I-Project Contingency'!$E$61-AV69</f>
        <v>0</v>
      </c>
      <c r="BR69" s="330">
        <f>'I-Project Contingency'!$E$62-AW69</f>
        <v>0</v>
      </c>
      <c r="BS69" s="330">
        <f>'I-Project Contingency'!$E$63-AX69</f>
        <v>0</v>
      </c>
      <c r="BT69" s="330">
        <f>'I-Project Contingency'!$E$64-AY69</f>
        <v>0</v>
      </c>
      <c r="BU69" s="330">
        <f>'I-Project Contingency'!$E$65-AZ69</f>
        <v>0</v>
      </c>
      <c r="BV69" s="330">
        <f>'I-Project Contingency'!$E$66-BA69</f>
        <v>0</v>
      </c>
      <c r="BW69" s="330">
        <f>'I-Project Contingency'!$E$67-BB69</f>
        <v>0</v>
      </c>
      <c r="BX69" s="330">
        <f>'I-Project Contingency'!$E$68-BC69</f>
        <v>0</v>
      </c>
      <c r="BY69" s="330">
        <f>'I-Project Contingency'!$E$69-BD69</f>
        <v>0</v>
      </c>
      <c r="BZ69" s="330">
        <f>'I-Project Contingency'!$E$70-BE69</f>
        <v>0</v>
      </c>
      <c r="CA69" s="330">
        <f>'I-Project Contingency'!$E$71-BF69</f>
        <v>0</v>
      </c>
      <c r="CB69" s="330">
        <f>'I-Project Contingency'!$E$72-BG69</f>
        <v>0</v>
      </c>
      <c r="CC69" s="330">
        <f>'I-Project Contingency'!$E$73-BH69</f>
        <v>0</v>
      </c>
      <c r="CD69" s="330">
        <f>'I-Project Contingency'!$E$74-BI69</f>
        <v>0</v>
      </c>
      <c r="CE69" s="330">
        <f>'I-Project Contingency'!$E$75-BJ69</f>
        <v>0</v>
      </c>
      <c r="CF69" s="330">
        <f>'I-Project Contingency'!$E$76-BK69</f>
        <v>0</v>
      </c>
      <c r="CG69" s="330">
        <f>'I-Project Contingency'!$E$77-BL69</f>
        <v>0</v>
      </c>
      <c r="CH69" s="784">
        <f>'I-Project Contingency'!$E$78-BM69</f>
        <v>0</v>
      </c>
      <c r="CI69" s="330">
        <f>'I-Project Contingency'!$E$79-BN69</f>
        <v>0</v>
      </c>
      <c r="CJ69" s="330">
        <f>'I-Project Contingency'!$E$80-BO69</f>
        <v>0</v>
      </c>
      <c r="CK69" s="330">
        <f>'I-Project Contingency'!$E$81-BP69</f>
        <v>0</v>
      </c>
      <c r="CL69" s="331">
        <f>'I-Project Contingency'!$O$5-AG69</f>
        <v>0</v>
      </c>
      <c r="CM69" s="332">
        <v>-0.98711802853447173</v>
      </c>
      <c r="CN69" s="332">
        <v>-0.19547704728364468</v>
      </c>
      <c r="CO69" s="332">
        <v>0.126462150308498</v>
      </c>
      <c r="CP69" s="332">
        <v>0.45967989154545902</v>
      </c>
      <c r="CQ69" s="332">
        <v>0.78297319902744</v>
      </c>
      <c r="CR69" s="332">
        <v>1.0957191966482109</v>
      </c>
      <c r="CS69" s="332">
        <v>1.4418405003536849</v>
      </c>
      <c r="CT69" s="332">
        <v>1.801002404194165</v>
      </c>
      <c r="CU69" s="332">
        <v>2.1797608166947349</v>
      </c>
      <c r="CV69" s="332">
        <v>2.5671680610072478</v>
      </c>
      <c r="CW69" s="332">
        <v>2.9690760644797152</v>
      </c>
      <c r="CX69" s="332">
        <v>3.3964145469774811</v>
      </c>
      <c r="CY69" s="332">
        <v>3.864536087769562</v>
      </c>
      <c r="CZ69" s="332">
        <v>4.3569836138896116</v>
      </c>
      <c r="DA69" s="332">
        <v>4.8862357851222598</v>
      </c>
      <c r="DB69" s="332">
        <v>5.438836997347547</v>
      </c>
      <c r="DC69" s="332">
        <v>6.047993455908566</v>
      </c>
      <c r="DD69" s="785">
        <v>6.720204953601761</v>
      </c>
      <c r="DE69" s="333">
        <v>7.55131678090412</v>
      </c>
      <c r="DF69" s="332">
        <v>8.661446370835737</v>
      </c>
      <c r="DG69" s="332">
        <v>11.206316207857133</v>
      </c>
      <c r="DH69" s="332">
        <f>'I-Project Contingency'!$E$86-CM69</f>
        <v>0</v>
      </c>
      <c r="DI69" s="332">
        <f>'I-Project Contingency'!$E$87-CN69</f>
        <v>0</v>
      </c>
      <c r="DJ69" s="332">
        <f>'I-Project Contingency'!$E$88-CO69</f>
        <v>0</v>
      </c>
      <c r="DK69" s="332">
        <f>'I-Project Contingency'!$E$89-CP69</f>
        <v>0</v>
      </c>
      <c r="DL69" s="332">
        <f>'I-Project Contingency'!$E$90-CQ69</f>
        <v>0</v>
      </c>
      <c r="DM69" s="332">
        <f>'I-Project Contingency'!$E$91-CR69</f>
        <v>0</v>
      </c>
      <c r="DN69" s="332">
        <f>'I-Project Contingency'!$E$92-CS69</f>
        <v>0</v>
      </c>
      <c r="DO69" s="332">
        <f>'I-Project Contingency'!$E$93-CT69</f>
        <v>0</v>
      </c>
      <c r="DP69" s="332">
        <f>'I-Project Contingency'!$E$94-CU69</f>
        <v>0</v>
      </c>
      <c r="DQ69" s="332">
        <f>'I-Project Contingency'!$E$95-CV69</f>
        <v>0</v>
      </c>
      <c r="DR69" s="332">
        <f>'I-Project Contingency'!$E$96-CW69</f>
        <v>0</v>
      </c>
      <c r="DS69" s="332">
        <f>'I-Project Contingency'!$E$97-CX69</f>
        <v>0</v>
      </c>
      <c r="DT69" s="332">
        <f>'I-Project Contingency'!$E$98-CY69</f>
        <v>0</v>
      </c>
      <c r="DU69" s="332">
        <f>'I-Project Contingency'!$E$99-CZ69</f>
        <v>0</v>
      </c>
      <c r="DV69" s="332">
        <f>'I-Project Contingency'!$E$100-DA69</f>
        <v>0</v>
      </c>
      <c r="DW69" s="332">
        <f>'I-Project Contingency'!$E$101-DB69</f>
        <v>0</v>
      </c>
      <c r="DX69" s="332">
        <f>'I-Project Contingency'!$E$102-DC69</f>
        <v>0</v>
      </c>
      <c r="DY69" s="332">
        <f>'I-Project Contingency'!$E$103-DD69</f>
        <v>0</v>
      </c>
      <c r="DZ69" s="332">
        <f>'I-Project Contingency'!$E$104-DE69</f>
        <v>0</v>
      </c>
      <c r="EA69" s="332">
        <f>'I-Project Contingency'!$E$105-DF69</f>
        <v>0</v>
      </c>
      <c r="EB69" s="332">
        <f>'I-Project Contingency'!$E$106-DG69</f>
        <v>0</v>
      </c>
      <c r="EC69" s="334">
        <f>IF(EE69="N/A","N/A",ABS(INDEX(EE69:EY69,1,MATCH("ROM Cost Risk @ "&amp;'D-Project Data'!$C$6*100&amp;"%",$EE$17:$EY$17,0))))</f>
        <v>0</v>
      </c>
      <c r="ED69" s="335">
        <f>IF(EC69="N/A","N/A",RANK(EC69,$EC$18:$EC$117,0)+COUNTIF($EC$18:EC69,EC69)-1)</f>
        <v>52</v>
      </c>
      <c r="EE69" s="334">
        <f>IF(BQ69/SUM(BQ:BQ)*'I-Project Contingency'!$F$61=0,0,BQ69/SUM(BQ:BQ)*'I-Project Contingency'!$F$61)</f>
        <v>0</v>
      </c>
      <c r="EF69" s="334">
        <f>IF(BR69/SUM(BR:BR)*'I-Project Contingency'!$F$62=0,0,BR69/SUM(BR:BR)*'I-Project Contingency'!$F$62)</f>
        <v>0</v>
      </c>
      <c r="EG69" s="334">
        <f>IF(BS69/SUM(BS:BS)*'I-Project Contingency'!$F$63=0,0,BS69/SUM(BS:BS)*'I-Project Contingency'!$F$63)</f>
        <v>0</v>
      </c>
      <c r="EH69" s="334">
        <f>IF(BT69/SUM(BT:BT)*'I-Project Contingency'!$F$64=0,0,BT69/SUM(BT:BT)*'I-Project Contingency'!$F$64)</f>
        <v>0</v>
      </c>
      <c r="EI69" s="334">
        <f>IF(BU69/SUM(BU:BU)*'I-Project Contingency'!$F$65=0,0,BU69/SUM(BU:BU)*'I-Project Contingency'!$F$65)</f>
        <v>0</v>
      </c>
      <c r="EJ69" s="334">
        <f>IF(BV69/SUM(BV:BV)*'I-Project Contingency'!$F$66=0,0,BV69/SUM(BV:BV)*'I-Project Contingency'!$F$66)</f>
        <v>0</v>
      </c>
      <c r="EK69" s="334">
        <f>IF(BW69/SUM(BW:BW)*'I-Project Contingency'!$F$67=0,0,BW69/SUM(BW:BW)*'I-Project Contingency'!$F$67)</f>
        <v>0</v>
      </c>
      <c r="EL69" s="334">
        <f>IF(BX69/SUM(BX:BX)*'I-Project Contingency'!$F$68=0,0,BX69/SUM(BX:BX)*'I-Project Contingency'!$F$68)</f>
        <v>0</v>
      </c>
      <c r="EM69" s="334">
        <f>IF(BY69/SUM(BY:BY)*'I-Project Contingency'!$F$69=0,0,BY69/SUM(BY:BY)*'I-Project Contingency'!$F$69)</f>
        <v>0</v>
      </c>
      <c r="EN69" s="334">
        <f>IF(BZ69/SUM(BZ:BZ)*'I-Project Contingency'!$F$70=0,0,BZ69/SUM(BZ:BZ)*'I-Project Contingency'!$F$70)</f>
        <v>0</v>
      </c>
      <c r="EO69" s="334">
        <f>IF(CA69/SUM(CA:CA)*'I-Project Contingency'!$F$71=0,0,CA69/SUM(CA:CA)*'I-Project Contingency'!$F$71)</f>
        <v>0</v>
      </c>
      <c r="EP69" s="334">
        <f>IF(CB69/SUM(CB:CB)*'I-Project Contingency'!$F$72=0,0,CB69/SUM(CB:CB)*'I-Project Contingency'!$F$72)</f>
        <v>0</v>
      </c>
      <c r="EQ69" s="334">
        <f>IF(CC69/SUM(CC:CC)*'I-Project Contingency'!$F$73=0,0,CC69/SUM(CC:CC)*'I-Project Contingency'!$F$73)</f>
        <v>0</v>
      </c>
      <c r="ER69" s="334">
        <f>IF(CD69/SUM(CD:CD)*'I-Project Contingency'!$F$74=0,0,CD69/SUM(CD:CD)*'I-Project Contingency'!$F$74)</f>
        <v>0</v>
      </c>
      <c r="ES69" s="334">
        <f>IF(CE69/SUM(CE:CE)*'I-Project Contingency'!$F$75=0,0,CE69/SUM(CE:CE)*'I-Project Contingency'!$F$75)</f>
        <v>0</v>
      </c>
      <c r="ET69" s="334">
        <f>IF(CF69/SUM(CF:CF)*'I-Project Contingency'!$F$76=0,0,CF69/SUM(CF:CF)*'I-Project Contingency'!$F$76)</f>
        <v>0</v>
      </c>
      <c r="EU69" s="334">
        <f>IF(CG69/SUM(CG:CG)*'I-Project Contingency'!$F$77=0,0,CG69/SUM(CG:CG)*'I-Project Contingency'!$F$77)</f>
        <v>0</v>
      </c>
      <c r="EV69" s="787">
        <f>IF(CH69/SUM(CH:CH)*'I-Project Contingency'!$F$78=0,0,CH69/SUM(CH:CH)*'I-Project Contingency'!$F$78)</f>
        <v>0</v>
      </c>
      <c r="EW69" s="787">
        <f>IF(CI69/SUM(CI:CI)*'I-Project Contingency'!$F$79=0,0,CI69/SUM(CI:CI)*'I-Project Contingency'!$F$79)</f>
        <v>0</v>
      </c>
      <c r="EX69" s="787">
        <f>IF(CJ69/SUM(CJ:CJ)*'I-Project Contingency'!$F$80=0,0,CJ69/SUM(CJ:CJ)*'I-Project Contingency'!$F$80)</f>
        <v>0</v>
      </c>
      <c r="EY69" s="787">
        <f>IF(CK69/SUM(CK:CK)*'I-Project Contingency'!$F$81=0,0,CK69/SUM(CK:CK)*'I-Project Contingency'!$F$81)</f>
        <v>0</v>
      </c>
      <c r="EZ69" s="333">
        <f>IF(FB69="N/A","N/A",ABS(INDEX(FB69:FV69,1,MATCH("ROM Schedule Risk @ "&amp;'D-Project Data'!$C$6*100&amp;"%",$FB$17:$FV$17,0))))</f>
        <v>0</v>
      </c>
      <c r="FA69" s="335">
        <f>IF(EZ69="N/A","N/A",RANK(EZ69,$EZ$18:$EZ$117,0)+COUNTIF($FB$18:FB69,FB69)-1)</f>
        <v>52</v>
      </c>
      <c r="FB69" s="788">
        <f>IF(DH69/SUM(DH:DH)*'I-Project Contingency'!$F$86=0,0,DH69/SUM(DH:DH)*'I-Project Contingency'!$F$86)</f>
        <v>0</v>
      </c>
      <c r="FC69" s="788">
        <f>IF(DI69/SUM(DI:DI)*'I-Project Contingency'!$F$87=0,0,DI69/SUM(DI:DI)*'I-Project Contingency'!$F$87)</f>
        <v>0</v>
      </c>
      <c r="FD69" s="788">
        <f>IF(DJ69/SUM(DJ:DJ)*'I-Project Contingency'!$F$88=0,0,DJ69/SUM(DJ:DJ)*'I-Project Contingency'!$F$88)</f>
        <v>0</v>
      </c>
      <c r="FE69" s="788">
        <f>IF(DK69/SUM(DK:DK)*'I-Project Contingency'!$F$89=0,0,DK69/SUM(DK:DK)*'I-Project Contingency'!$F$89)</f>
        <v>0</v>
      </c>
      <c r="FF69" s="788">
        <f>IF(DL69/SUM(DL:DL)*'I-Project Contingency'!$F$90=0,0,DL69/SUM(DL:DL)*'I-Project Contingency'!$F$90)</f>
        <v>0</v>
      </c>
      <c r="FG69" s="788">
        <f>IF(DM69/SUM(DM:DM)*'I-Project Contingency'!$F$91=0,0,DM69/SUM(DM:DM)*'I-Project Contingency'!$F$91)</f>
        <v>0</v>
      </c>
      <c r="FH69" s="788">
        <f>IF(DN69/SUM(DN:DN)*'I-Project Contingency'!$F$92=0,0,DN69/SUM(DN:DN)*'I-Project Contingency'!$F$92)</f>
        <v>0</v>
      </c>
      <c r="FI69" s="788">
        <f>IF(DO69/SUM(DO:DO)*'I-Project Contingency'!$F$93=0,0,DO69/SUM(DO:DO)*'I-Project Contingency'!$F$93)</f>
        <v>0</v>
      </c>
      <c r="FJ69" s="788">
        <f>IF(DP69/SUM(DP:DP)*'I-Project Contingency'!$F$94=0,0,DP69/SUM(DP:DP)*'I-Project Contingency'!$F$94)</f>
        <v>0</v>
      </c>
      <c r="FK69" s="788">
        <f>IF(DQ69/SUM(DQ:DQ)*'I-Project Contingency'!$F$95=0,0,DQ69/SUM(DQ:DQ)*'I-Project Contingency'!$F$95)</f>
        <v>0</v>
      </c>
      <c r="FL69" s="788">
        <f>IF(DR69/SUM(DR:DR)*'I-Project Contingency'!$F$96=0,0,DR69/SUM(DR:DR)*'I-Project Contingency'!$F$96)</f>
        <v>0</v>
      </c>
      <c r="FM69" s="788">
        <f>IF(DS69/SUM(DS:DS)*'I-Project Contingency'!$F$97=0,0,DS69/SUM(DS:DS)*'I-Project Contingency'!$F$97)</f>
        <v>0</v>
      </c>
      <c r="FN69" s="788">
        <f>IF(DT69/SUM(DT:DT)*'I-Project Contingency'!$F$98=0,0,DT69/SUM(DT:DT)*'I-Project Contingency'!$F$98)</f>
        <v>0</v>
      </c>
      <c r="FO69" s="788">
        <f>IF(DU69/SUM(DU:DU)*'I-Project Contingency'!$F$99=0,0,DU69/SUM(DU:DU)*'I-Project Contingency'!$F$99)</f>
        <v>0</v>
      </c>
      <c r="FP69" s="788">
        <f>IF(DV69/SUM(DV:DV)*'I-Project Contingency'!$F$100=0,0,DV69/SUM(DV:DV)*'I-Project Contingency'!$F$100)</f>
        <v>0</v>
      </c>
      <c r="FQ69" s="788">
        <f>IF(DW69/SUM(DW:DW)*'I-Project Contingency'!$F$101=0,0,DW69/SUM(DW:DW)*'I-Project Contingency'!$F$101)</f>
        <v>0</v>
      </c>
      <c r="FR69" s="788">
        <f>IF(DX69/SUM(DX:DX)*'I-Project Contingency'!$F$102=0,0,DX69/SUM(DX:DX)*'I-Project Contingency'!$F$102)</f>
        <v>0</v>
      </c>
      <c r="FS69" s="788">
        <f>IF(DY69/SUM(DY:DY)*'I-Project Contingency'!$F$103=0,0,DY69/SUM(DY:DY)*'I-Project Contingency'!$F$103)</f>
        <v>0</v>
      </c>
      <c r="FT69" s="788">
        <f>IF(DZ69/SUM(DZ:DZ)*'I-Project Contingency'!$F$104=0,0,DZ69/SUM(DZ:DZ)*'I-Project Contingency'!$F$104)</f>
        <v>0</v>
      </c>
      <c r="FU69" s="788">
        <f>IF(EA69/SUM(EA:EA)*'I-Project Contingency'!$F$105=0,0,EA69/SUM(EA:EA)*'I-Project Contingency'!$F$105)</f>
        <v>0</v>
      </c>
      <c r="FV69" s="788">
        <f>IF(EB69/SUM(EB:EB)*'I-Project Contingency'!$F$106=0,0,EB69/SUM(EB:EB)*'I-Project Contingency'!$F$106)</f>
        <v>0</v>
      </c>
      <c r="FW69" s="335">
        <f t="shared" si="37"/>
        <v>52</v>
      </c>
      <c r="FX69" s="336" t="str">
        <f t="shared" si="38"/>
        <v xml:space="preserve">52 -  </v>
      </c>
      <c r="FY69" s="330">
        <f t="shared" si="43"/>
        <v>0</v>
      </c>
      <c r="FZ69" s="330">
        <f t="shared" si="44"/>
        <v>0</v>
      </c>
      <c r="GA69" s="332">
        <f t="shared" si="39"/>
        <v>0</v>
      </c>
      <c r="GB69" s="332">
        <f t="shared" si="40"/>
        <v>0</v>
      </c>
    </row>
    <row r="70" spans="1:184" ht="30" x14ac:dyDescent="0.25">
      <c r="A70" s="163">
        <f t="shared" si="23"/>
        <v>53</v>
      </c>
      <c r="B70" s="727" t="s">
        <v>728</v>
      </c>
      <c r="C70" s="729" t="s">
        <v>659</v>
      </c>
      <c r="D70" s="729" t="s">
        <v>659</v>
      </c>
      <c r="E70" s="729" t="s">
        <v>659</v>
      </c>
      <c r="F70" s="728" t="s">
        <v>728</v>
      </c>
      <c r="G70" s="728" t="s">
        <v>728</v>
      </c>
      <c r="H70" s="157" t="str">
        <f>IFERROR(IF('H-Risk Register-Model'!F70="Certain","Relook at Basis of Estimate",INDEX('G-Assumptions'!$F$8:$J$11,MATCH(F70,'G-Assumptions'!$D$8:$D$11,0),MATCH(G70,'G-Assumptions'!$F$6:$J$6,0))),"Unrated")</f>
        <v>Unrated</v>
      </c>
      <c r="I70" s="728" t="s">
        <v>728</v>
      </c>
      <c r="J70" s="157" t="str">
        <f>IFERROR(IF('H-Risk Register-Model'!F70="Certain","Relook at Basis of Estimate",INDEX('G-Assumptions'!$F$8:$J$11,MATCH(F70,'G-Assumptions'!$D$8:$D$11,0),MATCH(I70,'G-Assumptions'!$F$6:$J$6,0))),"Unrated")</f>
        <v>Unrated</v>
      </c>
      <c r="K70" s="728" t="s">
        <v>728</v>
      </c>
      <c r="L70" s="728" t="s">
        <v>728</v>
      </c>
      <c r="M70" s="728"/>
      <c r="N70" s="731" t="s">
        <v>728</v>
      </c>
      <c r="O70" s="731" t="s">
        <v>728</v>
      </c>
      <c r="P70" s="732"/>
      <c r="Q70" s="732"/>
      <c r="R70" s="732"/>
      <c r="S70" s="733"/>
      <c r="T70" s="733"/>
      <c r="U70" s="733"/>
      <c r="V70" s="734"/>
      <c r="W70" s="732"/>
      <c r="X70" s="732"/>
      <c r="Y70" s="735">
        <v>1</v>
      </c>
      <c r="Z70" s="736">
        <v>1</v>
      </c>
      <c r="AA70" s="166">
        <f t="shared" si="19"/>
        <v>0</v>
      </c>
      <c r="AB70" s="166">
        <f t="shared" si="20"/>
        <v>0</v>
      </c>
      <c r="AC70" s="166">
        <f t="shared" si="21"/>
        <v>0</v>
      </c>
      <c r="AD70" s="166"/>
      <c r="AE70" s="164">
        <f t="shared" si="41"/>
        <v>0</v>
      </c>
      <c r="AF70" s="167"/>
      <c r="AG70" s="165">
        <f t="shared" si="42"/>
        <v>0</v>
      </c>
      <c r="AH70" s="729"/>
      <c r="AI70" s="729"/>
      <c r="AJ70" s="8"/>
      <c r="AK70" s="495" t="str">
        <f t="shared" si="30"/>
        <v>No</v>
      </c>
      <c r="AL70" s="496">
        <f>'I-Project Contingency'!$I$4</f>
        <v>9000000</v>
      </c>
      <c r="AM70" s="326">
        <f>'I-Project Contingency'!$I$11</f>
        <v>23.978102189781023</v>
      </c>
      <c r="AN70" s="325">
        <f t="shared" si="31"/>
        <v>0</v>
      </c>
      <c r="AO70" s="326">
        <f t="shared" si="32"/>
        <v>0</v>
      </c>
      <c r="AP70" s="641" t="str">
        <f t="shared" si="33"/>
        <v/>
      </c>
      <c r="AQ70" s="641" t="str">
        <f t="shared" si="34"/>
        <v/>
      </c>
      <c r="AR70" s="497" t="str">
        <f t="shared" si="35"/>
        <v/>
      </c>
      <c r="AS70" s="497" t="str">
        <f t="shared" si="36"/>
        <v/>
      </c>
      <c r="AT70" s="8"/>
      <c r="AU70" s="329">
        <f>'I-Project Contingency'!$O$4-AE70</f>
        <v>0</v>
      </c>
      <c r="AV70" s="330">
        <v>-240515.59579276721</v>
      </c>
      <c r="AW70" s="330">
        <v>28172.931401335634</v>
      </c>
      <c r="AX70" s="330">
        <v>193478.84467429668</v>
      </c>
      <c r="AY70" s="330">
        <v>361668.20104834624</v>
      </c>
      <c r="AZ70" s="330">
        <v>524446.91524262261</v>
      </c>
      <c r="BA70" s="330">
        <v>704023.56387635041</v>
      </c>
      <c r="BB70" s="330">
        <v>886394.06956240814</v>
      </c>
      <c r="BC70" s="330">
        <v>1079363.7165157665</v>
      </c>
      <c r="BD70" s="330">
        <v>1280180.1532065615</v>
      </c>
      <c r="BE70" s="330">
        <v>1485323.8019108465</v>
      </c>
      <c r="BF70" s="330">
        <v>1703758.8827524669</v>
      </c>
      <c r="BG70" s="330">
        <v>1949523.4346483489</v>
      </c>
      <c r="BH70" s="330">
        <v>2177897.1603371189</v>
      </c>
      <c r="BI70" s="330">
        <v>2429374.4260425912</v>
      </c>
      <c r="BJ70" s="330">
        <v>2717092.7449284913</v>
      </c>
      <c r="BK70" s="330">
        <v>3010093.6968918457</v>
      </c>
      <c r="BL70" s="330">
        <v>3325414.5894657462</v>
      </c>
      <c r="BM70" s="330">
        <v>3690425.9159493577</v>
      </c>
      <c r="BN70" s="330">
        <v>4143935.1706127762</v>
      </c>
      <c r="BO70" s="330">
        <v>4722651.1159141911</v>
      </c>
      <c r="BP70" s="330">
        <v>5992048.8629153483</v>
      </c>
      <c r="BQ70" s="330">
        <f>'I-Project Contingency'!$E$61-AV70</f>
        <v>0</v>
      </c>
      <c r="BR70" s="330">
        <f>'I-Project Contingency'!$E$62-AW70</f>
        <v>0</v>
      </c>
      <c r="BS70" s="330">
        <f>'I-Project Contingency'!$E$63-AX70</f>
        <v>0</v>
      </c>
      <c r="BT70" s="330">
        <f>'I-Project Contingency'!$E$64-AY70</f>
        <v>0</v>
      </c>
      <c r="BU70" s="330">
        <f>'I-Project Contingency'!$E$65-AZ70</f>
        <v>0</v>
      </c>
      <c r="BV70" s="330">
        <f>'I-Project Contingency'!$E$66-BA70</f>
        <v>0</v>
      </c>
      <c r="BW70" s="330">
        <f>'I-Project Contingency'!$E$67-BB70</f>
        <v>0</v>
      </c>
      <c r="BX70" s="330">
        <f>'I-Project Contingency'!$E$68-BC70</f>
        <v>0</v>
      </c>
      <c r="BY70" s="330">
        <f>'I-Project Contingency'!$E$69-BD70</f>
        <v>0</v>
      </c>
      <c r="BZ70" s="330">
        <f>'I-Project Contingency'!$E$70-BE70</f>
        <v>0</v>
      </c>
      <c r="CA70" s="330">
        <f>'I-Project Contingency'!$E$71-BF70</f>
        <v>0</v>
      </c>
      <c r="CB70" s="330">
        <f>'I-Project Contingency'!$E$72-BG70</f>
        <v>0</v>
      </c>
      <c r="CC70" s="330">
        <f>'I-Project Contingency'!$E$73-BH70</f>
        <v>0</v>
      </c>
      <c r="CD70" s="330">
        <f>'I-Project Contingency'!$E$74-BI70</f>
        <v>0</v>
      </c>
      <c r="CE70" s="330">
        <f>'I-Project Contingency'!$E$75-BJ70</f>
        <v>0</v>
      </c>
      <c r="CF70" s="330">
        <f>'I-Project Contingency'!$E$76-BK70</f>
        <v>0</v>
      </c>
      <c r="CG70" s="330">
        <f>'I-Project Contingency'!$E$77-BL70</f>
        <v>0</v>
      </c>
      <c r="CH70" s="784">
        <f>'I-Project Contingency'!$E$78-BM70</f>
        <v>0</v>
      </c>
      <c r="CI70" s="330">
        <f>'I-Project Contingency'!$E$79-BN70</f>
        <v>0</v>
      </c>
      <c r="CJ70" s="330">
        <f>'I-Project Contingency'!$E$80-BO70</f>
        <v>0</v>
      </c>
      <c r="CK70" s="330">
        <f>'I-Project Contingency'!$E$81-BP70</f>
        <v>0</v>
      </c>
      <c r="CL70" s="331">
        <f>'I-Project Contingency'!$O$5-AG70</f>
        <v>0</v>
      </c>
      <c r="CM70" s="332">
        <v>-0.98711802853447173</v>
      </c>
      <c r="CN70" s="332">
        <v>-0.19547704728364468</v>
      </c>
      <c r="CO70" s="332">
        <v>0.126462150308498</v>
      </c>
      <c r="CP70" s="332">
        <v>0.45967989154545902</v>
      </c>
      <c r="CQ70" s="332">
        <v>0.78297319902744</v>
      </c>
      <c r="CR70" s="332">
        <v>1.0957191966482109</v>
      </c>
      <c r="CS70" s="332">
        <v>1.4418405003536849</v>
      </c>
      <c r="CT70" s="332">
        <v>1.801002404194165</v>
      </c>
      <c r="CU70" s="332">
        <v>2.1797608166947349</v>
      </c>
      <c r="CV70" s="332">
        <v>2.5671680610072478</v>
      </c>
      <c r="CW70" s="332">
        <v>2.9690760644797152</v>
      </c>
      <c r="CX70" s="332">
        <v>3.3964145469774811</v>
      </c>
      <c r="CY70" s="332">
        <v>3.864536087769562</v>
      </c>
      <c r="CZ70" s="332">
        <v>4.3569836138896116</v>
      </c>
      <c r="DA70" s="332">
        <v>4.8862357851222598</v>
      </c>
      <c r="DB70" s="332">
        <v>5.438836997347547</v>
      </c>
      <c r="DC70" s="332">
        <v>6.047993455908566</v>
      </c>
      <c r="DD70" s="785">
        <v>6.720204953601761</v>
      </c>
      <c r="DE70" s="333">
        <v>7.55131678090412</v>
      </c>
      <c r="DF70" s="332">
        <v>8.661446370835737</v>
      </c>
      <c r="DG70" s="332">
        <v>11.206316207857133</v>
      </c>
      <c r="DH70" s="332">
        <f>'I-Project Contingency'!$E$86-CM70</f>
        <v>0</v>
      </c>
      <c r="DI70" s="332">
        <f>'I-Project Contingency'!$E$87-CN70</f>
        <v>0</v>
      </c>
      <c r="DJ70" s="332">
        <f>'I-Project Contingency'!$E$88-CO70</f>
        <v>0</v>
      </c>
      <c r="DK70" s="332">
        <f>'I-Project Contingency'!$E$89-CP70</f>
        <v>0</v>
      </c>
      <c r="DL70" s="332">
        <f>'I-Project Contingency'!$E$90-CQ70</f>
        <v>0</v>
      </c>
      <c r="DM70" s="332">
        <f>'I-Project Contingency'!$E$91-CR70</f>
        <v>0</v>
      </c>
      <c r="DN70" s="332">
        <f>'I-Project Contingency'!$E$92-CS70</f>
        <v>0</v>
      </c>
      <c r="DO70" s="332">
        <f>'I-Project Contingency'!$E$93-CT70</f>
        <v>0</v>
      </c>
      <c r="DP70" s="332">
        <f>'I-Project Contingency'!$E$94-CU70</f>
        <v>0</v>
      </c>
      <c r="DQ70" s="332">
        <f>'I-Project Contingency'!$E$95-CV70</f>
        <v>0</v>
      </c>
      <c r="DR70" s="332">
        <f>'I-Project Contingency'!$E$96-CW70</f>
        <v>0</v>
      </c>
      <c r="DS70" s="332">
        <f>'I-Project Contingency'!$E$97-CX70</f>
        <v>0</v>
      </c>
      <c r="DT70" s="332">
        <f>'I-Project Contingency'!$E$98-CY70</f>
        <v>0</v>
      </c>
      <c r="DU70" s="332">
        <f>'I-Project Contingency'!$E$99-CZ70</f>
        <v>0</v>
      </c>
      <c r="DV70" s="332">
        <f>'I-Project Contingency'!$E$100-DA70</f>
        <v>0</v>
      </c>
      <c r="DW70" s="332">
        <f>'I-Project Contingency'!$E$101-DB70</f>
        <v>0</v>
      </c>
      <c r="DX70" s="332">
        <f>'I-Project Contingency'!$E$102-DC70</f>
        <v>0</v>
      </c>
      <c r="DY70" s="332">
        <f>'I-Project Contingency'!$E$103-DD70</f>
        <v>0</v>
      </c>
      <c r="DZ70" s="332">
        <f>'I-Project Contingency'!$E$104-DE70</f>
        <v>0</v>
      </c>
      <c r="EA70" s="332">
        <f>'I-Project Contingency'!$E$105-DF70</f>
        <v>0</v>
      </c>
      <c r="EB70" s="332">
        <f>'I-Project Contingency'!$E$106-DG70</f>
        <v>0</v>
      </c>
      <c r="EC70" s="334">
        <f>IF(EE70="N/A","N/A",ABS(INDEX(EE70:EY70,1,MATCH("ROM Cost Risk @ "&amp;'D-Project Data'!$C$6*100&amp;"%",$EE$17:$EY$17,0))))</f>
        <v>0</v>
      </c>
      <c r="ED70" s="335">
        <f>IF(EC70="N/A","N/A",RANK(EC70,$EC$18:$EC$117,0)+COUNTIF($EC$18:EC70,EC70)-1)</f>
        <v>53</v>
      </c>
      <c r="EE70" s="334">
        <f>IF(BQ70/SUM(BQ:BQ)*'I-Project Contingency'!$F$61=0,0,BQ70/SUM(BQ:BQ)*'I-Project Contingency'!$F$61)</f>
        <v>0</v>
      </c>
      <c r="EF70" s="334">
        <f>IF(BR70/SUM(BR:BR)*'I-Project Contingency'!$F$62=0,0,BR70/SUM(BR:BR)*'I-Project Contingency'!$F$62)</f>
        <v>0</v>
      </c>
      <c r="EG70" s="334">
        <f>IF(BS70/SUM(BS:BS)*'I-Project Contingency'!$F$63=0,0,BS70/SUM(BS:BS)*'I-Project Contingency'!$F$63)</f>
        <v>0</v>
      </c>
      <c r="EH70" s="334">
        <f>IF(BT70/SUM(BT:BT)*'I-Project Contingency'!$F$64=0,0,BT70/SUM(BT:BT)*'I-Project Contingency'!$F$64)</f>
        <v>0</v>
      </c>
      <c r="EI70" s="334">
        <f>IF(BU70/SUM(BU:BU)*'I-Project Contingency'!$F$65=0,0,BU70/SUM(BU:BU)*'I-Project Contingency'!$F$65)</f>
        <v>0</v>
      </c>
      <c r="EJ70" s="334">
        <f>IF(BV70/SUM(BV:BV)*'I-Project Contingency'!$F$66=0,0,BV70/SUM(BV:BV)*'I-Project Contingency'!$F$66)</f>
        <v>0</v>
      </c>
      <c r="EK70" s="334">
        <f>IF(BW70/SUM(BW:BW)*'I-Project Contingency'!$F$67=0,0,BW70/SUM(BW:BW)*'I-Project Contingency'!$F$67)</f>
        <v>0</v>
      </c>
      <c r="EL70" s="334">
        <f>IF(BX70/SUM(BX:BX)*'I-Project Contingency'!$F$68=0,0,BX70/SUM(BX:BX)*'I-Project Contingency'!$F$68)</f>
        <v>0</v>
      </c>
      <c r="EM70" s="334">
        <f>IF(BY70/SUM(BY:BY)*'I-Project Contingency'!$F$69=0,0,BY70/SUM(BY:BY)*'I-Project Contingency'!$F$69)</f>
        <v>0</v>
      </c>
      <c r="EN70" s="334">
        <f>IF(BZ70/SUM(BZ:BZ)*'I-Project Contingency'!$F$70=0,0,BZ70/SUM(BZ:BZ)*'I-Project Contingency'!$F$70)</f>
        <v>0</v>
      </c>
      <c r="EO70" s="334">
        <f>IF(CA70/SUM(CA:CA)*'I-Project Contingency'!$F$71=0,0,CA70/SUM(CA:CA)*'I-Project Contingency'!$F$71)</f>
        <v>0</v>
      </c>
      <c r="EP70" s="334">
        <f>IF(CB70/SUM(CB:CB)*'I-Project Contingency'!$F$72=0,0,CB70/SUM(CB:CB)*'I-Project Contingency'!$F$72)</f>
        <v>0</v>
      </c>
      <c r="EQ70" s="334">
        <f>IF(CC70/SUM(CC:CC)*'I-Project Contingency'!$F$73=0,0,CC70/SUM(CC:CC)*'I-Project Contingency'!$F$73)</f>
        <v>0</v>
      </c>
      <c r="ER70" s="334">
        <f>IF(CD70/SUM(CD:CD)*'I-Project Contingency'!$F$74=0,0,CD70/SUM(CD:CD)*'I-Project Contingency'!$F$74)</f>
        <v>0</v>
      </c>
      <c r="ES70" s="334">
        <f>IF(CE70/SUM(CE:CE)*'I-Project Contingency'!$F$75=0,0,CE70/SUM(CE:CE)*'I-Project Contingency'!$F$75)</f>
        <v>0</v>
      </c>
      <c r="ET70" s="334">
        <f>IF(CF70/SUM(CF:CF)*'I-Project Contingency'!$F$76=0,0,CF70/SUM(CF:CF)*'I-Project Contingency'!$F$76)</f>
        <v>0</v>
      </c>
      <c r="EU70" s="334">
        <f>IF(CG70/SUM(CG:CG)*'I-Project Contingency'!$F$77=0,0,CG70/SUM(CG:CG)*'I-Project Contingency'!$F$77)</f>
        <v>0</v>
      </c>
      <c r="EV70" s="787">
        <f>IF(CH70/SUM(CH:CH)*'I-Project Contingency'!$F$78=0,0,CH70/SUM(CH:CH)*'I-Project Contingency'!$F$78)</f>
        <v>0</v>
      </c>
      <c r="EW70" s="787">
        <f>IF(CI70/SUM(CI:CI)*'I-Project Contingency'!$F$79=0,0,CI70/SUM(CI:CI)*'I-Project Contingency'!$F$79)</f>
        <v>0</v>
      </c>
      <c r="EX70" s="787">
        <f>IF(CJ70/SUM(CJ:CJ)*'I-Project Contingency'!$F$80=0,0,CJ70/SUM(CJ:CJ)*'I-Project Contingency'!$F$80)</f>
        <v>0</v>
      </c>
      <c r="EY70" s="787">
        <f>IF(CK70/SUM(CK:CK)*'I-Project Contingency'!$F$81=0,0,CK70/SUM(CK:CK)*'I-Project Contingency'!$F$81)</f>
        <v>0</v>
      </c>
      <c r="EZ70" s="333">
        <f>IF(FB70="N/A","N/A",ABS(INDEX(FB70:FV70,1,MATCH("ROM Schedule Risk @ "&amp;'D-Project Data'!$C$6*100&amp;"%",$FB$17:$FV$17,0))))</f>
        <v>0</v>
      </c>
      <c r="FA70" s="335">
        <f>IF(EZ70="N/A","N/A",RANK(EZ70,$EZ$18:$EZ$117,0)+COUNTIF($FB$18:FB70,FB70)-1)</f>
        <v>53</v>
      </c>
      <c r="FB70" s="788">
        <f>IF(DH70/SUM(DH:DH)*'I-Project Contingency'!$F$86=0,0,DH70/SUM(DH:DH)*'I-Project Contingency'!$F$86)</f>
        <v>0</v>
      </c>
      <c r="FC70" s="788">
        <f>IF(DI70/SUM(DI:DI)*'I-Project Contingency'!$F$87=0,0,DI70/SUM(DI:DI)*'I-Project Contingency'!$F$87)</f>
        <v>0</v>
      </c>
      <c r="FD70" s="788">
        <f>IF(DJ70/SUM(DJ:DJ)*'I-Project Contingency'!$F$88=0,0,DJ70/SUM(DJ:DJ)*'I-Project Contingency'!$F$88)</f>
        <v>0</v>
      </c>
      <c r="FE70" s="788">
        <f>IF(DK70/SUM(DK:DK)*'I-Project Contingency'!$F$89=0,0,DK70/SUM(DK:DK)*'I-Project Contingency'!$F$89)</f>
        <v>0</v>
      </c>
      <c r="FF70" s="788">
        <f>IF(DL70/SUM(DL:DL)*'I-Project Contingency'!$F$90=0,0,DL70/SUM(DL:DL)*'I-Project Contingency'!$F$90)</f>
        <v>0</v>
      </c>
      <c r="FG70" s="788">
        <f>IF(DM70/SUM(DM:DM)*'I-Project Contingency'!$F$91=0,0,DM70/SUM(DM:DM)*'I-Project Contingency'!$F$91)</f>
        <v>0</v>
      </c>
      <c r="FH70" s="788">
        <f>IF(DN70/SUM(DN:DN)*'I-Project Contingency'!$F$92=0,0,DN70/SUM(DN:DN)*'I-Project Contingency'!$F$92)</f>
        <v>0</v>
      </c>
      <c r="FI70" s="788">
        <f>IF(DO70/SUM(DO:DO)*'I-Project Contingency'!$F$93=0,0,DO70/SUM(DO:DO)*'I-Project Contingency'!$F$93)</f>
        <v>0</v>
      </c>
      <c r="FJ70" s="788">
        <f>IF(DP70/SUM(DP:DP)*'I-Project Contingency'!$F$94=0,0,DP70/SUM(DP:DP)*'I-Project Contingency'!$F$94)</f>
        <v>0</v>
      </c>
      <c r="FK70" s="788">
        <f>IF(DQ70/SUM(DQ:DQ)*'I-Project Contingency'!$F$95=0,0,DQ70/SUM(DQ:DQ)*'I-Project Contingency'!$F$95)</f>
        <v>0</v>
      </c>
      <c r="FL70" s="788">
        <f>IF(DR70/SUM(DR:DR)*'I-Project Contingency'!$F$96=0,0,DR70/SUM(DR:DR)*'I-Project Contingency'!$F$96)</f>
        <v>0</v>
      </c>
      <c r="FM70" s="788">
        <f>IF(DS70/SUM(DS:DS)*'I-Project Contingency'!$F$97=0,0,DS70/SUM(DS:DS)*'I-Project Contingency'!$F$97)</f>
        <v>0</v>
      </c>
      <c r="FN70" s="788">
        <f>IF(DT70/SUM(DT:DT)*'I-Project Contingency'!$F$98=0,0,DT70/SUM(DT:DT)*'I-Project Contingency'!$F$98)</f>
        <v>0</v>
      </c>
      <c r="FO70" s="788">
        <f>IF(DU70/SUM(DU:DU)*'I-Project Contingency'!$F$99=0,0,DU70/SUM(DU:DU)*'I-Project Contingency'!$F$99)</f>
        <v>0</v>
      </c>
      <c r="FP70" s="788">
        <f>IF(DV70/SUM(DV:DV)*'I-Project Contingency'!$F$100=0,0,DV70/SUM(DV:DV)*'I-Project Contingency'!$F$100)</f>
        <v>0</v>
      </c>
      <c r="FQ70" s="788">
        <f>IF(DW70/SUM(DW:DW)*'I-Project Contingency'!$F$101=0,0,DW70/SUM(DW:DW)*'I-Project Contingency'!$F$101)</f>
        <v>0</v>
      </c>
      <c r="FR70" s="788">
        <f>IF(DX70/SUM(DX:DX)*'I-Project Contingency'!$F$102=0,0,DX70/SUM(DX:DX)*'I-Project Contingency'!$F$102)</f>
        <v>0</v>
      </c>
      <c r="FS70" s="788">
        <f>IF(DY70/SUM(DY:DY)*'I-Project Contingency'!$F$103=0,0,DY70/SUM(DY:DY)*'I-Project Contingency'!$F$103)</f>
        <v>0</v>
      </c>
      <c r="FT70" s="788">
        <f>IF(DZ70/SUM(DZ:DZ)*'I-Project Contingency'!$F$104=0,0,DZ70/SUM(DZ:DZ)*'I-Project Contingency'!$F$104)</f>
        <v>0</v>
      </c>
      <c r="FU70" s="788">
        <f>IF(EA70/SUM(EA:EA)*'I-Project Contingency'!$F$105=0,0,EA70/SUM(EA:EA)*'I-Project Contingency'!$F$105)</f>
        <v>0</v>
      </c>
      <c r="FV70" s="788">
        <f>IF(EB70/SUM(EB:EB)*'I-Project Contingency'!$F$106=0,0,EB70/SUM(EB:EB)*'I-Project Contingency'!$F$106)</f>
        <v>0</v>
      </c>
      <c r="FW70" s="335">
        <f t="shared" si="37"/>
        <v>53</v>
      </c>
      <c r="FX70" s="336" t="str">
        <f t="shared" si="38"/>
        <v xml:space="preserve">53 -  </v>
      </c>
      <c r="FY70" s="330">
        <f t="shared" si="43"/>
        <v>0</v>
      </c>
      <c r="FZ70" s="330">
        <f t="shared" si="44"/>
        <v>0</v>
      </c>
      <c r="GA70" s="332">
        <f t="shared" si="39"/>
        <v>0</v>
      </c>
      <c r="GB70" s="332">
        <f t="shared" si="40"/>
        <v>0</v>
      </c>
    </row>
    <row r="71" spans="1:184" ht="30" x14ac:dyDescent="0.25">
      <c r="A71" s="163">
        <f t="shared" si="23"/>
        <v>54</v>
      </c>
      <c r="B71" s="727" t="s">
        <v>728</v>
      </c>
      <c r="C71" s="729" t="s">
        <v>659</v>
      </c>
      <c r="D71" s="729" t="s">
        <v>659</v>
      </c>
      <c r="E71" s="729" t="s">
        <v>659</v>
      </c>
      <c r="F71" s="728" t="s">
        <v>728</v>
      </c>
      <c r="G71" s="728" t="s">
        <v>728</v>
      </c>
      <c r="H71" s="157" t="str">
        <f>IFERROR(IF('H-Risk Register-Model'!F71="Certain","Relook at Basis of Estimate",INDEX('G-Assumptions'!$F$8:$J$11,MATCH(F71,'G-Assumptions'!$D$8:$D$11,0),MATCH(G71,'G-Assumptions'!$F$6:$J$6,0))),"Unrated")</f>
        <v>Unrated</v>
      </c>
      <c r="I71" s="728" t="s">
        <v>728</v>
      </c>
      <c r="J71" s="157" t="str">
        <f>IFERROR(IF('H-Risk Register-Model'!F71="Certain","Relook at Basis of Estimate",INDEX('G-Assumptions'!$F$8:$J$11,MATCH(F71,'G-Assumptions'!$D$8:$D$11,0),MATCH(I71,'G-Assumptions'!$F$6:$J$6,0))),"Unrated")</f>
        <v>Unrated</v>
      </c>
      <c r="K71" s="728" t="s">
        <v>728</v>
      </c>
      <c r="L71" s="728" t="s">
        <v>728</v>
      </c>
      <c r="M71" s="728"/>
      <c r="N71" s="731" t="s">
        <v>728</v>
      </c>
      <c r="O71" s="731" t="s">
        <v>728</v>
      </c>
      <c r="P71" s="732"/>
      <c r="Q71" s="732"/>
      <c r="R71" s="732"/>
      <c r="S71" s="733"/>
      <c r="T71" s="733"/>
      <c r="U71" s="733"/>
      <c r="V71" s="734"/>
      <c r="W71" s="732"/>
      <c r="X71" s="732"/>
      <c r="Y71" s="735">
        <v>1</v>
      </c>
      <c r="Z71" s="736">
        <v>1</v>
      </c>
      <c r="AA71" s="166">
        <f t="shared" si="19"/>
        <v>0</v>
      </c>
      <c r="AB71" s="166">
        <f t="shared" si="20"/>
        <v>0</v>
      </c>
      <c r="AC71" s="166">
        <f t="shared" si="21"/>
        <v>0</v>
      </c>
      <c r="AD71" s="166"/>
      <c r="AE71" s="164">
        <f t="shared" si="41"/>
        <v>0</v>
      </c>
      <c r="AF71" s="167"/>
      <c r="AG71" s="165">
        <f t="shared" si="42"/>
        <v>0</v>
      </c>
      <c r="AH71" s="729"/>
      <c r="AI71" s="729"/>
      <c r="AJ71" s="8"/>
      <c r="AK71" s="495" t="str">
        <f t="shared" si="30"/>
        <v>No</v>
      </c>
      <c r="AL71" s="496">
        <f>'I-Project Contingency'!$I$4</f>
        <v>9000000</v>
      </c>
      <c r="AM71" s="326">
        <f>'I-Project Contingency'!$I$11</f>
        <v>23.978102189781023</v>
      </c>
      <c r="AN71" s="325">
        <f t="shared" si="31"/>
        <v>0</v>
      </c>
      <c r="AO71" s="326">
        <f t="shared" si="32"/>
        <v>0</v>
      </c>
      <c r="AP71" s="641" t="str">
        <f t="shared" si="33"/>
        <v/>
      </c>
      <c r="AQ71" s="641" t="str">
        <f t="shared" si="34"/>
        <v/>
      </c>
      <c r="AR71" s="497" t="str">
        <f t="shared" si="35"/>
        <v/>
      </c>
      <c r="AS71" s="497" t="str">
        <f t="shared" si="36"/>
        <v/>
      </c>
      <c r="AT71" s="8"/>
      <c r="AU71" s="329">
        <f>'I-Project Contingency'!$O$4-AE71</f>
        <v>0</v>
      </c>
      <c r="AV71" s="330">
        <v>-240515.59579276721</v>
      </c>
      <c r="AW71" s="330">
        <v>28172.931401335634</v>
      </c>
      <c r="AX71" s="330">
        <v>193478.84467429668</v>
      </c>
      <c r="AY71" s="330">
        <v>361668.20104834624</v>
      </c>
      <c r="AZ71" s="330">
        <v>524446.91524262261</v>
      </c>
      <c r="BA71" s="330">
        <v>704023.56387635041</v>
      </c>
      <c r="BB71" s="330">
        <v>886394.06956240814</v>
      </c>
      <c r="BC71" s="330">
        <v>1079363.7165157665</v>
      </c>
      <c r="BD71" s="330">
        <v>1280180.1532065615</v>
      </c>
      <c r="BE71" s="330">
        <v>1485323.8019108465</v>
      </c>
      <c r="BF71" s="330">
        <v>1703758.8827524669</v>
      </c>
      <c r="BG71" s="330">
        <v>1949523.4346483489</v>
      </c>
      <c r="BH71" s="330">
        <v>2177897.1603371189</v>
      </c>
      <c r="BI71" s="330">
        <v>2429374.4260425912</v>
      </c>
      <c r="BJ71" s="330">
        <v>2717092.7449284913</v>
      </c>
      <c r="BK71" s="330">
        <v>3010093.6968918457</v>
      </c>
      <c r="BL71" s="330">
        <v>3325414.5894657462</v>
      </c>
      <c r="BM71" s="330">
        <v>3690425.9159493577</v>
      </c>
      <c r="BN71" s="330">
        <v>4143935.1706127762</v>
      </c>
      <c r="BO71" s="330">
        <v>4722651.1159141911</v>
      </c>
      <c r="BP71" s="330">
        <v>5992048.8629153483</v>
      </c>
      <c r="BQ71" s="330">
        <f>'I-Project Contingency'!$E$61-AV71</f>
        <v>0</v>
      </c>
      <c r="BR71" s="330">
        <f>'I-Project Contingency'!$E$62-AW71</f>
        <v>0</v>
      </c>
      <c r="BS71" s="330">
        <f>'I-Project Contingency'!$E$63-AX71</f>
        <v>0</v>
      </c>
      <c r="BT71" s="330">
        <f>'I-Project Contingency'!$E$64-AY71</f>
        <v>0</v>
      </c>
      <c r="BU71" s="330">
        <f>'I-Project Contingency'!$E$65-AZ71</f>
        <v>0</v>
      </c>
      <c r="BV71" s="330">
        <f>'I-Project Contingency'!$E$66-BA71</f>
        <v>0</v>
      </c>
      <c r="BW71" s="330">
        <f>'I-Project Contingency'!$E$67-BB71</f>
        <v>0</v>
      </c>
      <c r="BX71" s="330">
        <f>'I-Project Contingency'!$E$68-BC71</f>
        <v>0</v>
      </c>
      <c r="BY71" s="330">
        <f>'I-Project Contingency'!$E$69-BD71</f>
        <v>0</v>
      </c>
      <c r="BZ71" s="330">
        <f>'I-Project Contingency'!$E$70-BE71</f>
        <v>0</v>
      </c>
      <c r="CA71" s="330">
        <f>'I-Project Contingency'!$E$71-BF71</f>
        <v>0</v>
      </c>
      <c r="CB71" s="330">
        <f>'I-Project Contingency'!$E$72-BG71</f>
        <v>0</v>
      </c>
      <c r="CC71" s="330">
        <f>'I-Project Contingency'!$E$73-BH71</f>
        <v>0</v>
      </c>
      <c r="CD71" s="330">
        <f>'I-Project Contingency'!$E$74-BI71</f>
        <v>0</v>
      </c>
      <c r="CE71" s="330">
        <f>'I-Project Contingency'!$E$75-BJ71</f>
        <v>0</v>
      </c>
      <c r="CF71" s="330">
        <f>'I-Project Contingency'!$E$76-BK71</f>
        <v>0</v>
      </c>
      <c r="CG71" s="330">
        <f>'I-Project Contingency'!$E$77-BL71</f>
        <v>0</v>
      </c>
      <c r="CH71" s="784">
        <f>'I-Project Contingency'!$E$78-BM71</f>
        <v>0</v>
      </c>
      <c r="CI71" s="330">
        <f>'I-Project Contingency'!$E$79-BN71</f>
        <v>0</v>
      </c>
      <c r="CJ71" s="330">
        <f>'I-Project Contingency'!$E$80-BO71</f>
        <v>0</v>
      </c>
      <c r="CK71" s="330">
        <f>'I-Project Contingency'!$E$81-BP71</f>
        <v>0</v>
      </c>
      <c r="CL71" s="331">
        <f>'I-Project Contingency'!$O$5-AG71</f>
        <v>0</v>
      </c>
      <c r="CM71" s="332">
        <v>-0.98711802853447173</v>
      </c>
      <c r="CN71" s="332">
        <v>-0.19547704728364468</v>
      </c>
      <c r="CO71" s="332">
        <v>0.126462150308498</v>
      </c>
      <c r="CP71" s="332">
        <v>0.45967989154545902</v>
      </c>
      <c r="CQ71" s="332">
        <v>0.78297319902744</v>
      </c>
      <c r="CR71" s="332">
        <v>1.0957191966482109</v>
      </c>
      <c r="CS71" s="332">
        <v>1.4418405003536849</v>
      </c>
      <c r="CT71" s="332">
        <v>1.801002404194165</v>
      </c>
      <c r="CU71" s="332">
        <v>2.1797608166947349</v>
      </c>
      <c r="CV71" s="332">
        <v>2.5671680610072478</v>
      </c>
      <c r="CW71" s="332">
        <v>2.9690760644797152</v>
      </c>
      <c r="CX71" s="332">
        <v>3.3964145469774811</v>
      </c>
      <c r="CY71" s="332">
        <v>3.864536087769562</v>
      </c>
      <c r="CZ71" s="332">
        <v>4.3569836138896116</v>
      </c>
      <c r="DA71" s="332">
        <v>4.8862357851222598</v>
      </c>
      <c r="DB71" s="332">
        <v>5.438836997347547</v>
      </c>
      <c r="DC71" s="332">
        <v>6.047993455908566</v>
      </c>
      <c r="DD71" s="785">
        <v>6.720204953601761</v>
      </c>
      <c r="DE71" s="333">
        <v>7.55131678090412</v>
      </c>
      <c r="DF71" s="332">
        <v>8.661446370835737</v>
      </c>
      <c r="DG71" s="332">
        <v>11.206316207857133</v>
      </c>
      <c r="DH71" s="332">
        <f>'I-Project Contingency'!$E$86-CM71</f>
        <v>0</v>
      </c>
      <c r="DI71" s="332">
        <f>'I-Project Contingency'!$E$87-CN71</f>
        <v>0</v>
      </c>
      <c r="DJ71" s="332">
        <f>'I-Project Contingency'!$E$88-CO71</f>
        <v>0</v>
      </c>
      <c r="DK71" s="332">
        <f>'I-Project Contingency'!$E$89-CP71</f>
        <v>0</v>
      </c>
      <c r="DL71" s="332">
        <f>'I-Project Contingency'!$E$90-CQ71</f>
        <v>0</v>
      </c>
      <c r="DM71" s="332">
        <f>'I-Project Contingency'!$E$91-CR71</f>
        <v>0</v>
      </c>
      <c r="DN71" s="332">
        <f>'I-Project Contingency'!$E$92-CS71</f>
        <v>0</v>
      </c>
      <c r="DO71" s="332">
        <f>'I-Project Contingency'!$E$93-CT71</f>
        <v>0</v>
      </c>
      <c r="DP71" s="332">
        <f>'I-Project Contingency'!$E$94-CU71</f>
        <v>0</v>
      </c>
      <c r="DQ71" s="332">
        <f>'I-Project Contingency'!$E$95-CV71</f>
        <v>0</v>
      </c>
      <c r="DR71" s="332">
        <f>'I-Project Contingency'!$E$96-CW71</f>
        <v>0</v>
      </c>
      <c r="DS71" s="332">
        <f>'I-Project Contingency'!$E$97-CX71</f>
        <v>0</v>
      </c>
      <c r="DT71" s="332">
        <f>'I-Project Contingency'!$E$98-CY71</f>
        <v>0</v>
      </c>
      <c r="DU71" s="332">
        <f>'I-Project Contingency'!$E$99-CZ71</f>
        <v>0</v>
      </c>
      <c r="DV71" s="332">
        <f>'I-Project Contingency'!$E$100-DA71</f>
        <v>0</v>
      </c>
      <c r="DW71" s="332">
        <f>'I-Project Contingency'!$E$101-DB71</f>
        <v>0</v>
      </c>
      <c r="DX71" s="332">
        <f>'I-Project Contingency'!$E$102-DC71</f>
        <v>0</v>
      </c>
      <c r="DY71" s="332">
        <f>'I-Project Contingency'!$E$103-DD71</f>
        <v>0</v>
      </c>
      <c r="DZ71" s="332">
        <f>'I-Project Contingency'!$E$104-DE71</f>
        <v>0</v>
      </c>
      <c r="EA71" s="332">
        <f>'I-Project Contingency'!$E$105-DF71</f>
        <v>0</v>
      </c>
      <c r="EB71" s="332">
        <f>'I-Project Contingency'!$E$106-DG71</f>
        <v>0</v>
      </c>
      <c r="EC71" s="334">
        <f>IF(EE71="N/A","N/A",ABS(INDEX(EE71:EY71,1,MATCH("ROM Cost Risk @ "&amp;'D-Project Data'!$C$6*100&amp;"%",$EE$17:$EY$17,0))))</f>
        <v>0</v>
      </c>
      <c r="ED71" s="335">
        <f>IF(EC71="N/A","N/A",RANK(EC71,$EC$18:$EC$117,0)+COUNTIF($EC$18:EC71,EC71)-1)</f>
        <v>54</v>
      </c>
      <c r="EE71" s="334">
        <f>IF(BQ71/SUM(BQ:BQ)*'I-Project Contingency'!$F$61=0,0,BQ71/SUM(BQ:BQ)*'I-Project Contingency'!$F$61)</f>
        <v>0</v>
      </c>
      <c r="EF71" s="334">
        <f>IF(BR71/SUM(BR:BR)*'I-Project Contingency'!$F$62=0,0,BR71/SUM(BR:BR)*'I-Project Contingency'!$F$62)</f>
        <v>0</v>
      </c>
      <c r="EG71" s="334">
        <f>IF(BS71/SUM(BS:BS)*'I-Project Contingency'!$F$63=0,0,BS71/SUM(BS:BS)*'I-Project Contingency'!$F$63)</f>
        <v>0</v>
      </c>
      <c r="EH71" s="334">
        <f>IF(BT71/SUM(BT:BT)*'I-Project Contingency'!$F$64=0,0,BT71/SUM(BT:BT)*'I-Project Contingency'!$F$64)</f>
        <v>0</v>
      </c>
      <c r="EI71" s="334">
        <f>IF(BU71/SUM(BU:BU)*'I-Project Contingency'!$F$65=0,0,BU71/SUM(BU:BU)*'I-Project Contingency'!$F$65)</f>
        <v>0</v>
      </c>
      <c r="EJ71" s="334">
        <f>IF(BV71/SUM(BV:BV)*'I-Project Contingency'!$F$66=0,0,BV71/SUM(BV:BV)*'I-Project Contingency'!$F$66)</f>
        <v>0</v>
      </c>
      <c r="EK71" s="334">
        <f>IF(BW71/SUM(BW:BW)*'I-Project Contingency'!$F$67=0,0,BW71/SUM(BW:BW)*'I-Project Contingency'!$F$67)</f>
        <v>0</v>
      </c>
      <c r="EL71" s="334">
        <f>IF(BX71/SUM(BX:BX)*'I-Project Contingency'!$F$68=0,0,BX71/SUM(BX:BX)*'I-Project Contingency'!$F$68)</f>
        <v>0</v>
      </c>
      <c r="EM71" s="334">
        <f>IF(BY71/SUM(BY:BY)*'I-Project Contingency'!$F$69=0,0,BY71/SUM(BY:BY)*'I-Project Contingency'!$F$69)</f>
        <v>0</v>
      </c>
      <c r="EN71" s="334">
        <f>IF(BZ71/SUM(BZ:BZ)*'I-Project Contingency'!$F$70=0,0,BZ71/SUM(BZ:BZ)*'I-Project Contingency'!$F$70)</f>
        <v>0</v>
      </c>
      <c r="EO71" s="334">
        <f>IF(CA71/SUM(CA:CA)*'I-Project Contingency'!$F$71=0,0,CA71/SUM(CA:CA)*'I-Project Contingency'!$F$71)</f>
        <v>0</v>
      </c>
      <c r="EP71" s="334">
        <f>IF(CB71/SUM(CB:CB)*'I-Project Contingency'!$F$72=0,0,CB71/SUM(CB:CB)*'I-Project Contingency'!$F$72)</f>
        <v>0</v>
      </c>
      <c r="EQ71" s="334">
        <f>IF(CC71/SUM(CC:CC)*'I-Project Contingency'!$F$73=0,0,CC71/SUM(CC:CC)*'I-Project Contingency'!$F$73)</f>
        <v>0</v>
      </c>
      <c r="ER71" s="334">
        <f>IF(CD71/SUM(CD:CD)*'I-Project Contingency'!$F$74=0,0,CD71/SUM(CD:CD)*'I-Project Contingency'!$F$74)</f>
        <v>0</v>
      </c>
      <c r="ES71" s="334">
        <f>IF(CE71/SUM(CE:CE)*'I-Project Contingency'!$F$75=0,0,CE71/SUM(CE:CE)*'I-Project Contingency'!$F$75)</f>
        <v>0</v>
      </c>
      <c r="ET71" s="334">
        <f>IF(CF71/SUM(CF:CF)*'I-Project Contingency'!$F$76=0,0,CF71/SUM(CF:CF)*'I-Project Contingency'!$F$76)</f>
        <v>0</v>
      </c>
      <c r="EU71" s="334">
        <f>IF(CG71/SUM(CG:CG)*'I-Project Contingency'!$F$77=0,0,CG71/SUM(CG:CG)*'I-Project Contingency'!$F$77)</f>
        <v>0</v>
      </c>
      <c r="EV71" s="787">
        <f>IF(CH71/SUM(CH:CH)*'I-Project Contingency'!$F$78=0,0,CH71/SUM(CH:CH)*'I-Project Contingency'!$F$78)</f>
        <v>0</v>
      </c>
      <c r="EW71" s="787">
        <f>IF(CI71/SUM(CI:CI)*'I-Project Contingency'!$F$79=0,0,CI71/SUM(CI:CI)*'I-Project Contingency'!$F$79)</f>
        <v>0</v>
      </c>
      <c r="EX71" s="787">
        <f>IF(CJ71/SUM(CJ:CJ)*'I-Project Contingency'!$F$80=0,0,CJ71/SUM(CJ:CJ)*'I-Project Contingency'!$F$80)</f>
        <v>0</v>
      </c>
      <c r="EY71" s="787">
        <f>IF(CK71/SUM(CK:CK)*'I-Project Contingency'!$F$81=0,0,CK71/SUM(CK:CK)*'I-Project Contingency'!$F$81)</f>
        <v>0</v>
      </c>
      <c r="EZ71" s="333">
        <f>IF(FB71="N/A","N/A",ABS(INDEX(FB71:FV71,1,MATCH("ROM Schedule Risk @ "&amp;'D-Project Data'!$C$6*100&amp;"%",$FB$17:$FV$17,0))))</f>
        <v>0</v>
      </c>
      <c r="FA71" s="335">
        <f>IF(EZ71="N/A","N/A",RANK(EZ71,$EZ$18:$EZ$117,0)+COUNTIF($FB$18:FB71,FB71)-1)</f>
        <v>54</v>
      </c>
      <c r="FB71" s="788">
        <f>IF(DH71/SUM(DH:DH)*'I-Project Contingency'!$F$86=0,0,DH71/SUM(DH:DH)*'I-Project Contingency'!$F$86)</f>
        <v>0</v>
      </c>
      <c r="FC71" s="788">
        <f>IF(DI71/SUM(DI:DI)*'I-Project Contingency'!$F$87=0,0,DI71/SUM(DI:DI)*'I-Project Contingency'!$F$87)</f>
        <v>0</v>
      </c>
      <c r="FD71" s="788">
        <f>IF(DJ71/SUM(DJ:DJ)*'I-Project Contingency'!$F$88=0,0,DJ71/SUM(DJ:DJ)*'I-Project Contingency'!$F$88)</f>
        <v>0</v>
      </c>
      <c r="FE71" s="788">
        <f>IF(DK71/SUM(DK:DK)*'I-Project Contingency'!$F$89=0,0,DK71/SUM(DK:DK)*'I-Project Contingency'!$F$89)</f>
        <v>0</v>
      </c>
      <c r="FF71" s="788">
        <f>IF(DL71/SUM(DL:DL)*'I-Project Contingency'!$F$90=0,0,DL71/SUM(DL:DL)*'I-Project Contingency'!$F$90)</f>
        <v>0</v>
      </c>
      <c r="FG71" s="788">
        <f>IF(DM71/SUM(DM:DM)*'I-Project Contingency'!$F$91=0,0,DM71/SUM(DM:DM)*'I-Project Contingency'!$F$91)</f>
        <v>0</v>
      </c>
      <c r="FH71" s="788">
        <f>IF(DN71/SUM(DN:DN)*'I-Project Contingency'!$F$92=0,0,DN71/SUM(DN:DN)*'I-Project Contingency'!$F$92)</f>
        <v>0</v>
      </c>
      <c r="FI71" s="788">
        <f>IF(DO71/SUM(DO:DO)*'I-Project Contingency'!$F$93=0,0,DO71/SUM(DO:DO)*'I-Project Contingency'!$F$93)</f>
        <v>0</v>
      </c>
      <c r="FJ71" s="788">
        <f>IF(DP71/SUM(DP:DP)*'I-Project Contingency'!$F$94=0,0,DP71/SUM(DP:DP)*'I-Project Contingency'!$F$94)</f>
        <v>0</v>
      </c>
      <c r="FK71" s="788">
        <f>IF(DQ71/SUM(DQ:DQ)*'I-Project Contingency'!$F$95=0,0,DQ71/SUM(DQ:DQ)*'I-Project Contingency'!$F$95)</f>
        <v>0</v>
      </c>
      <c r="FL71" s="788">
        <f>IF(DR71/SUM(DR:DR)*'I-Project Contingency'!$F$96=0,0,DR71/SUM(DR:DR)*'I-Project Contingency'!$F$96)</f>
        <v>0</v>
      </c>
      <c r="FM71" s="788">
        <f>IF(DS71/SUM(DS:DS)*'I-Project Contingency'!$F$97=0,0,DS71/SUM(DS:DS)*'I-Project Contingency'!$F$97)</f>
        <v>0</v>
      </c>
      <c r="FN71" s="788">
        <f>IF(DT71/SUM(DT:DT)*'I-Project Contingency'!$F$98=0,0,DT71/SUM(DT:DT)*'I-Project Contingency'!$F$98)</f>
        <v>0</v>
      </c>
      <c r="FO71" s="788">
        <f>IF(DU71/SUM(DU:DU)*'I-Project Contingency'!$F$99=0,0,DU71/SUM(DU:DU)*'I-Project Contingency'!$F$99)</f>
        <v>0</v>
      </c>
      <c r="FP71" s="788">
        <f>IF(DV71/SUM(DV:DV)*'I-Project Contingency'!$F$100=0,0,DV71/SUM(DV:DV)*'I-Project Contingency'!$F$100)</f>
        <v>0</v>
      </c>
      <c r="FQ71" s="788">
        <f>IF(DW71/SUM(DW:DW)*'I-Project Contingency'!$F$101=0,0,DW71/SUM(DW:DW)*'I-Project Contingency'!$F$101)</f>
        <v>0</v>
      </c>
      <c r="FR71" s="788">
        <f>IF(DX71/SUM(DX:DX)*'I-Project Contingency'!$F$102=0,0,DX71/SUM(DX:DX)*'I-Project Contingency'!$F$102)</f>
        <v>0</v>
      </c>
      <c r="FS71" s="788">
        <f>IF(DY71/SUM(DY:DY)*'I-Project Contingency'!$F$103=0,0,DY71/SUM(DY:DY)*'I-Project Contingency'!$F$103)</f>
        <v>0</v>
      </c>
      <c r="FT71" s="788">
        <f>IF(DZ71/SUM(DZ:DZ)*'I-Project Contingency'!$F$104=0,0,DZ71/SUM(DZ:DZ)*'I-Project Contingency'!$F$104)</f>
        <v>0</v>
      </c>
      <c r="FU71" s="788">
        <f>IF(EA71/SUM(EA:EA)*'I-Project Contingency'!$F$105=0,0,EA71/SUM(EA:EA)*'I-Project Contingency'!$F$105)</f>
        <v>0</v>
      </c>
      <c r="FV71" s="788">
        <f>IF(EB71/SUM(EB:EB)*'I-Project Contingency'!$F$106=0,0,EB71/SUM(EB:EB)*'I-Project Contingency'!$F$106)</f>
        <v>0</v>
      </c>
      <c r="FW71" s="335">
        <f t="shared" si="37"/>
        <v>54</v>
      </c>
      <c r="FX71" s="336" t="str">
        <f t="shared" si="38"/>
        <v xml:space="preserve">54 -  </v>
      </c>
      <c r="FY71" s="330">
        <f t="shared" si="43"/>
        <v>0</v>
      </c>
      <c r="FZ71" s="330">
        <f t="shared" si="44"/>
        <v>0</v>
      </c>
      <c r="GA71" s="332">
        <f t="shared" si="39"/>
        <v>0</v>
      </c>
      <c r="GB71" s="332">
        <f t="shared" si="40"/>
        <v>0</v>
      </c>
    </row>
    <row r="72" spans="1:184" ht="30" x14ac:dyDescent="0.25">
      <c r="A72" s="163">
        <f t="shared" si="23"/>
        <v>55</v>
      </c>
      <c r="B72" s="727" t="s">
        <v>728</v>
      </c>
      <c r="C72" s="729" t="s">
        <v>659</v>
      </c>
      <c r="D72" s="729" t="s">
        <v>659</v>
      </c>
      <c r="E72" s="729" t="s">
        <v>659</v>
      </c>
      <c r="F72" s="728" t="s">
        <v>728</v>
      </c>
      <c r="G72" s="728" t="s">
        <v>728</v>
      </c>
      <c r="H72" s="157" t="str">
        <f>IFERROR(IF('H-Risk Register-Model'!F72="Certain","Relook at Basis of Estimate",INDEX('G-Assumptions'!$F$8:$J$11,MATCH(F72,'G-Assumptions'!$D$8:$D$11,0),MATCH(G72,'G-Assumptions'!$F$6:$J$6,0))),"Unrated")</f>
        <v>Unrated</v>
      </c>
      <c r="I72" s="728" t="s">
        <v>728</v>
      </c>
      <c r="J72" s="157" t="str">
        <f>IFERROR(IF('H-Risk Register-Model'!F72="Certain","Relook at Basis of Estimate",INDEX('G-Assumptions'!$F$8:$J$11,MATCH(F72,'G-Assumptions'!$D$8:$D$11,0),MATCH(I72,'G-Assumptions'!$F$6:$J$6,0))),"Unrated")</f>
        <v>Unrated</v>
      </c>
      <c r="K72" s="728" t="s">
        <v>728</v>
      </c>
      <c r="L72" s="728" t="s">
        <v>728</v>
      </c>
      <c r="M72" s="728"/>
      <c r="N72" s="731" t="s">
        <v>728</v>
      </c>
      <c r="O72" s="731" t="s">
        <v>728</v>
      </c>
      <c r="P72" s="732"/>
      <c r="Q72" s="732"/>
      <c r="R72" s="732"/>
      <c r="S72" s="733"/>
      <c r="T72" s="733"/>
      <c r="U72" s="733"/>
      <c r="V72" s="734"/>
      <c r="W72" s="732"/>
      <c r="X72" s="732"/>
      <c r="Y72" s="735">
        <v>1</v>
      </c>
      <c r="Z72" s="736">
        <v>1</v>
      </c>
      <c r="AA72" s="166">
        <f t="shared" si="19"/>
        <v>0</v>
      </c>
      <c r="AB72" s="166">
        <f t="shared" si="20"/>
        <v>0</v>
      </c>
      <c r="AC72" s="166">
        <f t="shared" si="21"/>
        <v>0</v>
      </c>
      <c r="AD72" s="166"/>
      <c r="AE72" s="164">
        <f t="shared" si="41"/>
        <v>0</v>
      </c>
      <c r="AF72" s="167"/>
      <c r="AG72" s="165">
        <f t="shared" si="42"/>
        <v>0</v>
      </c>
      <c r="AH72" s="729"/>
      <c r="AI72" s="729"/>
      <c r="AJ72" s="8"/>
      <c r="AK72" s="495" t="str">
        <f t="shared" si="30"/>
        <v>No</v>
      </c>
      <c r="AL72" s="496">
        <f>'I-Project Contingency'!$I$4</f>
        <v>9000000</v>
      </c>
      <c r="AM72" s="326">
        <f>'I-Project Contingency'!$I$11</f>
        <v>23.978102189781023</v>
      </c>
      <c r="AN72" s="325">
        <f t="shared" si="31"/>
        <v>0</v>
      </c>
      <c r="AO72" s="326">
        <f t="shared" si="32"/>
        <v>0</v>
      </c>
      <c r="AP72" s="641" t="str">
        <f t="shared" si="33"/>
        <v/>
      </c>
      <c r="AQ72" s="641" t="str">
        <f t="shared" si="34"/>
        <v/>
      </c>
      <c r="AR72" s="497" t="str">
        <f t="shared" si="35"/>
        <v/>
      </c>
      <c r="AS72" s="497" t="str">
        <f t="shared" si="36"/>
        <v/>
      </c>
      <c r="AT72" s="8"/>
      <c r="AU72" s="329">
        <f>'I-Project Contingency'!$O$4-AE72</f>
        <v>0</v>
      </c>
      <c r="AV72" s="330">
        <v>-240515.59579276721</v>
      </c>
      <c r="AW72" s="330">
        <v>28172.931401335634</v>
      </c>
      <c r="AX72" s="330">
        <v>193478.84467429668</v>
      </c>
      <c r="AY72" s="330">
        <v>361668.20104834624</v>
      </c>
      <c r="AZ72" s="330">
        <v>524446.91524262261</v>
      </c>
      <c r="BA72" s="330">
        <v>704023.56387635041</v>
      </c>
      <c r="BB72" s="330">
        <v>886394.06956240814</v>
      </c>
      <c r="BC72" s="330">
        <v>1079363.7165157665</v>
      </c>
      <c r="BD72" s="330">
        <v>1280180.1532065615</v>
      </c>
      <c r="BE72" s="330">
        <v>1485323.8019108465</v>
      </c>
      <c r="BF72" s="330">
        <v>1703758.8827524669</v>
      </c>
      <c r="BG72" s="330">
        <v>1949523.4346483489</v>
      </c>
      <c r="BH72" s="330">
        <v>2177897.1603371189</v>
      </c>
      <c r="BI72" s="330">
        <v>2429374.4260425912</v>
      </c>
      <c r="BJ72" s="330">
        <v>2717092.7449284913</v>
      </c>
      <c r="BK72" s="330">
        <v>3010093.6968918457</v>
      </c>
      <c r="BL72" s="330">
        <v>3325414.5894657462</v>
      </c>
      <c r="BM72" s="330">
        <v>3690425.9159493577</v>
      </c>
      <c r="BN72" s="330">
        <v>4143935.1706127762</v>
      </c>
      <c r="BO72" s="330">
        <v>4722651.1159141911</v>
      </c>
      <c r="BP72" s="330">
        <v>5992048.8629153483</v>
      </c>
      <c r="BQ72" s="330">
        <f>'I-Project Contingency'!$E$61-AV72</f>
        <v>0</v>
      </c>
      <c r="BR72" s="330">
        <f>'I-Project Contingency'!$E$62-AW72</f>
        <v>0</v>
      </c>
      <c r="BS72" s="330">
        <f>'I-Project Contingency'!$E$63-AX72</f>
        <v>0</v>
      </c>
      <c r="BT72" s="330">
        <f>'I-Project Contingency'!$E$64-AY72</f>
        <v>0</v>
      </c>
      <c r="BU72" s="330">
        <f>'I-Project Contingency'!$E$65-AZ72</f>
        <v>0</v>
      </c>
      <c r="BV72" s="330">
        <f>'I-Project Contingency'!$E$66-BA72</f>
        <v>0</v>
      </c>
      <c r="BW72" s="330">
        <f>'I-Project Contingency'!$E$67-BB72</f>
        <v>0</v>
      </c>
      <c r="BX72" s="330">
        <f>'I-Project Contingency'!$E$68-BC72</f>
        <v>0</v>
      </c>
      <c r="BY72" s="330">
        <f>'I-Project Contingency'!$E$69-BD72</f>
        <v>0</v>
      </c>
      <c r="BZ72" s="330">
        <f>'I-Project Contingency'!$E$70-BE72</f>
        <v>0</v>
      </c>
      <c r="CA72" s="330">
        <f>'I-Project Contingency'!$E$71-BF72</f>
        <v>0</v>
      </c>
      <c r="CB72" s="330">
        <f>'I-Project Contingency'!$E$72-BG72</f>
        <v>0</v>
      </c>
      <c r="CC72" s="330">
        <f>'I-Project Contingency'!$E$73-BH72</f>
        <v>0</v>
      </c>
      <c r="CD72" s="330">
        <f>'I-Project Contingency'!$E$74-BI72</f>
        <v>0</v>
      </c>
      <c r="CE72" s="330">
        <f>'I-Project Contingency'!$E$75-BJ72</f>
        <v>0</v>
      </c>
      <c r="CF72" s="330">
        <f>'I-Project Contingency'!$E$76-BK72</f>
        <v>0</v>
      </c>
      <c r="CG72" s="330">
        <f>'I-Project Contingency'!$E$77-BL72</f>
        <v>0</v>
      </c>
      <c r="CH72" s="784">
        <f>'I-Project Contingency'!$E$78-BM72</f>
        <v>0</v>
      </c>
      <c r="CI72" s="330">
        <f>'I-Project Contingency'!$E$79-BN72</f>
        <v>0</v>
      </c>
      <c r="CJ72" s="330">
        <f>'I-Project Contingency'!$E$80-BO72</f>
        <v>0</v>
      </c>
      <c r="CK72" s="330">
        <f>'I-Project Contingency'!$E$81-BP72</f>
        <v>0</v>
      </c>
      <c r="CL72" s="331">
        <f>'I-Project Contingency'!$O$5-AG72</f>
        <v>0</v>
      </c>
      <c r="CM72" s="332">
        <v>-0.98711802853447173</v>
      </c>
      <c r="CN72" s="332">
        <v>-0.19547704728364468</v>
      </c>
      <c r="CO72" s="332">
        <v>0.126462150308498</v>
      </c>
      <c r="CP72" s="332">
        <v>0.45967989154545902</v>
      </c>
      <c r="CQ72" s="332">
        <v>0.78297319902744</v>
      </c>
      <c r="CR72" s="332">
        <v>1.0957191966482109</v>
      </c>
      <c r="CS72" s="332">
        <v>1.4418405003536849</v>
      </c>
      <c r="CT72" s="332">
        <v>1.801002404194165</v>
      </c>
      <c r="CU72" s="332">
        <v>2.1797608166947349</v>
      </c>
      <c r="CV72" s="332">
        <v>2.5671680610072478</v>
      </c>
      <c r="CW72" s="332">
        <v>2.9690760644797152</v>
      </c>
      <c r="CX72" s="332">
        <v>3.3964145469774811</v>
      </c>
      <c r="CY72" s="332">
        <v>3.864536087769562</v>
      </c>
      <c r="CZ72" s="332">
        <v>4.3569836138896116</v>
      </c>
      <c r="DA72" s="332">
        <v>4.8862357851222598</v>
      </c>
      <c r="DB72" s="332">
        <v>5.438836997347547</v>
      </c>
      <c r="DC72" s="332">
        <v>6.047993455908566</v>
      </c>
      <c r="DD72" s="785">
        <v>6.720204953601761</v>
      </c>
      <c r="DE72" s="333">
        <v>7.55131678090412</v>
      </c>
      <c r="DF72" s="332">
        <v>8.661446370835737</v>
      </c>
      <c r="DG72" s="332">
        <v>11.206316207857133</v>
      </c>
      <c r="DH72" s="332">
        <f>'I-Project Contingency'!$E$86-CM72</f>
        <v>0</v>
      </c>
      <c r="DI72" s="332">
        <f>'I-Project Contingency'!$E$87-CN72</f>
        <v>0</v>
      </c>
      <c r="DJ72" s="332">
        <f>'I-Project Contingency'!$E$88-CO72</f>
        <v>0</v>
      </c>
      <c r="DK72" s="332">
        <f>'I-Project Contingency'!$E$89-CP72</f>
        <v>0</v>
      </c>
      <c r="DL72" s="332">
        <f>'I-Project Contingency'!$E$90-CQ72</f>
        <v>0</v>
      </c>
      <c r="DM72" s="332">
        <f>'I-Project Contingency'!$E$91-CR72</f>
        <v>0</v>
      </c>
      <c r="DN72" s="332">
        <f>'I-Project Contingency'!$E$92-CS72</f>
        <v>0</v>
      </c>
      <c r="DO72" s="332">
        <f>'I-Project Contingency'!$E$93-CT72</f>
        <v>0</v>
      </c>
      <c r="DP72" s="332">
        <f>'I-Project Contingency'!$E$94-CU72</f>
        <v>0</v>
      </c>
      <c r="DQ72" s="332">
        <f>'I-Project Contingency'!$E$95-CV72</f>
        <v>0</v>
      </c>
      <c r="DR72" s="332">
        <f>'I-Project Contingency'!$E$96-CW72</f>
        <v>0</v>
      </c>
      <c r="DS72" s="332">
        <f>'I-Project Contingency'!$E$97-CX72</f>
        <v>0</v>
      </c>
      <c r="DT72" s="332">
        <f>'I-Project Contingency'!$E$98-CY72</f>
        <v>0</v>
      </c>
      <c r="DU72" s="332">
        <f>'I-Project Contingency'!$E$99-CZ72</f>
        <v>0</v>
      </c>
      <c r="DV72" s="332">
        <f>'I-Project Contingency'!$E$100-DA72</f>
        <v>0</v>
      </c>
      <c r="DW72" s="332">
        <f>'I-Project Contingency'!$E$101-DB72</f>
        <v>0</v>
      </c>
      <c r="DX72" s="332">
        <f>'I-Project Contingency'!$E$102-DC72</f>
        <v>0</v>
      </c>
      <c r="DY72" s="332">
        <f>'I-Project Contingency'!$E$103-DD72</f>
        <v>0</v>
      </c>
      <c r="DZ72" s="332">
        <f>'I-Project Contingency'!$E$104-DE72</f>
        <v>0</v>
      </c>
      <c r="EA72" s="332">
        <f>'I-Project Contingency'!$E$105-DF72</f>
        <v>0</v>
      </c>
      <c r="EB72" s="332">
        <f>'I-Project Contingency'!$E$106-DG72</f>
        <v>0</v>
      </c>
      <c r="EC72" s="334">
        <f>IF(EE72="N/A","N/A",ABS(INDEX(EE72:EY72,1,MATCH("ROM Cost Risk @ "&amp;'D-Project Data'!$C$6*100&amp;"%",$EE$17:$EY$17,0))))</f>
        <v>0</v>
      </c>
      <c r="ED72" s="335">
        <f>IF(EC72="N/A","N/A",RANK(EC72,$EC$18:$EC$117,0)+COUNTIF($EC$18:EC72,EC72)-1)</f>
        <v>55</v>
      </c>
      <c r="EE72" s="334">
        <f>IF(BQ72/SUM(BQ:BQ)*'I-Project Contingency'!$F$61=0,0,BQ72/SUM(BQ:BQ)*'I-Project Contingency'!$F$61)</f>
        <v>0</v>
      </c>
      <c r="EF72" s="334">
        <f>IF(BR72/SUM(BR:BR)*'I-Project Contingency'!$F$62=0,0,BR72/SUM(BR:BR)*'I-Project Contingency'!$F$62)</f>
        <v>0</v>
      </c>
      <c r="EG72" s="334">
        <f>IF(BS72/SUM(BS:BS)*'I-Project Contingency'!$F$63=0,0,BS72/SUM(BS:BS)*'I-Project Contingency'!$F$63)</f>
        <v>0</v>
      </c>
      <c r="EH72" s="334">
        <f>IF(BT72/SUM(BT:BT)*'I-Project Contingency'!$F$64=0,0,BT72/SUM(BT:BT)*'I-Project Contingency'!$F$64)</f>
        <v>0</v>
      </c>
      <c r="EI72" s="334">
        <f>IF(BU72/SUM(BU:BU)*'I-Project Contingency'!$F$65=0,0,BU72/SUM(BU:BU)*'I-Project Contingency'!$F$65)</f>
        <v>0</v>
      </c>
      <c r="EJ72" s="334">
        <f>IF(BV72/SUM(BV:BV)*'I-Project Contingency'!$F$66=0,0,BV72/SUM(BV:BV)*'I-Project Contingency'!$F$66)</f>
        <v>0</v>
      </c>
      <c r="EK72" s="334">
        <f>IF(BW72/SUM(BW:BW)*'I-Project Contingency'!$F$67=0,0,BW72/SUM(BW:BW)*'I-Project Contingency'!$F$67)</f>
        <v>0</v>
      </c>
      <c r="EL72" s="334">
        <f>IF(BX72/SUM(BX:BX)*'I-Project Contingency'!$F$68=0,0,BX72/SUM(BX:BX)*'I-Project Contingency'!$F$68)</f>
        <v>0</v>
      </c>
      <c r="EM72" s="334">
        <f>IF(BY72/SUM(BY:BY)*'I-Project Contingency'!$F$69=0,0,BY72/SUM(BY:BY)*'I-Project Contingency'!$F$69)</f>
        <v>0</v>
      </c>
      <c r="EN72" s="334">
        <f>IF(BZ72/SUM(BZ:BZ)*'I-Project Contingency'!$F$70=0,0,BZ72/SUM(BZ:BZ)*'I-Project Contingency'!$F$70)</f>
        <v>0</v>
      </c>
      <c r="EO72" s="334">
        <f>IF(CA72/SUM(CA:CA)*'I-Project Contingency'!$F$71=0,0,CA72/SUM(CA:CA)*'I-Project Contingency'!$F$71)</f>
        <v>0</v>
      </c>
      <c r="EP72" s="334">
        <f>IF(CB72/SUM(CB:CB)*'I-Project Contingency'!$F$72=0,0,CB72/SUM(CB:CB)*'I-Project Contingency'!$F$72)</f>
        <v>0</v>
      </c>
      <c r="EQ72" s="334">
        <f>IF(CC72/SUM(CC:CC)*'I-Project Contingency'!$F$73=0,0,CC72/SUM(CC:CC)*'I-Project Contingency'!$F$73)</f>
        <v>0</v>
      </c>
      <c r="ER72" s="334">
        <f>IF(CD72/SUM(CD:CD)*'I-Project Contingency'!$F$74=0,0,CD72/SUM(CD:CD)*'I-Project Contingency'!$F$74)</f>
        <v>0</v>
      </c>
      <c r="ES72" s="334">
        <f>IF(CE72/SUM(CE:CE)*'I-Project Contingency'!$F$75=0,0,CE72/SUM(CE:CE)*'I-Project Contingency'!$F$75)</f>
        <v>0</v>
      </c>
      <c r="ET72" s="334">
        <f>IF(CF72/SUM(CF:CF)*'I-Project Contingency'!$F$76=0,0,CF72/SUM(CF:CF)*'I-Project Contingency'!$F$76)</f>
        <v>0</v>
      </c>
      <c r="EU72" s="334">
        <f>IF(CG72/SUM(CG:CG)*'I-Project Contingency'!$F$77=0,0,CG72/SUM(CG:CG)*'I-Project Contingency'!$F$77)</f>
        <v>0</v>
      </c>
      <c r="EV72" s="787">
        <f>IF(CH72/SUM(CH:CH)*'I-Project Contingency'!$F$78=0,0,CH72/SUM(CH:CH)*'I-Project Contingency'!$F$78)</f>
        <v>0</v>
      </c>
      <c r="EW72" s="787">
        <f>IF(CI72/SUM(CI:CI)*'I-Project Contingency'!$F$79=0,0,CI72/SUM(CI:CI)*'I-Project Contingency'!$F$79)</f>
        <v>0</v>
      </c>
      <c r="EX72" s="787">
        <f>IF(CJ72/SUM(CJ:CJ)*'I-Project Contingency'!$F$80=0,0,CJ72/SUM(CJ:CJ)*'I-Project Contingency'!$F$80)</f>
        <v>0</v>
      </c>
      <c r="EY72" s="787">
        <f>IF(CK72/SUM(CK:CK)*'I-Project Contingency'!$F$81=0,0,CK72/SUM(CK:CK)*'I-Project Contingency'!$F$81)</f>
        <v>0</v>
      </c>
      <c r="EZ72" s="333">
        <f>IF(FB72="N/A","N/A",ABS(INDEX(FB72:FV72,1,MATCH("ROM Schedule Risk @ "&amp;'D-Project Data'!$C$6*100&amp;"%",$FB$17:$FV$17,0))))</f>
        <v>0</v>
      </c>
      <c r="FA72" s="335">
        <f>IF(EZ72="N/A","N/A",RANK(EZ72,$EZ$18:$EZ$117,0)+COUNTIF($FB$18:FB72,FB72)-1)</f>
        <v>55</v>
      </c>
      <c r="FB72" s="788">
        <f>IF(DH72/SUM(DH:DH)*'I-Project Contingency'!$F$86=0,0,DH72/SUM(DH:DH)*'I-Project Contingency'!$F$86)</f>
        <v>0</v>
      </c>
      <c r="FC72" s="788">
        <f>IF(DI72/SUM(DI:DI)*'I-Project Contingency'!$F$87=0,0,DI72/SUM(DI:DI)*'I-Project Contingency'!$F$87)</f>
        <v>0</v>
      </c>
      <c r="FD72" s="788">
        <f>IF(DJ72/SUM(DJ:DJ)*'I-Project Contingency'!$F$88=0,0,DJ72/SUM(DJ:DJ)*'I-Project Contingency'!$F$88)</f>
        <v>0</v>
      </c>
      <c r="FE72" s="788">
        <f>IF(DK72/SUM(DK:DK)*'I-Project Contingency'!$F$89=0,0,DK72/SUM(DK:DK)*'I-Project Contingency'!$F$89)</f>
        <v>0</v>
      </c>
      <c r="FF72" s="788">
        <f>IF(DL72/SUM(DL:DL)*'I-Project Contingency'!$F$90=0,0,DL72/SUM(DL:DL)*'I-Project Contingency'!$F$90)</f>
        <v>0</v>
      </c>
      <c r="FG72" s="788">
        <f>IF(DM72/SUM(DM:DM)*'I-Project Contingency'!$F$91=0,0,DM72/SUM(DM:DM)*'I-Project Contingency'!$F$91)</f>
        <v>0</v>
      </c>
      <c r="FH72" s="788">
        <f>IF(DN72/SUM(DN:DN)*'I-Project Contingency'!$F$92=0,0,DN72/SUM(DN:DN)*'I-Project Contingency'!$F$92)</f>
        <v>0</v>
      </c>
      <c r="FI72" s="788">
        <f>IF(DO72/SUM(DO:DO)*'I-Project Contingency'!$F$93=0,0,DO72/SUM(DO:DO)*'I-Project Contingency'!$F$93)</f>
        <v>0</v>
      </c>
      <c r="FJ72" s="788">
        <f>IF(DP72/SUM(DP:DP)*'I-Project Contingency'!$F$94=0,0,DP72/SUM(DP:DP)*'I-Project Contingency'!$F$94)</f>
        <v>0</v>
      </c>
      <c r="FK72" s="788">
        <f>IF(DQ72/SUM(DQ:DQ)*'I-Project Contingency'!$F$95=0,0,DQ72/SUM(DQ:DQ)*'I-Project Contingency'!$F$95)</f>
        <v>0</v>
      </c>
      <c r="FL72" s="788">
        <f>IF(DR72/SUM(DR:DR)*'I-Project Contingency'!$F$96=0,0,DR72/SUM(DR:DR)*'I-Project Contingency'!$F$96)</f>
        <v>0</v>
      </c>
      <c r="FM72" s="788">
        <f>IF(DS72/SUM(DS:DS)*'I-Project Contingency'!$F$97=0,0,DS72/SUM(DS:DS)*'I-Project Contingency'!$F$97)</f>
        <v>0</v>
      </c>
      <c r="FN72" s="788">
        <f>IF(DT72/SUM(DT:DT)*'I-Project Contingency'!$F$98=0,0,DT72/SUM(DT:DT)*'I-Project Contingency'!$F$98)</f>
        <v>0</v>
      </c>
      <c r="FO72" s="788">
        <f>IF(DU72/SUM(DU:DU)*'I-Project Contingency'!$F$99=0,0,DU72/SUM(DU:DU)*'I-Project Contingency'!$F$99)</f>
        <v>0</v>
      </c>
      <c r="FP72" s="788">
        <f>IF(DV72/SUM(DV:DV)*'I-Project Contingency'!$F$100=0,0,DV72/SUM(DV:DV)*'I-Project Contingency'!$F$100)</f>
        <v>0</v>
      </c>
      <c r="FQ72" s="788">
        <f>IF(DW72/SUM(DW:DW)*'I-Project Contingency'!$F$101=0,0,DW72/SUM(DW:DW)*'I-Project Contingency'!$F$101)</f>
        <v>0</v>
      </c>
      <c r="FR72" s="788">
        <f>IF(DX72/SUM(DX:DX)*'I-Project Contingency'!$F$102=0,0,DX72/SUM(DX:DX)*'I-Project Contingency'!$F$102)</f>
        <v>0</v>
      </c>
      <c r="FS72" s="788">
        <f>IF(DY72/SUM(DY:DY)*'I-Project Contingency'!$F$103=0,0,DY72/SUM(DY:DY)*'I-Project Contingency'!$F$103)</f>
        <v>0</v>
      </c>
      <c r="FT72" s="788">
        <f>IF(DZ72/SUM(DZ:DZ)*'I-Project Contingency'!$F$104=0,0,DZ72/SUM(DZ:DZ)*'I-Project Contingency'!$F$104)</f>
        <v>0</v>
      </c>
      <c r="FU72" s="788">
        <f>IF(EA72/SUM(EA:EA)*'I-Project Contingency'!$F$105=0,0,EA72/SUM(EA:EA)*'I-Project Contingency'!$F$105)</f>
        <v>0</v>
      </c>
      <c r="FV72" s="788">
        <f>IF(EB72/SUM(EB:EB)*'I-Project Contingency'!$F$106=0,0,EB72/SUM(EB:EB)*'I-Project Contingency'!$F$106)</f>
        <v>0</v>
      </c>
      <c r="FW72" s="335">
        <f t="shared" si="37"/>
        <v>55</v>
      </c>
      <c r="FX72" s="336" t="str">
        <f t="shared" si="38"/>
        <v xml:space="preserve">55 -  </v>
      </c>
      <c r="FY72" s="330">
        <f t="shared" si="43"/>
        <v>0</v>
      </c>
      <c r="FZ72" s="330">
        <f t="shared" si="44"/>
        <v>0</v>
      </c>
      <c r="GA72" s="332">
        <f t="shared" si="39"/>
        <v>0</v>
      </c>
      <c r="GB72" s="332">
        <f t="shared" si="40"/>
        <v>0</v>
      </c>
    </row>
    <row r="73" spans="1:184" ht="30" x14ac:dyDescent="0.25">
      <c r="A73" s="163">
        <f t="shared" si="23"/>
        <v>56</v>
      </c>
      <c r="B73" s="727" t="s">
        <v>728</v>
      </c>
      <c r="C73" s="729" t="s">
        <v>659</v>
      </c>
      <c r="D73" s="729" t="s">
        <v>659</v>
      </c>
      <c r="E73" s="729" t="s">
        <v>659</v>
      </c>
      <c r="F73" s="728" t="s">
        <v>728</v>
      </c>
      <c r="G73" s="728" t="s">
        <v>728</v>
      </c>
      <c r="H73" s="157" t="str">
        <f>IFERROR(IF('H-Risk Register-Model'!F73="Certain","Relook at Basis of Estimate",INDEX('G-Assumptions'!$F$8:$J$11,MATCH(F73,'G-Assumptions'!$D$8:$D$11,0),MATCH(G73,'G-Assumptions'!$F$6:$J$6,0))),"Unrated")</f>
        <v>Unrated</v>
      </c>
      <c r="I73" s="728" t="s">
        <v>728</v>
      </c>
      <c r="J73" s="157" t="str">
        <f>IFERROR(IF('H-Risk Register-Model'!F73="Certain","Relook at Basis of Estimate",INDEX('G-Assumptions'!$F$8:$J$11,MATCH(F73,'G-Assumptions'!$D$8:$D$11,0),MATCH(I73,'G-Assumptions'!$F$6:$J$6,0))),"Unrated")</f>
        <v>Unrated</v>
      </c>
      <c r="K73" s="728" t="s">
        <v>728</v>
      </c>
      <c r="L73" s="728" t="s">
        <v>728</v>
      </c>
      <c r="M73" s="728"/>
      <c r="N73" s="731" t="s">
        <v>728</v>
      </c>
      <c r="O73" s="731" t="s">
        <v>728</v>
      </c>
      <c r="P73" s="732"/>
      <c r="Q73" s="732"/>
      <c r="R73" s="732"/>
      <c r="S73" s="733"/>
      <c r="T73" s="733"/>
      <c r="U73" s="733"/>
      <c r="V73" s="734"/>
      <c r="W73" s="732"/>
      <c r="X73" s="732"/>
      <c r="Y73" s="735">
        <v>1</v>
      </c>
      <c r="Z73" s="736">
        <v>1</v>
      </c>
      <c r="AA73" s="166">
        <f t="shared" si="19"/>
        <v>0</v>
      </c>
      <c r="AB73" s="166">
        <f t="shared" si="20"/>
        <v>0</v>
      </c>
      <c r="AC73" s="166">
        <f t="shared" si="21"/>
        <v>0</v>
      </c>
      <c r="AD73" s="166"/>
      <c r="AE73" s="164">
        <f t="shared" si="41"/>
        <v>0</v>
      </c>
      <c r="AF73" s="167"/>
      <c r="AG73" s="165">
        <f t="shared" si="42"/>
        <v>0</v>
      </c>
      <c r="AH73" s="729"/>
      <c r="AI73" s="729"/>
      <c r="AJ73" s="8"/>
      <c r="AK73" s="495" t="str">
        <f t="shared" si="30"/>
        <v>No</v>
      </c>
      <c r="AL73" s="496">
        <f>'I-Project Contingency'!$I$4</f>
        <v>9000000</v>
      </c>
      <c r="AM73" s="326">
        <f>'I-Project Contingency'!$I$11</f>
        <v>23.978102189781023</v>
      </c>
      <c r="AN73" s="325">
        <f t="shared" si="31"/>
        <v>0</v>
      </c>
      <c r="AO73" s="326">
        <f t="shared" si="32"/>
        <v>0</v>
      </c>
      <c r="AP73" s="641" t="str">
        <f t="shared" si="33"/>
        <v/>
      </c>
      <c r="AQ73" s="641" t="str">
        <f t="shared" si="34"/>
        <v/>
      </c>
      <c r="AR73" s="497" t="str">
        <f t="shared" si="35"/>
        <v/>
      </c>
      <c r="AS73" s="497" t="str">
        <f t="shared" si="36"/>
        <v/>
      </c>
      <c r="AT73" s="8"/>
      <c r="AU73" s="329">
        <f>'I-Project Contingency'!$O$4-AE73</f>
        <v>0</v>
      </c>
      <c r="AV73" s="330">
        <v>-240515.59579276721</v>
      </c>
      <c r="AW73" s="330">
        <v>28172.931401335634</v>
      </c>
      <c r="AX73" s="330">
        <v>193478.84467429668</v>
      </c>
      <c r="AY73" s="330">
        <v>361668.20104834624</v>
      </c>
      <c r="AZ73" s="330">
        <v>524446.91524262261</v>
      </c>
      <c r="BA73" s="330">
        <v>704023.56387635041</v>
      </c>
      <c r="BB73" s="330">
        <v>886394.06956240814</v>
      </c>
      <c r="BC73" s="330">
        <v>1079363.7165157665</v>
      </c>
      <c r="BD73" s="330">
        <v>1280180.1532065615</v>
      </c>
      <c r="BE73" s="330">
        <v>1485323.8019108465</v>
      </c>
      <c r="BF73" s="330">
        <v>1703758.8827524669</v>
      </c>
      <c r="BG73" s="330">
        <v>1949523.4346483489</v>
      </c>
      <c r="BH73" s="330">
        <v>2177897.1603371189</v>
      </c>
      <c r="BI73" s="330">
        <v>2429374.4260425912</v>
      </c>
      <c r="BJ73" s="330">
        <v>2717092.7449284913</v>
      </c>
      <c r="BK73" s="330">
        <v>3010093.6968918457</v>
      </c>
      <c r="BL73" s="330">
        <v>3325414.5894657462</v>
      </c>
      <c r="BM73" s="330">
        <v>3690425.9159493577</v>
      </c>
      <c r="BN73" s="330">
        <v>4143935.1706127762</v>
      </c>
      <c r="BO73" s="330">
        <v>4722651.1159141911</v>
      </c>
      <c r="BP73" s="330">
        <v>5992048.8629153483</v>
      </c>
      <c r="BQ73" s="330">
        <f>'I-Project Contingency'!$E$61-AV73</f>
        <v>0</v>
      </c>
      <c r="BR73" s="330">
        <f>'I-Project Contingency'!$E$62-AW73</f>
        <v>0</v>
      </c>
      <c r="BS73" s="330">
        <f>'I-Project Contingency'!$E$63-AX73</f>
        <v>0</v>
      </c>
      <c r="BT73" s="330">
        <f>'I-Project Contingency'!$E$64-AY73</f>
        <v>0</v>
      </c>
      <c r="BU73" s="330">
        <f>'I-Project Contingency'!$E$65-AZ73</f>
        <v>0</v>
      </c>
      <c r="BV73" s="330">
        <f>'I-Project Contingency'!$E$66-BA73</f>
        <v>0</v>
      </c>
      <c r="BW73" s="330">
        <f>'I-Project Contingency'!$E$67-BB73</f>
        <v>0</v>
      </c>
      <c r="BX73" s="330">
        <f>'I-Project Contingency'!$E$68-BC73</f>
        <v>0</v>
      </c>
      <c r="BY73" s="330">
        <f>'I-Project Contingency'!$E$69-BD73</f>
        <v>0</v>
      </c>
      <c r="BZ73" s="330">
        <f>'I-Project Contingency'!$E$70-BE73</f>
        <v>0</v>
      </c>
      <c r="CA73" s="330">
        <f>'I-Project Contingency'!$E$71-BF73</f>
        <v>0</v>
      </c>
      <c r="CB73" s="330">
        <f>'I-Project Contingency'!$E$72-BG73</f>
        <v>0</v>
      </c>
      <c r="CC73" s="330">
        <f>'I-Project Contingency'!$E$73-BH73</f>
        <v>0</v>
      </c>
      <c r="CD73" s="330">
        <f>'I-Project Contingency'!$E$74-BI73</f>
        <v>0</v>
      </c>
      <c r="CE73" s="330">
        <f>'I-Project Contingency'!$E$75-BJ73</f>
        <v>0</v>
      </c>
      <c r="CF73" s="330">
        <f>'I-Project Contingency'!$E$76-BK73</f>
        <v>0</v>
      </c>
      <c r="CG73" s="330">
        <f>'I-Project Contingency'!$E$77-BL73</f>
        <v>0</v>
      </c>
      <c r="CH73" s="784">
        <f>'I-Project Contingency'!$E$78-BM73</f>
        <v>0</v>
      </c>
      <c r="CI73" s="330">
        <f>'I-Project Contingency'!$E$79-BN73</f>
        <v>0</v>
      </c>
      <c r="CJ73" s="330">
        <f>'I-Project Contingency'!$E$80-BO73</f>
        <v>0</v>
      </c>
      <c r="CK73" s="330">
        <f>'I-Project Contingency'!$E$81-BP73</f>
        <v>0</v>
      </c>
      <c r="CL73" s="331">
        <f>'I-Project Contingency'!$O$5-AG73</f>
        <v>0</v>
      </c>
      <c r="CM73" s="332">
        <v>-0.98711802853447173</v>
      </c>
      <c r="CN73" s="332">
        <v>-0.19547704728364468</v>
      </c>
      <c r="CO73" s="332">
        <v>0.126462150308498</v>
      </c>
      <c r="CP73" s="332">
        <v>0.45967989154545902</v>
      </c>
      <c r="CQ73" s="332">
        <v>0.78297319902744</v>
      </c>
      <c r="CR73" s="332">
        <v>1.0957191966482109</v>
      </c>
      <c r="CS73" s="332">
        <v>1.4418405003536849</v>
      </c>
      <c r="CT73" s="332">
        <v>1.801002404194165</v>
      </c>
      <c r="CU73" s="332">
        <v>2.1797608166947349</v>
      </c>
      <c r="CV73" s="332">
        <v>2.5671680610072478</v>
      </c>
      <c r="CW73" s="332">
        <v>2.9690760644797152</v>
      </c>
      <c r="CX73" s="332">
        <v>3.3964145469774811</v>
      </c>
      <c r="CY73" s="332">
        <v>3.864536087769562</v>
      </c>
      <c r="CZ73" s="332">
        <v>4.3569836138896116</v>
      </c>
      <c r="DA73" s="332">
        <v>4.8862357851222598</v>
      </c>
      <c r="DB73" s="332">
        <v>5.438836997347547</v>
      </c>
      <c r="DC73" s="332">
        <v>6.047993455908566</v>
      </c>
      <c r="DD73" s="785">
        <v>6.720204953601761</v>
      </c>
      <c r="DE73" s="333">
        <v>7.55131678090412</v>
      </c>
      <c r="DF73" s="332">
        <v>8.661446370835737</v>
      </c>
      <c r="DG73" s="332">
        <v>11.206316207857133</v>
      </c>
      <c r="DH73" s="332">
        <f>'I-Project Contingency'!$E$86-CM73</f>
        <v>0</v>
      </c>
      <c r="DI73" s="332">
        <f>'I-Project Contingency'!$E$87-CN73</f>
        <v>0</v>
      </c>
      <c r="DJ73" s="332">
        <f>'I-Project Contingency'!$E$88-CO73</f>
        <v>0</v>
      </c>
      <c r="DK73" s="332">
        <f>'I-Project Contingency'!$E$89-CP73</f>
        <v>0</v>
      </c>
      <c r="DL73" s="332">
        <f>'I-Project Contingency'!$E$90-CQ73</f>
        <v>0</v>
      </c>
      <c r="DM73" s="332">
        <f>'I-Project Contingency'!$E$91-CR73</f>
        <v>0</v>
      </c>
      <c r="DN73" s="332">
        <f>'I-Project Contingency'!$E$92-CS73</f>
        <v>0</v>
      </c>
      <c r="DO73" s="332">
        <f>'I-Project Contingency'!$E$93-CT73</f>
        <v>0</v>
      </c>
      <c r="DP73" s="332">
        <f>'I-Project Contingency'!$E$94-CU73</f>
        <v>0</v>
      </c>
      <c r="DQ73" s="332">
        <f>'I-Project Contingency'!$E$95-CV73</f>
        <v>0</v>
      </c>
      <c r="DR73" s="332">
        <f>'I-Project Contingency'!$E$96-CW73</f>
        <v>0</v>
      </c>
      <c r="DS73" s="332">
        <f>'I-Project Contingency'!$E$97-CX73</f>
        <v>0</v>
      </c>
      <c r="DT73" s="332">
        <f>'I-Project Contingency'!$E$98-CY73</f>
        <v>0</v>
      </c>
      <c r="DU73" s="332">
        <f>'I-Project Contingency'!$E$99-CZ73</f>
        <v>0</v>
      </c>
      <c r="DV73" s="332">
        <f>'I-Project Contingency'!$E$100-DA73</f>
        <v>0</v>
      </c>
      <c r="DW73" s="332">
        <f>'I-Project Contingency'!$E$101-DB73</f>
        <v>0</v>
      </c>
      <c r="DX73" s="332">
        <f>'I-Project Contingency'!$E$102-DC73</f>
        <v>0</v>
      </c>
      <c r="DY73" s="332">
        <f>'I-Project Contingency'!$E$103-DD73</f>
        <v>0</v>
      </c>
      <c r="DZ73" s="332">
        <f>'I-Project Contingency'!$E$104-DE73</f>
        <v>0</v>
      </c>
      <c r="EA73" s="332">
        <f>'I-Project Contingency'!$E$105-DF73</f>
        <v>0</v>
      </c>
      <c r="EB73" s="332">
        <f>'I-Project Contingency'!$E$106-DG73</f>
        <v>0</v>
      </c>
      <c r="EC73" s="334">
        <f>IF(EE73="N/A","N/A",ABS(INDEX(EE73:EY73,1,MATCH("ROM Cost Risk @ "&amp;'D-Project Data'!$C$6*100&amp;"%",$EE$17:$EY$17,0))))</f>
        <v>0</v>
      </c>
      <c r="ED73" s="335">
        <f>IF(EC73="N/A","N/A",RANK(EC73,$EC$18:$EC$117,0)+COUNTIF($EC$18:EC73,EC73)-1)</f>
        <v>56</v>
      </c>
      <c r="EE73" s="334">
        <f>IF(BQ73/SUM(BQ:BQ)*'I-Project Contingency'!$F$61=0,0,BQ73/SUM(BQ:BQ)*'I-Project Contingency'!$F$61)</f>
        <v>0</v>
      </c>
      <c r="EF73" s="334">
        <f>IF(BR73/SUM(BR:BR)*'I-Project Contingency'!$F$62=0,0,BR73/SUM(BR:BR)*'I-Project Contingency'!$F$62)</f>
        <v>0</v>
      </c>
      <c r="EG73" s="334">
        <f>IF(BS73/SUM(BS:BS)*'I-Project Contingency'!$F$63=0,0,BS73/SUM(BS:BS)*'I-Project Contingency'!$F$63)</f>
        <v>0</v>
      </c>
      <c r="EH73" s="334">
        <f>IF(BT73/SUM(BT:BT)*'I-Project Contingency'!$F$64=0,0,BT73/SUM(BT:BT)*'I-Project Contingency'!$F$64)</f>
        <v>0</v>
      </c>
      <c r="EI73" s="334">
        <f>IF(BU73/SUM(BU:BU)*'I-Project Contingency'!$F$65=0,0,BU73/SUM(BU:BU)*'I-Project Contingency'!$F$65)</f>
        <v>0</v>
      </c>
      <c r="EJ73" s="334">
        <f>IF(BV73/SUM(BV:BV)*'I-Project Contingency'!$F$66=0,0,BV73/SUM(BV:BV)*'I-Project Contingency'!$F$66)</f>
        <v>0</v>
      </c>
      <c r="EK73" s="334">
        <f>IF(BW73/SUM(BW:BW)*'I-Project Contingency'!$F$67=0,0,BW73/SUM(BW:BW)*'I-Project Contingency'!$F$67)</f>
        <v>0</v>
      </c>
      <c r="EL73" s="334">
        <f>IF(BX73/SUM(BX:BX)*'I-Project Contingency'!$F$68=0,0,BX73/SUM(BX:BX)*'I-Project Contingency'!$F$68)</f>
        <v>0</v>
      </c>
      <c r="EM73" s="334">
        <f>IF(BY73/SUM(BY:BY)*'I-Project Contingency'!$F$69=0,0,BY73/SUM(BY:BY)*'I-Project Contingency'!$F$69)</f>
        <v>0</v>
      </c>
      <c r="EN73" s="334">
        <f>IF(BZ73/SUM(BZ:BZ)*'I-Project Contingency'!$F$70=0,0,BZ73/SUM(BZ:BZ)*'I-Project Contingency'!$F$70)</f>
        <v>0</v>
      </c>
      <c r="EO73" s="334">
        <f>IF(CA73/SUM(CA:CA)*'I-Project Contingency'!$F$71=0,0,CA73/SUM(CA:CA)*'I-Project Contingency'!$F$71)</f>
        <v>0</v>
      </c>
      <c r="EP73" s="334">
        <f>IF(CB73/SUM(CB:CB)*'I-Project Contingency'!$F$72=0,0,CB73/SUM(CB:CB)*'I-Project Contingency'!$F$72)</f>
        <v>0</v>
      </c>
      <c r="EQ73" s="334">
        <f>IF(CC73/SUM(CC:CC)*'I-Project Contingency'!$F$73=0,0,CC73/SUM(CC:CC)*'I-Project Contingency'!$F$73)</f>
        <v>0</v>
      </c>
      <c r="ER73" s="334">
        <f>IF(CD73/SUM(CD:CD)*'I-Project Contingency'!$F$74=0,0,CD73/SUM(CD:CD)*'I-Project Contingency'!$F$74)</f>
        <v>0</v>
      </c>
      <c r="ES73" s="334">
        <f>IF(CE73/SUM(CE:CE)*'I-Project Contingency'!$F$75=0,0,CE73/SUM(CE:CE)*'I-Project Contingency'!$F$75)</f>
        <v>0</v>
      </c>
      <c r="ET73" s="334">
        <f>IF(CF73/SUM(CF:CF)*'I-Project Contingency'!$F$76=0,0,CF73/SUM(CF:CF)*'I-Project Contingency'!$F$76)</f>
        <v>0</v>
      </c>
      <c r="EU73" s="334">
        <f>IF(CG73/SUM(CG:CG)*'I-Project Contingency'!$F$77=0,0,CG73/SUM(CG:CG)*'I-Project Contingency'!$F$77)</f>
        <v>0</v>
      </c>
      <c r="EV73" s="787">
        <f>IF(CH73/SUM(CH:CH)*'I-Project Contingency'!$F$78=0,0,CH73/SUM(CH:CH)*'I-Project Contingency'!$F$78)</f>
        <v>0</v>
      </c>
      <c r="EW73" s="787">
        <f>IF(CI73/SUM(CI:CI)*'I-Project Contingency'!$F$79=0,0,CI73/SUM(CI:CI)*'I-Project Contingency'!$F$79)</f>
        <v>0</v>
      </c>
      <c r="EX73" s="787">
        <f>IF(CJ73/SUM(CJ:CJ)*'I-Project Contingency'!$F$80=0,0,CJ73/SUM(CJ:CJ)*'I-Project Contingency'!$F$80)</f>
        <v>0</v>
      </c>
      <c r="EY73" s="787">
        <f>IF(CK73/SUM(CK:CK)*'I-Project Contingency'!$F$81=0,0,CK73/SUM(CK:CK)*'I-Project Contingency'!$F$81)</f>
        <v>0</v>
      </c>
      <c r="EZ73" s="333">
        <f>IF(FB73="N/A","N/A",ABS(INDEX(FB73:FV73,1,MATCH("ROM Schedule Risk @ "&amp;'D-Project Data'!$C$6*100&amp;"%",$FB$17:$FV$17,0))))</f>
        <v>0</v>
      </c>
      <c r="FA73" s="335">
        <f>IF(EZ73="N/A","N/A",RANK(EZ73,$EZ$18:$EZ$117,0)+COUNTIF($FB$18:FB73,FB73)-1)</f>
        <v>56</v>
      </c>
      <c r="FB73" s="788">
        <f>IF(DH73/SUM(DH:DH)*'I-Project Contingency'!$F$86=0,0,DH73/SUM(DH:DH)*'I-Project Contingency'!$F$86)</f>
        <v>0</v>
      </c>
      <c r="FC73" s="788">
        <f>IF(DI73/SUM(DI:DI)*'I-Project Contingency'!$F$87=0,0,DI73/SUM(DI:DI)*'I-Project Contingency'!$F$87)</f>
        <v>0</v>
      </c>
      <c r="FD73" s="788">
        <f>IF(DJ73/SUM(DJ:DJ)*'I-Project Contingency'!$F$88=0,0,DJ73/SUM(DJ:DJ)*'I-Project Contingency'!$F$88)</f>
        <v>0</v>
      </c>
      <c r="FE73" s="788">
        <f>IF(DK73/SUM(DK:DK)*'I-Project Contingency'!$F$89=0,0,DK73/SUM(DK:DK)*'I-Project Contingency'!$F$89)</f>
        <v>0</v>
      </c>
      <c r="FF73" s="788">
        <f>IF(DL73/SUM(DL:DL)*'I-Project Contingency'!$F$90=0,0,DL73/SUM(DL:DL)*'I-Project Contingency'!$F$90)</f>
        <v>0</v>
      </c>
      <c r="FG73" s="788">
        <f>IF(DM73/SUM(DM:DM)*'I-Project Contingency'!$F$91=0,0,DM73/SUM(DM:DM)*'I-Project Contingency'!$F$91)</f>
        <v>0</v>
      </c>
      <c r="FH73" s="788">
        <f>IF(DN73/SUM(DN:DN)*'I-Project Contingency'!$F$92=0,0,DN73/SUM(DN:DN)*'I-Project Contingency'!$F$92)</f>
        <v>0</v>
      </c>
      <c r="FI73" s="788">
        <f>IF(DO73/SUM(DO:DO)*'I-Project Contingency'!$F$93=0,0,DO73/SUM(DO:DO)*'I-Project Contingency'!$F$93)</f>
        <v>0</v>
      </c>
      <c r="FJ73" s="788">
        <f>IF(DP73/SUM(DP:DP)*'I-Project Contingency'!$F$94=0,0,DP73/SUM(DP:DP)*'I-Project Contingency'!$F$94)</f>
        <v>0</v>
      </c>
      <c r="FK73" s="788">
        <f>IF(DQ73/SUM(DQ:DQ)*'I-Project Contingency'!$F$95=0,0,DQ73/SUM(DQ:DQ)*'I-Project Contingency'!$F$95)</f>
        <v>0</v>
      </c>
      <c r="FL73" s="788">
        <f>IF(DR73/SUM(DR:DR)*'I-Project Contingency'!$F$96=0,0,DR73/SUM(DR:DR)*'I-Project Contingency'!$F$96)</f>
        <v>0</v>
      </c>
      <c r="FM73" s="788">
        <f>IF(DS73/SUM(DS:DS)*'I-Project Contingency'!$F$97=0,0,DS73/SUM(DS:DS)*'I-Project Contingency'!$F$97)</f>
        <v>0</v>
      </c>
      <c r="FN73" s="788">
        <f>IF(DT73/SUM(DT:DT)*'I-Project Contingency'!$F$98=0,0,DT73/SUM(DT:DT)*'I-Project Contingency'!$F$98)</f>
        <v>0</v>
      </c>
      <c r="FO73" s="788">
        <f>IF(DU73/SUM(DU:DU)*'I-Project Contingency'!$F$99=0,0,DU73/SUM(DU:DU)*'I-Project Contingency'!$F$99)</f>
        <v>0</v>
      </c>
      <c r="FP73" s="788">
        <f>IF(DV73/SUM(DV:DV)*'I-Project Contingency'!$F$100=0,0,DV73/SUM(DV:DV)*'I-Project Contingency'!$F$100)</f>
        <v>0</v>
      </c>
      <c r="FQ73" s="788">
        <f>IF(DW73/SUM(DW:DW)*'I-Project Contingency'!$F$101=0,0,DW73/SUM(DW:DW)*'I-Project Contingency'!$F$101)</f>
        <v>0</v>
      </c>
      <c r="FR73" s="788">
        <f>IF(DX73/SUM(DX:DX)*'I-Project Contingency'!$F$102=0,0,DX73/SUM(DX:DX)*'I-Project Contingency'!$F$102)</f>
        <v>0</v>
      </c>
      <c r="FS73" s="788">
        <f>IF(DY73/SUM(DY:DY)*'I-Project Contingency'!$F$103=0,0,DY73/SUM(DY:DY)*'I-Project Contingency'!$F$103)</f>
        <v>0</v>
      </c>
      <c r="FT73" s="788">
        <f>IF(DZ73/SUM(DZ:DZ)*'I-Project Contingency'!$F$104=0,0,DZ73/SUM(DZ:DZ)*'I-Project Contingency'!$F$104)</f>
        <v>0</v>
      </c>
      <c r="FU73" s="788">
        <f>IF(EA73/SUM(EA:EA)*'I-Project Contingency'!$F$105=0,0,EA73/SUM(EA:EA)*'I-Project Contingency'!$F$105)</f>
        <v>0</v>
      </c>
      <c r="FV73" s="788">
        <f>IF(EB73/SUM(EB:EB)*'I-Project Contingency'!$F$106=0,0,EB73/SUM(EB:EB)*'I-Project Contingency'!$F$106)</f>
        <v>0</v>
      </c>
      <c r="FW73" s="335">
        <f t="shared" si="37"/>
        <v>56</v>
      </c>
      <c r="FX73" s="336" t="str">
        <f t="shared" si="38"/>
        <v xml:space="preserve">56 -  </v>
      </c>
      <c r="FY73" s="330">
        <f t="shared" si="43"/>
        <v>0</v>
      </c>
      <c r="FZ73" s="330">
        <f t="shared" si="44"/>
        <v>0</v>
      </c>
      <c r="GA73" s="332">
        <f t="shared" si="39"/>
        <v>0</v>
      </c>
      <c r="GB73" s="332">
        <f t="shared" si="40"/>
        <v>0</v>
      </c>
    </row>
    <row r="74" spans="1:184" ht="30" x14ac:dyDescent="0.25">
      <c r="A74" s="163">
        <f t="shared" si="23"/>
        <v>57</v>
      </c>
      <c r="B74" s="727" t="s">
        <v>728</v>
      </c>
      <c r="C74" s="729" t="s">
        <v>659</v>
      </c>
      <c r="D74" s="729" t="s">
        <v>659</v>
      </c>
      <c r="E74" s="729" t="s">
        <v>659</v>
      </c>
      <c r="F74" s="728" t="s">
        <v>728</v>
      </c>
      <c r="G74" s="728" t="s">
        <v>728</v>
      </c>
      <c r="H74" s="157" t="str">
        <f>IFERROR(IF('H-Risk Register-Model'!F74="Certain","Relook at Basis of Estimate",INDEX('G-Assumptions'!$F$8:$J$11,MATCH(F74,'G-Assumptions'!$D$8:$D$11,0),MATCH(G74,'G-Assumptions'!$F$6:$J$6,0))),"Unrated")</f>
        <v>Unrated</v>
      </c>
      <c r="I74" s="728" t="s">
        <v>728</v>
      </c>
      <c r="J74" s="157" t="str">
        <f>IFERROR(IF('H-Risk Register-Model'!F74="Certain","Relook at Basis of Estimate",INDEX('G-Assumptions'!$F$8:$J$11,MATCH(F74,'G-Assumptions'!$D$8:$D$11,0),MATCH(I74,'G-Assumptions'!$F$6:$J$6,0))),"Unrated")</f>
        <v>Unrated</v>
      </c>
      <c r="K74" s="728" t="s">
        <v>728</v>
      </c>
      <c r="L74" s="728" t="s">
        <v>728</v>
      </c>
      <c r="M74" s="728"/>
      <c r="N74" s="731" t="s">
        <v>728</v>
      </c>
      <c r="O74" s="731" t="s">
        <v>728</v>
      </c>
      <c r="P74" s="732"/>
      <c r="Q74" s="732"/>
      <c r="R74" s="732"/>
      <c r="S74" s="733"/>
      <c r="T74" s="733"/>
      <c r="U74" s="733"/>
      <c r="V74" s="734"/>
      <c r="W74" s="732"/>
      <c r="X74" s="732"/>
      <c r="Y74" s="735">
        <v>1</v>
      </c>
      <c r="Z74" s="736">
        <v>1</v>
      </c>
      <c r="AA74" s="166">
        <f t="shared" si="19"/>
        <v>0</v>
      </c>
      <c r="AB74" s="166">
        <f t="shared" si="20"/>
        <v>0</v>
      </c>
      <c r="AC74" s="166">
        <f t="shared" si="21"/>
        <v>0</v>
      </c>
      <c r="AD74" s="166"/>
      <c r="AE74" s="164">
        <f t="shared" si="41"/>
        <v>0</v>
      </c>
      <c r="AF74" s="167"/>
      <c r="AG74" s="165">
        <f t="shared" si="42"/>
        <v>0</v>
      </c>
      <c r="AH74" s="729"/>
      <c r="AI74" s="729"/>
      <c r="AJ74" s="8"/>
      <c r="AK74" s="495" t="str">
        <f t="shared" si="30"/>
        <v>No</v>
      </c>
      <c r="AL74" s="496">
        <f>'I-Project Contingency'!$I$4</f>
        <v>9000000</v>
      </c>
      <c r="AM74" s="326">
        <f>'I-Project Contingency'!$I$11</f>
        <v>23.978102189781023</v>
      </c>
      <c r="AN74" s="325">
        <f t="shared" si="31"/>
        <v>0</v>
      </c>
      <c r="AO74" s="326">
        <f t="shared" si="32"/>
        <v>0</v>
      </c>
      <c r="AP74" s="641" t="str">
        <f t="shared" si="33"/>
        <v/>
      </c>
      <c r="AQ74" s="641" t="str">
        <f t="shared" si="34"/>
        <v/>
      </c>
      <c r="AR74" s="497" t="str">
        <f t="shared" si="35"/>
        <v/>
      </c>
      <c r="AS74" s="497" t="str">
        <f t="shared" si="36"/>
        <v/>
      </c>
      <c r="AT74" s="8"/>
      <c r="AU74" s="329">
        <f>'I-Project Contingency'!$O$4-AE74</f>
        <v>0</v>
      </c>
      <c r="AV74" s="330">
        <v>-240515.59579276721</v>
      </c>
      <c r="AW74" s="330">
        <v>28172.931401335634</v>
      </c>
      <c r="AX74" s="330">
        <v>193478.84467429668</v>
      </c>
      <c r="AY74" s="330">
        <v>361668.20104834624</v>
      </c>
      <c r="AZ74" s="330">
        <v>524446.91524262261</v>
      </c>
      <c r="BA74" s="330">
        <v>704023.56387635041</v>
      </c>
      <c r="BB74" s="330">
        <v>886394.06956240814</v>
      </c>
      <c r="BC74" s="330">
        <v>1079363.7165157665</v>
      </c>
      <c r="BD74" s="330">
        <v>1280180.1532065615</v>
      </c>
      <c r="BE74" s="330">
        <v>1485323.8019108465</v>
      </c>
      <c r="BF74" s="330">
        <v>1703758.8827524669</v>
      </c>
      <c r="BG74" s="330">
        <v>1949523.4346483489</v>
      </c>
      <c r="BH74" s="330">
        <v>2177897.1603371189</v>
      </c>
      <c r="BI74" s="330">
        <v>2429374.4260425912</v>
      </c>
      <c r="BJ74" s="330">
        <v>2717092.7449284913</v>
      </c>
      <c r="BK74" s="330">
        <v>3010093.6968918457</v>
      </c>
      <c r="BL74" s="330">
        <v>3325414.5894657462</v>
      </c>
      <c r="BM74" s="330">
        <v>3690425.9159493577</v>
      </c>
      <c r="BN74" s="330">
        <v>4143935.1706127762</v>
      </c>
      <c r="BO74" s="330">
        <v>4722651.1159141911</v>
      </c>
      <c r="BP74" s="330">
        <v>5992048.8629153483</v>
      </c>
      <c r="BQ74" s="330">
        <f>'I-Project Contingency'!$E$61-AV74</f>
        <v>0</v>
      </c>
      <c r="BR74" s="330">
        <f>'I-Project Contingency'!$E$62-AW74</f>
        <v>0</v>
      </c>
      <c r="BS74" s="330">
        <f>'I-Project Contingency'!$E$63-AX74</f>
        <v>0</v>
      </c>
      <c r="BT74" s="330">
        <f>'I-Project Contingency'!$E$64-AY74</f>
        <v>0</v>
      </c>
      <c r="BU74" s="330">
        <f>'I-Project Contingency'!$E$65-AZ74</f>
        <v>0</v>
      </c>
      <c r="BV74" s="330">
        <f>'I-Project Contingency'!$E$66-BA74</f>
        <v>0</v>
      </c>
      <c r="BW74" s="330">
        <f>'I-Project Contingency'!$E$67-BB74</f>
        <v>0</v>
      </c>
      <c r="BX74" s="330">
        <f>'I-Project Contingency'!$E$68-BC74</f>
        <v>0</v>
      </c>
      <c r="BY74" s="330">
        <f>'I-Project Contingency'!$E$69-BD74</f>
        <v>0</v>
      </c>
      <c r="BZ74" s="330">
        <f>'I-Project Contingency'!$E$70-BE74</f>
        <v>0</v>
      </c>
      <c r="CA74" s="330">
        <f>'I-Project Contingency'!$E$71-BF74</f>
        <v>0</v>
      </c>
      <c r="CB74" s="330">
        <f>'I-Project Contingency'!$E$72-BG74</f>
        <v>0</v>
      </c>
      <c r="CC74" s="330">
        <f>'I-Project Contingency'!$E$73-BH74</f>
        <v>0</v>
      </c>
      <c r="CD74" s="330">
        <f>'I-Project Contingency'!$E$74-BI74</f>
        <v>0</v>
      </c>
      <c r="CE74" s="330">
        <f>'I-Project Contingency'!$E$75-BJ74</f>
        <v>0</v>
      </c>
      <c r="CF74" s="330">
        <f>'I-Project Contingency'!$E$76-BK74</f>
        <v>0</v>
      </c>
      <c r="CG74" s="330">
        <f>'I-Project Contingency'!$E$77-BL74</f>
        <v>0</v>
      </c>
      <c r="CH74" s="784">
        <f>'I-Project Contingency'!$E$78-BM74</f>
        <v>0</v>
      </c>
      <c r="CI74" s="330">
        <f>'I-Project Contingency'!$E$79-BN74</f>
        <v>0</v>
      </c>
      <c r="CJ74" s="330">
        <f>'I-Project Contingency'!$E$80-BO74</f>
        <v>0</v>
      </c>
      <c r="CK74" s="330">
        <f>'I-Project Contingency'!$E$81-BP74</f>
        <v>0</v>
      </c>
      <c r="CL74" s="331">
        <f>'I-Project Contingency'!$O$5-AG74</f>
        <v>0</v>
      </c>
      <c r="CM74" s="332">
        <v>-0.98711802853447173</v>
      </c>
      <c r="CN74" s="332">
        <v>-0.19547704728364468</v>
      </c>
      <c r="CO74" s="332">
        <v>0.126462150308498</v>
      </c>
      <c r="CP74" s="332">
        <v>0.45967989154545902</v>
      </c>
      <c r="CQ74" s="332">
        <v>0.78297319902744</v>
      </c>
      <c r="CR74" s="332">
        <v>1.0957191966482109</v>
      </c>
      <c r="CS74" s="332">
        <v>1.4418405003536849</v>
      </c>
      <c r="CT74" s="332">
        <v>1.801002404194165</v>
      </c>
      <c r="CU74" s="332">
        <v>2.1797608166947349</v>
      </c>
      <c r="CV74" s="332">
        <v>2.5671680610072478</v>
      </c>
      <c r="CW74" s="332">
        <v>2.9690760644797152</v>
      </c>
      <c r="CX74" s="332">
        <v>3.3964145469774811</v>
      </c>
      <c r="CY74" s="332">
        <v>3.864536087769562</v>
      </c>
      <c r="CZ74" s="332">
        <v>4.3569836138896116</v>
      </c>
      <c r="DA74" s="332">
        <v>4.8862357851222598</v>
      </c>
      <c r="DB74" s="332">
        <v>5.438836997347547</v>
      </c>
      <c r="DC74" s="332">
        <v>6.047993455908566</v>
      </c>
      <c r="DD74" s="785">
        <v>6.720204953601761</v>
      </c>
      <c r="DE74" s="333">
        <v>7.55131678090412</v>
      </c>
      <c r="DF74" s="332">
        <v>8.661446370835737</v>
      </c>
      <c r="DG74" s="332">
        <v>11.206316207857133</v>
      </c>
      <c r="DH74" s="332">
        <f>'I-Project Contingency'!$E$86-CM74</f>
        <v>0</v>
      </c>
      <c r="DI74" s="332">
        <f>'I-Project Contingency'!$E$87-CN74</f>
        <v>0</v>
      </c>
      <c r="DJ74" s="332">
        <f>'I-Project Contingency'!$E$88-CO74</f>
        <v>0</v>
      </c>
      <c r="DK74" s="332">
        <f>'I-Project Contingency'!$E$89-CP74</f>
        <v>0</v>
      </c>
      <c r="DL74" s="332">
        <f>'I-Project Contingency'!$E$90-CQ74</f>
        <v>0</v>
      </c>
      <c r="DM74" s="332">
        <f>'I-Project Contingency'!$E$91-CR74</f>
        <v>0</v>
      </c>
      <c r="DN74" s="332">
        <f>'I-Project Contingency'!$E$92-CS74</f>
        <v>0</v>
      </c>
      <c r="DO74" s="332">
        <f>'I-Project Contingency'!$E$93-CT74</f>
        <v>0</v>
      </c>
      <c r="DP74" s="332">
        <f>'I-Project Contingency'!$E$94-CU74</f>
        <v>0</v>
      </c>
      <c r="DQ74" s="332">
        <f>'I-Project Contingency'!$E$95-CV74</f>
        <v>0</v>
      </c>
      <c r="DR74" s="332">
        <f>'I-Project Contingency'!$E$96-CW74</f>
        <v>0</v>
      </c>
      <c r="DS74" s="332">
        <f>'I-Project Contingency'!$E$97-CX74</f>
        <v>0</v>
      </c>
      <c r="DT74" s="332">
        <f>'I-Project Contingency'!$E$98-CY74</f>
        <v>0</v>
      </c>
      <c r="DU74" s="332">
        <f>'I-Project Contingency'!$E$99-CZ74</f>
        <v>0</v>
      </c>
      <c r="DV74" s="332">
        <f>'I-Project Contingency'!$E$100-DA74</f>
        <v>0</v>
      </c>
      <c r="DW74" s="332">
        <f>'I-Project Contingency'!$E$101-DB74</f>
        <v>0</v>
      </c>
      <c r="DX74" s="332">
        <f>'I-Project Contingency'!$E$102-DC74</f>
        <v>0</v>
      </c>
      <c r="DY74" s="332">
        <f>'I-Project Contingency'!$E$103-DD74</f>
        <v>0</v>
      </c>
      <c r="DZ74" s="332">
        <f>'I-Project Contingency'!$E$104-DE74</f>
        <v>0</v>
      </c>
      <c r="EA74" s="332">
        <f>'I-Project Contingency'!$E$105-DF74</f>
        <v>0</v>
      </c>
      <c r="EB74" s="332">
        <f>'I-Project Contingency'!$E$106-DG74</f>
        <v>0</v>
      </c>
      <c r="EC74" s="334">
        <f>IF(EE74="N/A","N/A",ABS(INDEX(EE74:EY74,1,MATCH("ROM Cost Risk @ "&amp;'D-Project Data'!$C$6*100&amp;"%",$EE$17:$EY$17,0))))</f>
        <v>0</v>
      </c>
      <c r="ED74" s="335">
        <f>IF(EC74="N/A","N/A",RANK(EC74,$EC$18:$EC$117,0)+COUNTIF($EC$18:EC74,EC74)-1)</f>
        <v>57</v>
      </c>
      <c r="EE74" s="334">
        <f>IF(BQ74/SUM(BQ:BQ)*'I-Project Contingency'!$F$61=0,0,BQ74/SUM(BQ:BQ)*'I-Project Contingency'!$F$61)</f>
        <v>0</v>
      </c>
      <c r="EF74" s="334">
        <f>IF(BR74/SUM(BR:BR)*'I-Project Contingency'!$F$62=0,0,BR74/SUM(BR:BR)*'I-Project Contingency'!$F$62)</f>
        <v>0</v>
      </c>
      <c r="EG74" s="334">
        <f>IF(BS74/SUM(BS:BS)*'I-Project Contingency'!$F$63=0,0,BS74/SUM(BS:BS)*'I-Project Contingency'!$F$63)</f>
        <v>0</v>
      </c>
      <c r="EH74" s="334">
        <f>IF(BT74/SUM(BT:BT)*'I-Project Contingency'!$F$64=0,0,BT74/SUM(BT:BT)*'I-Project Contingency'!$F$64)</f>
        <v>0</v>
      </c>
      <c r="EI74" s="334">
        <f>IF(BU74/SUM(BU:BU)*'I-Project Contingency'!$F$65=0,0,BU74/SUM(BU:BU)*'I-Project Contingency'!$F$65)</f>
        <v>0</v>
      </c>
      <c r="EJ74" s="334">
        <f>IF(BV74/SUM(BV:BV)*'I-Project Contingency'!$F$66=0,0,BV74/SUM(BV:BV)*'I-Project Contingency'!$F$66)</f>
        <v>0</v>
      </c>
      <c r="EK74" s="334">
        <f>IF(BW74/SUM(BW:BW)*'I-Project Contingency'!$F$67=0,0,BW74/SUM(BW:BW)*'I-Project Contingency'!$F$67)</f>
        <v>0</v>
      </c>
      <c r="EL74" s="334">
        <f>IF(BX74/SUM(BX:BX)*'I-Project Contingency'!$F$68=0,0,BX74/SUM(BX:BX)*'I-Project Contingency'!$F$68)</f>
        <v>0</v>
      </c>
      <c r="EM74" s="334">
        <f>IF(BY74/SUM(BY:BY)*'I-Project Contingency'!$F$69=0,0,BY74/SUM(BY:BY)*'I-Project Contingency'!$F$69)</f>
        <v>0</v>
      </c>
      <c r="EN74" s="334">
        <f>IF(BZ74/SUM(BZ:BZ)*'I-Project Contingency'!$F$70=0,0,BZ74/SUM(BZ:BZ)*'I-Project Contingency'!$F$70)</f>
        <v>0</v>
      </c>
      <c r="EO74" s="334">
        <f>IF(CA74/SUM(CA:CA)*'I-Project Contingency'!$F$71=0,0,CA74/SUM(CA:CA)*'I-Project Contingency'!$F$71)</f>
        <v>0</v>
      </c>
      <c r="EP74" s="334">
        <f>IF(CB74/SUM(CB:CB)*'I-Project Contingency'!$F$72=0,0,CB74/SUM(CB:CB)*'I-Project Contingency'!$F$72)</f>
        <v>0</v>
      </c>
      <c r="EQ74" s="334">
        <f>IF(CC74/SUM(CC:CC)*'I-Project Contingency'!$F$73=0,0,CC74/SUM(CC:CC)*'I-Project Contingency'!$F$73)</f>
        <v>0</v>
      </c>
      <c r="ER74" s="334">
        <f>IF(CD74/SUM(CD:CD)*'I-Project Contingency'!$F$74=0,0,CD74/SUM(CD:CD)*'I-Project Contingency'!$F$74)</f>
        <v>0</v>
      </c>
      <c r="ES74" s="334">
        <f>IF(CE74/SUM(CE:CE)*'I-Project Contingency'!$F$75=0,0,CE74/SUM(CE:CE)*'I-Project Contingency'!$F$75)</f>
        <v>0</v>
      </c>
      <c r="ET74" s="334">
        <f>IF(CF74/SUM(CF:CF)*'I-Project Contingency'!$F$76=0,0,CF74/SUM(CF:CF)*'I-Project Contingency'!$F$76)</f>
        <v>0</v>
      </c>
      <c r="EU74" s="334">
        <f>IF(CG74/SUM(CG:CG)*'I-Project Contingency'!$F$77=0,0,CG74/SUM(CG:CG)*'I-Project Contingency'!$F$77)</f>
        <v>0</v>
      </c>
      <c r="EV74" s="787">
        <f>IF(CH74/SUM(CH:CH)*'I-Project Contingency'!$F$78=0,0,CH74/SUM(CH:CH)*'I-Project Contingency'!$F$78)</f>
        <v>0</v>
      </c>
      <c r="EW74" s="787">
        <f>IF(CI74/SUM(CI:CI)*'I-Project Contingency'!$F$79=0,0,CI74/SUM(CI:CI)*'I-Project Contingency'!$F$79)</f>
        <v>0</v>
      </c>
      <c r="EX74" s="787">
        <f>IF(CJ74/SUM(CJ:CJ)*'I-Project Contingency'!$F$80=0,0,CJ74/SUM(CJ:CJ)*'I-Project Contingency'!$F$80)</f>
        <v>0</v>
      </c>
      <c r="EY74" s="787">
        <f>IF(CK74/SUM(CK:CK)*'I-Project Contingency'!$F$81=0,0,CK74/SUM(CK:CK)*'I-Project Contingency'!$F$81)</f>
        <v>0</v>
      </c>
      <c r="EZ74" s="333">
        <f>IF(FB74="N/A","N/A",ABS(INDEX(FB74:FV74,1,MATCH("ROM Schedule Risk @ "&amp;'D-Project Data'!$C$6*100&amp;"%",$FB$17:$FV$17,0))))</f>
        <v>0</v>
      </c>
      <c r="FA74" s="335">
        <f>IF(EZ74="N/A","N/A",RANK(EZ74,$EZ$18:$EZ$117,0)+COUNTIF($FB$18:FB74,FB74)-1)</f>
        <v>57</v>
      </c>
      <c r="FB74" s="788">
        <f>IF(DH74/SUM(DH:DH)*'I-Project Contingency'!$F$86=0,0,DH74/SUM(DH:DH)*'I-Project Contingency'!$F$86)</f>
        <v>0</v>
      </c>
      <c r="FC74" s="788">
        <f>IF(DI74/SUM(DI:DI)*'I-Project Contingency'!$F$87=0,0,DI74/SUM(DI:DI)*'I-Project Contingency'!$F$87)</f>
        <v>0</v>
      </c>
      <c r="FD74" s="788">
        <f>IF(DJ74/SUM(DJ:DJ)*'I-Project Contingency'!$F$88=0,0,DJ74/SUM(DJ:DJ)*'I-Project Contingency'!$F$88)</f>
        <v>0</v>
      </c>
      <c r="FE74" s="788">
        <f>IF(DK74/SUM(DK:DK)*'I-Project Contingency'!$F$89=0,0,DK74/SUM(DK:DK)*'I-Project Contingency'!$F$89)</f>
        <v>0</v>
      </c>
      <c r="FF74" s="788">
        <f>IF(DL74/SUM(DL:DL)*'I-Project Contingency'!$F$90=0,0,DL74/SUM(DL:DL)*'I-Project Contingency'!$F$90)</f>
        <v>0</v>
      </c>
      <c r="FG74" s="788">
        <f>IF(DM74/SUM(DM:DM)*'I-Project Contingency'!$F$91=0,0,DM74/SUM(DM:DM)*'I-Project Contingency'!$F$91)</f>
        <v>0</v>
      </c>
      <c r="FH74" s="788">
        <f>IF(DN74/SUM(DN:DN)*'I-Project Contingency'!$F$92=0,0,DN74/SUM(DN:DN)*'I-Project Contingency'!$F$92)</f>
        <v>0</v>
      </c>
      <c r="FI74" s="788">
        <f>IF(DO74/SUM(DO:DO)*'I-Project Contingency'!$F$93=0,0,DO74/SUM(DO:DO)*'I-Project Contingency'!$F$93)</f>
        <v>0</v>
      </c>
      <c r="FJ74" s="788">
        <f>IF(DP74/SUM(DP:DP)*'I-Project Contingency'!$F$94=0,0,DP74/SUM(DP:DP)*'I-Project Contingency'!$F$94)</f>
        <v>0</v>
      </c>
      <c r="FK74" s="788">
        <f>IF(DQ74/SUM(DQ:DQ)*'I-Project Contingency'!$F$95=0,0,DQ74/SUM(DQ:DQ)*'I-Project Contingency'!$F$95)</f>
        <v>0</v>
      </c>
      <c r="FL74" s="788">
        <f>IF(DR74/SUM(DR:DR)*'I-Project Contingency'!$F$96=0,0,DR74/SUM(DR:DR)*'I-Project Contingency'!$F$96)</f>
        <v>0</v>
      </c>
      <c r="FM74" s="788">
        <f>IF(DS74/SUM(DS:DS)*'I-Project Contingency'!$F$97=0,0,DS74/SUM(DS:DS)*'I-Project Contingency'!$F$97)</f>
        <v>0</v>
      </c>
      <c r="FN74" s="788">
        <f>IF(DT74/SUM(DT:DT)*'I-Project Contingency'!$F$98=0,0,DT74/SUM(DT:DT)*'I-Project Contingency'!$F$98)</f>
        <v>0</v>
      </c>
      <c r="FO74" s="788">
        <f>IF(DU74/SUM(DU:DU)*'I-Project Contingency'!$F$99=0,0,DU74/SUM(DU:DU)*'I-Project Contingency'!$F$99)</f>
        <v>0</v>
      </c>
      <c r="FP74" s="788">
        <f>IF(DV74/SUM(DV:DV)*'I-Project Contingency'!$F$100=0,0,DV74/SUM(DV:DV)*'I-Project Contingency'!$F$100)</f>
        <v>0</v>
      </c>
      <c r="FQ74" s="788">
        <f>IF(DW74/SUM(DW:DW)*'I-Project Contingency'!$F$101=0,0,DW74/SUM(DW:DW)*'I-Project Contingency'!$F$101)</f>
        <v>0</v>
      </c>
      <c r="FR74" s="788">
        <f>IF(DX74/SUM(DX:DX)*'I-Project Contingency'!$F$102=0,0,DX74/SUM(DX:DX)*'I-Project Contingency'!$F$102)</f>
        <v>0</v>
      </c>
      <c r="FS74" s="788">
        <f>IF(DY74/SUM(DY:DY)*'I-Project Contingency'!$F$103=0,0,DY74/SUM(DY:DY)*'I-Project Contingency'!$F$103)</f>
        <v>0</v>
      </c>
      <c r="FT74" s="788">
        <f>IF(DZ74/SUM(DZ:DZ)*'I-Project Contingency'!$F$104=0,0,DZ74/SUM(DZ:DZ)*'I-Project Contingency'!$F$104)</f>
        <v>0</v>
      </c>
      <c r="FU74" s="788">
        <f>IF(EA74/SUM(EA:EA)*'I-Project Contingency'!$F$105=0,0,EA74/SUM(EA:EA)*'I-Project Contingency'!$F$105)</f>
        <v>0</v>
      </c>
      <c r="FV74" s="788">
        <f>IF(EB74/SUM(EB:EB)*'I-Project Contingency'!$F$106=0,0,EB74/SUM(EB:EB)*'I-Project Contingency'!$F$106)</f>
        <v>0</v>
      </c>
      <c r="FW74" s="335">
        <f t="shared" si="37"/>
        <v>57</v>
      </c>
      <c r="FX74" s="336" t="str">
        <f t="shared" si="38"/>
        <v xml:space="preserve">57 -  </v>
      </c>
      <c r="FY74" s="330">
        <f t="shared" si="43"/>
        <v>0</v>
      </c>
      <c r="FZ74" s="330">
        <f t="shared" si="44"/>
        <v>0</v>
      </c>
      <c r="GA74" s="332">
        <f t="shared" si="39"/>
        <v>0</v>
      </c>
      <c r="GB74" s="332">
        <f t="shared" si="40"/>
        <v>0</v>
      </c>
    </row>
    <row r="75" spans="1:184" ht="30" x14ac:dyDescent="0.25">
      <c r="A75" s="163">
        <f t="shared" si="23"/>
        <v>58</v>
      </c>
      <c r="B75" s="727" t="s">
        <v>728</v>
      </c>
      <c r="C75" s="729" t="s">
        <v>659</v>
      </c>
      <c r="D75" s="729" t="s">
        <v>659</v>
      </c>
      <c r="E75" s="729" t="s">
        <v>659</v>
      </c>
      <c r="F75" s="728" t="s">
        <v>728</v>
      </c>
      <c r="G75" s="728" t="s">
        <v>728</v>
      </c>
      <c r="H75" s="157" t="str">
        <f>IFERROR(IF('H-Risk Register-Model'!F75="Certain","Relook at Basis of Estimate",INDEX('G-Assumptions'!$F$8:$J$11,MATCH(F75,'G-Assumptions'!$D$8:$D$11,0),MATCH(G75,'G-Assumptions'!$F$6:$J$6,0))),"Unrated")</f>
        <v>Unrated</v>
      </c>
      <c r="I75" s="728" t="s">
        <v>728</v>
      </c>
      <c r="J75" s="157" t="str">
        <f>IFERROR(IF('H-Risk Register-Model'!F75="Certain","Relook at Basis of Estimate",INDEX('G-Assumptions'!$F$8:$J$11,MATCH(F75,'G-Assumptions'!$D$8:$D$11,0),MATCH(I75,'G-Assumptions'!$F$6:$J$6,0))),"Unrated")</f>
        <v>Unrated</v>
      </c>
      <c r="K75" s="728" t="s">
        <v>728</v>
      </c>
      <c r="L75" s="728" t="s">
        <v>728</v>
      </c>
      <c r="M75" s="728"/>
      <c r="N75" s="731" t="s">
        <v>728</v>
      </c>
      <c r="O75" s="731" t="s">
        <v>728</v>
      </c>
      <c r="P75" s="732"/>
      <c r="Q75" s="732"/>
      <c r="R75" s="732"/>
      <c r="S75" s="733"/>
      <c r="T75" s="733"/>
      <c r="U75" s="733"/>
      <c r="V75" s="734"/>
      <c r="W75" s="732"/>
      <c r="X75" s="732"/>
      <c r="Y75" s="735">
        <v>1</v>
      </c>
      <c r="Z75" s="736">
        <v>1</v>
      </c>
      <c r="AA75" s="166">
        <f t="shared" si="19"/>
        <v>0</v>
      </c>
      <c r="AB75" s="166">
        <f t="shared" si="20"/>
        <v>0</v>
      </c>
      <c r="AC75" s="166">
        <f t="shared" si="21"/>
        <v>0</v>
      </c>
      <c r="AD75" s="166"/>
      <c r="AE75" s="164">
        <f t="shared" si="41"/>
        <v>0</v>
      </c>
      <c r="AF75" s="167"/>
      <c r="AG75" s="165">
        <f t="shared" si="42"/>
        <v>0</v>
      </c>
      <c r="AH75" s="729"/>
      <c r="AI75" s="729"/>
      <c r="AJ75" s="8"/>
      <c r="AK75" s="495" t="str">
        <f t="shared" si="30"/>
        <v>No</v>
      </c>
      <c r="AL75" s="496">
        <f>'I-Project Contingency'!$I$4</f>
        <v>9000000</v>
      </c>
      <c r="AM75" s="326">
        <f>'I-Project Contingency'!$I$11</f>
        <v>23.978102189781023</v>
      </c>
      <c r="AN75" s="325">
        <f t="shared" si="31"/>
        <v>0</v>
      </c>
      <c r="AO75" s="326">
        <f t="shared" si="32"/>
        <v>0</v>
      </c>
      <c r="AP75" s="641" t="str">
        <f t="shared" si="33"/>
        <v/>
      </c>
      <c r="AQ75" s="641" t="str">
        <f t="shared" si="34"/>
        <v/>
      </c>
      <c r="AR75" s="497" t="str">
        <f t="shared" si="35"/>
        <v/>
      </c>
      <c r="AS75" s="497" t="str">
        <f t="shared" si="36"/>
        <v/>
      </c>
      <c r="AT75" s="8"/>
      <c r="AU75" s="329">
        <f>'I-Project Contingency'!$O$4-AE75</f>
        <v>0</v>
      </c>
      <c r="AV75" s="330">
        <v>-240515.59579276721</v>
      </c>
      <c r="AW75" s="330">
        <v>28172.931401335634</v>
      </c>
      <c r="AX75" s="330">
        <v>193478.84467429668</v>
      </c>
      <c r="AY75" s="330">
        <v>361668.20104834624</v>
      </c>
      <c r="AZ75" s="330">
        <v>524446.91524262261</v>
      </c>
      <c r="BA75" s="330">
        <v>704023.56387635041</v>
      </c>
      <c r="BB75" s="330">
        <v>886394.06956240814</v>
      </c>
      <c r="BC75" s="330">
        <v>1079363.7165157665</v>
      </c>
      <c r="BD75" s="330">
        <v>1280180.1532065615</v>
      </c>
      <c r="BE75" s="330">
        <v>1485323.8019108465</v>
      </c>
      <c r="BF75" s="330">
        <v>1703758.8827524669</v>
      </c>
      <c r="BG75" s="330">
        <v>1949523.4346483489</v>
      </c>
      <c r="BH75" s="330">
        <v>2177897.1603371189</v>
      </c>
      <c r="BI75" s="330">
        <v>2429374.4260425912</v>
      </c>
      <c r="BJ75" s="330">
        <v>2717092.7449284913</v>
      </c>
      <c r="BK75" s="330">
        <v>3010093.6968918457</v>
      </c>
      <c r="BL75" s="330">
        <v>3325414.5894657462</v>
      </c>
      <c r="BM75" s="330">
        <v>3690425.9159493577</v>
      </c>
      <c r="BN75" s="330">
        <v>4143935.1706127762</v>
      </c>
      <c r="BO75" s="330">
        <v>4722651.1159141911</v>
      </c>
      <c r="BP75" s="330">
        <v>5992048.8629153483</v>
      </c>
      <c r="BQ75" s="330">
        <f>'I-Project Contingency'!$E$61-AV75</f>
        <v>0</v>
      </c>
      <c r="BR75" s="330">
        <f>'I-Project Contingency'!$E$62-AW75</f>
        <v>0</v>
      </c>
      <c r="BS75" s="330">
        <f>'I-Project Contingency'!$E$63-AX75</f>
        <v>0</v>
      </c>
      <c r="BT75" s="330">
        <f>'I-Project Contingency'!$E$64-AY75</f>
        <v>0</v>
      </c>
      <c r="BU75" s="330">
        <f>'I-Project Contingency'!$E$65-AZ75</f>
        <v>0</v>
      </c>
      <c r="BV75" s="330">
        <f>'I-Project Contingency'!$E$66-BA75</f>
        <v>0</v>
      </c>
      <c r="BW75" s="330">
        <f>'I-Project Contingency'!$E$67-BB75</f>
        <v>0</v>
      </c>
      <c r="BX75" s="330">
        <f>'I-Project Contingency'!$E$68-BC75</f>
        <v>0</v>
      </c>
      <c r="BY75" s="330">
        <f>'I-Project Contingency'!$E$69-BD75</f>
        <v>0</v>
      </c>
      <c r="BZ75" s="330">
        <f>'I-Project Contingency'!$E$70-BE75</f>
        <v>0</v>
      </c>
      <c r="CA75" s="330">
        <f>'I-Project Contingency'!$E$71-BF75</f>
        <v>0</v>
      </c>
      <c r="CB75" s="330">
        <f>'I-Project Contingency'!$E$72-BG75</f>
        <v>0</v>
      </c>
      <c r="CC75" s="330">
        <f>'I-Project Contingency'!$E$73-BH75</f>
        <v>0</v>
      </c>
      <c r="CD75" s="330">
        <f>'I-Project Contingency'!$E$74-BI75</f>
        <v>0</v>
      </c>
      <c r="CE75" s="330">
        <f>'I-Project Contingency'!$E$75-BJ75</f>
        <v>0</v>
      </c>
      <c r="CF75" s="330">
        <f>'I-Project Contingency'!$E$76-BK75</f>
        <v>0</v>
      </c>
      <c r="CG75" s="330">
        <f>'I-Project Contingency'!$E$77-BL75</f>
        <v>0</v>
      </c>
      <c r="CH75" s="784">
        <f>'I-Project Contingency'!$E$78-BM75</f>
        <v>0</v>
      </c>
      <c r="CI75" s="330">
        <f>'I-Project Contingency'!$E$79-BN75</f>
        <v>0</v>
      </c>
      <c r="CJ75" s="330">
        <f>'I-Project Contingency'!$E$80-BO75</f>
        <v>0</v>
      </c>
      <c r="CK75" s="330">
        <f>'I-Project Contingency'!$E$81-BP75</f>
        <v>0</v>
      </c>
      <c r="CL75" s="331">
        <f>'I-Project Contingency'!$O$5-AG75</f>
        <v>0</v>
      </c>
      <c r="CM75" s="332">
        <v>-0.98711802853447173</v>
      </c>
      <c r="CN75" s="332">
        <v>-0.19547704728364468</v>
      </c>
      <c r="CO75" s="332">
        <v>0.126462150308498</v>
      </c>
      <c r="CP75" s="332">
        <v>0.45967989154545902</v>
      </c>
      <c r="CQ75" s="332">
        <v>0.78297319902744</v>
      </c>
      <c r="CR75" s="332">
        <v>1.0957191966482109</v>
      </c>
      <c r="CS75" s="332">
        <v>1.4418405003536849</v>
      </c>
      <c r="CT75" s="332">
        <v>1.801002404194165</v>
      </c>
      <c r="CU75" s="332">
        <v>2.1797608166947349</v>
      </c>
      <c r="CV75" s="332">
        <v>2.5671680610072478</v>
      </c>
      <c r="CW75" s="332">
        <v>2.9690760644797152</v>
      </c>
      <c r="CX75" s="332">
        <v>3.3964145469774811</v>
      </c>
      <c r="CY75" s="332">
        <v>3.864536087769562</v>
      </c>
      <c r="CZ75" s="332">
        <v>4.3569836138896116</v>
      </c>
      <c r="DA75" s="332">
        <v>4.8862357851222598</v>
      </c>
      <c r="DB75" s="332">
        <v>5.438836997347547</v>
      </c>
      <c r="DC75" s="332">
        <v>6.047993455908566</v>
      </c>
      <c r="DD75" s="785">
        <v>6.720204953601761</v>
      </c>
      <c r="DE75" s="333">
        <v>7.55131678090412</v>
      </c>
      <c r="DF75" s="332">
        <v>8.661446370835737</v>
      </c>
      <c r="DG75" s="332">
        <v>11.206316207857133</v>
      </c>
      <c r="DH75" s="332">
        <f>'I-Project Contingency'!$E$86-CM75</f>
        <v>0</v>
      </c>
      <c r="DI75" s="332">
        <f>'I-Project Contingency'!$E$87-CN75</f>
        <v>0</v>
      </c>
      <c r="DJ75" s="332">
        <f>'I-Project Contingency'!$E$88-CO75</f>
        <v>0</v>
      </c>
      <c r="DK75" s="332">
        <f>'I-Project Contingency'!$E$89-CP75</f>
        <v>0</v>
      </c>
      <c r="DL75" s="332">
        <f>'I-Project Contingency'!$E$90-CQ75</f>
        <v>0</v>
      </c>
      <c r="DM75" s="332">
        <f>'I-Project Contingency'!$E$91-CR75</f>
        <v>0</v>
      </c>
      <c r="DN75" s="332">
        <f>'I-Project Contingency'!$E$92-CS75</f>
        <v>0</v>
      </c>
      <c r="DO75" s="332">
        <f>'I-Project Contingency'!$E$93-CT75</f>
        <v>0</v>
      </c>
      <c r="DP75" s="332">
        <f>'I-Project Contingency'!$E$94-CU75</f>
        <v>0</v>
      </c>
      <c r="DQ75" s="332">
        <f>'I-Project Contingency'!$E$95-CV75</f>
        <v>0</v>
      </c>
      <c r="DR75" s="332">
        <f>'I-Project Contingency'!$E$96-CW75</f>
        <v>0</v>
      </c>
      <c r="DS75" s="332">
        <f>'I-Project Contingency'!$E$97-CX75</f>
        <v>0</v>
      </c>
      <c r="DT75" s="332">
        <f>'I-Project Contingency'!$E$98-CY75</f>
        <v>0</v>
      </c>
      <c r="DU75" s="332">
        <f>'I-Project Contingency'!$E$99-CZ75</f>
        <v>0</v>
      </c>
      <c r="DV75" s="332">
        <f>'I-Project Contingency'!$E$100-DA75</f>
        <v>0</v>
      </c>
      <c r="DW75" s="332">
        <f>'I-Project Contingency'!$E$101-DB75</f>
        <v>0</v>
      </c>
      <c r="DX75" s="332">
        <f>'I-Project Contingency'!$E$102-DC75</f>
        <v>0</v>
      </c>
      <c r="DY75" s="332">
        <f>'I-Project Contingency'!$E$103-DD75</f>
        <v>0</v>
      </c>
      <c r="DZ75" s="332">
        <f>'I-Project Contingency'!$E$104-DE75</f>
        <v>0</v>
      </c>
      <c r="EA75" s="332">
        <f>'I-Project Contingency'!$E$105-DF75</f>
        <v>0</v>
      </c>
      <c r="EB75" s="332">
        <f>'I-Project Contingency'!$E$106-DG75</f>
        <v>0</v>
      </c>
      <c r="EC75" s="334">
        <f>IF(EE75="N/A","N/A",ABS(INDEX(EE75:EY75,1,MATCH("ROM Cost Risk @ "&amp;'D-Project Data'!$C$6*100&amp;"%",$EE$17:$EY$17,0))))</f>
        <v>0</v>
      </c>
      <c r="ED75" s="335">
        <f>IF(EC75="N/A","N/A",RANK(EC75,$EC$18:$EC$117,0)+COUNTIF($EC$18:EC75,EC75)-1)</f>
        <v>58</v>
      </c>
      <c r="EE75" s="334">
        <f>IF(BQ75/SUM(BQ:BQ)*'I-Project Contingency'!$F$61=0,0,BQ75/SUM(BQ:BQ)*'I-Project Contingency'!$F$61)</f>
        <v>0</v>
      </c>
      <c r="EF75" s="334">
        <f>IF(BR75/SUM(BR:BR)*'I-Project Contingency'!$F$62=0,0,BR75/SUM(BR:BR)*'I-Project Contingency'!$F$62)</f>
        <v>0</v>
      </c>
      <c r="EG75" s="334">
        <f>IF(BS75/SUM(BS:BS)*'I-Project Contingency'!$F$63=0,0,BS75/SUM(BS:BS)*'I-Project Contingency'!$F$63)</f>
        <v>0</v>
      </c>
      <c r="EH75" s="334">
        <f>IF(BT75/SUM(BT:BT)*'I-Project Contingency'!$F$64=0,0,BT75/SUM(BT:BT)*'I-Project Contingency'!$F$64)</f>
        <v>0</v>
      </c>
      <c r="EI75" s="334">
        <f>IF(BU75/SUM(BU:BU)*'I-Project Contingency'!$F$65=0,0,BU75/SUM(BU:BU)*'I-Project Contingency'!$F$65)</f>
        <v>0</v>
      </c>
      <c r="EJ75" s="334">
        <f>IF(BV75/SUM(BV:BV)*'I-Project Contingency'!$F$66=0,0,BV75/SUM(BV:BV)*'I-Project Contingency'!$F$66)</f>
        <v>0</v>
      </c>
      <c r="EK75" s="334">
        <f>IF(BW75/SUM(BW:BW)*'I-Project Contingency'!$F$67=0,0,BW75/SUM(BW:BW)*'I-Project Contingency'!$F$67)</f>
        <v>0</v>
      </c>
      <c r="EL75" s="334">
        <f>IF(BX75/SUM(BX:BX)*'I-Project Contingency'!$F$68=0,0,BX75/SUM(BX:BX)*'I-Project Contingency'!$F$68)</f>
        <v>0</v>
      </c>
      <c r="EM75" s="334">
        <f>IF(BY75/SUM(BY:BY)*'I-Project Contingency'!$F$69=0,0,BY75/SUM(BY:BY)*'I-Project Contingency'!$F$69)</f>
        <v>0</v>
      </c>
      <c r="EN75" s="334">
        <f>IF(BZ75/SUM(BZ:BZ)*'I-Project Contingency'!$F$70=0,0,BZ75/SUM(BZ:BZ)*'I-Project Contingency'!$F$70)</f>
        <v>0</v>
      </c>
      <c r="EO75" s="334">
        <f>IF(CA75/SUM(CA:CA)*'I-Project Contingency'!$F$71=0,0,CA75/SUM(CA:CA)*'I-Project Contingency'!$F$71)</f>
        <v>0</v>
      </c>
      <c r="EP75" s="334">
        <f>IF(CB75/SUM(CB:CB)*'I-Project Contingency'!$F$72=0,0,CB75/SUM(CB:CB)*'I-Project Contingency'!$F$72)</f>
        <v>0</v>
      </c>
      <c r="EQ75" s="334">
        <f>IF(CC75/SUM(CC:CC)*'I-Project Contingency'!$F$73=0,0,CC75/SUM(CC:CC)*'I-Project Contingency'!$F$73)</f>
        <v>0</v>
      </c>
      <c r="ER75" s="334">
        <f>IF(CD75/SUM(CD:CD)*'I-Project Contingency'!$F$74=0,0,CD75/SUM(CD:CD)*'I-Project Contingency'!$F$74)</f>
        <v>0</v>
      </c>
      <c r="ES75" s="334">
        <f>IF(CE75/SUM(CE:CE)*'I-Project Contingency'!$F$75=0,0,CE75/SUM(CE:CE)*'I-Project Contingency'!$F$75)</f>
        <v>0</v>
      </c>
      <c r="ET75" s="334">
        <f>IF(CF75/SUM(CF:CF)*'I-Project Contingency'!$F$76=0,0,CF75/SUM(CF:CF)*'I-Project Contingency'!$F$76)</f>
        <v>0</v>
      </c>
      <c r="EU75" s="334">
        <f>IF(CG75/SUM(CG:CG)*'I-Project Contingency'!$F$77=0,0,CG75/SUM(CG:CG)*'I-Project Contingency'!$F$77)</f>
        <v>0</v>
      </c>
      <c r="EV75" s="787">
        <f>IF(CH75/SUM(CH:CH)*'I-Project Contingency'!$F$78=0,0,CH75/SUM(CH:CH)*'I-Project Contingency'!$F$78)</f>
        <v>0</v>
      </c>
      <c r="EW75" s="787">
        <f>IF(CI75/SUM(CI:CI)*'I-Project Contingency'!$F$79=0,0,CI75/SUM(CI:CI)*'I-Project Contingency'!$F$79)</f>
        <v>0</v>
      </c>
      <c r="EX75" s="787">
        <f>IF(CJ75/SUM(CJ:CJ)*'I-Project Contingency'!$F$80=0,0,CJ75/SUM(CJ:CJ)*'I-Project Contingency'!$F$80)</f>
        <v>0</v>
      </c>
      <c r="EY75" s="787">
        <f>IF(CK75/SUM(CK:CK)*'I-Project Contingency'!$F$81=0,0,CK75/SUM(CK:CK)*'I-Project Contingency'!$F$81)</f>
        <v>0</v>
      </c>
      <c r="EZ75" s="333">
        <f>IF(FB75="N/A","N/A",ABS(INDEX(FB75:FV75,1,MATCH("ROM Schedule Risk @ "&amp;'D-Project Data'!$C$6*100&amp;"%",$FB$17:$FV$17,0))))</f>
        <v>0</v>
      </c>
      <c r="FA75" s="335">
        <f>IF(EZ75="N/A","N/A",RANK(EZ75,$EZ$18:$EZ$117,0)+COUNTIF($FB$18:FB75,FB75)-1)</f>
        <v>58</v>
      </c>
      <c r="FB75" s="788">
        <f>IF(DH75/SUM(DH:DH)*'I-Project Contingency'!$F$86=0,0,DH75/SUM(DH:DH)*'I-Project Contingency'!$F$86)</f>
        <v>0</v>
      </c>
      <c r="FC75" s="788">
        <f>IF(DI75/SUM(DI:DI)*'I-Project Contingency'!$F$87=0,0,DI75/SUM(DI:DI)*'I-Project Contingency'!$F$87)</f>
        <v>0</v>
      </c>
      <c r="FD75" s="788">
        <f>IF(DJ75/SUM(DJ:DJ)*'I-Project Contingency'!$F$88=0,0,DJ75/SUM(DJ:DJ)*'I-Project Contingency'!$F$88)</f>
        <v>0</v>
      </c>
      <c r="FE75" s="788">
        <f>IF(DK75/SUM(DK:DK)*'I-Project Contingency'!$F$89=0,0,DK75/SUM(DK:DK)*'I-Project Contingency'!$F$89)</f>
        <v>0</v>
      </c>
      <c r="FF75" s="788">
        <f>IF(DL75/SUM(DL:DL)*'I-Project Contingency'!$F$90=0,0,DL75/SUM(DL:DL)*'I-Project Contingency'!$F$90)</f>
        <v>0</v>
      </c>
      <c r="FG75" s="788">
        <f>IF(DM75/SUM(DM:DM)*'I-Project Contingency'!$F$91=0,0,DM75/SUM(DM:DM)*'I-Project Contingency'!$F$91)</f>
        <v>0</v>
      </c>
      <c r="FH75" s="788">
        <f>IF(DN75/SUM(DN:DN)*'I-Project Contingency'!$F$92=0,0,DN75/SUM(DN:DN)*'I-Project Contingency'!$F$92)</f>
        <v>0</v>
      </c>
      <c r="FI75" s="788">
        <f>IF(DO75/SUM(DO:DO)*'I-Project Contingency'!$F$93=0,0,DO75/SUM(DO:DO)*'I-Project Contingency'!$F$93)</f>
        <v>0</v>
      </c>
      <c r="FJ75" s="788">
        <f>IF(DP75/SUM(DP:DP)*'I-Project Contingency'!$F$94=0,0,DP75/SUM(DP:DP)*'I-Project Contingency'!$F$94)</f>
        <v>0</v>
      </c>
      <c r="FK75" s="788">
        <f>IF(DQ75/SUM(DQ:DQ)*'I-Project Contingency'!$F$95=0,0,DQ75/SUM(DQ:DQ)*'I-Project Contingency'!$F$95)</f>
        <v>0</v>
      </c>
      <c r="FL75" s="788">
        <f>IF(DR75/SUM(DR:DR)*'I-Project Contingency'!$F$96=0,0,DR75/SUM(DR:DR)*'I-Project Contingency'!$F$96)</f>
        <v>0</v>
      </c>
      <c r="FM75" s="788">
        <f>IF(DS75/SUM(DS:DS)*'I-Project Contingency'!$F$97=0,0,DS75/SUM(DS:DS)*'I-Project Contingency'!$F$97)</f>
        <v>0</v>
      </c>
      <c r="FN75" s="788">
        <f>IF(DT75/SUM(DT:DT)*'I-Project Contingency'!$F$98=0,0,DT75/SUM(DT:DT)*'I-Project Contingency'!$F$98)</f>
        <v>0</v>
      </c>
      <c r="FO75" s="788">
        <f>IF(DU75/SUM(DU:DU)*'I-Project Contingency'!$F$99=0,0,DU75/SUM(DU:DU)*'I-Project Contingency'!$F$99)</f>
        <v>0</v>
      </c>
      <c r="FP75" s="788">
        <f>IF(DV75/SUM(DV:DV)*'I-Project Contingency'!$F$100=0,0,DV75/SUM(DV:DV)*'I-Project Contingency'!$F$100)</f>
        <v>0</v>
      </c>
      <c r="FQ75" s="788">
        <f>IF(DW75/SUM(DW:DW)*'I-Project Contingency'!$F$101=0,0,DW75/SUM(DW:DW)*'I-Project Contingency'!$F$101)</f>
        <v>0</v>
      </c>
      <c r="FR75" s="788">
        <f>IF(DX75/SUM(DX:DX)*'I-Project Contingency'!$F$102=0,0,DX75/SUM(DX:DX)*'I-Project Contingency'!$F$102)</f>
        <v>0</v>
      </c>
      <c r="FS75" s="788">
        <f>IF(DY75/SUM(DY:DY)*'I-Project Contingency'!$F$103=0,0,DY75/SUM(DY:DY)*'I-Project Contingency'!$F$103)</f>
        <v>0</v>
      </c>
      <c r="FT75" s="788">
        <f>IF(DZ75/SUM(DZ:DZ)*'I-Project Contingency'!$F$104=0,0,DZ75/SUM(DZ:DZ)*'I-Project Contingency'!$F$104)</f>
        <v>0</v>
      </c>
      <c r="FU75" s="788">
        <f>IF(EA75/SUM(EA:EA)*'I-Project Contingency'!$F$105=0,0,EA75/SUM(EA:EA)*'I-Project Contingency'!$F$105)</f>
        <v>0</v>
      </c>
      <c r="FV75" s="788">
        <f>IF(EB75/SUM(EB:EB)*'I-Project Contingency'!$F$106=0,0,EB75/SUM(EB:EB)*'I-Project Contingency'!$F$106)</f>
        <v>0</v>
      </c>
      <c r="FW75" s="335">
        <f t="shared" si="37"/>
        <v>58</v>
      </c>
      <c r="FX75" s="336" t="str">
        <f t="shared" si="38"/>
        <v xml:space="preserve">58 -  </v>
      </c>
      <c r="FY75" s="330">
        <f t="shared" si="43"/>
        <v>0</v>
      </c>
      <c r="FZ75" s="330">
        <f t="shared" si="44"/>
        <v>0</v>
      </c>
      <c r="GA75" s="332">
        <f t="shared" si="39"/>
        <v>0</v>
      </c>
      <c r="GB75" s="332">
        <f t="shared" si="40"/>
        <v>0</v>
      </c>
    </row>
    <row r="76" spans="1:184" ht="30" x14ac:dyDescent="0.25">
      <c r="A76" s="163">
        <f t="shared" si="23"/>
        <v>59</v>
      </c>
      <c r="B76" s="727" t="s">
        <v>728</v>
      </c>
      <c r="C76" s="729" t="s">
        <v>659</v>
      </c>
      <c r="D76" s="729" t="s">
        <v>659</v>
      </c>
      <c r="E76" s="729" t="s">
        <v>659</v>
      </c>
      <c r="F76" s="728" t="s">
        <v>728</v>
      </c>
      <c r="G76" s="728" t="s">
        <v>728</v>
      </c>
      <c r="H76" s="157" t="str">
        <f>IFERROR(IF('H-Risk Register-Model'!F76="Certain","Relook at Basis of Estimate",INDEX('G-Assumptions'!$F$8:$J$11,MATCH(F76,'G-Assumptions'!$D$8:$D$11,0),MATCH(G76,'G-Assumptions'!$F$6:$J$6,0))),"Unrated")</f>
        <v>Unrated</v>
      </c>
      <c r="I76" s="728" t="s">
        <v>728</v>
      </c>
      <c r="J76" s="157" t="str">
        <f>IFERROR(IF('H-Risk Register-Model'!F76="Certain","Relook at Basis of Estimate",INDEX('G-Assumptions'!$F$8:$J$11,MATCH(F76,'G-Assumptions'!$D$8:$D$11,0),MATCH(I76,'G-Assumptions'!$F$6:$J$6,0))),"Unrated")</f>
        <v>Unrated</v>
      </c>
      <c r="K76" s="728" t="s">
        <v>728</v>
      </c>
      <c r="L76" s="728" t="s">
        <v>728</v>
      </c>
      <c r="M76" s="728"/>
      <c r="N76" s="731" t="s">
        <v>728</v>
      </c>
      <c r="O76" s="731" t="s">
        <v>728</v>
      </c>
      <c r="P76" s="732"/>
      <c r="Q76" s="732"/>
      <c r="R76" s="732"/>
      <c r="S76" s="733"/>
      <c r="T76" s="733"/>
      <c r="U76" s="733"/>
      <c r="V76" s="734"/>
      <c r="W76" s="732"/>
      <c r="X76" s="732"/>
      <c r="Y76" s="735">
        <v>1</v>
      </c>
      <c r="Z76" s="736">
        <v>1</v>
      </c>
      <c r="AA76" s="166">
        <f t="shared" si="19"/>
        <v>0</v>
      </c>
      <c r="AB76" s="166">
        <f t="shared" si="20"/>
        <v>0</v>
      </c>
      <c r="AC76" s="166">
        <f t="shared" si="21"/>
        <v>0</v>
      </c>
      <c r="AD76" s="166"/>
      <c r="AE76" s="164">
        <f t="shared" si="41"/>
        <v>0</v>
      </c>
      <c r="AF76" s="167"/>
      <c r="AG76" s="165">
        <f t="shared" si="42"/>
        <v>0</v>
      </c>
      <c r="AH76" s="729"/>
      <c r="AI76" s="729"/>
      <c r="AJ76" s="8"/>
      <c r="AK76" s="495" t="str">
        <f t="shared" si="30"/>
        <v>No</v>
      </c>
      <c r="AL76" s="496">
        <f>'I-Project Contingency'!$I$4</f>
        <v>9000000</v>
      </c>
      <c r="AM76" s="326">
        <f>'I-Project Contingency'!$I$11</f>
        <v>23.978102189781023</v>
      </c>
      <c r="AN76" s="325">
        <f t="shared" si="31"/>
        <v>0</v>
      </c>
      <c r="AO76" s="326">
        <f t="shared" si="32"/>
        <v>0</v>
      </c>
      <c r="AP76" s="641" t="str">
        <f t="shared" si="33"/>
        <v/>
      </c>
      <c r="AQ76" s="641" t="str">
        <f t="shared" si="34"/>
        <v/>
      </c>
      <c r="AR76" s="497" t="str">
        <f t="shared" si="35"/>
        <v/>
      </c>
      <c r="AS76" s="497" t="str">
        <f t="shared" si="36"/>
        <v/>
      </c>
      <c r="AT76" s="8"/>
      <c r="AU76" s="329">
        <f>'I-Project Contingency'!$O$4-AE76</f>
        <v>0</v>
      </c>
      <c r="AV76" s="330">
        <v>-240515.59579276721</v>
      </c>
      <c r="AW76" s="330">
        <v>28172.931401335634</v>
      </c>
      <c r="AX76" s="330">
        <v>193478.84467429668</v>
      </c>
      <c r="AY76" s="330">
        <v>361668.20104834624</v>
      </c>
      <c r="AZ76" s="330">
        <v>524446.91524262261</v>
      </c>
      <c r="BA76" s="330">
        <v>704023.56387635041</v>
      </c>
      <c r="BB76" s="330">
        <v>886394.06956240814</v>
      </c>
      <c r="BC76" s="330">
        <v>1079363.7165157665</v>
      </c>
      <c r="BD76" s="330">
        <v>1280180.1532065615</v>
      </c>
      <c r="BE76" s="330">
        <v>1485323.8019108465</v>
      </c>
      <c r="BF76" s="330">
        <v>1703758.8827524669</v>
      </c>
      <c r="BG76" s="330">
        <v>1949523.4346483489</v>
      </c>
      <c r="BH76" s="330">
        <v>2177897.1603371189</v>
      </c>
      <c r="BI76" s="330">
        <v>2429374.4260425912</v>
      </c>
      <c r="BJ76" s="330">
        <v>2717092.7449284913</v>
      </c>
      <c r="BK76" s="330">
        <v>3010093.6968918457</v>
      </c>
      <c r="BL76" s="330">
        <v>3325414.5894657462</v>
      </c>
      <c r="BM76" s="330">
        <v>3690425.9159493577</v>
      </c>
      <c r="BN76" s="330">
        <v>4143935.1706127762</v>
      </c>
      <c r="BO76" s="330">
        <v>4722651.1159141911</v>
      </c>
      <c r="BP76" s="330">
        <v>5992048.8629153483</v>
      </c>
      <c r="BQ76" s="330">
        <f>'I-Project Contingency'!$E$61-AV76</f>
        <v>0</v>
      </c>
      <c r="BR76" s="330">
        <f>'I-Project Contingency'!$E$62-AW76</f>
        <v>0</v>
      </c>
      <c r="BS76" s="330">
        <f>'I-Project Contingency'!$E$63-AX76</f>
        <v>0</v>
      </c>
      <c r="BT76" s="330">
        <f>'I-Project Contingency'!$E$64-AY76</f>
        <v>0</v>
      </c>
      <c r="BU76" s="330">
        <f>'I-Project Contingency'!$E$65-AZ76</f>
        <v>0</v>
      </c>
      <c r="BV76" s="330">
        <f>'I-Project Contingency'!$E$66-BA76</f>
        <v>0</v>
      </c>
      <c r="BW76" s="330">
        <f>'I-Project Contingency'!$E$67-BB76</f>
        <v>0</v>
      </c>
      <c r="BX76" s="330">
        <f>'I-Project Contingency'!$E$68-BC76</f>
        <v>0</v>
      </c>
      <c r="BY76" s="330">
        <f>'I-Project Contingency'!$E$69-BD76</f>
        <v>0</v>
      </c>
      <c r="BZ76" s="330">
        <f>'I-Project Contingency'!$E$70-BE76</f>
        <v>0</v>
      </c>
      <c r="CA76" s="330">
        <f>'I-Project Contingency'!$E$71-BF76</f>
        <v>0</v>
      </c>
      <c r="CB76" s="330">
        <f>'I-Project Contingency'!$E$72-BG76</f>
        <v>0</v>
      </c>
      <c r="CC76" s="330">
        <f>'I-Project Contingency'!$E$73-BH76</f>
        <v>0</v>
      </c>
      <c r="CD76" s="330">
        <f>'I-Project Contingency'!$E$74-BI76</f>
        <v>0</v>
      </c>
      <c r="CE76" s="330">
        <f>'I-Project Contingency'!$E$75-BJ76</f>
        <v>0</v>
      </c>
      <c r="CF76" s="330">
        <f>'I-Project Contingency'!$E$76-BK76</f>
        <v>0</v>
      </c>
      <c r="CG76" s="330">
        <f>'I-Project Contingency'!$E$77-BL76</f>
        <v>0</v>
      </c>
      <c r="CH76" s="784">
        <f>'I-Project Contingency'!$E$78-BM76</f>
        <v>0</v>
      </c>
      <c r="CI76" s="330">
        <f>'I-Project Contingency'!$E$79-BN76</f>
        <v>0</v>
      </c>
      <c r="CJ76" s="330">
        <f>'I-Project Contingency'!$E$80-BO76</f>
        <v>0</v>
      </c>
      <c r="CK76" s="330">
        <f>'I-Project Contingency'!$E$81-BP76</f>
        <v>0</v>
      </c>
      <c r="CL76" s="331">
        <f>'I-Project Contingency'!$O$5-AG76</f>
        <v>0</v>
      </c>
      <c r="CM76" s="332">
        <v>-0.98711802853447173</v>
      </c>
      <c r="CN76" s="332">
        <v>-0.19547704728364468</v>
      </c>
      <c r="CO76" s="332">
        <v>0.126462150308498</v>
      </c>
      <c r="CP76" s="332">
        <v>0.45967989154545902</v>
      </c>
      <c r="CQ76" s="332">
        <v>0.78297319902744</v>
      </c>
      <c r="CR76" s="332">
        <v>1.0957191966482109</v>
      </c>
      <c r="CS76" s="332">
        <v>1.4418405003536849</v>
      </c>
      <c r="CT76" s="332">
        <v>1.801002404194165</v>
      </c>
      <c r="CU76" s="332">
        <v>2.1797608166947349</v>
      </c>
      <c r="CV76" s="332">
        <v>2.5671680610072478</v>
      </c>
      <c r="CW76" s="332">
        <v>2.9690760644797152</v>
      </c>
      <c r="CX76" s="332">
        <v>3.3964145469774811</v>
      </c>
      <c r="CY76" s="332">
        <v>3.864536087769562</v>
      </c>
      <c r="CZ76" s="332">
        <v>4.3569836138896116</v>
      </c>
      <c r="DA76" s="332">
        <v>4.8862357851222598</v>
      </c>
      <c r="DB76" s="332">
        <v>5.438836997347547</v>
      </c>
      <c r="DC76" s="332">
        <v>6.047993455908566</v>
      </c>
      <c r="DD76" s="785">
        <v>6.720204953601761</v>
      </c>
      <c r="DE76" s="333">
        <v>7.55131678090412</v>
      </c>
      <c r="DF76" s="332">
        <v>8.661446370835737</v>
      </c>
      <c r="DG76" s="332">
        <v>11.206316207857133</v>
      </c>
      <c r="DH76" s="332">
        <f>'I-Project Contingency'!$E$86-CM76</f>
        <v>0</v>
      </c>
      <c r="DI76" s="332">
        <f>'I-Project Contingency'!$E$87-CN76</f>
        <v>0</v>
      </c>
      <c r="DJ76" s="332">
        <f>'I-Project Contingency'!$E$88-CO76</f>
        <v>0</v>
      </c>
      <c r="DK76" s="332">
        <f>'I-Project Contingency'!$E$89-CP76</f>
        <v>0</v>
      </c>
      <c r="DL76" s="332">
        <f>'I-Project Contingency'!$E$90-CQ76</f>
        <v>0</v>
      </c>
      <c r="DM76" s="332">
        <f>'I-Project Contingency'!$E$91-CR76</f>
        <v>0</v>
      </c>
      <c r="DN76" s="332">
        <f>'I-Project Contingency'!$E$92-CS76</f>
        <v>0</v>
      </c>
      <c r="DO76" s="332">
        <f>'I-Project Contingency'!$E$93-CT76</f>
        <v>0</v>
      </c>
      <c r="DP76" s="332">
        <f>'I-Project Contingency'!$E$94-CU76</f>
        <v>0</v>
      </c>
      <c r="DQ76" s="332">
        <f>'I-Project Contingency'!$E$95-CV76</f>
        <v>0</v>
      </c>
      <c r="DR76" s="332">
        <f>'I-Project Contingency'!$E$96-CW76</f>
        <v>0</v>
      </c>
      <c r="DS76" s="332">
        <f>'I-Project Contingency'!$E$97-CX76</f>
        <v>0</v>
      </c>
      <c r="DT76" s="332">
        <f>'I-Project Contingency'!$E$98-CY76</f>
        <v>0</v>
      </c>
      <c r="DU76" s="332">
        <f>'I-Project Contingency'!$E$99-CZ76</f>
        <v>0</v>
      </c>
      <c r="DV76" s="332">
        <f>'I-Project Contingency'!$E$100-DA76</f>
        <v>0</v>
      </c>
      <c r="DW76" s="332">
        <f>'I-Project Contingency'!$E$101-DB76</f>
        <v>0</v>
      </c>
      <c r="DX76" s="332">
        <f>'I-Project Contingency'!$E$102-DC76</f>
        <v>0</v>
      </c>
      <c r="DY76" s="332">
        <f>'I-Project Contingency'!$E$103-DD76</f>
        <v>0</v>
      </c>
      <c r="DZ76" s="332">
        <f>'I-Project Contingency'!$E$104-DE76</f>
        <v>0</v>
      </c>
      <c r="EA76" s="332">
        <f>'I-Project Contingency'!$E$105-DF76</f>
        <v>0</v>
      </c>
      <c r="EB76" s="332">
        <f>'I-Project Contingency'!$E$106-DG76</f>
        <v>0</v>
      </c>
      <c r="EC76" s="334">
        <f>IF(EE76="N/A","N/A",ABS(INDEX(EE76:EY76,1,MATCH("ROM Cost Risk @ "&amp;'D-Project Data'!$C$6*100&amp;"%",$EE$17:$EY$17,0))))</f>
        <v>0</v>
      </c>
      <c r="ED76" s="335">
        <f>IF(EC76="N/A","N/A",RANK(EC76,$EC$18:$EC$117,0)+COUNTIF($EC$18:EC76,EC76)-1)</f>
        <v>59</v>
      </c>
      <c r="EE76" s="334">
        <f>IF(BQ76/SUM(BQ:BQ)*'I-Project Contingency'!$F$61=0,0,BQ76/SUM(BQ:BQ)*'I-Project Contingency'!$F$61)</f>
        <v>0</v>
      </c>
      <c r="EF76" s="334">
        <f>IF(BR76/SUM(BR:BR)*'I-Project Contingency'!$F$62=0,0,BR76/SUM(BR:BR)*'I-Project Contingency'!$F$62)</f>
        <v>0</v>
      </c>
      <c r="EG76" s="334">
        <f>IF(BS76/SUM(BS:BS)*'I-Project Contingency'!$F$63=0,0,BS76/SUM(BS:BS)*'I-Project Contingency'!$F$63)</f>
        <v>0</v>
      </c>
      <c r="EH76" s="334">
        <f>IF(BT76/SUM(BT:BT)*'I-Project Contingency'!$F$64=0,0,BT76/SUM(BT:BT)*'I-Project Contingency'!$F$64)</f>
        <v>0</v>
      </c>
      <c r="EI76" s="334">
        <f>IF(BU76/SUM(BU:BU)*'I-Project Contingency'!$F$65=0,0,BU76/SUM(BU:BU)*'I-Project Contingency'!$F$65)</f>
        <v>0</v>
      </c>
      <c r="EJ76" s="334">
        <f>IF(BV76/SUM(BV:BV)*'I-Project Contingency'!$F$66=0,0,BV76/SUM(BV:BV)*'I-Project Contingency'!$F$66)</f>
        <v>0</v>
      </c>
      <c r="EK76" s="334">
        <f>IF(BW76/SUM(BW:BW)*'I-Project Contingency'!$F$67=0,0,BW76/SUM(BW:BW)*'I-Project Contingency'!$F$67)</f>
        <v>0</v>
      </c>
      <c r="EL76" s="334">
        <f>IF(BX76/SUM(BX:BX)*'I-Project Contingency'!$F$68=0,0,BX76/SUM(BX:BX)*'I-Project Contingency'!$F$68)</f>
        <v>0</v>
      </c>
      <c r="EM76" s="334">
        <f>IF(BY76/SUM(BY:BY)*'I-Project Contingency'!$F$69=0,0,BY76/SUM(BY:BY)*'I-Project Contingency'!$F$69)</f>
        <v>0</v>
      </c>
      <c r="EN76" s="334">
        <f>IF(BZ76/SUM(BZ:BZ)*'I-Project Contingency'!$F$70=0,0,BZ76/SUM(BZ:BZ)*'I-Project Contingency'!$F$70)</f>
        <v>0</v>
      </c>
      <c r="EO76" s="334">
        <f>IF(CA76/SUM(CA:CA)*'I-Project Contingency'!$F$71=0,0,CA76/SUM(CA:CA)*'I-Project Contingency'!$F$71)</f>
        <v>0</v>
      </c>
      <c r="EP76" s="334">
        <f>IF(CB76/SUM(CB:CB)*'I-Project Contingency'!$F$72=0,0,CB76/SUM(CB:CB)*'I-Project Contingency'!$F$72)</f>
        <v>0</v>
      </c>
      <c r="EQ76" s="334">
        <f>IF(CC76/SUM(CC:CC)*'I-Project Contingency'!$F$73=0,0,CC76/SUM(CC:CC)*'I-Project Contingency'!$F$73)</f>
        <v>0</v>
      </c>
      <c r="ER76" s="334">
        <f>IF(CD76/SUM(CD:CD)*'I-Project Contingency'!$F$74=0,0,CD76/SUM(CD:CD)*'I-Project Contingency'!$F$74)</f>
        <v>0</v>
      </c>
      <c r="ES76" s="334">
        <f>IF(CE76/SUM(CE:CE)*'I-Project Contingency'!$F$75=0,0,CE76/SUM(CE:CE)*'I-Project Contingency'!$F$75)</f>
        <v>0</v>
      </c>
      <c r="ET76" s="334">
        <f>IF(CF76/SUM(CF:CF)*'I-Project Contingency'!$F$76=0,0,CF76/SUM(CF:CF)*'I-Project Contingency'!$F$76)</f>
        <v>0</v>
      </c>
      <c r="EU76" s="334">
        <f>IF(CG76/SUM(CG:CG)*'I-Project Contingency'!$F$77=0,0,CG76/SUM(CG:CG)*'I-Project Contingency'!$F$77)</f>
        <v>0</v>
      </c>
      <c r="EV76" s="787">
        <f>IF(CH76/SUM(CH:CH)*'I-Project Contingency'!$F$78=0,0,CH76/SUM(CH:CH)*'I-Project Contingency'!$F$78)</f>
        <v>0</v>
      </c>
      <c r="EW76" s="787">
        <f>IF(CI76/SUM(CI:CI)*'I-Project Contingency'!$F$79=0,0,CI76/SUM(CI:CI)*'I-Project Contingency'!$F$79)</f>
        <v>0</v>
      </c>
      <c r="EX76" s="787">
        <f>IF(CJ76/SUM(CJ:CJ)*'I-Project Contingency'!$F$80=0,0,CJ76/SUM(CJ:CJ)*'I-Project Contingency'!$F$80)</f>
        <v>0</v>
      </c>
      <c r="EY76" s="787">
        <f>IF(CK76/SUM(CK:CK)*'I-Project Contingency'!$F$81=0,0,CK76/SUM(CK:CK)*'I-Project Contingency'!$F$81)</f>
        <v>0</v>
      </c>
      <c r="EZ76" s="333">
        <f>IF(FB76="N/A","N/A",ABS(INDEX(FB76:FV76,1,MATCH("ROM Schedule Risk @ "&amp;'D-Project Data'!$C$6*100&amp;"%",$FB$17:$FV$17,0))))</f>
        <v>0</v>
      </c>
      <c r="FA76" s="335">
        <f>IF(EZ76="N/A","N/A",RANK(EZ76,$EZ$18:$EZ$117,0)+COUNTIF($FB$18:FB76,FB76)-1)</f>
        <v>59</v>
      </c>
      <c r="FB76" s="788">
        <f>IF(DH76/SUM(DH:DH)*'I-Project Contingency'!$F$86=0,0,DH76/SUM(DH:DH)*'I-Project Contingency'!$F$86)</f>
        <v>0</v>
      </c>
      <c r="FC76" s="788">
        <f>IF(DI76/SUM(DI:DI)*'I-Project Contingency'!$F$87=0,0,DI76/SUM(DI:DI)*'I-Project Contingency'!$F$87)</f>
        <v>0</v>
      </c>
      <c r="FD76" s="788">
        <f>IF(DJ76/SUM(DJ:DJ)*'I-Project Contingency'!$F$88=0,0,DJ76/SUM(DJ:DJ)*'I-Project Contingency'!$F$88)</f>
        <v>0</v>
      </c>
      <c r="FE76" s="788">
        <f>IF(DK76/SUM(DK:DK)*'I-Project Contingency'!$F$89=0,0,DK76/SUM(DK:DK)*'I-Project Contingency'!$F$89)</f>
        <v>0</v>
      </c>
      <c r="FF76" s="788">
        <f>IF(DL76/SUM(DL:DL)*'I-Project Contingency'!$F$90=0,0,DL76/SUM(DL:DL)*'I-Project Contingency'!$F$90)</f>
        <v>0</v>
      </c>
      <c r="FG76" s="788">
        <f>IF(DM76/SUM(DM:DM)*'I-Project Contingency'!$F$91=0,0,DM76/SUM(DM:DM)*'I-Project Contingency'!$F$91)</f>
        <v>0</v>
      </c>
      <c r="FH76" s="788">
        <f>IF(DN76/SUM(DN:DN)*'I-Project Contingency'!$F$92=0,0,DN76/SUM(DN:DN)*'I-Project Contingency'!$F$92)</f>
        <v>0</v>
      </c>
      <c r="FI76" s="788">
        <f>IF(DO76/SUM(DO:DO)*'I-Project Contingency'!$F$93=0,0,DO76/SUM(DO:DO)*'I-Project Contingency'!$F$93)</f>
        <v>0</v>
      </c>
      <c r="FJ76" s="788">
        <f>IF(DP76/SUM(DP:DP)*'I-Project Contingency'!$F$94=0,0,DP76/SUM(DP:DP)*'I-Project Contingency'!$F$94)</f>
        <v>0</v>
      </c>
      <c r="FK76" s="788">
        <f>IF(DQ76/SUM(DQ:DQ)*'I-Project Contingency'!$F$95=0,0,DQ76/SUM(DQ:DQ)*'I-Project Contingency'!$F$95)</f>
        <v>0</v>
      </c>
      <c r="FL76" s="788">
        <f>IF(DR76/SUM(DR:DR)*'I-Project Contingency'!$F$96=0,0,DR76/SUM(DR:DR)*'I-Project Contingency'!$F$96)</f>
        <v>0</v>
      </c>
      <c r="FM76" s="788">
        <f>IF(DS76/SUM(DS:DS)*'I-Project Contingency'!$F$97=0,0,DS76/SUM(DS:DS)*'I-Project Contingency'!$F$97)</f>
        <v>0</v>
      </c>
      <c r="FN76" s="788">
        <f>IF(DT76/SUM(DT:DT)*'I-Project Contingency'!$F$98=0,0,DT76/SUM(DT:DT)*'I-Project Contingency'!$F$98)</f>
        <v>0</v>
      </c>
      <c r="FO76" s="788">
        <f>IF(DU76/SUM(DU:DU)*'I-Project Contingency'!$F$99=0,0,DU76/SUM(DU:DU)*'I-Project Contingency'!$F$99)</f>
        <v>0</v>
      </c>
      <c r="FP76" s="788">
        <f>IF(DV76/SUM(DV:DV)*'I-Project Contingency'!$F$100=0,0,DV76/SUM(DV:DV)*'I-Project Contingency'!$F$100)</f>
        <v>0</v>
      </c>
      <c r="FQ76" s="788">
        <f>IF(DW76/SUM(DW:DW)*'I-Project Contingency'!$F$101=0,0,DW76/SUM(DW:DW)*'I-Project Contingency'!$F$101)</f>
        <v>0</v>
      </c>
      <c r="FR76" s="788">
        <f>IF(DX76/SUM(DX:DX)*'I-Project Contingency'!$F$102=0,0,DX76/SUM(DX:DX)*'I-Project Contingency'!$F$102)</f>
        <v>0</v>
      </c>
      <c r="FS76" s="788">
        <f>IF(DY76/SUM(DY:DY)*'I-Project Contingency'!$F$103=0,0,DY76/SUM(DY:DY)*'I-Project Contingency'!$F$103)</f>
        <v>0</v>
      </c>
      <c r="FT76" s="788">
        <f>IF(DZ76/SUM(DZ:DZ)*'I-Project Contingency'!$F$104=0,0,DZ76/SUM(DZ:DZ)*'I-Project Contingency'!$F$104)</f>
        <v>0</v>
      </c>
      <c r="FU76" s="788">
        <f>IF(EA76/SUM(EA:EA)*'I-Project Contingency'!$F$105=0,0,EA76/SUM(EA:EA)*'I-Project Contingency'!$F$105)</f>
        <v>0</v>
      </c>
      <c r="FV76" s="788">
        <f>IF(EB76/SUM(EB:EB)*'I-Project Contingency'!$F$106=0,0,EB76/SUM(EB:EB)*'I-Project Contingency'!$F$106)</f>
        <v>0</v>
      </c>
      <c r="FW76" s="335">
        <f t="shared" si="37"/>
        <v>59</v>
      </c>
      <c r="FX76" s="336" t="str">
        <f t="shared" si="38"/>
        <v xml:space="preserve">59 -  </v>
      </c>
      <c r="FY76" s="330">
        <f t="shared" si="43"/>
        <v>0</v>
      </c>
      <c r="FZ76" s="330">
        <f t="shared" si="44"/>
        <v>0</v>
      </c>
      <c r="GA76" s="332">
        <f t="shared" si="39"/>
        <v>0</v>
      </c>
      <c r="GB76" s="332">
        <f t="shared" si="40"/>
        <v>0</v>
      </c>
    </row>
    <row r="77" spans="1:184" ht="30" x14ac:dyDescent="0.25">
      <c r="A77" s="163">
        <f t="shared" si="23"/>
        <v>60</v>
      </c>
      <c r="B77" s="727" t="s">
        <v>728</v>
      </c>
      <c r="C77" s="729" t="s">
        <v>659</v>
      </c>
      <c r="D77" s="729" t="s">
        <v>659</v>
      </c>
      <c r="E77" s="729" t="s">
        <v>659</v>
      </c>
      <c r="F77" s="728" t="s">
        <v>728</v>
      </c>
      <c r="G77" s="728" t="s">
        <v>728</v>
      </c>
      <c r="H77" s="157" t="str">
        <f>IFERROR(IF('H-Risk Register-Model'!F77="Certain","Relook at Basis of Estimate",INDEX('G-Assumptions'!$F$8:$J$11,MATCH(F77,'G-Assumptions'!$D$8:$D$11,0),MATCH(G77,'G-Assumptions'!$F$6:$J$6,0))),"Unrated")</f>
        <v>Unrated</v>
      </c>
      <c r="I77" s="728" t="s">
        <v>728</v>
      </c>
      <c r="J77" s="157" t="str">
        <f>IFERROR(IF('H-Risk Register-Model'!F77="Certain","Relook at Basis of Estimate",INDEX('G-Assumptions'!$F$8:$J$11,MATCH(F77,'G-Assumptions'!$D$8:$D$11,0),MATCH(I77,'G-Assumptions'!$F$6:$J$6,0))),"Unrated")</f>
        <v>Unrated</v>
      </c>
      <c r="K77" s="728" t="s">
        <v>728</v>
      </c>
      <c r="L77" s="728" t="s">
        <v>728</v>
      </c>
      <c r="M77" s="728"/>
      <c r="N77" s="731" t="s">
        <v>728</v>
      </c>
      <c r="O77" s="731" t="s">
        <v>728</v>
      </c>
      <c r="P77" s="732"/>
      <c r="Q77" s="732"/>
      <c r="R77" s="732"/>
      <c r="S77" s="733"/>
      <c r="T77" s="733"/>
      <c r="U77" s="733"/>
      <c r="V77" s="734"/>
      <c r="W77" s="732"/>
      <c r="X77" s="732"/>
      <c r="Y77" s="735">
        <v>1</v>
      </c>
      <c r="Z77" s="736">
        <v>1</v>
      </c>
      <c r="AA77" s="166">
        <f t="shared" si="19"/>
        <v>0</v>
      </c>
      <c r="AB77" s="166">
        <f t="shared" si="20"/>
        <v>0</v>
      </c>
      <c r="AC77" s="166">
        <f t="shared" si="21"/>
        <v>0</v>
      </c>
      <c r="AD77" s="166"/>
      <c r="AE77" s="164">
        <f t="shared" si="41"/>
        <v>0</v>
      </c>
      <c r="AF77" s="167"/>
      <c r="AG77" s="165">
        <f t="shared" si="42"/>
        <v>0</v>
      </c>
      <c r="AH77" s="729"/>
      <c r="AI77" s="729"/>
      <c r="AJ77" s="8"/>
      <c r="AK77" s="495" t="str">
        <f t="shared" si="30"/>
        <v>No</v>
      </c>
      <c r="AL77" s="496">
        <f>'I-Project Contingency'!$I$4</f>
        <v>9000000</v>
      </c>
      <c r="AM77" s="326">
        <f>'I-Project Contingency'!$I$11</f>
        <v>23.978102189781023</v>
      </c>
      <c r="AN77" s="325">
        <f t="shared" si="31"/>
        <v>0</v>
      </c>
      <c r="AO77" s="326">
        <f t="shared" si="32"/>
        <v>0</v>
      </c>
      <c r="AP77" s="641" t="str">
        <f t="shared" si="33"/>
        <v/>
      </c>
      <c r="AQ77" s="641" t="str">
        <f t="shared" si="34"/>
        <v/>
      </c>
      <c r="AR77" s="497" t="str">
        <f t="shared" si="35"/>
        <v/>
      </c>
      <c r="AS77" s="497" t="str">
        <f t="shared" si="36"/>
        <v/>
      </c>
      <c r="AT77" s="8"/>
      <c r="AU77" s="329">
        <f>'I-Project Contingency'!$O$4-AE77</f>
        <v>0</v>
      </c>
      <c r="AV77" s="330">
        <v>-240515.59579276721</v>
      </c>
      <c r="AW77" s="330">
        <v>28172.931401335634</v>
      </c>
      <c r="AX77" s="330">
        <v>193478.84467429668</v>
      </c>
      <c r="AY77" s="330">
        <v>361668.20104834624</v>
      </c>
      <c r="AZ77" s="330">
        <v>524446.91524262261</v>
      </c>
      <c r="BA77" s="330">
        <v>704023.56387635041</v>
      </c>
      <c r="BB77" s="330">
        <v>886394.06956240814</v>
      </c>
      <c r="BC77" s="330">
        <v>1079363.7165157665</v>
      </c>
      <c r="BD77" s="330">
        <v>1280180.1532065615</v>
      </c>
      <c r="BE77" s="330">
        <v>1485323.8019108465</v>
      </c>
      <c r="BF77" s="330">
        <v>1703758.8827524669</v>
      </c>
      <c r="BG77" s="330">
        <v>1949523.4346483489</v>
      </c>
      <c r="BH77" s="330">
        <v>2177897.1603371189</v>
      </c>
      <c r="BI77" s="330">
        <v>2429374.4260425912</v>
      </c>
      <c r="BJ77" s="330">
        <v>2717092.7449284913</v>
      </c>
      <c r="BK77" s="330">
        <v>3010093.6968918457</v>
      </c>
      <c r="BL77" s="330">
        <v>3325414.5894657462</v>
      </c>
      <c r="BM77" s="330">
        <v>3690425.9159493577</v>
      </c>
      <c r="BN77" s="330">
        <v>4143935.1706127762</v>
      </c>
      <c r="BO77" s="330">
        <v>4722651.1159141911</v>
      </c>
      <c r="BP77" s="330">
        <v>5992048.8629153483</v>
      </c>
      <c r="BQ77" s="330">
        <f>'I-Project Contingency'!$E$61-AV77</f>
        <v>0</v>
      </c>
      <c r="BR77" s="330">
        <f>'I-Project Contingency'!$E$62-AW77</f>
        <v>0</v>
      </c>
      <c r="BS77" s="330">
        <f>'I-Project Contingency'!$E$63-AX77</f>
        <v>0</v>
      </c>
      <c r="BT77" s="330">
        <f>'I-Project Contingency'!$E$64-AY77</f>
        <v>0</v>
      </c>
      <c r="BU77" s="330">
        <f>'I-Project Contingency'!$E$65-AZ77</f>
        <v>0</v>
      </c>
      <c r="BV77" s="330">
        <f>'I-Project Contingency'!$E$66-BA77</f>
        <v>0</v>
      </c>
      <c r="BW77" s="330">
        <f>'I-Project Contingency'!$E$67-BB77</f>
        <v>0</v>
      </c>
      <c r="BX77" s="330">
        <f>'I-Project Contingency'!$E$68-BC77</f>
        <v>0</v>
      </c>
      <c r="BY77" s="330">
        <f>'I-Project Contingency'!$E$69-BD77</f>
        <v>0</v>
      </c>
      <c r="BZ77" s="330">
        <f>'I-Project Contingency'!$E$70-BE77</f>
        <v>0</v>
      </c>
      <c r="CA77" s="330">
        <f>'I-Project Contingency'!$E$71-BF77</f>
        <v>0</v>
      </c>
      <c r="CB77" s="330">
        <f>'I-Project Contingency'!$E$72-BG77</f>
        <v>0</v>
      </c>
      <c r="CC77" s="330">
        <f>'I-Project Contingency'!$E$73-BH77</f>
        <v>0</v>
      </c>
      <c r="CD77" s="330">
        <f>'I-Project Contingency'!$E$74-BI77</f>
        <v>0</v>
      </c>
      <c r="CE77" s="330">
        <f>'I-Project Contingency'!$E$75-BJ77</f>
        <v>0</v>
      </c>
      <c r="CF77" s="330">
        <f>'I-Project Contingency'!$E$76-BK77</f>
        <v>0</v>
      </c>
      <c r="CG77" s="330">
        <f>'I-Project Contingency'!$E$77-BL77</f>
        <v>0</v>
      </c>
      <c r="CH77" s="784">
        <f>'I-Project Contingency'!$E$78-BM77</f>
        <v>0</v>
      </c>
      <c r="CI77" s="330">
        <f>'I-Project Contingency'!$E$79-BN77</f>
        <v>0</v>
      </c>
      <c r="CJ77" s="330">
        <f>'I-Project Contingency'!$E$80-BO77</f>
        <v>0</v>
      </c>
      <c r="CK77" s="330">
        <f>'I-Project Contingency'!$E$81-BP77</f>
        <v>0</v>
      </c>
      <c r="CL77" s="331">
        <f>'I-Project Contingency'!$O$5-AG77</f>
        <v>0</v>
      </c>
      <c r="CM77" s="332">
        <v>-0.98711802853447173</v>
      </c>
      <c r="CN77" s="332">
        <v>-0.19547704728364468</v>
      </c>
      <c r="CO77" s="332">
        <v>0.126462150308498</v>
      </c>
      <c r="CP77" s="332">
        <v>0.45967989154545902</v>
      </c>
      <c r="CQ77" s="332">
        <v>0.78297319902744</v>
      </c>
      <c r="CR77" s="332">
        <v>1.0957191966482109</v>
      </c>
      <c r="CS77" s="332">
        <v>1.4418405003536849</v>
      </c>
      <c r="CT77" s="332">
        <v>1.801002404194165</v>
      </c>
      <c r="CU77" s="332">
        <v>2.1797608166947349</v>
      </c>
      <c r="CV77" s="332">
        <v>2.5671680610072478</v>
      </c>
      <c r="CW77" s="332">
        <v>2.9690760644797152</v>
      </c>
      <c r="CX77" s="332">
        <v>3.3964145469774811</v>
      </c>
      <c r="CY77" s="332">
        <v>3.864536087769562</v>
      </c>
      <c r="CZ77" s="332">
        <v>4.3569836138896116</v>
      </c>
      <c r="DA77" s="332">
        <v>4.8862357851222598</v>
      </c>
      <c r="DB77" s="332">
        <v>5.438836997347547</v>
      </c>
      <c r="DC77" s="332">
        <v>6.047993455908566</v>
      </c>
      <c r="DD77" s="785">
        <v>6.720204953601761</v>
      </c>
      <c r="DE77" s="333">
        <v>7.55131678090412</v>
      </c>
      <c r="DF77" s="332">
        <v>8.661446370835737</v>
      </c>
      <c r="DG77" s="332">
        <v>11.206316207857133</v>
      </c>
      <c r="DH77" s="332">
        <f>'I-Project Contingency'!$E$86-CM77</f>
        <v>0</v>
      </c>
      <c r="DI77" s="332">
        <f>'I-Project Contingency'!$E$87-CN77</f>
        <v>0</v>
      </c>
      <c r="DJ77" s="332">
        <f>'I-Project Contingency'!$E$88-CO77</f>
        <v>0</v>
      </c>
      <c r="DK77" s="332">
        <f>'I-Project Contingency'!$E$89-CP77</f>
        <v>0</v>
      </c>
      <c r="DL77" s="332">
        <f>'I-Project Contingency'!$E$90-CQ77</f>
        <v>0</v>
      </c>
      <c r="DM77" s="332">
        <f>'I-Project Contingency'!$E$91-CR77</f>
        <v>0</v>
      </c>
      <c r="DN77" s="332">
        <f>'I-Project Contingency'!$E$92-CS77</f>
        <v>0</v>
      </c>
      <c r="DO77" s="332">
        <f>'I-Project Contingency'!$E$93-CT77</f>
        <v>0</v>
      </c>
      <c r="DP77" s="332">
        <f>'I-Project Contingency'!$E$94-CU77</f>
        <v>0</v>
      </c>
      <c r="DQ77" s="332">
        <f>'I-Project Contingency'!$E$95-CV77</f>
        <v>0</v>
      </c>
      <c r="DR77" s="332">
        <f>'I-Project Contingency'!$E$96-CW77</f>
        <v>0</v>
      </c>
      <c r="DS77" s="332">
        <f>'I-Project Contingency'!$E$97-CX77</f>
        <v>0</v>
      </c>
      <c r="DT77" s="332">
        <f>'I-Project Contingency'!$E$98-CY77</f>
        <v>0</v>
      </c>
      <c r="DU77" s="332">
        <f>'I-Project Contingency'!$E$99-CZ77</f>
        <v>0</v>
      </c>
      <c r="DV77" s="332">
        <f>'I-Project Contingency'!$E$100-DA77</f>
        <v>0</v>
      </c>
      <c r="DW77" s="332">
        <f>'I-Project Contingency'!$E$101-DB77</f>
        <v>0</v>
      </c>
      <c r="DX77" s="332">
        <f>'I-Project Contingency'!$E$102-DC77</f>
        <v>0</v>
      </c>
      <c r="DY77" s="332">
        <f>'I-Project Contingency'!$E$103-DD77</f>
        <v>0</v>
      </c>
      <c r="DZ77" s="332">
        <f>'I-Project Contingency'!$E$104-DE77</f>
        <v>0</v>
      </c>
      <c r="EA77" s="332">
        <f>'I-Project Contingency'!$E$105-DF77</f>
        <v>0</v>
      </c>
      <c r="EB77" s="332">
        <f>'I-Project Contingency'!$E$106-DG77</f>
        <v>0</v>
      </c>
      <c r="EC77" s="334">
        <f>IF(EE77="N/A","N/A",ABS(INDEX(EE77:EY77,1,MATCH("ROM Cost Risk @ "&amp;'D-Project Data'!$C$6*100&amp;"%",$EE$17:$EY$17,0))))</f>
        <v>0</v>
      </c>
      <c r="ED77" s="335">
        <f>IF(EC77="N/A","N/A",RANK(EC77,$EC$18:$EC$117,0)+COUNTIF($EC$18:EC77,EC77)-1)</f>
        <v>60</v>
      </c>
      <c r="EE77" s="334">
        <f>IF(BQ77/SUM(BQ:BQ)*'I-Project Contingency'!$F$61=0,0,BQ77/SUM(BQ:BQ)*'I-Project Contingency'!$F$61)</f>
        <v>0</v>
      </c>
      <c r="EF77" s="334">
        <f>IF(BR77/SUM(BR:BR)*'I-Project Contingency'!$F$62=0,0,BR77/SUM(BR:BR)*'I-Project Contingency'!$F$62)</f>
        <v>0</v>
      </c>
      <c r="EG77" s="334">
        <f>IF(BS77/SUM(BS:BS)*'I-Project Contingency'!$F$63=0,0,BS77/SUM(BS:BS)*'I-Project Contingency'!$F$63)</f>
        <v>0</v>
      </c>
      <c r="EH77" s="334">
        <f>IF(BT77/SUM(BT:BT)*'I-Project Contingency'!$F$64=0,0,BT77/SUM(BT:BT)*'I-Project Contingency'!$F$64)</f>
        <v>0</v>
      </c>
      <c r="EI77" s="334">
        <f>IF(BU77/SUM(BU:BU)*'I-Project Contingency'!$F$65=0,0,BU77/SUM(BU:BU)*'I-Project Contingency'!$F$65)</f>
        <v>0</v>
      </c>
      <c r="EJ77" s="334">
        <f>IF(BV77/SUM(BV:BV)*'I-Project Contingency'!$F$66=0,0,BV77/SUM(BV:BV)*'I-Project Contingency'!$F$66)</f>
        <v>0</v>
      </c>
      <c r="EK77" s="334">
        <f>IF(BW77/SUM(BW:BW)*'I-Project Contingency'!$F$67=0,0,BW77/SUM(BW:BW)*'I-Project Contingency'!$F$67)</f>
        <v>0</v>
      </c>
      <c r="EL77" s="334">
        <f>IF(BX77/SUM(BX:BX)*'I-Project Contingency'!$F$68=0,0,BX77/SUM(BX:BX)*'I-Project Contingency'!$F$68)</f>
        <v>0</v>
      </c>
      <c r="EM77" s="334">
        <f>IF(BY77/SUM(BY:BY)*'I-Project Contingency'!$F$69=0,0,BY77/SUM(BY:BY)*'I-Project Contingency'!$F$69)</f>
        <v>0</v>
      </c>
      <c r="EN77" s="334">
        <f>IF(BZ77/SUM(BZ:BZ)*'I-Project Contingency'!$F$70=0,0,BZ77/SUM(BZ:BZ)*'I-Project Contingency'!$F$70)</f>
        <v>0</v>
      </c>
      <c r="EO77" s="334">
        <f>IF(CA77/SUM(CA:CA)*'I-Project Contingency'!$F$71=0,0,CA77/SUM(CA:CA)*'I-Project Contingency'!$F$71)</f>
        <v>0</v>
      </c>
      <c r="EP77" s="334">
        <f>IF(CB77/SUM(CB:CB)*'I-Project Contingency'!$F$72=0,0,CB77/SUM(CB:CB)*'I-Project Contingency'!$F$72)</f>
        <v>0</v>
      </c>
      <c r="EQ77" s="334">
        <f>IF(CC77/SUM(CC:CC)*'I-Project Contingency'!$F$73=0,0,CC77/SUM(CC:CC)*'I-Project Contingency'!$F$73)</f>
        <v>0</v>
      </c>
      <c r="ER77" s="334">
        <f>IF(CD77/SUM(CD:CD)*'I-Project Contingency'!$F$74=0,0,CD77/SUM(CD:CD)*'I-Project Contingency'!$F$74)</f>
        <v>0</v>
      </c>
      <c r="ES77" s="334">
        <f>IF(CE77/SUM(CE:CE)*'I-Project Contingency'!$F$75=0,0,CE77/SUM(CE:CE)*'I-Project Contingency'!$F$75)</f>
        <v>0</v>
      </c>
      <c r="ET77" s="334">
        <f>IF(CF77/SUM(CF:CF)*'I-Project Contingency'!$F$76=0,0,CF77/SUM(CF:CF)*'I-Project Contingency'!$F$76)</f>
        <v>0</v>
      </c>
      <c r="EU77" s="334">
        <f>IF(CG77/SUM(CG:CG)*'I-Project Contingency'!$F$77=0,0,CG77/SUM(CG:CG)*'I-Project Contingency'!$F$77)</f>
        <v>0</v>
      </c>
      <c r="EV77" s="787">
        <f>IF(CH77/SUM(CH:CH)*'I-Project Contingency'!$F$78=0,0,CH77/SUM(CH:CH)*'I-Project Contingency'!$F$78)</f>
        <v>0</v>
      </c>
      <c r="EW77" s="787">
        <f>IF(CI77/SUM(CI:CI)*'I-Project Contingency'!$F$79=0,0,CI77/SUM(CI:CI)*'I-Project Contingency'!$F$79)</f>
        <v>0</v>
      </c>
      <c r="EX77" s="787">
        <f>IF(CJ77/SUM(CJ:CJ)*'I-Project Contingency'!$F$80=0,0,CJ77/SUM(CJ:CJ)*'I-Project Contingency'!$F$80)</f>
        <v>0</v>
      </c>
      <c r="EY77" s="787">
        <f>IF(CK77/SUM(CK:CK)*'I-Project Contingency'!$F$81=0,0,CK77/SUM(CK:CK)*'I-Project Contingency'!$F$81)</f>
        <v>0</v>
      </c>
      <c r="EZ77" s="333">
        <f>IF(FB77="N/A","N/A",ABS(INDEX(FB77:FV77,1,MATCH("ROM Schedule Risk @ "&amp;'D-Project Data'!$C$6*100&amp;"%",$FB$17:$FV$17,0))))</f>
        <v>0</v>
      </c>
      <c r="FA77" s="335">
        <f>IF(EZ77="N/A","N/A",RANK(EZ77,$EZ$18:$EZ$117,0)+COUNTIF($FB$18:FB77,FB77)-1)</f>
        <v>60</v>
      </c>
      <c r="FB77" s="788">
        <f>IF(DH77/SUM(DH:DH)*'I-Project Contingency'!$F$86=0,0,DH77/SUM(DH:DH)*'I-Project Contingency'!$F$86)</f>
        <v>0</v>
      </c>
      <c r="FC77" s="788">
        <f>IF(DI77/SUM(DI:DI)*'I-Project Contingency'!$F$87=0,0,DI77/SUM(DI:DI)*'I-Project Contingency'!$F$87)</f>
        <v>0</v>
      </c>
      <c r="FD77" s="788">
        <f>IF(DJ77/SUM(DJ:DJ)*'I-Project Contingency'!$F$88=0,0,DJ77/SUM(DJ:DJ)*'I-Project Contingency'!$F$88)</f>
        <v>0</v>
      </c>
      <c r="FE77" s="788">
        <f>IF(DK77/SUM(DK:DK)*'I-Project Contingency'!$F$89=0,0,DK77/SUM(DK:DK)*'I-Project Contingency'!$F$89)</f>
        <v>0</v>
      </c>
      <c r="FF77" s="788">
        <f>IF(DL77/SUM(DL:DL)*'I-Project Contingency'!$F$90=0,0,DL77/SUM(DL:DL)*'I-Project Contingency'!$F$90)</f>
        <v>0</v>
      </c>
      <c r="FG77" s="788">
        <f>IF(DM77/SUM(DM:DM)*'I-Project Contingency'!$F$91=0,0,DM77/SUM(DM:DM)*'I-Project Contingency'!$F$91)</f>
        <v>0</v>
      </c>
      <c r="FH77" s="788">
        <f>IF(DN77/SUM(DN:DN)*'I-Project Contingency'!$F$92=0,0,DN77/SUM(DN:DN)*'I-Project Contingency'!$F$92)</f>
        <v>0</v>
      </c>
      <c r="FI77" s="788">
        <f>IF(DO77/SUM(DO:DO)*'I-Project Contingency'!$F$93=0,0,DO77/SUM(DO:DO)*'I-Project Contingency'!$F$93)</f>
        <v>0</v>
      </c>
      <c r="FJ77" s="788">
        <f>IF(DP77/SUM(DP:DP)*'I-Project Contingency'!$F$94=0,0,DP77/SUM(DP:DP)*'I-Project Contingency'!$F$94)</f>
        <v>0</v>
      </c>
      <c r="FK77" s="788">
        <f>IF(DQ77/SUM(DQ:DQ)*'I-Project Contingency'!$F$95=0,0,DQ77/SUM(DQ:DQ)*'I-Project Contingency'!$F$95)</f>
        <v>0</v>
      </c>
      <c r="FL77" s="788">
        <f>IF(DR77/SUM(DR:DR)*'I-Project Contingency'!$F$96=0,0,DR77/SUM(DR:DR)*'I-Project Contingency'!$F$96)</f>
        <v>0</v>
      </c>
      <c r="FM77" s="788">
        <f>IF(DS77/SUM(DS:DS)*'I-Project Contingency'!$F$97=0,0,DS77/SUM(DS:DS)*'I-Project Contingency'!$F$97)</f>
        <v>0</v>
      </c>
      <c r="FN77" s="788">
        <f>IF(DT77/SUM(DT:DT)*'I-Project Contingency'!$F$98=0,0,DT77/SUM(DT:DT)*'I-Project Contingency'!$F$98)</f>
        <v>0</v>
      </c>
      <c r="FO77" s="788">
        <f>IF(DU77/SUM(DU:DU)*'I-Project Contingency'!$F$99=0,0,DU77/SUM(DU:DU)*'I-Project Contingency'!$F$99)</f>
        <v>0</v>
      </c>
      <c r="FP77" s="788">
        <f>IF(DV77/SUM(DV:DV)*'I-Project Contingency'!$F$100=0,0,DV77/SUM(DV:DV)*'I-Project Contingency'!$F$100)</f>
        <v>0</v>
      </c>
      <c r="FQ77" s="788">
        <f>IF(DW77/SUM(DW:DW)*'I-Project Contingency'!$F$101=0,0,DW77/SUM(DW:DW)*'I-Project Contingency'!$F$101)</f>
        <v>0</v>
      </c>
      <c r="FR77" s="788">
        <f>IF(DX77/SUM(DX:DX)*'I-Project Contingency'!$F$102=0,0,DX77/SUM(DX:DX)*'I-Project Contingency'!$F$102)</f>
        <v>0</v>
      </c>
      <c r="FS77" s="788">
        <f>IF(DY77/SUM(DY:DY)*'I-Project Contingency'!$F$103=0,0,DY77/SUM(DY:DY)*'I-Project Contingency'!$F$103)</f>
        <v>0</v>
      </c>
      <c r="FT77" s="788">
        <f>IF(DZ77/SUM(DZ:DZ)*'I-Project Contingency'!$F$104=0,0,DZ77/SUM(DZ:DZ)*'I-Project Contingency'!$F$104)</f>
        <v>0</v>
      </c>
      <c r="FU77" s="788">
        <f>IF(EA77/SUM(EA:EA)*'I-Project Contingency'!$F$105=0,0,EA77/SUM(EA:EA)*'I-Project Contingency'!$F$105)</f>
        <v>0</v>
      </c>
      <c r="FV77" s="788">
        <f>IF(EB77/SUM(EB:EB)*'I-Project Contingency'!$F$106=0,0,EB77/SUM(EB:EB)*'I-Project Contingency'!$F$106)</f>
        <v>0</v>
      </c>
      <c r="FW77" s="335">
        <f t="shared" si="37"/>
        <v>60</v>
      </c>
      <c r="FX77" s="336" t="str">
        <f t="shared" si="38"/>
        <v xml:space="preserve">60 -  </v>
      </c>
      <c r="FY77" s="330">
        <f t="shared" si="43"/>
        <v>0</v>
      </c>
      <c r="FZ77" s="330">
        <f t="shared" si="44"/>
        <v>0</v>
      </c>
      <c r="GA77" s="332">
        <f t="shared" si="39"/>
        <v>0</v>
      </c>
      <c r="GB77" s="332">
        <f t="shared" si="40"/>
        <v>0</v>
      </c>
    </row>
    <row r="78" spans="1:184" ht="30" x14ac:dyDescent="0.25">
      <c r="A78" s="163">
        <f t="shared" si="23"/>
        <v>61</v>
      </c>
      <c r="B78" s="727" t="s">
        <v>728</v>
      </c>
      <c r="C78" s="729" t="s">
        <v>659</v>
      </c>
      <c r="D78" s="729" t="s">
        <v>659</v>
      </c>
      <c r="E78" s="729" t="s">
        <v>659</v>
      </c>
      <c r="F78" s="728" t="s">
        <v>728</v>
      </c>
      <c r="G78" s="728" t="s">
        <v>728</v>
      </c>
      <c r="H78" s="157" t="str">
        <f>IFERROR(IF('H-Risk Register-Model'!F78="Certain","Relook at Basis of Estimate",INDEX('G-Assumptions'!$F$8:$J$11,MATCH(F78,'G-Assumptions'!$D$8:$D$11,0),MATCH(G78,'G-Assumptions'!$F$6:$J$6,0))),"Unrated")</f>
        <v>Unrated</v>
      </c>
      <c r="I78" s="728" t="s">
        <v>728</v>
      </c>
      <c r="J78" s="157" t="str">
        <f>IFERROR(IF('H-Risk Register-Model'!F78="Certain","Relook at Basis of Estimate",INDEX('G-Assumptions'!$F$8:$J$11,MATCH(F78,'G-Assumptions'!$D$8:$D$11,0),MATCH(I78,'G-Assumptions'!$F$6:$J$6,0))),"Unrated")</f>
        <v>Unrated</v>
      </c>
      <c r="K78" s="728" t="s">
        <v>728</v>
      </c>
      <c r="L78" s="728" t="s">
        <v>728</v>
      </c>
      <c r="M78" s="728"/>
      <c r="N78" s="731" t="s">
        <v>728</v>
      </c>
      <c r="O78" s="731" t="s">
        <v>728</v>
      </c>
      <c r="P78" s="732"/>
      <c r="Q78" s="732"/>
      <c r="R78" s="732"/>
      <c r="S78" s="733"/>
      <c r="T78" s="733"/>
      <c r="U78" s="733"/>
      <c r="V78" s="734"/>
      <c r="W78" s="732"/>
      <c r="X78" s="732"/>
      <c r="Y78" s="735">
        <v>1</v>
      </c>
      <c r="Z78" s="736">
        <v>1</v>
      </c>
      <c r="AA78" s="166">
        <f t="shared" si="19"/>
        <v>0</v>
      </c>
      <c r="AB78" s="166">
        <f t="shared" si="20"/>
        <v>0</v>
      </c>
      <c r="AC78" s="166">
        <f t="shared" si="21"/>
        <v>0</v>
      </c>
      <c r="AD78" s="166"/>
      <c r="AE78" s="164">
        <f t="shared" si="41"/>
        <v>0</v>
      </c>
      <c r="AF78" s="167"/>
      <c r="AG78" s="165">
        <f t="shared" si="42"/>
        <v>0</v>
      </c>
      <c r="AH78" s="729"/>
      <c r="AI78" s="729"/>
      <c r="AJ78" s="8"/>
      <c r="AK78" s="495" t="str">
        <f t="shared" si="30"/>
        <v>No</v>
      </c>
      <c r="AL78" s="496">
        <f>'I-Project Contingency'!$I$4</f>
        <v>9000000</v>
      </c>
      <c r="AM78" s="326">
        <f>'I-Project Contingency'!$I$11</f>
        <v>23.978102189781023</v>
      </c>
      <c r="AN78" s="325">
        <f t="shared" si="31"/>
        <v>0</v>
      </c>
      <c r="AO78" s="326">
        <f t="shared" si="32"/>
        <v>0</v>
      </c>
      <c r="AP78" s="641" t="str">
        <f t="shared" si="33"/>
        <v/>
      </c>
      <c r="AQ78" s="641" t="str">
        <f t="shared" si="34"/>
        <v/>
      </c>
      <c r="AR78" s="497" t="str">
        <f t="shared" si="35"/>
        <v/>
      </c>
      <c r="AS78" s="497" t="str">
        <f t="shared" si="36"/>
        <v/>
      </c>
      <c r="AT78" s="8"/>
      <c r="AU78" s="329">
        <f>'I-Project Contingency'!$O$4-AE78</f>
        <v>0</v>
      </c>
      <c r="AV78" s="330">
        <v>-240515.59579276721</v>
      </c>
      <c r="AW78" s="330">
        <v>28172.931401335634</v>
      </c>
      <c r="AX78" s="330">
        <v>193478.84467429668</v>
      </c>
      <c r="AY78" s="330">
        <v>361668.20104834624</v>
      </c>
      <c r="AZ78" s="330">
        <v>524446.91524262261</v>
      </c>
      <c r="BA78" s="330">
        <v>704023.56387635041</v>
      </c>
      <c r="BB78" s="330">
        <v>886394.06956240814</v>
      </c>
      <c r="BC78" s="330">
        <v>1079363.7165157665</v>
      </c>
      <c r="BD78" s="330">
        <v>1280180.1532065615</v>
      </c>
      <c r="BE78" s="330">
        <v>1485323.8019108465</v>
      </c>
      <c r="BF78" s="330">
        <v>1703758.8827524669</v>
      </c>
      <c r="BG78" s="330">
        <v>1949523.4346483489</v>
      </c>
      <c r="BH78" s="330">
        <v>2177897.1603371189</v>
      </c>
      <c r="BI78" s="330">
        <v>2429374.4260425912</v>
      </c>
      <c r="BJ78" s="330">
        <v>2717092.7449284913</v>
      </c>
      <c r="BK78" s="330">
        <v>3010093.6968918457</v>
      </c>
      <c r="BL78" s="330">
        <v>3325414.5894657462</v>
      </c>
      <c r="BM78" s="330">
        <v>3690425.9159493577</v>
      </c>
      <c r="BN78" s="330">
        <v>4143935.1706127762</v>
      </c>
      <c r="BO78" s="330">
        <v>4722651.1159141911</v>
      </c>
      <c r="BP78" s="330">
        <v>5992048.8629153483</v>
      </c>
      <c r="BQ78" s="330">
        <f>'I-Project Contingency'!$E$61-AV78</f>
        <v>0</v>
      </c>
      <c r="BR78" s="330">
        <f>'I-Project Contingency'!$E$62-AW78</f>
        <v>0</v>
      </c>
      <c r="BS78" s="330">
        <f>'I-Project Contingency'!$E$63-AX78</f>
        <v>0</v>
      </c>
      <c r="BT78" s="330">
        <f>'I-Project Contingency'!$E$64-AY78</f>
        <v>0</v>
      </c>
      <c r="BU78" s="330">
        <f>'I-Project Contingency'!$E$65-AZ78</f>
        <v>0</v>
      </c>
      <c r="BV78" s="330">
        <f>'I-Project Contingency'!$E$66-BA78</f>
        <v>0</v>
      </c>
      <c r="BW78" s="330">
        <f>'I-Project Contingency'!$E$67-BB78</f>
        <v>0</v>
      </c>
      <c r="BX78" s="330">
        <f>'I-Project Contingency'!$E$68-BC78</f>
        <v>0</v>
      </c>
      <c r="BY78" s="330">
        <f>'I-Project Contingency'!$E$69-BD78</f>
        <v>0</v>
      </c>
      <c r="BZ78" s="330">
        <f>'I-Project Contingency'!$E$70-BE78</f>
        <v>0</v>
      </c>
      <c r="CA78" s="330">
        <f>'I-Project Contingency'!$E$71-BF78</f>
        <v>0</v>
      </c>
      <c r="CB78" s="330">
        <f>'I-Project Contingency'!$E$72-BG78</f>
        <v>0</v>
      </c>
      <c r="CC78" s="330">
        <f>'I-Project Contingency'!$E$73-BH78</f>
        <v>0</v>
      </c>
      <c r="CD78" s="330">
        <f>'I-Project Contingency'!$E$74-BI78</f>
        <v>0</v>
      </c>
      <c r="CE78" s="330">
        <f>'I-Project Contingency'!$E$75-BJ78</f>
        <v>0</v>
      </c>
      <c r="CF78" s="330">
        <f>'I-Project Contingency'!$E$76-BK78</f>
        <v>0</v>
      </c>
      <c r="CG78" s="330">
        <f>'I-Project Contingency'!$E$77-BL78</f>
        <v>0</v>
      </c>
      <c r="CH78" s="784">
        <f>'I-Project Contingency'!$E$78-BM78</f>
        <v>0</v>
      </c>
      <c r="CI78" s="330">
        <f>'I-Project Contingency'!$E$79-BN78</f>
        <v>0</v>
      </c>
      <c r="CJ78" s="330">
        <f>'I-Project Contingency'!$E$80-BO78</f>
        <v>0</v>
      </c>
      <c r="CK78" s="330">
        <f>'I-Project Contingency'!$E$81-BP78</f>
        <v>0</v>
      </c>
      <c r="CL78" s="331">
        <f>'I-Project Contingency'!$O$5-AG78</f>
        <v>0</v>
      </c>
      <c r="CM78" s="332">
        <v>-0.98711802853447173</v>
      </c>
      <c r="CN78" s="332">
        <v>-0.19547704728364468</v>
      </c>
      <c r="CO78" s="332">
        <v>0.126462150308498</v>
      </c>
      <c r="CP78" s="332">
        <v>0.45967989154545902</v>
      </c>
      <c r="CQ78" s="332">
        <v>0.78297319902744</v>
      </c>
      <c r="CR78" s="332">
        <v>1.0957191966482109</v>
      </c>
      <c r="CS78" s="332">
        <v>1.4418405003536849</v>
      </c>
      <c r="CT78" s="332">
        <v>1.801002404194165</v>
      </c>
      <c r="CU78" s="332">
        <v>2.1797608166947349</v>
      </c>
      <c r="CV78" s="332">
        <v>2.5671680610072478</v>
      </c>
      <c r="CW78" s="332">
        <v>2.9690760644797152</v>
      </c>
      <c r="CX78" s="332">
        <v>3.3964145469774811</v>
      </c>
      <c r="CY78" s="332">
        <v>3.864536087769562</v>
      </c>
      <c r="CZ78" s="332">
        <v>4.3569836138896116</v>
      </c>
      <c r="DA78" s="332">
        <v>4.8862357851222598</v>
      </c>
      <c r="DB78" s="332">
        <v>5.438836997347547</v>
      </c>
      <c r="DC78" s="332">
        <v>6.047993455908566</v>
      </c>
      <c r="DD78" s="785">
        <v>6.720204953601761</v>
      </c>
      <c r="DE78" s="333">
        <v>7.55131678090412</v>
      </c>
      <c r="DF78" s="332">
        <v>8.661446370835737</v>
      </c>
      <c r="DG78" s="332">
        <v>11.206316207857133</v>
      </c>
      <c r="DH78" s="332">
        <f>'I-Project Contingency'!$E$86-CM78</f>
        <v>0</v>
      </c>
      <c r="DI78" s="332">
        <f>'I-Project Contingency'!$E$87-CN78</f>
        <v>0</v>
      </c>
      <c r="DJ78" s="332">
        <f>'I-Project Contingency'!$E$88-CO78</f>
        <v>0</v>
      </c>
      <c r="DK78" s="332">
        <f>'I-Project Contingency'!$E$89-CP78</f>
        <v>0</v>
      </c>
      <c r="DL78" s="332">
        <f>'I-Project Contingency'!$E$90-CQ78</f>
        <v>0</v>
      </c>
      <c r="DM78" s="332">
        <f>'I-Project Contingency'!$E$91-CR78</f>
        <v>0</v>
      </c>
      <c r="DN78" s="332">
        <f>'I-Project Contingency'!$E$92-CS78</f>
        <v>0</v>
      </c>
      <c r="DO78" s="332">
        <f>'I-Project Contingency'!$E$93-CT78</f>
        <v>0</v>
      </c>
      <c r="DP78" s="332">
        <f>'I-Project Contingency'!$E$94-CU78</f>
        <v>0</v>
      </c>
      <c r="DQ78" s="332">
        <f>'I-Project Contingency'!$E$95-CV78</f>
        <v>0</v>
      </c>
      <c r="DR78" s="332">
        <f>'I-Project Contingency'!$E$96-CW78</f>
        <v>0</v>
      </c>
      <c r="DS78" s="332">
        <f>'I-Project Contingency'!$E$97-CX78</f>
        <v>0</v>
      </c>
      <c r="DT78" s="332">
        <f>'I-Project Contingency'!$E$98-CY78</f>
        <v>0</v>
      </c>
      <c r="DU78" s="332">
        <f>'I-Project Contingency'!$E$99-CZ78</f>
        <v>0</v>
      </c>
      <c r="DV78" s="332">
        <f>'I-Project Contingency'!$E$100-DA78</f>
        <v>0</v>
      </c>
      <c r="DW78" s="332">
        <f>'I-Project Contingency'!$E$101-DB78</f>
        <v>0</v>
      </c>
      <c r="DX78" s="332">
        <f>'I-Project Contingency'!$E$102-DC78</f>
        <v>0</v>
      </c>
      <c r="DY78" s="332">
        <f>'I-Project Contingency'!$E$103-DD78</f>
        <v>0</v>
      </c>
      <c r="DZ78" s="332">
        <f>'I-Project Contingency'!$E$104-DE78</f>
        <v>0</v>
      </c>
      <c r="EA78" s="332">
        <f>'I-Project Contingency'!$E$105-DF78</f>
        <v>0</v>
      </c>
      <c r="EB78" s="332">
        <f>'I-Project Contingency'!$E$106-DG78</f>
        <v>0</v>
      </c>
      <c r="EC78" s="334">
        <f>IF(EE78="N/A","N/A",ABS(INDEX(EE78:EY78,1,MATCH("ROM Cost Risk @ "&amp;'D-Project Data'!$C$6*100&amp;"%",$EE$17:$EY$17,0))))</f>
        <v>0</v>
      </c>
      <c r="ED78" s="335">
        <f>IF(EC78="N/A","N/A",RANK(EC78,$EC$18:$EC$117,0)+COUNTIF($EC$18:EC78,EC78)-1)</f>
        <v>61</v>
      </c>
      <c r="EE78" s="334">
        <f>IF(BQ78/SUM(BQ:BQ)*'I-Project Contingency'!$F$61=0,0,BQ78/SUM(BQ:BQ)*'I-Project Contingency'!$F$61)</f>
        <v>0</v>
      </c>
      <c r="EF78" s="334">
        <f>IF(BR78/SUM(BR:BR)*'I-Project Contingency'!$F$62=0,0,BR78/SUM(BR:BR)*'I-Project Contingency'!$F$62)</f>
        <v>0</v>
      </c>
      <c r="EG78" s="334">
        <f>IF(BS78/SUM(BS:BS)*'I-Project Contingency'!$F$63=0,0,BS78/SUM(BS:BS)*'I-Project Contingency'!$F$63)</f>
        <v>0</v>
      </c>
      <c r="EH78" s="334">
        <f>IF(BT78/SUM(BT:BT)*'I-Project Contingency'!$F$64=0,0,BT78/SUM(BT:BT)*'I-Project Contingency'!$F$64)</f>
        <v>0</v>
      </c>
      <c r="EI78" s="334">
        <f>IF(BU78/SUM(BU:BU)*'I-Project Contingency'!$F$65=0,0,BU78/SUM(BU:BU)*'I-Project Contingency'!$F$65)</f>
        <v>0</v>
      </c>
      <c r="EJ78" s="334">
        <f>IF(BV78/SUM(BV:BV)*'I-Project Contingency'!$F$66=0,0,BV78/SUM(BV:BV)*'I-Project Contingency'!$F$66)</f>
        <v>0</v>
      </c>
      <c r="EK78" s="334">
        <f>IF(BW78/SUM(BW:BW)*'I-Project Contingency'!$F$67=0,0,BW78/SUM(BW:BW)*'I-Project Contingency'!$F$67)</f>
        <v>0</v>
      </c>
      <c r="EL78" s="334">
        <f>IF(BX78/SUM(BX:BX)*'I-Project Contingency'!$F$68=0,0,BX78/SUM(BX:BX)*'I-Project Contingency'!$F$68)</f>
        <v>0</v>
      </c>
      <c r="EM78" s="334">
        <f>IF(BY78/SUM(BY:BY)*'I-Project Contingency'!$F$69=0,0,BY78/SUM(BY:BY)*'I-Project Contingency'!$F$69)</f>
        <v>0</v>
      </c>
      <c r="EN78" s="334">
        <f>IF(BZ78/SUM(BZ:BZ)*'I-Project Contingency'!$F$70=0,0,BZ78/SUM(BZ:BZ)*'I-Project Contingency'!$F$70)</f>
        <v>0</v>
      </c>
      <c r="EO78" s="334">
        <f>IF(CA78/SUM(CA:CA)*'I-Project Contingency'!$F$71=0,0,CA78/SUM(CA:CA)*'I-Project Contingency'!$F$71)</f>
        <v>0</v>
      </c>
      <c r="EP78" s="334">
        <f>IF(CB78/SUM(CB:CB)*'I-Project Contingency'!$F$72=0,0,CB78/SUM(CB:CB)*'I-Project Contingency'!$F$72)</f>
        <v>0</v>
      </c>
      <c r="EQ78" s="334">
        <f>IF(CC78/SUM(CC:CC)*'I-Project Contingency'!$F$73=0,0,CC78/SUM(CC:CC)*'I-Project Contingency'!$F$73)</f>
        <v>0</v>
      </c>
      <c r="ER78" s="334">
        <f>IF(CD78/SUM(CD:CD)*'I-Project Contingency'!$F$74=0,0,CD78/SUM(CD:CD)*'I-Project Contingency'!$F$74)</f>
        <v>0</v>
      </c>
      <c r="ES78" s="334">
        <f>IF(CE78/SUM(CE:CE)*'I-Project Contingency'!$F$75=0,0,CE78/SUM(CE:CE)*'I-Project Contingency'!$F$75)</f>
        <v>0</v>
      </c>
      <c r="ET78" s="334">
        <f>IF(CF78/SUM(CF:CF)*'I-Project Contingency'!$F$76=0,0,CF78/SUM(CF:CF)*'I-Project Contingency'!$F$76)</f>
        <v>0</v>
      </c>
      <c r="EU78" s="334">
        <f>IF(CG78/SUM(CG:CG)*'I-Project Contingency'!$F$77=0,0,CG78/SUM(CG:CG)*'I-Project Contingency'!$F$77)</f>
        <v>0</v>
      </c>
      <c r="EV78" s="787">
        <f>IF(CH78/SUM(CH:CH)*'I-Project Contingency'!$F$78=0,0,CH78/SUM(CH:CH)*'I-Project Contingency'!$F$78)</f>
        <v>0</v>
      </c>
      <c r="EW78" s="787">
        <f>IF(CI78/SUM(CI:CI)*'I-Project Contingency'!$F$79=0,0,CI78/SUM(CI:CI)*'I-Project Contingency'!$F$79)</f>
        <v>0</v>
      </c>
      <c r="EX78" s="787">
        <f>IF(CJ78/SUM(CJ:CJ)*'I-Project Contingency'!$F$80=0,0,CJ78/SUM(CJ:CJ)*'I-Project Contingency'!$F$80)</f>
        <v>0</v>
      </c>
      <c r="EY78" s="787">
        <f>IF(CK78/SUM(CK:CK)*'I-Project Contingency'!$F$81=0,0,CK78/SUM(CK:CK)*'I-Project Contingency'!$F$81)</f>
        <v>0</v>
      </c>
      <c r="EZ78" s="333">
        <f>IF(FB78="N/A","N/A",ABS(INDEX(FB78:FV78,1,MATCH("ROM Schedule Risk @ "&amp;'D-Project Data'!$C$6*100&amp;"%",$FB$17:$FV$17,0))))</f>
        <v>0</v>
      </c>
      <c r="FA78" s="335">
        <f>IF(EZ78="N/A","N/A",RANK(EZ78,$EZ$18:$EZ$117,0)+COUNTIF($FB$18:FB78,FB78)-1)</f>
        <v>61</v>
      </c>
      <c r="FB78" s="788">
        <f>IF(DH78/SUM(DH:DH)*'I-Project Contingency'!$F$86=0,0,DH78/SUM(DH:DH)*'I-Project Contingency'!$F$86)</f>
        <v>0</v>
      </c>
      <c r="FC78" s="788">
        <f>IF(DI78/SUM(DI:DI)*'I-Project Contingency'!$F$87=0,0,DI78/SUM(DI:DI)*'I-Project Contingency'!$F$87)</f>
        <v>0</v>
      </c>
      <c r="FD78" s="788">
        <f>IF(DJ78/SUM(DJ:DJ)*'I-Project Contingency'!$F$88=0,0,DJ78/SUM(DJ:DJ)*'I-Project Contingency'!$F$88)</f>
        <v>0</v>
      </c>
      <c r="FE78" s="788">
        <f>IF(DK78/SUM(DK:DK)*'I-Project Contingency'!$F$89=0,0,DK78/SUM(DK:DK)*'I-Project Contingency'!$F$89)</f>
        <v>0</v>
      </c>
      <c r="FF78" s="788">
        <f>IF(DL78/SUM(DL:DL)*'I-Project Contingency'!$F$90=0,0,DL78/SUM(DL:DL)*'I-Project Contingency'!$F$90)</f>
        <v>0</v>
      </c>
      <c r="FG78" s="788">
        <f>IF(DM78/SUM(DM:DM)*'I-Project Contingency'!$F$91=0,0,DM78/SUM(DM:DM)*'I-Project Contingency'!$F$91)</f>
        <v>0</v>
      </c>
      <c r="FH78" s="788">
        <f>IF(DN78/SUM(DN:DN)*'I-Project Contingency'!$F$92=0,0,DN78/SUM(DN:DN)*'I-Project Contingency'!$F$92)</f>
        <v>0</v>
      </c>
      <c r="FI78" s="788">
        <f>IF(DO78/SUM(DO:DO)*'I-Project Contingency'!$F$93=0,0,DO78/SUM(DO:DO)*'I-Project Contingency'!$F$93)</f>
        <v>0</v>
      </c>
      <c r="FJ78" s="788">
        <f>IF(DP78/SUM(DP:DP)*'I-Project Contingency'!$F$94=0,0,DP78/SUM(DP:DP)*'I-Project Contingency'!$F$94)</f>
        <v>0</v>
      </c>
      <c r="FK78" s="788">
        <f>IF(DQ78/SUM(DQ:DQ)*'I-Project Contingency'!$F$95=0,0,DQ78/SUM(DQ:DQ)*'I-Project Contingency'!$F$95)</f>
        <v>0</v>
      </c>
      <c r="FL78" s="788">
        <f>IF(DR78/SUM(DR:DR)*'I-Project Contingency'!$F$96=0,0,DR78/SUM(DR:DR)*'I-Project Contingency'!$F$96)</f>
        <v>0</v>
      </c>
      <c r="FM78" s="788">
        <f>IF(DS78/SUM(DS:DS)*'I-Project Contingency'!$F$97=0,0,DS78/SUM(DS:DS)*'I-Project Contingency'!$F$97)</f>
        <v>0</v>
      </c>
      <c r="FN78" s="788">
        <f>IF(DT78/SUM(DT:DT)*'I-Project Contingency'!$F$98=0,0,DT78/SUM(DT:DT)*'I-Project Contingency'!$F$98)</f>
        <v>0</v>
      </c>
      <c r="FO78" s="788">
        <f>IF(DU78/SUM(DU:DU)*'I-Project Contingency'!$F$99=0,0,DU78/SUM(DU:DU)*'I-Project Contingency'!$F$99)</f>
        <v>0</v>
      </c>
      <c r="FP78" s="788">
        <f>IF(DV78/SUM(DV:DV)*'I-Project Contingency'!$F$100=0,0,DV78/SUM(DV:DV)*'I-Project Contingency'!$F$100)</f>
        <v>0</v>
      </c>
      <c r="FQ78" s="788">
        <f>IF(DW78/SUM(DW:DW)*'I-Project Contingency'!$F$101=0,0,DW78/SUM(DW:DW)*'I-Project Contingency'!$F$101)</f>
        <v>0</v>
      </c>
      <c r="FR78" s="788">
        <f>IF(DX78/SUM(DX:DX)*'I-Project Contingency'!$F$102=0,0,DX78/SUM(DX:DX)*'I-Project Contingency'!$F$102)</f>
        <v>0</v>
      </c>
      <c r="FS78" s="788">
        <f>IF(DY78/SUM(DY:DY)*'I-Project Contingency'!$F$103=0,0,DY78/SUM(DY:DY)*'I-Project Contingency'!$F$103)</f>
        <v>0</v>
      </c>
      <c r="FT78" s="788">
        <f>IF(DZ78/SUM(DZ:DZ)*'I-Project Contingency'!$F$104=0,0,DZ78/SUM(DZ:DZ)*'I-Project Contingency'!$F$104)</f>
        <v>0</v>
      </c>
      <c r="FU78" s="788">
        <f>IF(EA78/SUM(EA:EA)*'I-Project Contingency'!$F$105=0,0,EA78/SUM(EA:EA)*'I-Project Contingency'!$F$105)</f>
        <v>0</v>
      </c>
      <c r="FV78" s="788">
        <f>IF(EB78/SUM(EB:EB)*'I-Project Contingency'!$F$106=0,0,EB78/SUM(EB:EB)*'I-Project Contingency'!$F$106)</f>
        <v>0</v>
      </c>
      <c r="FW78" s="335">
        <f t="shared" si="37"/>
        <v>61</v>
      </c>
      <c r="FX78" s="336" t="str">
        <f t="shared" si="38"/>
        <v xml:space="preserve">61 -  </v>
      </c>
      <c r="FY78" s="330">
        <f t="shared" si="43"/>
        <v>0</v>
      </c>
      <c r="FZ78" s="330">
        <f t="shared" si="44"/>
        <v>0</v>
      </c>
      <c r="GA78" s="332">
        <f t="shared" si="39"/>
        <v>0</v>
      </c>
      <c r="GB78" s="332">
        <f t="shared" si="40"/>
        <v>0</v>
      </c>
    </row>
    <row r="79" spans="1:184" ht="30" x14ac:dyDescent="0.25">
      <c r="A79" s="163">
        <f t="shared" si="23"/>
        <v>62</v>
      </c>
      <c r="B79" s="727" t="s">
        <v>728</v>
      </c>
      <c r="C79" s="729" t="s">
        <v>659</v>
      </c>
      <c r="D79" s="729" t="s">
        <v>659</v>
      </c>
      <c r="E79" s="729" t="s">
        <v>659</v>
      </c>
      <c r="F79" s="728" t="s">
        <v>728</v>
      </c>
      <c r="G79" s="728" t="s">
        <v>728</v>
      </c>
      <c r="H79" s="157" t="str">
        <f>IFERROR(IF('H-Risk Register-Model'!F79="Certain","Relook at Basis of Estimate",INDEX('G-Assumptions'!$F$8:$J$11,MATCH(F79,'G-Assumptions'!$D$8:$D$11,0),MATCH(G79,'G-Assumptions'!$F$6:$J$6,0))),"Unrated")</f>
        <v>Unrated</v>
      </c>
      <c r="I79" s="728" t="s">
        <v>728</v>
      </c>
      <c r="J79" s="157" t="str">
        <f>IFERROR(IF('H-Risk Register-Model'!F79="Certain","Relook at Basis of Estimate",INDEX('G-Assumptions'!$F$8:$J$11,MATCH(F79,'G-Assumptions'!$D$8:$D$11,0),MATCH(I79,'G-Assumptions'!$F$6:$J$6,0))),"Unrated")</f>
        <v>Unrated</v>
      </c>
      <c r="K79" s="728" t="s">
        <v>728</v>
      </c>
      <c r="L79" s="728" t="s">
        <v>728</v>
      </c>
      <c r="M79" s="728"/>
      <c r="N79" s="731" t="s">
        <v>728</v>
      </c>
      <c r="O79" s="731" t="s">
        <v>728</v>
      </c>
      <c r="P79" s="732"/>
      <c r="Q79" s="732"/>
      <c r="R79" s="732"/>
      <c r="S79" s="733"/>
      <c r="T79" s="733"/>
      <c r="U79" s="733"/>
      <c r="V79" s="734"/>
      <c r="W79" s="732"/>
      <c r="X79" s="732"/>
      <c r="Y79" s="735">
        <v>1</v>
      </c>
      <c r="Z79" s="736">
        <v>1</v>
      </c>
      <c r="AA79" s="166">
        <f t="shared" si="19"/>
        <v>0</v>
      </c>
      <c r="AB79" s="166">
        <f t="shared" si="20"/>
        <v>0</v>
      </c>
      <c r="AC79" s="166">
        <f t="shared" si="21"/>
        <v>0</v>
      </c>
      <c r="AD79" s="166"/>
      <c r="AE79" s="164">
        <f t="shared" si="41"/>
        <v>0</v>
      </c>
      <c r="AF79" s="167"/>
      <c r="AG79" s="165">
        <f t="shared" si="42"/>
        <v>0</v>
      </c>
      <c r="AH79" s="729"/>
      <c r="AI79" s="729"/>
      <c r="AJ79" s="8"/>
      <c r="AK79" s="495" t="str">
        <f t="shared" si="30"/>
        <v>No</v>
      </c>
      <c r="AL79" s="496">
        <f>'I-Project Contingency'!$I$4</f>
        <v>9000000</v>
      </c>
      <c r="AM79" s="326">
        <f>'I-Project Contingency'!$I$11</f>
        <v>23.978102189781023</v>
      </c>
      <c r="AN79" s="325">
        <f t="shared" si="31"/>
        <v>0</v>
      </c>
      <c r="AO79" s="326">
        <f t="shared" si="32"/>
        <v>0</v>
      </c>
      <c r="AP79" s="641" t="str">
        <f t="shared" si="33"/>
        <v/>
      </c>
      <c r="AQ79" s="641" t="str">
        <f t="shared" si="34"/>
        <v/>
      </c>
      <c r="AR79" s="497" t="str">
        <f t="shared" si="35"/>
        <v/>
      </c>
      <c r="AS79" s="497" t="str">
        <f t="shared" si="36"/>
        <v/>
      </c>
      <c r="AT79" s="8"/>
      <c r="AU79" s="329">
        <f>'I-Project Contingency'!$O$4-AE79</f>
        <v>0</v>
      </c>
      <c r="AV79" s="330">
        <v>-240515.59579276721</v>
      </c>
      <c r="AW79" s="330">
        <v>28172.931401335634</v>
      </c>
      <c r="AX79" s="330">
        <v>193478.84467429668</v>
      </c>
      <c r="AY79" s="330">
        <v>361668.20104834624</v>
      </c>
      <c r="AZ79" s="330">
        <v>524446.91524262261</v>
      </c>
      <c r="BA79" s="330">
        <v>704023.56387635041</v>
      </c>
      <c r="BB79" s="330">
        <v>886394.06956240814</v>
      </c>
      <c r="BC79" s="330">
        <v>1079363.7165157665</v>
      </c>
      <c r="BD79" s="330">
        <v>1280180.1532065615</v>
      </c>
      <c r="BE79" s="330">
        <v>1485323.8019108465</v>
      </c>
      <c r="BF79" s="330">
        <v>1703758.8827524669</v>
      </c>
      <c r="BG79" s="330">
        <v>1949523.4346483489</v>
      </c>
      <c r="BH79" s="330">
        <v>2177897.1603371189</v>
      </c>
      <c r="BI79" s="330">
        <v>2429374.4260425912</v>
      </c>
      <c r="BJ79" s="330">
        <v>2717092.7449284913</v>
      </c>
      <c r="BK79" s="330">
        <v>3010093.6968918457</v>
      </c>
      <c r="BL79" s="330">
        <v>3325414.5894657462</v>
      </c>
      <c r="BM79" s="330">
        <v>3690425.9159493577</v>
      </c>
      <c r="BN79" s="330">
        <v>4143935.1706127762</v>
      </c>
      <c r="BO79" s="330">
        <v>4722651.1159141911</v>
      </c>
      <c r="BP79" s="330">
        <v>5992048.8629153483</v>
      </c>
      <c r="BQ79" s="330">
        <f>'I-Project Contingency'!$E$61-AV79</f>
        <v>0</v>
      </c>
      <c r="BR79" s="330">
        <f>'I-Project Contingency'!$E$62-AW79</f>
        <v>0</v>
      </c>
      <c r="BS79" s="330">
        <f>'I-Project Contingency'!$E$63-AX79</f>
        <v>0</v>
      </c>
      <c r="BT79" s="330">
        <f>'I-Project Contingency'!$E$64-AY79</f>
        <v>0</v>
      </c>
      <c r="BU79" s="330">
        <f>'I-Project Contingency'!$E$65-AZ79</f>
        <v>0</v>
      </c>
      <c r="BV79" s="330">
        <f>'I-Project Contingency'!$E$66-BA79</f>
        <v>0</v>
      </c>
      <c r="BW79" s="330">
        <f>'I-Project Contingency'!$E$67-BB79</f>
        <v>0</v>
      </c>
      <c r="BX79" s="330">
        <f>'I-Project Contingency'!$E$68-BC79</f>
        <v>0</v>
      </c>
      <c r="BY79" s="330">
        <f>'I-Project Contingency'!$E$69-BD79</f>
        <v>0</v>
      </c>
      <c r="BZ79" s="330">
        <f>'I-Project Contingency'!$E$70-BE79</f>
        <v>0</v>
      </c>
      <c r="CA79" s="330">
        <f>'I-Project Contingency'!$E$71-BF79</f>
        <v>0</v>
      </c>
      <c r="CB79" s="330">
        <f>'I-Project Contingency'!$E$72-BG79</f>
        <v>0</v>
      </c>
      <c r="CC79" s="330">
        <f>'I-Project Contingency'!$E$73-BH79</f>
        <v>0</v>
      </c>
      <c r="CD79" s="330">
        <f>'I-Project Contingency'!$E$74-BI79</f>
        <v>0</v>
      </c>
      <c r="CE79" s="330">
        <f>'I-Project Contingency'!$E$75-BJ79</f>
        <v>0</v>
      </c>
      <c r="CF79" s="330">
        <f>'I-Project Contingency'!$E$76-BK79</f>
        <v>0</v>
      </c>
      <c r="CG79" s="330">
        <f>'I-Project Contingency'!$E$77-BL79</f>
        <v>0</v>
      </c>
      <c r="CH79" s="784">
        <f>'I-Project Contingency'!$E$78-BM79</f>
        <v>0</v>
      </c>
      <c r="CI79" s="330">
        <f>'I-Project Contingency'!$E$79-BN79</f>
        <v>0</v>
      </c>
      <c r="CJ79" s="330">
        <f>'I-Project Contingency'!$E$80-BO79</f>
        <v>0</v>
      </c>
      <c r="CK79" s="330">
        <f>'I-Project Contingency'!$E$81-BP79</f>
        <v>0</v>
      </c>
      <c r="CL79" s="331">
        <f>'I-Project Contingency'!$O$5-AG79</f>
        <v>0</v>
      </c>
      <c r="CM79" s="332">
        <v>-0.98711802853447173</v>
      </c>
      <c r="CN79" s="332">
        <v>-0.19547704728364468</v>
      </c>
      <c r="CO79" s="332">
        <v>0.126462150308498</v>
      </c>
      <c r="CP79" s="332">
        <v>0.45967989154545902</v>
      </c>
      <c r="CQ79" s="332">
        <v>0.78297319902744</v>
      </c>
      <c r="CR79" s="332">
        <v>1.0957191966482109</v>
      </c>
      <c r="CS79" s="332">
        <v>1.4418405003536849</v>
      </c>
      <c r="CT79" s="332">
        <v>1.801002404194165</v>
      </c>
      <c r="CU79" s="332">
        <v>2.1797608166947349</v>
      </c>
      <c r="CV79" s="332">
        <v>2.5671680610072478</v>
      </c>
      <c r="CW79" s="332">
        <v>2.9690760644797152</v>
      </c>
      <c r="CX79" s="332">
        <v>3.3964145469774811</v>
      </c>
      <c r="CY79" s="332">
        <v>3.864536087769562</v>
      </c>
      <c r="CZ79" s="332">
        <v>4.3569836138896116</v>
      </c>
      <c r="DA79" s="332">
        <v>4.8862357851222598</v>
      </c>
      <c r="DB79" s="332">
        <v>5.438836997347547</v>
      </c>
      <c r="DC79" s="332">
        <v>6.047993455908566</v>
      </c>
      <c r="DD79" s="785">
        <v>6.720204953601761</v>
      </c>
      <c r="DE79" s="333">
        <v>7.55131678090412</v>
      </c>
      <c r="DF79" s="332">
        <v>8.661446370835737</v>
      </c>
      <c r="DG79" s="332">
        <v>11.206316207857133</v>
      </c>
      <c r="DH79" s="332">
        <f>'I-Project Contingency'!$E$86-CM79</f>
        <v>0</v>
      </c>
      <c r="DI79" s="332">
        <f>'I-Project Contingency'!$E$87-CN79</f>
        <v>0</v>
      </c>
      <c r="DJ79" s="332">
        <f>'I-Project Contingency'!$E$88-CO79</f>
        <v>0</v>
      </c>
      <c r="DK79" s="332">
        <f>'I-Project Contingency'!$E$89-CP79</f>
        <v>0</v>
      </c>
      <c r="DL79" s="332">
        <f>'I-Project Contingency'!$E$90-CQ79</f>
        <v>0</v>
      </c>
      <c r="DM79" s="332">
        <f>'I-Project Contingency'!$E$91-CR79</f>
        <v>0</v>
      </c>
      <c r="DN79" s="332">
        <f>'I-Project Contingency'!$E$92-CS79</f>
        <v>0</v>
      </c>
      <c r="DO79" s="332">
        <f>'I-Project Contingency'!$E$93-CT79</f>
        <v>0</v>
      </c>
      <c r="DP79" s="332">
        <f>'I-Project Contingency'!$E$94-CU79</f>
        <v>0</v>
      </c>
      <c r="DQ79" s="332">
        <f>'I-Project Contingency'!$E$95-CV79</f>
        <v>0</v>
      </c>
      <c r="DR79" s="332">
        <f>'I-Project Contingency'!$E$96-CW79</f>
        <v>0</v>
      </c>
      <c r="DS79" s="332">
        <f>'I-Project Contingency'!$E$97-CX79</f>
        <v>0</v>
      </c>
      <c r="DT79" s="332">
        <f>'I-Project Contingency'!$E$98-CY79</f>
        <v>0</v>
      </c>
      <c r="DU79" s="332">
        <f>'I-Project Contingency'!$E$99-CZ79</f>
        <v>0</v>
      </c>
      <c r="DV79" s="332">
        <f>'I-Project Contingency'!$E$100-DA79</f>
        <v>0</v>
      </c>
      <c r="DW79" s="332">
        <f>'I-Project Contingency'!$E$101-DB79</f>
        <v>0</v>
      </c>
      <c r="DX79" s="332">
        <f>'I-Project Contingency'!$E$102-DC79</f>
        <v>0</v>
      </c>
      <c r="DY79" s="332">
        <f>'I-Project Contingency'!$E$103-DD79</f>
        <v>0</v>
      </c>
      <c r="DZ79" s="332">
        <f>'I-Project Contingency'!$E$104-DE79</f>
        <v>0</v>
      </c>
      <c r="EA79" s="332">
        <f>'I-Project Contingency'!$E$105-DF79</f>
        <v>0</v>
      </c>
      <c r="EB79" s="332">
        <f>'I-Project Contingency'!$E$106-DG79</f>
        <v>0</v>
      </c>
      <c r="EC79" s="334">
        <f>IF(EE79="N/A","N/A",ABS(INDEX(EE79:EY79,1,MATCH("ROM Cost Risk @ "&amp;'D-Project Data'!$C$6*100&amp;"%",$EE$17:$EY$17,0))))</f>
        <v>0</v>
      </c>
      <c r="ED79" s="335">
        <f>IF(EC79="N/A","N/A",RANK(EC79,$EC$18:$EC$117,0)+COUNTIF($EC$18:EC79,EC79)-1)</f>
        <v>62</v>
      </c>
      <c r="EE79" s="334">
        <f>IF(BQ79/SUM(BQ:BQ)*'I-Project Contingency'!$F$61=0,0,BQ79/SUM(BQ:BQ)*'I-Project Contingency'!$F$61)</f>
        <v>0</v>
      </c>
      <c r="EF79" s="334">
        <f>IF(BR79/SUM(BR:BR)*'I-Project Contingency'!$F$62=0,0,BR79/SUM(BR:BR)*'I-Project Contingency'!$F$62)</f>
        <v>0</v>
      </c>
      <c r="EG79" s="334">
        <f>IF(BS79/SUM(BS:BS)*'I-Project Contingency'!$F$63=0,0,BS79/SUM(BS:BS)*'I-Project Contingency'!$F$63)</f>
        <v>0</v>
      </c>
      <c r="EH79" s="334">
        <f>IF(BT79/SUM(BT:BT)*'I-Project Contingency'!$F$64=0,0,BT79/SUM(BT:BT)*'I-Project Contingency'!$F$64)</f>
        <v>0</v>
      </c>
      <c r="EI79" s="334">
        <f>IF(BU79/SUM(BU:BU)*'I-Project Contingency'!$F$65=0,0,BU79/SUM(BU:BU)*'I-Project Contingency'!$F$65)</f>
        <v>0</v>
      </c>
      <c r="EJ79" s="334">
        <f>IF(BV79/SUM(BV:BV)*'I-Project Contingency'!$F$66=0,0,BV79/SUM(BV:BV)*'I-Project Contingency'!$F$66)</f>
        <v>0</v>
      </c>
      <c r="EK79" s="334">
        <f>IF(BW79/SUM(BW:BW)*'I-Project Contingency'!$F$67=0,0,BW79/SUM(BW:BW)*'I-Project Contingency'!$F$67)</f>
        <v>0</v>
      </c>
      <c r="EL79" s="334">
        <f>IF(BX79/SUM(BX:BX)*'I-Project Contingency'!$F$68=0,0,BX79/SUM(BX:BX)*'I-Project Contingency'!$F$68)</f>
        <v>0</v>
      </c>
      <c r="EM79" s="334">
        <f>IF(BY79/SUM(BY:BY)*'I-Project Contingency'!$F$69=0,0,BY79/SUM(BY:BY)*'I-Project Contingency'!$F$69)</f>
        <v>0</v>
      </c>
      <c r="EN79" s="334">
        <f>IF(BZ79/SUM(BZ:BZ)*'I-Project Contingency'!$F$70=0,0,BZ79/SUM(BZ:BZ)*'I-Project Contingency'!$F$70)</f>
        <v>0</v>
      </c>
      <c r="EO79" s="334">
        <f>IF(CA79/SUM(CA:CA)*'I-Project Contingency'!$F$71=0,0,CA79/SUM(CA:CA)*'I-Project Contingency'!$F$71)</f>
        <v>0</v>
      </c>
      <c r="EP79" s="334">
        <f>IF(CB79/SUM(CB:CB)*'I-Project Contingency'!$F$72=0,0,CB79/SUM(CB:CB)*'I-Project Contingency'!$F$72)</f>
        <v>0</v>
      </c>
      <c r="EQ79" s="334">
        <f>IF(CC79/SUM(CC:CC)*'I-Project Contingency'!$F$73=0,0,CC79/SUM(CC:CC)*'I-Project Contingency'!$F$73)</f>
        <v>0</v>
      </c>
      <c r="ER79" s="334">
        <f>IF(CD79/SUM(CD:CD)*'I-Project Contingency'!$F$74=0,0,CD79/SUM(CD:CD)*'I-Project Contingency'!$F$74)</f>
        <v>0</v>
      </c>
      <c r="ES79" s="334">
        <f>IF(CE79/SUM(CE:CE)*'I-Project Contingency'!$F$75=0,0,CE79/SUM(CE:CE)*'I-Project Contingency'!$F$75)</f>
        <v>0</v>
      </c>
      <c r="ET79" s="334">
        <f>IF(CF79/SUM(CF:CF)*'I-Project Contingency'!$F$76=0,0,CF79/SUM(CF:CF)*'I-Project Contingency'!$F$76)</f>
        <v>0</v>
      </c>
      <c r="EU79" s="334">
        <f>IF(CG79/SUM(CG:CG)*'I-Project Contingency'!$F$77=0,0,CG79/SUM(CG:CG)*'I-Project Contingency'!$F$77)</f>
        <v>0</v>
      </c>
      <c r="EV79" s="787">
        <f>IF(CH79/SUM(CH:CH)*'I-Project Contingency'!$F$78=0,0,CH79/SUM(CH:CH)*'I-Project Contingency'!$F$78)</f>
        <v>0</v>
      </c>
      <c r="EW79" s="787">
        <f>IF(CI79/SUM(CI:CI)*'I-Project Contingency'!$F$79=0,0,CI79/SUM(CI:CI)*'I-Project Contingency'!$F$79)</f>
        <v>0</v>
      </c>
      <c r="EX79" s="787">
        <f>IF(CJ79/SUM(CJ:CJ)*'I-Project Contingency'!$F$80=0,0,CJ79/SUM(CJ:CJ)*'I-Project Contingency'!$F$80)</f>
        <v>0</v>
      </c>
      <c r="EY79" s="787">
        <f>IF(CK79/SUM(CK:CK)*'I-Project Contingency'!$F$81=0,0,CK79/SUM(CK:CK)*'I-Project Contingency'!$F$81)</f>
        <v>0</v>
      </c>
      <c r="EZ79" s="333">
        <f>IF(FB79="N/A","N/A",ABS(INDEX(FB79:FV79,1,MATCH("ROM Schedule Risk @ "&amp;'D-Project Data'!$C$6*100&amp;"%",$FB$17:$FV$17,0))))</f>
        <v>0</v>
      </c>
      <c r="FA79" s="335">
        <f>IF(EZ79="N/A","N/A",RANK(EZ79,$EZ$18:$EZ$117,0)+COUNTIF($FB$18:FB79,FB79)-1)</f>
        <v>62</v>
      </c>
      <c r="FB79" s="788">
        <f>IF(DH79/SUM(DH:DH)*'I-Project Contingency'!$F$86=0,0,DH79/SUM(DH:DH)*'I-Project Contingency'!$F$86)</f>
        <v>0</v>
      </c>
      <c r="FC79" s="788">
        <f>IF(DI79/SUM(DI:DI)*'I-Project Contingency'!$F$87=0,0,DI79/SUM(DI:DI)*'I-Project Contingency'!$F$87)</f>
        <v>0</v>
      </c>
      <c r="FD79" s="788">
        <f>IF(DJ79/SUM(DJ:DJ)*'I-Project Contingency'!$F$88=0,0,DJ79/SUM(DJ:DJ)*'I-Project Contingency'!$F$88)</f>
        <v>0</v>
      </c>
      <c r="FE79" s="788">
        <f>IF(DK79/SUM(DK:DK)*'I-Project Contingency'!$F$89=0,0,DK79/SUM(DK:DK)*'I-Project Contingency'!$F$89)</f>
        <v>0</v>
      </c>
      <c r="FF79" s="788">
        <f>IF(DL79/SUM(DL:DL)*'I-Project Contingency'!$F$90=0,0,DL79/SUM(DL:DL)*'I-Project Contingency'!$F$90)</f>
        <v>0</v>
      </c>
      <c r="FG79" s="788">
        <f>IF(DM79/SUM(DM:DM)*'I-Project Contingency'!$F$91=0,0,DM79/SUM(DM:DM)*'I-Project Contingency'!$F$91)</f>
        <v>0</v>
      </c>
      <c r="FH79" s="788">
        <f>IF(DN79/SUM(DN:DN)*'I-Project Contingency'!$F$92=0,0,DN79/SUM(DN:DN)*'I-Project Contingency'!$F$92)</f>
        <v>0</v>
      </c>
      <c r="FI79" s="788">
        <f>IF(DO79/SUM(DO:DO)*'I-Project Contingency'!$F$93=0,0,DO79/SUM(DO:DO)*'I-Project Contingency'!$F$93)</f>
        <v>0</v>
      </c>
      <c r="FJ79" s="788">
        <f>IF(DP79/SUM(DP:DP)*'I-Project Contingency'!$F$94=0,0,DP79/SUM(DP:DP)*'I-Project Contingency'!$F$94)</f>
        <v>0</v>
      </c>
      <c r="FK79" s="788">
        <f>IF(DQ79/SUM(DQ:DQ)*'I-Project Contingency'!$F$95=0,0,DQ79/SUM(DQ:DQ)*'I-Project Contingency'!$F$95)</f>
        <v>0</v>
      </c>
      <c r="FL79" s="788">
        <f>IF(DR79/SUM(DR:DR)*'I-Project Contingency'!$F$96=0,0,DR79/SUM(DR:DR)*'I-Project Contingency'!$F$96)</f>
        <v>0</v>
      </c>
      <c r="FM79" s="788">
        <f>IF(DS79/SUM(DS:DS)*'I-Project Contingency'!$F$97=0,0,DS79/SUM(DS:DS)*'I-Project Contingency'!$F$97)</f>
        <v>0</v>
      </c>
      <c r="FN79" s="788">
        <f>IF(DT79/SUM(DT:DT)*'I-Project Contingency'!$F$98=0,0,DT79/SUM(DT:DT)*'I-Project Contingency'!$F$98)</f>
        <v>0</v>
      </c>
      <c r="FO79" s="788">
        <f>IF(DU79/SUM(DU:DU)*'I-Project Contingency'!$F$99=0,0,DU79/SUM(DU:DU)*'I-Project Contingency'!$F$99)</f>
        <v>0</v>
      </c>
      <c r="FP79" s="788">
        <f>IF(DV79/SUM(DV:DV)*'I-Project Contingency'!$F$100=0,0,DV79/SUM(DV:DV)*'I-Project Contingency'!$F$100)</f>
        <v>0</v>
      </c>
      <c r="FQ79" s="788">
        <f>IF(DW79/SUM(DW:DW)*'I-Project Contingency'!$F$101=0,0,DW79/SUM(DW:DW)*'I-Project Contingency'!$F$101)</f>
        <v>0</v>
      </c>
      <c r="FR79" s="788">
        <f>IF(DX79/SUM(DX:DX)*'I-Project Contingency'!$F$102=0,0,DX79/SUM(DX:DX)*'I-Project Contingency'!$F$102)</f>
        <v>0</v>
      </c>
      <c r="FS79" s="788">
        <f>IF(DY79/SUM(DY:DY)*'I-Project Contingency'!$F$103=0,0,DY79/SUM(DY:DY)*'I-Project Contingency'!$F$103)</f>
        <v>0</v>
      </c>
      <c r="FT79" s="788">
        <f>IF(DZ79/SUM(DZ:DZ)*'I-Project Contingency'!$F$104=0,0,DZ79/SUM(DZ:DZ)*'I-Project Contingency'!$F$104)</f>
        <v>0</v>
      </c>
      <c r="FU79" s="788">
        <f>IF(EA79/SUM(EA:EA)*'I-Project Contingency'!$F$105=0,0,EA79/SUM(EA:EA)*'I-Project Contingency'!$F$105)</f>
        <v>0</v>
      </c>
      <c r="FV79" s="788">
        <f>IF(EB79/SUM(EB:EB)*'I-Project Contingency'!$F$106=0,0,EB79/SUM(EB:EB)*'I-Project Contingency'!$F$106)</f>
        <v>0</v>
      </c>
      <c r="FW79" s="335">
        <f t="shared" si="37"/>
        <v>62</v>
      </c>
      <c r="FX79" s="336" t="str">
        <f t="shared" si="38"/>
        <v xml:space="preserve">62 -  </v>
      </c>
      <c r="FY79" s="330">
        <f t="shared" si="43"/>
        <v>0</v>
      </c>
      <c r="FZ79" s="330">
        <f t="shared" si="44"/>
        <v>0</v>
      </c>
      <c r="GA79" s="332">
        <f t="shared" si="39"/>
        <v>0</v>
      </c>
      <c r="GB79" s="332">
        <f t="shared" si="40"/>
        <v>0</v>
      </c>
    </row>
    <row r="80" spans="1:184" ht="30" x14ac:dyDescent="0.25">
      <c r="A80" s="163">
        <f t="shared" si="23"/>
        <v>63</v>
      </c>
      <c r="B80" s="727" t="s">
        <v>728</v>
      </c>
      <c r="C80" s="729" t="s">
        <v>659</v>
      </c>
      <c r="D80" s="729" t="s">
        <v>659</v>
      </c>
      <c r="E80" s="729" t="s">
        <v>659</v>
      </c>
      <c r="F80" s="728" t="s">
        <v>728</v>
      </c>
      <c r="G80" s="728" t="s">
        <v>728</v>
      </c>
      <c r="H80" s="157" t="str">
        <f>IFERROR(IF('H-Risk Register-Model'!F80="Certain","Relook at Basis of Estimate",INDEX('G-Assumptions'!$F$8:$J$11,MATCH(F80,'G-Assumptions'!$D$8:$D$11,0),MATCH(G80,'G-Assumptions'!$F$6:$J$6,0))),"Unrated")</f>
        <v>Unrated</v>
      </c>
      <c r="I80" s="728" t="s">
        <v>728</v>
      </c>
      <c r="J80" s="157" t="str">
        <f>IFERROR(IF('H-Risk Register-Model'!F80="Certain","Relook at Basis of Estimate",INDEX('G-Assumptions'!$F$8:$J$11,MATCH(F80,'G-Assumptions'!$D$8:$D$11,0),MATCH(I80,'G-Assumptions'!$F$6:$J$6,0))),"Unrated")</f>
        <v>Unrated</v>
      </c>
      <c r="K80" s="728" t="s">
        <v>728</v>
      </c>
      <c r="L80" s="728" t="s">
        <v>728</v>
      </c>
      <c r="M80" s="728"/>
      <c r="N80" s="731" t="s">
        <v>728</v>
      </c>
      <c r="O80" s="731" t="s">
        <v>728</v>
      </c>
      <c r="P80" s="732"/>
      <c r="Q80" s="732"/>
      <c r="R80" s="732"/>
      <c r="S80" s="733"/>
      <c r="T80" s="733"/>
      <c r="U80" s="733"/>
      <c r="V80" s="734"/>
      <c r="W80" s="732"/>
      <c r="X80" s="732"/>
      <c r="Y80" s="735">
        <v>1</v>
      </c>
      <c r="Z80" s="736">
        <v>1</v>
      </c>
      <c r="AA80" s="166">
        <f t="shared" si="19"/>
        <v>0</v>
      </c>
      <c r="AB80" s="166">
        <f t="shared" si="20"/>
        <v>0</v>
      </c>
      <c r="AC80" s="166">
        <f t="shared" si="21"/>
        <v>0</v>
      </c>
      <c r="AD80" s="166"/>
      <c r="AE80" s="164">
        <f t="shared" si="41"/>
        <v>0</v>
      </c>
      <c r="AF80" s="167"/>
      <c r="AG80" s="165">
        <f t="shared" si="42"/>
        <v>0</v>
      </c>
      <c r="AH80" s="729"/>
      <c r="AI80" s="729"/>
      <c r="AJ80" s="8"/>
      <c r="AK80" s="495" t="str">
        <f t="shared" si="30"/>
        <v>No</v>
      </c>
      <c r="AL80" s="496">
        <f>'I-Project Contingency'!$I$4</f>
        <v>9000000</v>
      </c>
      <c r="AM80" s="326">
        <f>'I-Project Contingency'!$I$11</f>
        <v>23.978102189781023</v>
      </c>
      <c r="AN80" s="325">
        <f t="shared" si="31"/>
        <v>0</v>
      </c>
      <c r="AO80" s="326">
        <f t="shared" si="32"/>
        <v>0</v>
      </c>
      <c r="AP80" s="641" t="str">
        <f t="shared" si="33"/>
        <v/>
      </c>
      <c r="AQ80" s="641" t="str">
        <f t="shared" si="34"/>
        <v/>
      </c>
      <c r="AR80" s="497" t="str">
        <f t="shared" si="35"/>
        <v/>
      </c>
      <c r="AS80" s="497" t="str">
        <f t="shared" si="36"/>
        <v/>
      </c>
      <c r="AT80" s="8"/>
      <c r="AU80" s="329">
        <f>'I-Project Contingency'!$O$4-AE80</f>
        <v>0</v>
      </c>
      <c r="AV80" s="330">
        <v>-240515.59579276721</v>
      </c>
      <c r="AW80" s="330">
        <v>28172.931401335634</v>
      </c>
      <c r="AX80" s="330">
        <v>193478.84467429668</v>
      </c>
      <c r="AY80" s="330">
        <v>361668.20104834624</v>
      </c>
      <c r="AZ80" s="330">
        <v>524446.91524262261</v>
      </c>
      <c r="BA80" s="330">
        <v>704023.56387635041</v>
      </c>
      <c r="BB80" s="330">
        <v>886394.06956240814</v>
      </c>
      <c r="BC80" s="330">
        <v>1079363.7165157665</v>
      </c>
      <c r="BD80" s="330">
        <v>1280180.1532065615</v>
      </c>
      <c r="BE80" s="330">
        <v>1485323.8019108465</v>
      </c>
      <c r="BF80" s="330">
        <v>1703758.8827524669</v>
      </c>
      <c r="BG80" s="330">
        <v>1949523.4346483489</v>
      </c>
      <c r="BH80" s="330">
        <v>2177897.1603371189</v>
      </c>
      <c r="BI80" s="330">
        <v>2429374.4260425912</v>
      </c>
      <c r="BJ80" s="330">
        <v>2717092.7449284913</v>
      </c>
      <c r="BK80" s="330">
        <v>3010093.6968918457</v>
      </c>
      <c r="BL80" s="330">
        <v>3325414.5894657462</v>
      </c>
      <c r="BM80" s="330">
        <v>3690425.9159493577</v>
      </c>
      <c r="BN80" s="330">
        <v>4143935.1706127762</v>
      </c>
      <c r="BO80" s="330">
        <v>4722651.1159141911</v>
      </c>
      <c r="BP80" s="330">
        <v>5992048.8629153483</v>
      </c>
      <c r="BQ80" s="330">
        <f>'I-Project Contingency'!$E$61-AV80</f>
        <v>0</v>
      </c>
      <c r="BR80" s="330">
        <f>'I-Project Contingency'!$E$62-AW80</f>
        <v>0</v>
      </c>
      <c r="BS80" s="330">
        <f>'I-Project Contingency'!$E$63-AX80</f>
        <v>0</v>
      </c>
      <c r="BT80" s="330">
        <f>'I-Project Contingency'!$E$64-AY80</f>
        <v>0</v>
      </c>
      <c r="BU80" s="330">
        <f>'I-Project Contingency'!$E$65-AZ80</f>
        <v>0</v>
      </c>
      <c r="BV80" s="330">
        <f>'I-Project Contingency'!$E$66-BA80</f>
        <v>0</v>
      </c>
      <c r="BW80" s="330">
        <f>'I-Project Contingency'!$E$67-BB80</f>
        <v>0</v>
      </c>
      <c r="BX80" s="330">
        <f>'I-Project Contingency'!$E$68-BC80</f>
        <v>0</v>
      </c>
      <c r="BY80" s="330">
        <f>'I-Project Contingency'!$E$69-BD80</f>
        <v>0</v>
      </c>
      <c r="BZ80" s="330">
        <f>'I-Project Contingency'!$E$70-BE80</f>
        <v>0</v>
      </c>
      <c r="CA80" s="330">
        <f>'I-Project Contingency'!$E$71-BF80</f>
        <v>0</v>
      </c>
      <c r="CB80" s="330">
        <f>'I-Project Contingency'!$E$72-BG80</f>
        <v>0</v>
      </c>
      <c r="CC80" s="330">
        <f>'I-Project Contingency'!$E$73-BH80</f>
        <v>0</v>
      </c>
      <c r="CD80" s="330">
        <f>'I-Project Contingency'!$E$74-BI80</f>
        <v>0</v>
      </c>
      <c r="CE80" s="330">
        <f>'I-Project Contingency'!$E$75-BJ80</f>
        <v>0</v>
      </c>
      <c r="CF80" s="330">
        <f>'I-Project Contingency'!$E$76-BK80</f>
        <v>0</v>
      </c>
      <c r="CG80" s="330">
        <f>'I-Project Contingency'!$E$77-BL80</f>
        <v>0</v>
      </c>
      <c r="CH80" s="784">
        <f>'I-Project Contingency'!$E$78-BM80</f>
        <v>0</v>
      </c>
      <c r="CI80" s="330">
        <f>'I-Project Contingency'!$E$79-BN80</f>
        <v>0</v>
      </c>
      <c r="CJ80" s="330">
        <f>'I-Project Contingency'!$E$80-BO80</f>
        <v>0</v>
      </c>
      <c r="CK80" s="330">
        <f>'I-Project Contingency'!$E$81-BP80</f>
        <v>0</v>
      </c>
      <c r="CL80" s="331">
        <f>'I-Project Contingency'!$O$5-AG80</f>
        <v>0</v>
      </c>
      <c r="CM80" s="332">
        <v>-0.98711802853447173</v>
      </c>
      <c r="CN80" s="332">
        <v>-0.19547704728364468</v>
      </c>
      <c r="CO80" s="332">
        <v>0.126462150308498</v>
      </c>
      <c r="CP80" s="332">
        <v>0.45967989154545902</v>
      </c>
      <c r="CQ80" s="332">
        <v>0.78297319902744</v>
      </c>
      <c r="CR80" s="332">
        <v>1.0957191966482109</v>
      </c>
      <c r="CS80" s="332">
        <v>1.4418405003536849</v>
      </c>
      <c r="CT80" s="332">
        <v>1.801002404194165</v>
      </c>
      <c r="CU80" s="332">
        <v>2.1797608166947349</v>
      </c>
      <c r="CV80" s="332">
        <v>2.5671680610072478</v>
      </c>
      <c r="CW80" s="332">
        <v>2.9690760644797152</v>
      </c>
      <c r="CX80" s="332">
        <v>3.3964145469774811</v>
      </c>
      <c r="CY80" s="332">
        <v>3.864536087769562</v>
      </c>
      <c r="CZ80" s="332">
        <v>4.3569836138896116</v>
      </c>
      <c r="DA80" s="332">
        <v>4.8862357851222598</v>
      </c>
      <c r="DB80" s="332">
        <v>5.438836997347547</v>
      </c>
      <c r="DC80" s="332">
        <v>6.047993455908566</v>
      </c>
      <c r="DD80" s="785">
        <v>6.720204953601761</v>
      </c>
      <c r="DE80" s="333">
        <v>7.55131678090412</v>
      </c>
      <c r="DF80" s="332">
        <v>8.661446370835737</v>
      </c>
      <c r="DG80" s="332">
        <v>11.206316207857133</v>
      </c>
      <c r="DH80" s="332">
        <f>'I-Project Contingency'!$E$86-CM80</f>
        <v>0</v>
      </c>
      <c r="DI80" s="332">
        <f>'I-Project Contingency'!$E$87-CN80</f>
        <v>0</v>
      </c>
      <c r="DJ80" s="332">
        <f>'I-Project Contingency'!$E$88-CO80</f>
        <v>0</v>
      </c>
      <c r="DK80" s="332">
        <f>'I-Project Contingency'!$E$89-CP80</f>
        <v>0</v>
      </c>
      <c r="DL80" s="332">
        <f>'I-Project Contingency'!$E$90-CQ80</f>
        <v>0</v>
      </c>
      <c r="DM80" s="332">
        <f>'I-Project Contingency'!$E$91-CR80</f>
        <v>0</v>
      </c>
      <c r="DN80" s="332">
        <f>'I-Project Contingency'!$E$92-CS80</f>
        <v>0</v>
      </c>
      <c r="DO80" s="332">
        <f>'I-Project Contingency'!$E$93-CT80</f>
        <v>0</v>
      </c>
      <c r="DP80" s="332">
        <f>'I-Project Contingency'!$E$94-CU80</f>
        <v>0</v>
      </c>
      <c r="DQ80" s="332">
        <f>'I-Project Contingency'!$E$95-CV80</f>
        <v>0</v>
      </c>
      <c r="DR80" s="332">
        <f>'I-Project Contingency'!$E$96-CW80</f>
        <v>0</v>
      </c>
      <c r="DS80" s="332">
        <f>'I-Project Contingency'!$E$97-CX80</f>
        <v>0</v>
      </c>
      <c r="DT80" s="332">
        <f>'I-Project Contingency'!$E$98-CY80</f>
        <v>0</v>
      </c>
      <c r="DU80" s="332">
        <f>'I-Project Contingency'!$E$99-CZ80</f>
        <v>0</v>
      </c>
      <c r="DV80" s="332">
        <f>'I-Project Contingency'!$E$100-DA80</f>
        <v>0</v>
      </c>
      <c r="DW80" s="332">
        <f>'I-Project Contingency'!$E$101-DB80</f>
        <v>0</v>
      </c>
      <c r="DX80" s="332">
        <f>'I-Project Contingency'!$E$102-DC80</f>
        <v>0</v>
      </c>
      <c r="DY80" s="332">
        <f>'I-Project Contingency'!$E$103-DD80</f>
        <v>0</v>
      </c>
      <c r="DZ80" s="332">
        <f>'I-Project Contingency'!$E$104-DE80</f>
        <v>0</v>
      </c>
      <c r="EA80" s="332">
        <f>'I-Project Contingency'!$E$105-DF80</f>
        <v>0</v>
      </c>
      <c r="EB80" s="332">
        <f>'I-Project Contingency'!$E$106-DG80</f>
        <v>0</v>
      </c>
      <c r="EC80" s="334">
        <f>IF(EE80="N/A","N/A",ABS(INDEX(EE80:EY80,1,MATCH("ROM Cost Risk @ "&amp;'D-Project Data'!$C$6*100&amp;"%",$EE$17:$EY$17,0))))</f>
        <v>0</v>
      </c>
      <c r="ED80" s="335">
        <f>IF(EC80="N/A","N/A",RANK(EC80,$EC$18:$EC$117,0)+COUNTIF($EC$18:EC80,EC80)-1)</f>
        <v>63</v>
      </c>
      <c r="EE80" s="334">
        <f>IF(BQ80/SUM(BQ:BQ)*'I-Project Contingency'!$F$61=0,0,BQ80/SUM(BQ:BQ)*'I-Project Contingency'!$F$61)</f>
        <v>0</v>
      </c>
      <c r="EF80" s="334">
        <f>IF(BR80/SUM(BR:BR)*'I-Project Contingency'!$F$62=0,0,BR80/SUM(BR:BR)*'I-Project Contingency'!$F$62)</f>
        <v>0</v>
      </c>
      <c r="EG80" s="334">
        <f>IF(BS80/SUM(BS:BS)*'I-Project Contingency'!$F$63=0,0,BS80/SUM(BS:BS)*'I-Project Contingency'!$F$63)</f>
        <v>0</v>
      </c>
      <c r="EH80" s="334">
        <f>IF(BT80/SUM(BT:BT)*'I-Project Contingency'!$F$64=0,0,BT80/SUM(BT:BT)*'I-Project Contingency'!$F$64)</f>
        <v>0</v>
      </c>
      <c r="EI80" s="334">
        <f>IF(BU80/SUM(BU:BU)*'I-Project Contingency'!$F$65=0,0,BU80/SUM(BU:BU)*'I-Project Contingency'!$F$65)</f>
        <v>0</v>
      </c>
      <c r="EJ80" s="334">
        <f>IF(BV80/SUM(BV:BV)*'I-Project Contingency'!$F$66=0,0,BV80/SUM(BV:BV)*'I-Project Contingency'!$F$66)</f>
        <v>0</v>
      </c>
      <c r="EK80" s="334">
        <f>IF(BW80/SUM(BW:BW)*'I-Project Contingency'!$F$67=0,0,BW80/SUM(BW:BW)*'I-Project Contingency'!$F$67)</f>
        <v>0</v>
      </c>
      <c r="EL80" s="334">
        <f>IF(BX80/SUM(BX:BX)*'I-Project Contingency'!$F$68=0,0,BX80/SUM(BX:BX)*'I-Project Contingency'!$F$68)</f>
        <v>0</v>
      </c>
      <c r="EM80" s="334">
        <f>IF(BY80/SUM(BY:BY)*'I-Project Contingency'!$F$69=0,0,BY80/SUM(BY:BY)*'I-Project Contingency'!$F$69)</f>
        <v>0</v>
      </c>
      <c r="EN80" s="334">
        <f>IF(BZ80/SUM(BZ:BZ)*'I-Project Contingency'!$F$70=0,0,BZ80/SUM(BZ:BZ)*'I-Project Contingency'!$F$70)</f>
        <v>0</v>
      </c>
      <c r="EO80" s="334">
        <f>IF(CA80/SUM(CA:CA)*'I-Project Contingency'!$F$71=0,0,CA80/SUM(CA:CA)*'I-Project Contingency'!$F$71)</f>
        <v>0</v>
      </c>
      <c r="EP80" s="334">
        <f>IF(CB80/SUM(CB:CB)*'I-Project Contingency'!$F$72=0,0,CB80/SUM(CB:CB)*'I-Project Contingency'!$F$72)</f>
        <v>0</v>
      </c>
      <c r="EQ80" s="334">
        <f>IF(CC80/SUM(CC:CC)*'I-Project Contingency'!$F$73=0,0,CC80/SUM(CC:CC)*'I-Project Contingency'!$F$73)</f>
        <v>0</v>
      </c>
      <c r="ER80" s="334">
        <f>IF(CD80/SUM(CD:CD)*'I-Project Contingency'!$F$74=0,0,CD80/SUM(CD:CD)*'I-Project Contingency'!$F$74)</f>
        <v>0</v>
      </c>
      <c r="ES80" s="334">
        <f>IF(CE80/SUM(CE:CE)*'I-Project Contingency'!$F$75=0,0,CE80/SUM(CE:CE)*'I-Project Contingency'!$F$75)</f>
        <v>0</v>
      </c>
      <c r="ET80" s="334">
        <f>IF(CF80/SUM(CF:CF)*'I-Project Contingency'!$F$76=0,0,CF80/SUM(CF:CF)*'I-Project Contingency'!$F$76)</f>
        <v>0</v>
      </c>
      <c r="EU80" s="334">
        <f>IF(CG80/SUM(CG:CG)*'I-Project Contingency'!$F$77=0,0,CG80/SUM(CG:CG)*'I-Project Contingency'!$F$77)</f>
        <v>0</v>
      </c>
      <c r="EV80" s="787">
        <f>IF(CH80/SUM(CH:CH)*'I-Project Contingency'!$F$78=0,0,CH80/SUM(CH:CH)*'I-Project Contingency'!$F$78)</f>
        <v>0</v>
      </c>
      <c r="EW80" s="787">
        <f>IF(CI80/SUM(CI:CI)*'I-Project Contingency'!$F$79=0,0,CI80/SUM(CI:CI)*'I-Project Contingency'!$F$79)</f>
        <v>0</v>
      </c>
      <c r="EX80" s="787">
        <f>IF(CJ80/SUM(CJ:CJ)*'I-Project Contingency'!$F$80=0,0,CJ80/SUM(CJ:CJ)*'I-Project Contingency'!$F$80)</f>
        <v>0</v>
      </c>
      <c r="EY80" s="787">
        <f>IF(CK80/SUM(CK:CK)*'I-Project Contingency'!$F$81=0,0,CK80/SUM(CK:CK)*'I-Project Contingency'!$F$81)</f>
        <v>0</v>
      </c>
      <c r="EZ80" s="333">
        <f>IF(FB80="N/A","N/A",ABS(INDEX(FB80:FV80,1,MATCH("ROM Schedule Risk @ "&amp;'D-Project Data'!$C$6*100&amp;"%",$FB$17:$FV$17,0))))</f>
        <v>0</v>
      </c>
      <c r="FA80" s="335">
        <f>IF(EZ80="N/A","N/A",RANK(EZ80,$EZ$18:$EZ$117,0)+COUNTIF($FB$18:FB80,FB80)-1)</f>
        <v>63</v>
      </c>
      <c r="FB80" s="788">
        <f>IF(DH80/SUM(DH:DH)*'I-Project Contingency'!$F$86=0,0,DH80/SUM(DH:DH)*'I-Project Contingency'!$F$86)</f>
        <v>0</v>
      </c>
      <c r="FC80" s="788">
        <f>IF(DI80/SUM(DI:DI)*'I-Project Contingency'!$F$87=0,0,DI80/SUM(DI:DI)*'I-Project Contingency'!$F$87)</f>
        <v>0</v>
      </c>
      <c r="FD80" s="788">
        <f>IF(DJ80/SUM(DJ:DJ)*'I-Project Contingency'!$F$88=0,0,DJ80/SUM(DJ:DJ)*'I-Project Contingency'!$F$88)</f>
        <v>0</v>
      </c>
      <c r="FE80" s="788">
        <f>IF(DK80/SUM(DK:DK)*'I-Project Contingency'!$F$89=0,0,DK80/SUM(DK:DK)*'I-Project Contingency'!$F$89)</f>
        <v>0</v>
      </c>
      <c r="FF80" s="788">
        <f>IF(DL80/SUM(DL:DL)*'I-Project Contingency'!$F$90=0,0,DL80/SUM(DL:DL)*'I-Project Contingency'!$F$90)</f>
        <v>0</v>
      </c>
      <c r="FG80" s="788">
        <f>IF(DM80/SUM(DM:DM)*'I-Project Contingency'!$F$91=0,0,DM80/SUM(DM:DM)*'I-Project Contingency'!$F$91)</f>
        <v>0</v>
      </c>
      <c r="FH80" s="788">
        <f>IF(DN80/SUM(DN:DN)*'I-Project Contingency'!$F$92=0,0,DN80/SUM(DN:DN)*'I-Project Contingency'!$F$92)</f>
        <v>0</v>
      </c>
      <c r="FI80" s="788">
        <f>IF(DO80/SUM(DO:DO)*'I-Project Contingency'!$F$93=0,0,DO80/SUM(DO:DO)*'I-Project Contingency'!$F$93)</f>
        <v>0</v>
      </c>
      <c r="FJ80" s="788">
        <f>IF(DP80/SUM(DP:DP)*'I-Project Contingency'!$F$94=0,0,DP80/SUM(DP:DP)*'I-Project Contingency'!$F$94)</f>
        <v>0</v>
      </c>
      <c r="FK80" s="788">
        <f>IF(DQ80/SUM(DQ:DQ)*'I-Project Contingency'!$F$95=0,0,DQ80/SUM(DQ:DQ)*'I-Project Contingency'!$F$95)</f>
        <v>0</v>
      </c>
      <c r="FL80" s="788">
        <f>IF(DR80/SUM(DR:DR)*'I-Project Contingency'!$F$96=0,0,DR80/SUM(DR:DR)*'I-Project Contingency'!$F$96)</f>
        <v>0</v>
      </c>
      <c r="FM80" s="788">
        <f>IF(DS80/SUM(DS:DS)*'I-Project Contingency'!$F$97=0,0,DS80/SUM(DS:DS)*'I-Project Contingency'!$F$97)</f>
        <v>0</v>
      </c>
      <c r="FN80" s="788">
        <f>IF(DT80/SUM(DT:DT)*'I-Project Contingency'!$F$98=0,0,DT80/SUM(DT:DT)*'I-Project Contingency'!$F$98)</f>
        <v>0</v>
      </c>
      <c r="FO80" s="788">
        <f>IF(DU80/SUM(DU:DU)*'I-Project Contingency'!$F$99=0,0,DU80/SUM(DU:DU)*'I-Project Contingency'!$F$99)</f>
        <v>0</v>
      </c>
      <c r="FP80" s="788">
        <f>IF(DV80/SUM(DV:DV)*'I-Project Contingency'!$F$100=0,0,DV80/SUM(DV:DV)*'I-Project Contingency'!$F$100)</f>
        <v>0</v>
      </c>
      <c r="FQ80" s="788">
        <f>IF(DW80/SUM(DW:DW)*'I-Project Contingency'!$F$101=0,0,DW80/SUM(DW:DW)*'I-Project Contingency'!$F$101)</f>
        <v>0</v>
      </c>
      <c r="FR80" s="788">
        <f>IF(DX80/SUM(DX:DX)*'I-Project Contingency'!$F$102=0,0,DX80/SUM(DX:DX)*'I-Project Contingency'!$F$102)</f>
        <v>0</v>
      </c>
      <c r="FS80" s="788">
        <f>IF(DY80/SUM(DY:DY)*'I-Project Contingency'!$F$103=0,0,DY80/SUM(DY:DY)*'I-Project Contingency'!$F$103)</f>
        <v>0</v>
      </c>
      <c r="FT80" s="788">
        <f>IF(DZ80/SUM(DZ:DZ)*'I-Project Contingency'!$F$104=0,0,DZ80/SUM(DZ:DZ)*'I-Project Contingency'!$F$104)</f>
        <v>0</v>
      </c>
      <c r="FU80" s="788">
        <f>IF(EA80/SUM(EA:EA)*'I-Project Contingency'!$F$105=0,0,EA80/SUM(EA:EA)*'I-Project Contingency'!$F$105)</f>
        <v>0</v>
      </c>
      <c r="FV80" s="788">
        <f>IF(EB80/SUM(EB:EB)*'I-Project Contingency'!$F$106=0,0,EB80/SUM(EB:EB)*'I-Project Contingency'!$F$106)</f>
        <v>0</v>
      </c>
      <c r="FW80" s="335">
        <f t="shared" si="37"/>
        <v>63</v>
      </c>
      <c r="FX80" s="336" t="str">
        <f t="shared" si="38"/>
        <v xml:space="preserve">63 -  </v>
      </c>
      <c r="FY80" s="330">
        <f t="shared" si="43"/>
        <v>0</v>
      </c>
      <c r="FZ80" s="330">
        <f t="shared" si="44"/>
        <v>0</v>
      </c>
      <c r="GA80" s="332">
        <f t="shared" si="39"/>
        <v>0</v>
      </c>
      <c r="GB80" s="332">
        <f t="shared" si="40"/>
        <v>0</v>
      </c>
    </row>
    <row r="81" spans="1:184" ht="30" x14ac:dyDescent="0.25">
      <c r="A81" s="163">
        <f t="shared" si="23"/>
        <v>64</v>
      </c>
      <c r="B81" s="727" t="s">
        <v>728</v>
      </c>
      <c r="C81" s="729" t="s">
        <v>659</v>
      </c>
      <c r="D81" s="729" t="s">
        <v>659</v>
      </c>
      <c r="E81" s="729" t="s">
        <v>659</v>
      </c>
      <c r="F81" s="728" t="s">
        <v>728</v>
      </c>
      <c r="G81" s="728" t="s">
        <v>728</v>
      </c>
      <c r="H81" s="157" t="str">
        <f>IFERROR(IF('H-Risk Register-Model'!F81="Certain","Relook at Basis of Estimate",INDEX('G-Assumptions'!$F$8:$J$11,MATCH(F81,'G-Assumptions'!$D$8:$D$11,0),MATCH(G81,'G-Assumptions'!$F$6:$J$6,0))),"Unrated")</f>
        <v>Unrated</v>
      </c>
      <c r="I81" s="728" t="s">
        <v>728</v>
      </c>
      <c r="J81" s="157" t="str">
        <f>IFERROR(IF('H-Risk Register-Model'!F81="Certain","Relook at Basis of Estimate",INDEX('G-Assumptions'!$F$8:$J$11,MATCH(F81,'G-Assumptions'!$D$8:$D$11,0),MATCH(I81,'G-Assumptions'!$F$6:$J$6,0))),"Unrated")</f>
        <v>Unrated</v>
      </c>
      <c r="K81" s="728" t="s">
        <v>728</v>
      </c>
      <c r="L81" s="728" t="s">
        <v>728</v>
      </c>
      <c r="M81" s="728"/>
      <c r="N81" s="731" t="s">
        <v>728</v>
      </c>
      <c r="O81" s="731" t="s">
        <v>728</v>
      </c>
      <c r="P81" s="732"/>
      <c r="Q81" s="732"/>
      <c r="R81" s="732"/>
      <c r="S81" s="733"/>
      <c r="T81" s="733"/>
      <c r="U81" s="733"/>
      <c r="V81" s="734"/>
      <c r="W81" s="732"/>
      <c r="X81" s="732"/>
      <c r="Y81" s="735">
        <v>1</v>
      </c>
      <c r="Z81" s="736">
        <v>1</v>
      </c>
      <c r="AA81" s="166">
        <f t="shared" si="19"/>
        <v>0</v>
      </c>
      <c r="AB81" s="166">
        <f t="shared" si="20"/>
        <v>0</v>
      </c>
      <c r="AC81" s="166">
        <f t="shared" si="21"/>
        <v>0</v>
      </c>
      <c r="AD81" s="166"/>
      <c r="AE81" s="164">
        <f t="shared" si="41"/>
        <v>0</v>
      </c>
      <c r="AF81" s="167"/>
      <c r="AG81" s="165">
        <f t="shared" si="42"/>
        <v>0</v>
      </c>
      <c r="AH81" s="729"/>
      <c r="AI81" s="729"/>
      <c r="AJ81" s="8"/>
      <c r="AK81" s="495" t="str">
        <f t="shared" si="30"/>
        <v>No</v>
      </c>
      <c r="AL81" s="496">
        <f>'I-Project Contingency'!$I$4</f>
        <v>9000000</v>
      </c>
      <c r="AM81" s="326">
        <f>'I-Project Contingency'!$I$11</f>
        <v>23.978102189781023</v>
      </c>
      <c r="AN81" s="325">
        <f t="shared" si="31"/>
        <v>0</v>
      </c>
      <c r="AO81" s="326">
        <f t="shared" si="32"/>
        <v>0</v>
      </c>
      <c r="AP81" s="641" t="str">
        <f t="shared" si="33"/>
        <v/>
      </c>
      <c r="AQ81" s="641" t="str">
        <f t="shared" si="34"/>
        <v/>
      </c>
      <c r="AR81" s="497" t="str">
        <f t="shared" si="35"/>
        <v/>
      </c>
      <c r="AS81" s="497" t="str">
        <f t="shared" si="36"/>
        <v/>
      </c>
      <c r="AT81" s="8"/>
      <c r="AU81" s="329">
        <f>'I-Project Contingency'!$O$4-AE81</f>
        <v>0</v>
      </c>
      <c r="AV81" s="330">
        <v>-240515.59579276721</v>
      </c>
      <c r="AW81" s="330">
        <v>28172.931401335634</v>
      </c>
      <c r="AX81" s="330">
        <v>193478.84467429668</v>
      </c>
      <c r="AY81" s="330">
        <v>361668.20104834624</v>
      </c>
      <c r="AZ81" s="330">
        <v>524446.91524262261</v>
      </c>
      <c r="BA81" s="330">
        <v>704023.56387635041</v>
      </c>
      <c r="BB81" s="330">
        <v>886394.06956240814</v>
      </c>
      <c r="BC81" s="330">
        <v>1079363.7165157665</v>
      </c>
      <c r="BD81" s="330">
        <v>1280180.1532065615</v>
      </c>
      <c r="BE81" s="330">
        <v>1485323.8019108465</v>
      </c>
      <c r="BF81" s="330">
        <v>1703758.8827524669</v>
      </c>
      <c r="BG81" s="330">
        <v>1949523.4346483489</v>
      </c>
      <c r="BH81" s="330">
        <v>2177897.1603371189</v>
      </c>
      <c r="BI81" s="330">
        <v>2429374.4260425912</v>
      </c>
      <c r="BJ81" s="330">
        <v>2717092.7449284913</v>
      </c>
      <c r="BK81" s="330">
        <v>3010093.6968918457</v>
      </c>
      <c r="BL81" s="330">
        <v>3325414.5894657462</v>
      </c>
      <c r="BM81" s="330">
        <v>3690425.9159493577</v>
      </c>
      <c r="BN81" s="330">
        <v>4143935.1706127762</v>
      </c>
      <c r="BO81" s="330">
        <v>4722651.1159141911</v>
      </c>
      <c r="BP81" s="330">
        <v>5992048.8629153483</v>
      </c>
      <c r="BQ81" s="330">
        <f>'I-Project Contingency'!$E$61-AV81</f>
        <v>0</v>
      </c>
      <c r="BR81" s="330">
        <f>'I-Project Contingency'!$E$62-AW81</f>
        <v>0</v>
      </c>
      <c r="BS81" s="330">
        <f>'I-Project Contingency'!$E$63-AX81</f>
        <v>0</v>
      </c>
      <c r="BT81" s="330">
        <f>'I-Project Contingency'!$E$64-AY81</f>
        <v>0</v>
      </c>
      <c r="BU81" s="330">
        <f>'I-Project Contingency'!$E$65-AZ81</f>
        <v>0</v>
      </c>
      <c r="BV81" s="330">
        <f>'I-Project Contingency'!$E$66-BA81</f>
        <v>0</v>
      </c>
      <c r="BW81" s="330">
        <f>'I-Project Contingency'!$E$67-BB81</f>
        <v>0</v>
      </c>
      <c r="BX81" s="330">
        <f>'I-Project Contingency'!$E$68-BC81</f>
        <v>0</v>
      </c>
      <c r="BY81" s="330">
        <f>'I-Project Contingency'!$E$69-BD81</f>
        <v>0</v>
      </c>
      <c r="BZ81" s="330">
        <f>'I-Project Contingency'!$E$70-BE81</f>
        <v>0</v>
      </c>
      <c r="CA81" s="330">
        <f>'I-Project Contingency'!$E$71-BF81</f>
        <v>0</v>
      </c>
      <c r="CB81" s="330">
        <f>'I-Project Contingency'!$E$72-BG81</f>
        <v>0</v>
      </c>
      <c r="CC81" s="330">
        <f>'I-Project Contingency'!$E$73-BH81</f>
        <v>0</v>
      </c>
      <c r="CD81" s="330">
        <f>'I-Project Contingency'!$E$74-BI81</f>
        <v>0</v>
      </c>
      <c r="CE81" s="330">
        <f>'I-Project Contingency'!$E$75-BJ81</f>
        <v>0</v>
      </c>
      <c r="CF81" s="330">
        <f>'I-Project Contingency'!$E$76-BK81</f>
        <v>0</v>
      </c>
      <c r="CG81" s="330">
        <f>'I-Project Contingency'!$E$77-BL81</f>
        <v>0</v>
      </c>
      <c r="CH81" s="784">
        <f>'I-Project Contingency'!$E$78-BM81</f>
        <v>0</v>
      </c>
      <c r="CI81" s="330">
        <f>'I-Project Contingency'!$E$79-BN81</f>
        <v>0</v>
      </c>
      <c r="CJ81" s="330">
        <f>'I-Project Contingency'!$E$80-BO81</f>
        <v>0</v>
      </c>
      <c r="CK81" s="330">
        <f>'I-Project Contingency'!$E$81-BP81</f>
        <v>0</v>
      </c>
      <c r="CL81" s="331">
        <f>'I-Project Contingency'!$O$5-AG81</f>
        <v>0</v>
      </c>
      <c r="CM81" s="332">
        <v>-0.98711802853447173</v>
      </c>
      <c r="CN81" s="332">
        <v>-0.19547704728364468</v>
      </c>
      <c r="CO81" s="332">
        <v>0.126462150308498</v>
      </c>
      <c r="CP81" s="332">
        <v>0.45967989154545902</v>
      </c>
      <c r="CQ81" s="332">
        <v>0.78297319902744</v>
      </c>
      <c r="CR81" s="332">
        <v>1.0957191966482109</v>
      </c>
      <c r="CS81" s="332">
        <v>1.4418405003536849</v>
      </c>
      <c r="CT81" s="332">
        <v>1.801002404194165</v>
      </c>
      <c r="CU81" s="332">
        <v>2.1797608166947349</v>
      </c>
      <c r="CV81" s="332">
        <v>2.5671680610072478</v>
      </c>
      <c r="CW81" s="332">
        <v>2.9690760644797152</v>
      </c>
      <c r="CX81" s="332">
        <v>3.3964145469774811</v>
      </c>
      <c r="CY81" s="332">
        <v>3.864536087769562</v>
      </c>
      <c r="CZ81" s="332">
        <v>4.3569836138896116</v>
      </c>
      <c r="DA81" s="332">
        <v>4.8862357851222598</v>
      </c>
      <c r="DB81" s="332">
        <v>5.438836997347547</v>
      </c>
      <c r="DC81" s="332">
        <v>6.047993455908566</v>
      </c>
      <c r="DD81" s="785">
        <v>6.720204953601761</v>
      </c>
      <c r="DE81" s="333">
        <v>7.55131678090412</v>
      </c>
      <c r="DF81" s="332">
        <v>8.661446370835737</v>
      </c>
      <c r="DG81" s="332">
        <v>11.206316207857133</v>
      </c>
      <c r="DH81" s="332">
        <f>'I-Project Contingency'!$E$86-CM81</f>
        <v>0</v>
      </c>
      <c r="DI81" s="332">
        <f>'I-Project Contingency'!$E$87-CN81</f>
        <v>0</v>
      </c>
      <c r="DJ81" s="332">
        <f>'I-Project Contingency'!$E$88-CO81</f>
        <v>0</v>
      </c>
      <c r="DK81" s="332">
        <f>'I-Project Contingency'!$E$89-CP81</f>
        <v>0</v>
      </c>
      <c r="DL81" s="332">
        <f>'I-Project Contingency'!$E$90-CQ81</f>
        <v>0</v>
      </c>
      <c r="DM81" s="332">
        <f>'I-Project Contingency'!$E$91-CR81</f>
        <v>0</v>
      </c>
      <c r="DN81" s="332">
        <f>'I-Project Contingency'!$E$92-CS81</f>
        <v>0</v>
      </c>
      <c r="DO81" s="332">
        <f>'I-Project Contingency'!$E$93-CT81</f>
        <v>0</v>
      </c>
      <c r="DP81" s="332">
        <f>'I-Project Contingency'!$E$94-CU81</f>
        <v>0</v>
      </c>
      <c r="DQ81" s="332">
        <f>'I-Project Contingency'!$E$95-CV81</f>
        <v>0</v>
      </c>
      <c r="DR81" s="332">
        <f>'I-Project Contingency'!$E$96-CW81</f>
        <v>0</v>
      </c>
      <c r="DS81" s="332">
        <f>'I-Project Contingency'!$E$97-CX81</f>
        <v>0</v>
      </c>
      <c r="DT81" s="332">
        <f>'I-Project Contingency'!$E$98-CY81</f>
        <v>0</v>
      </c>
      <c r="DU81" s="332">
        <f>'I-Project Contingency'!$E$99-CZ81</f>
        <v>0</v>
      </c>
      <c r="DV81" s="332">
        <f>'I-Project Contingency'!$E$100-DA81</f>
        <v>0</v>
      </c>
      <c r="DW81" s="332">
        <f>'I-Project Contingency'!$E$101-DB81</f>
        <v>0</v>
      </c>
      <c r="DX81" s="332">
        <f>'I-Project Contingency'!$E$102-DC81</f>
        <v>0</v>
      </c>
      <c r="DY81" s="332">
        <f>'I-Project Contingency'!$E$103-DD81</f>
        <v>0</v>
      </c>
      <c r="DZ81" s="332">
        <f>'I-Project Contingency'!$E$104-DE81</f>
        <v>0</v>
      </c>
      <c r="EA81" s="332">
        <f>'I-Project Contingency'!$E$105-DF81</f>
        <v>0</v>
      </c>
      <c r="EB81" s="332">
        <f>'I-Project Contingency'!$E$106-DG81</f>
        <v>0</v>
      </c>
      <c r="EC81" s="334">
        <f>IF(EE81="N/A","N/A",ABS(INDEX(EE81:EY81,1,MATCH("ROM Cost Risk @ "&amp;'D-Project Data'!$C$6*100&amp;"%",$EE$17:$EY$17,0))))</f>
        <v>0</v>
      </c>
      <c r="ED81" s="335">
        <f>IF(EC81="N/A","N/A",RANK(EC81,$EC$18:$EC$117,0)+COUNTIF($EC$18:EC81,EC81)-1)</f>
        <v>64</v>
      </c>
      <c r="EE81" s="334">
        <f>IF(BQ81/SUM(BQ:BQ)*'I-Project Contingency'!$F$61=0,0,BQ81/SUM(BQ:BQ)*'I-Project Contingency'!$F$61)</f>
        <v>0</v>
      </c>
      <c r="EF81" s="334">
        <f>IF(BR81/SUM(BR:BR)*'I-Project Contingency'!$F$62=0,0,BR81/SUM(BR:BR)*'I-Project Contingency'!$F$62)</f>
        <v>0</v>
      </c>
      <c r="EG81" s="334">
        <f>IF(BS81/SUM(BS:BS)*'I-Project Contingency'!$F$63=0,0,BS81/SUM(BS:BS)*'I-Project Contingency'!$F$63)</f>
        <v>0</v>
      </c>
      <c r="EH81" s="334">
        <f>IF(BT81/SUM(BT:BT)*'I-Project Contingency'!$F$64=0,0,BT81/SUM(BT:BT)*'I-Project Contingency'!$F$64)</f>
        <v>0</v>
      </c>
      <c r="EI81" s="334">
        <f>IF(BU81/SUM(BU:BU)*'I-Project Contingency'!$F$65=0,0,BU81/SUM(BU:BU)*'I-Project Contingency'!$F$65)</f>
        <v>0</v>
      </c>
      <c r="EJ81" s="334">
        <f>IF(BV81/SUM(BV:BV)*'I-Project Contingency'!$F$66=0,0,BV81/SUM(BV:BV)*'I-Project Contingency'!$F$66)</f>
        <v>0</v>
      </c>
      <c r="EK81" s="334">
        <f>IF(BW81/SUM(BW:BW)*'I-Project Contingency'!$F$67=0,0,BW81/SUM(BW:BW)*'I-Project Contingency'!$F$67)</f>
        <v>0</v>
      </c>
      <c r="EL81" s="334">
        <f>IF(BX81/SUM(BX:BX)*'I-Project Contingency'!$F$68=0,0,BX81/SUM(BX:BX)*'I-Project Contingency'!$F$68)</f>
        <v>0</v>
      </c>
      <c r="EM81" s="334">
        <f>IF(BY81/SUM(BY:BY)*'I-Project Contingency'!$F$69=0,0,BY81/SUM(BY:BY)*'I-Project Contingency'!$F$69)</f>
        <v>0</v>
      </c>
      <c r="EN81" s="334">
        <f>IF(BZ81/SUM(BZ:BZ)*'I-Project Contingency'!$F$70=0,0,BZ81/SUM(BZ:BZ)*'I-Project Contingency'!$F$70)</f>
        <v>0</v>
      </c>
      <c r="EO81" s="334">
        <f>IF(CA81/SUM(CA:CA)*'I-Project Contingency'!$F$71=0,0,CA81/SUM(CA:CA)*'I-Project Contingency'!$F$71)</f>
        <v>0</v>
      </c>
      <c r="EP81" s="334">
        <f>IF(CB81/SUM(CB:CB)*'I-Project Contingency'!$F$72=0,0,CB81/SUM(CB:CB)*'I-Project Contingency'!$F$72)</f>
        <v>0</v>
      </c>
      <c r="EQ81" s="334">
        <f>IF(CC81/SUM(CC:CC)*'I-Project Contingency'!$F$73=0,0,CC81/SUM(CC:CC)*'I-Project Contingency'!$F$73)</f>
        <v>0</v>
      </c>
      <c r="ER81" s="334">
        <f>IF(CD81/SUM(CD:CD)*'I-Project Contingency'!$F$74=0,0,CD81/SUM(CD:CD)*'I-Project Contingency'!$F$74)</f>
        <v>0</v>
      </c>
      <c r="ES81" s="334">
        <f>IF(CE81/SUM(CE:CE)*'I-Project Contingency'!$F$75=0,0,CE81/SUM(CE:CE)*'I-Project Contingency'!$F$75)</f>
        <v>0</v>
      </c>
      <c r="ET81" s="334">
        <f>IF(CF81/SUM(CF:CF)*'I-Project Contingency'!$F$76=0,0,CF81/SUM(CF:CF)*'I-Project Contingency'!$F$76)</f>
        <v>0</v>
      </c>
      <c r="EU81" s="334">
        <f>IF(CG81/SUM(CG:CG)*'I-Project Contingency'!$F$77=0,0,CG81/SUM(CG:CG)*'I-Project Contingency'!$F$77)</f>
        <v>0</v>
      </c>
      <c r="EV81" s="787">
        <f>IF(CH81/SUM(CH:CH)*'I-Project Contingency'!$F$78=0,0,CH81/SUM(CH:CH)*'I-Project Contingency'!$F$78)</f>
        <v>0</v>
      </c>
      <c r="EW81" s="787">
        <f>IF(CI81/SUM(CI:CI)*'I-Project Contingency'!$F$79=0,0,CI81/SUM(CI:CI)*'I-Project Contingency'!$F$79)</f>
        <v>0</v>
      </c>
      <c r="EX81" s="787">
        <f>IF(CJ81/SUM(CJ:CJ)*'I-Project Contingency'!$F$80=0,0,CJ81/SUM(CJ:CJ)*'I-Project Contingency'!$F$80)</f>
        <v>0</v>
      </c>
      <c r="EY81" s="787">
        <f>IF(CK81/SUM(CK:CK)*'I-Project Contingency'!$F$81=0,0,CK81/SUM(CK:CK)*'I-Project Contingency'!$F$81)</f>
        <v>0</v>
      </c>
      <c r="EZ81" s="333">
        <f>IF(FB81="N/A","N/A",ABS(INDEX(FB81:FV81,1,MATCH("ROM Schedule Risk @ "&amp;'D-Project Data'!$C$6*100&amp;"%",$FB$17:$FV$17,0))))</f>
        <v>0</v>
      </c>
      <c r="FA81" s="335">
        <f>IF(EZ81="N/A","N/A",RANK(EZ81,$EZ$18:$EZ$117,0)+COUNTIF($FB$18:FB81,FB81)-1)</f>
        <v>64</v>
      </c>
      <c r="FB81" s="788">
        <f>IF(DH81/SUM(DH:DH)*'I-Project Contingency'!$F$86=0,0,DH81/SUM(DH:DH)*'I-Project Contingency'!$F$86)</f>
        <v>0</v>
      </c>
      <c r="FC81" s="788">
        <f>IF(DI81/SUM(DI:DI)*'I-Project Contingency'!$F$87=0,0,DI81/SUM(DI:DI)*'I-Project Contingency'!$F$87)</f>
        <v>0</v>
      </c>
      <c r="FD81" s="788">
        <f>IF(DJ81/SUM(DJ:DJ)*'I-Project Contingency'!$F$88=0,0,DJ81/SUM(DJ:DJ)*'I-Project Contingency'!$F$88)</f>
        <v>0</v>
      </c>
      <c r="FE81" s="788">
        <f>IF(DK81/SUM(DK:DK)*'I-Project Contingency'!$F$89=0,0,DK81/SUM(DK:DK)*'I-Project Contingency'!$F$89)</f>
        <v>0</v>
      </c>
      <c r="FF81" s="788">
        <f>IF(DL81/SUM(DL:DL)*'I-Project Contingency'!$F$90=0,0,DL81/SUM(DL:DL)*'I-Project Contingency'!$F$90)</f>
        <v>0</v>
      </c>
      <c r="FG81" s="788">
        <f>IF(DM81/SUM(DM:DM)*'I-Project Contingency'!$F$91=0,0,DM81/SUM(DM:DM)*'I-Project Contingency'!$F$91)</f>
        <v>0</v>
      </c>
      <c r="FH81" s="788">
        <f>IF(DN81/SUM(DN:DN)*'I-Project Contingency'!$F$92=0,0,DN81/SUM(DN:DN)*'I-Project Contingency'!$F$92)</f>
        <v>0</v>
      </c>
      <c r="FI81" s="788">
        <f>IF(DO81/SUM(DO:DO)*'I-Project Contingency'!$F$93=0,0,DO81/SUM(DO:DO)*'I-Project Contingency'!$F$93)</f>
        <v>0</v>
      </c>
      <c r="FJ81" s="788">
        <f>IF(DP81/SUM(DP:DP)*'I-Project Contingency'!$F$94=0,0,DP81/SUM(DP:DP)*'I-Project Contingency'!$F$94)</f>
        <v>0</v>
      </c>
      <c r="FK81" s="788">
        <f>IF(DQ81/SUM(DQ:DQ)*'I-Project Contingency'!$F$95=0,0,DQ81/SUM(DQ:DQ)*'I-Project Contingency'!$F$95)</f>
        <v>0</v>
      </c>
      <c r="FL81" s="788">
        <f>IF(DR81/SUM(DR:DR)*'I-Project Contingency'!$F$96=0,0,DR81/SUM(DR:DR)*'I-Project Contingency'!$F$96)</f>
        <v>0</v>
      </c>
      <c r="FM81" s="788">
        <f>IF(DS81/SUM(DS:DS)*'I-Project Contingency'!$F$97=0,0,DS81/SUM(DS:DS)*'I-Project Contingency'!$F$97)</f>
        <v>0</v>
      </c>
      <c r="FN81" s="788">
        <f>IF(DT81/SUM(DT:DT)*'I-Project Contingency'!$F$98=0,0,DT81/SUM(DT:DT)*'I-Project Contingency'!$F$98)</f>
        <v>0</v>
      </c>
      <c r="FO81" s="788">
        <f>IF(DU81/SUM(DU:DU)*'I-Project Contingency'!$F$99=0,0,DU81/SUM(DU:DU)*'I-Project Contingency'!$F$99)</f>
        <v>0</v>
      </c>
      <c r="FP81" s="788">
        <f>IF(DV81/SUM(DV:DV)*'I-Project Contingency'!$F$100=0,0,DV81/SUM(DV:DV)*'I-Project Contingency'!$F$100)</f>
        <v>0</v>
      </c>
      <c r="FQ81" s="788">
        <f>IF(DW81/SUM(DW:DW)*'I-Project Contingency'!$F$101=0,0,DW81/SUM(DW:DW)*'I-Project Contingency'!$F$101)</f>
        <v>0</v>
      </c>
      <c r="FR81" s="788">
        <f>IF(DX81/SUM(DX:DX)*'I-Project Contingency'!$F$102=0,0,DX81/SUM(DX:DX)*'I-Project Contingency'!$F$102)</f>
        <v>0</v>
      </c>
      <c r="FS81" s="788">
        <f>IF(DY81/SUM(DY:DY)*'I-Project Contingency'!$F$103=0,0,DY81/SUM(DY:DY)*'I-Project Contingency'!$F$103)</f>
        <v>0</v>
      </c>
      <c r="FT81" s="788">
        <f>IF(DZ81/SUM(DZ:DZ)*'I-Project Contingency'!$F$104=0,0,DZ81/SUM(DZ:DZ)*'I-Project Contingency'!$F$104)</f>
        <v>0</v>
      </c>
      <c r="FU81" s="788">
        <f>IF(EA81/SUM(EA:EA)*'I-Project Contingency'!$F$105=0,0,EA81/SUM(EA:EA)*'I-Project Contingency'!$F$105)</f>
        <v>0</v>
      </c>
      <c r="FV81" s="788">
        <f>IF(EB81/SUM(EB:EB)*'I-Project Contingency'!$F$106=0,0,EB81/SUM(EB:EB)*'I-Project Contingency'!$F$106)</f>
        <v>0</v>
      </c>
      <c r="FW81" s="335">
        <f t="shared" si="37"/>
        <v>64</v>
      </c>
      <c r="FX81" s="336" t="str">
        <f t="shared" si="38"/>
        <v xml:space="preserve">64 -  </v>
      </c>
      <c r="FY81" s="330">
        <f t="shared" si="43"/>
        <v>0</v>
      </c>
      <c r="FZ81" s="330">
        <f t="shared" si="44"/>
        <v>0</v>
      </c>
      <c r="GA81" s="332">
        <f t="shared" si="39"/>
        <v>0</v>
      </c>
      <c r="GB81" s="332">
        <f t="shared" si="40"/>
        <v>0</v>
      </c>
    </row>
    <row r="82" spans="1:184" ht="30" x14ac:dyDescent="0.25">
      <c r="A82" s="163">
        <f t="shared" si="23"/>
        <v>65</v>
      </c>
      <c r="B82" s="727" t="s">
        <v>728</v>
      </c>
      <c r="C82" s="729" t="s">
        <v>659</v>
      </c>
      <c r="D82" s="729" t="s">
        <v>659</v>
      </c>
      <c r="E82" s="729" t="s">
        <v>659</v>
      </c>
      <c r="F82" s="728" t="s">
        <v>728</v>
      </c>
      <c r="G82" s="728" t="s">
        <v>728</v>
      </c>
      <c r="H82" s="157" t="str">
        <f>IFERROR(IF('H-Risk Register-Model'!F82="Certain","Relook at Basis of Estimate",INDEX('G-Assumptions'!$F$8:$J$11,MATCH(F82,'G-Assumptions'!$D$8:$D$11,0),MATCH(G82,'G-Assumptions'!$F$6:$J$6,0))),"Unrated")</f>
        <v>Unrated</v>
      </c>
      <c r="I82" s="728" t="s">
        <v>728</v>
      </c>
      <c r="J82" s="157" t="str">
        <f>IFERROR(IF('H-Risk Register-Model'!F82="Certain","Relook at Basis of Estimate",INDEX('G-Assumptions'!$F$8:$J$11,MATCH(F82,'G-Assumptions'!$D$8:$D$11,0),MATCH(I82,'G-Assumptions'!$F$6:$J$6,0))),"Unrated")</f>
        <v>Unrated</v>
      </c>
      <c r="K82" s="728" t="s">
        <v>728</v>
      </c>
      <c r="L82" s="728" t="s">
        <v>728</v>
      </c>
      <c r="M82" s="728"/>
      <c r="N82" s="731" t="s">
        <v>728</v>
      </c>
      <c r="O82" s="731" t="s">
        <v>728</v>
      </c>
      <c r="P82" s="732"/>
      <c r="Q82" s="732"/>
      <c r="R82" s="732"/>
      <c r="S82" s="733"/>
      <c r="T82" s="733"/>
      <c r="U82" s="733"/>
      <c r="V82" s="734"/>
      <c r="W82" s="732"/>
      <c r="X82" s="732"/>
      <c r="Y82" s="735">
        <v>1</v>
      </c>
      <c r="Z82" s="736">
        <v>1</v>
      </c>
      <c r="AA82" s="166">
        <f t="shared" si="19"/>
        <v>0</v>
      </c>
      <c r="AB82" s="166">
        <f t="shared" si="20"/>
        <v>0</v>
      </c>
      <c r="AC82" s="166">
        <f t="shared" si="21"/>
        <v>0</v>
      </c>
      <c r="AD82" s="166"/>
      <c r="AE82" s="164">
        <f t="shared" si="41"/>
        <v>0</v>
      </c>
      <c r="AF82" s="167"/>
      <c r="AG82" s="165">
        <f t="shared" si="42"/>
        <v>0</v>
      </c>
      <c r="AH82" s="729"/>
      <c r="AI82" s="729"/>
      <c r="AJ82" s="8"/>
      <c r="AK82" s="495" t="str">
        <f t="shared" ref="AK82:AK117" si="45">IF(OR(H82="Medium",H82="High",J82="Medium",J82="High"),"Yes","No")</f>
        <v>No</v>
      </c>
      <c r="AL82" s="496">
        <f>'I-Project Contingency'!$I$4</f>
        <v>9000000</v>
      </c>
      <c r="AM82" s="326">
        <f>'I-Project Contingency'!$I$11</f>
        <v>23.978102189781023</v>
      </c>
      <c r="AN82" s="325">
        <f t="shared" ref="AN82:AN117" si="46">IF(B82="","",MAX(ABS(AA82),ABS(AB82),ABS(AC82)))</f>
        <v>0</v>
      </c>
      <c r="AO82" s="326">
        <f t="shared" ref="AO82:AO117" si="47">IF(B82="","",MAX(ABS(S82),ABS(T82),ABS(U82)))</f>
        <v>0</v>
      </c>
      <c r="AP82" s="641" t="str">
        <f t="shared" ref="AP82:AP117" si="48">IF(H82="Unrated","",IF(AND(H82="Low",AN82=0),G82,IF(ISNUMBER(AN82),IF(AND(AN82&gt;=VLOOKUP(G82,$AL$9:$AN$13,2,FALSE),AN82&lt;=VLOOKUP(G82,$AL$9:$AN$13,3,FALSE)),G82,VLOOKUP(AN82,$AM$9:$AO$13,3,TRUE)),G82)))</f>
        <v/>
      </c>
      <c r="AQ82" s="641" t="str">
        <f t="shared" ref="AQ82:AQ117" si="49">IF(J82="Unrated","",IF(AND(J82="Low",AO82=0),I82,IF(ISNUMBER(AO82),IF(AND(AO82&gt;=VLOOKUP(I82,$AP$9:$AR$13,2,FALSE),AO82&lt;=VLOOKUP(I82,$AP$9:$AR$13,3,FALSE)),I82,VLOOKUP(AO82,$AQ$9:$AS$13,3,TRUE)),I82)))</f>
        <v/>
      </c>
      <c r="AR82" s="497" t="str">
        <f t="shared" ref="AR82:AR117" si="50">IF(AP82="","",IF(B82="","",IF(G82=AP82,"","Check Impact")))</f>
        <v/>
      </c>
      <c r="AS82" s="497" t="str">
        <f t="shared" ref="AS82:AS117" si="51">IF(AQ82="","",IF(B82="","",IF(I82=AQ82,"","Check Impact")))</f>
        <v/>
      </c>
      <c r="AT82" s="8"/>
      <c r="AU82" s="329">
        <f>'I-Project Contingency'!$O$4-AE82</f>
        <v>0</v>
      </c>
      <c r="AV82" s="330">
        <v>-240515.59579276721</v>
      </c>
      <c r="AW82" s="330">
        <v>28172.931401335634</v>
      </c>
      <c r="AX82" s="330">
        <v>193478.84467429668</v>
      </c>
      <c r="AY82" s="330">
        <v>361668.20104834624</v>
      </c>
      <c r="AZ82" s="330">
        <v>524446.91524262261</v>
      </c>
      <c r="BA82" s="330">
        <v>704023.56387635041</v>
      </c>
      <c r="BB82" s="330">
        <v>886394.06956240814</v>
      </c>
      <c r="BC82" s="330">
        <v>1079363.7165157665</v>
      </c>
      <c r="BD82" s="330">
        <v>1280180.1532065615</v>
      </c>
      <c r="BE82" s="330">
        <v>1485323.8019108465</v>
      </c>
      <c r="BF82" s="330">
        <v>1703758.8827524669</v>
      </c>
      <c r="BG82" s="330">
        <v>1949523.4346483489</v>
      </c>
      <c r="BH82" s="330">
        <v>2177897.1603371189</v>
      </c>
      <c r="BI82" s="330">
        <v>2429374.4260425912</v>
      </c>
      <c r="BJ82" s="330">
        <v>2717092.7449284913</v>
      </c>
      <c r="BK82" s="330">
        <v>3010093.6968918457</v>
      </c>
      <c r="BL82" s="330">
        <v>3325414.5894657462</v>
      </c>
      <c r="BM82" s="330">
        <v>3690425.9159493577</v>
      </c>
      <c r="BN82" s="330">
        <v>4143935.1706127762</v>
      </c>
      <c r="BO82" s="330">
        <v>4722651.1159141911</v>
      </c>
      <c r="BP82" s="330">
        <v>5992048.8629153483</v>
      </c>
      <c r="BQ82" s="330">
        <f>'I-Project Contingency'!$E$61-AV82</f>
        <v>0</v>
      </c>
      <c r="BR82" s="330">
        <f>'I-Project Contingency'!$E$62-AW82</f>
        <v>0</v>
      </c>
      <c r="BS82" s="330">
        <f>'I-Project Contingency'!$E$63-AX82</f>
        <v>0</v>
      </c>
      <c r="BT82" s="330">
        <f>'I-Project Contingency'!$E$64-AY82</f>
        <v>0</v>
      </c>
      <c r="BU82" s="330">
        <f>'I-Project Contingency'!$E$65-AZ82</f>
        <v>0</v>
      </c>
      <c r="BV82" s="330">
        <f>'I-Project Contingency'!$E$66-BA82</f>
        <v>0</v>
      </c>
      <c r="BW82" s="330">
        <f>'I-Project Contingency'!$E$67-BB82</f>
        <v>0</v>
      </c>
      <c r="BX82" s="330">
        <f>'I-Project Contingency'!$E$68-BC82</f>
        <v>0</v>
      </c>
      <c r="BY82" s="330">
        <f>'I-Project Contingency'!$E$69-BD82</f>
        <v>0</v>
      </c>
      <c r="BZ82" s="330">
        <f>'I-Project Contingency'!$E$70-BE82</f>
        <v>0</v>
      </c>
      <c r="CA82" s="330">
        <f>'I-Project Contingency'!$E$71-BF82</f>
        <v>0</v>
      </c>
      <c r="CB82" s="330">
        <f>'I-Project Contingency'!$E$72-BG82</f>
        <v>0</v>
      </c>
      <c r="CC82" s="330">
        <f>'I-Project Contingency'!$E$73-BH82</f>
        <v>0</v>
      </c>
      <c r="CD82" s="330">
        <f>'I-Project Contingency'!$E$74-BI82</f>
        <v>0</v>
      </c>
      <c r="CE82" s="330">
        <f>'I-Project Contingency'!$E$75-BJ82</f>
        <v>0</v>
      </c>
      <c r="CF82" s="330">
        <f>'I-Project Contingency'!$E$76-BK82</f>
        <v>0</v>
      </c>
      <c r="CG82" s="330">
        <f>'I-Project Contingency'!$E$77-BL82</f>
        <v>0</v>
      </c>
      <c r="CH82" s="784">
        <f>'I-Project Contingency'!$E$78-BM82</f>
        <v>0</v>
      </c>
      <c r="CI82" s="330">
        <f>'I-Project Contingency'!$E$79-BN82</f>
        <v>0</v>
      </c>
      <c r="CJ82" s="330">
        <f>'I-Project Contingency'!$E$80-BO82</f>
        <v>0</v>
      </c>
      <c r="CK82" s="330">
        <f>'I-Project Contingency'!$E$81-BP82</f>
        <v>0</v>
      </c>
      <c r="CL82" s="331">
        <f>'I-Project Contingency'!$O$5-AG82</f>
        <v>0</v>
      </c>
      <c r="CM82" s="332">
        <v>-0.98711802853447173</v>
      </c>
      <c r="CN82" s="332">
        <v>-0.19547704728364468</v>
      </c>
      <c r="CO82" s="332">
        <v>0.126462150308498</v>
      </c>
      <c r="CP82" s="332">
        <v>0.45967989154545902</v>
      </c>
      <c r="CQ82" s="332">
        <v>0.78297319902744</v>
      </c>
      <c r="CR82" s="332">
        <v>1.0957191966482109</v>
      </c>
      <c r="CS82" s="332">
        <v>1.4418405003536849</v>
      </c>
      <c r="CT82" s="332">
        <v>1.801002404194165</v>
      </c>
      <c r="CU82" s="332">
        <v>2.1797608166947349</v>
      </c>
      <c r="CV82" s="332">
        <v>2.5671680610072478</v>
      </c>
      <c r="CW82" s="332">
        <v>2.9690760644797152</v>
      </c>
      <c r="CX82" s="332">
        <v>3.3964145469774811</v>
      </c>
      <c r="CY82" s="332">
        <v>3.864536087769562</v>
      </c>
      <c r="CZ82" s="332">
        <v>4.3569836138896116</v>
      </c>
      <c r="DA82" s="332">
        <v>4.8862357851222598</v>
      </c>
      <c r="DB82" s="332">
        <v>5.438836997347547</v>
      </c>
      <c r="DC82" s="332">
        <v>6.047993455908566</v>
      </c>
      <c r="DD82" s="785">
        <v>6.720204953601761</v>
      </c>
      <c r="DE82" s="333">
        <v>7.55131678090412</v>
      </c>
      <c r="DF82" s="332">
        <v>8.661446370835737</v>
      </c>
      <c r="DG82" s="332">
        <v>11.206316207857133</v>
      </c>
      <c r="DH82" s="332">
        <f>'I-Project Contingency'!$E$86-CM82</f>
        <v>0</v>
      </c>
      <c r="DI82" s="332">
        <f>'I-Project Contingency'!$E$87-CN82</f>
        <v>0</v>
      </c>
      <c r="DJ82" s="332">
        <f>'I-Project Contingency'!$E$88-CO82</f>
        <v>0</v>
      </c>
      <c r="DK82" s="332">
        <f>'I-Project Contingency'!$E$89-CP82</f>
        <v>0</v>
      </c>
      <c r="DL82" s="332">
        <f>'I-Project Contingency'!$E$90-CQ82</f>
        <v>0</v>
      </c>
      <c r="DM82" s="332">
        <f>'I-Project Contingency'!$E$91-CR82</f>
        <v>0</v>
      </c>
      <c r="DN82" s="332">
        <f>'I-Project Contingency'!$E$92-CS82</f>
        <v>0</v>
      </c>
      <c r="DO82" s="332">
        <f>'I-Project Contingency'!$E$93-CT82</f>
        <v>0</v>
      </c>
      <c r="DP82" s="332">
        <f>'I-Project Contingency'!$E$94-CU82</f>
        <v>0</v>
      </c>
      <c r="DQ82" s="332">
        <f>'I-Project Contingency'!$E$95-CV82</f>
        <v>0</v>
      </c>
      <c r="DR82" s="332">
        <f>'I-Project Contingency'!$E$96-CW82</f>
        <v>0</v>
      </c>
      <c r="DS82" s="332">
        <f>'I-Project Contingency'!$E$97-CX82</f>
        <v>0</v>
      </c>
      <c r="DT82" s="332">
        <f>'I-Project Contingency'!$E$98-CY82</f>
        <v>0</v>
      </c>
      <c r="DU82" s="332">
        <f>'I-Project Contingency'!$E$99-CZ82</f>
        <v>0</v>
      </c>
      <c r="DV82" s="332">
        <f>'I-Project Contingency'!$E$100-DA82</f>
        <v>0</v>
      </c>
      <c r="DW82" s="332">
        <f>'I-Project Contingency'!$E$101-DB82</f>
        <v>0</v>
      </c>
      <c r="DX82" s="332">
        <f>'I-Project Contingency'!$E$102-DC82</f>
        <v>0</v>
      </c>
      <c r="DY82" s="332">
        <f>'I-Project Contingency'!$E$103-DD82</f>
        <v>0</v>
      </c>
      <c r="DZ82" s="332">
        <f>'I-Project Contingency'!$E$104-DE82</f>
        <v>0</v>
      </c>
      <c r="EA82" s="332">
        <f>'I-Project Contingency'!$E$105-DF82</f>
        <v>0</v>
      </c>
      <c r="EB82" s="332">
        <f>'I-Project Contingency'!$E$106-DG82</f>
        <v>0</v>
      </c>
      <c r="EC82" s="334">
        <f>IF(EE82="N/A","N/A",ABS(INDEX(EE82:EY82,1,MATCH("ROM Cost Risk @ "&amp;'D-Project Data'!$C$6*100&amp;"%",$EE$17:$EY$17,0))))</f>
        <v>0</v>
      </c>
      <c r="ED82" s="335">
        <f>IF(EC82="N/A","N/A",RANK(EC82,$EC$18:$EC$117,0)+COUNTIF($EC$18:EC82,EC82)-1)</f>
        <v>65</v>
      </c>
      <c r="EE82" s="334">
        <f>IF(BQ82/SUM(BQ:BQ)*'I-Project Contingency'!$F$61=0,0,BQ82/SUM(BQ:BQ)*'I-Project Contingency'!$F$61)</f>
        <v>0</v>
      </c>
      <c r="EF82" s="334">
        <f>IF(BR82/SUM(BR:BR)*'I-Project Contingency'!$F$62=0,0,BR82/SUM(BR:BR)*'I-Project Contingency'!$F$62)</f>
        <v>0</v>
      </c>
      <c r="EG82" s="334">
        <f>IF(BS82/SUM(BS:BS)*'I-Project Contingency'!$F$63=0,0,BS82/SUM(BS:BS)*'I-Project Contingency'!$F$63)</f>
        <v>0</v>
      </c>
      <c r="EH82" s="334">
        <f>IF(BT82/SUM(BT:BT)*'I-Project Contingency'!$F$64=0,0,BT82/SUM(BT:BT)*'I-Project Contingency'!$F$64)</f>
        <v>0</v>
      </c>
      <c r="EI82" s="334">
        <f>IF(BU82/SUM(BU:BU)*'I-Project Contingency'!$F$65=0,0,BU82/SUM(BU:BU)*'I-Project Contingency'!$F$65)</f>
        <v>0</v>
      </c>
      <c r="EJ82" s="334">
        <f>IF(BV82/SUM(BV:BV)*'I-Project Contingency'!$F$66=0,0,BV82/SUM(BV:BV)*'I-Project Contingency'!$F$66)</f>
        <v>0</v>
      </c>
      <c r="EK82" s="334">
        <f>IF(BW82/SUM(BW:BW)*'I-Project Contingency'!$F$67=0,0,BW82/SUM(BW:BW)*'I-Project Contingency'!$F$67)</f>
        <v>0</v>
      </c>
      <c r="EL82" s="334">
        <f>IF(BX82/SUM(BX:BX)*'I-Project Contingency'!$F$68=0,0,BX82/SUM(BX:BX)*'I-Project Contingency'!$F$68)</f>
        <v>0</v>
      </c>
      <c r="EM82" s="334">
        <f>IF(BY82/SUM(BY:BY)*'I-Project Contingency'!$F$69=0,0,BY82/SUM(BY:BY)*'I-Project Contingency'!$F$69)</f>
        <v>0</v>
      </c>
      <c r="EN82" s="334">
        <f>IF(BZ82/SUM(BZ:BZ)*'I-Project Contingency'!$F$70=0,0,BZ82/SUM(BZ:BZ)*'I-Project Contingency'!$F$70)</f>
        <v>0</v>
      </c>
      <c r="EO82" s="334">
        <f>IF(CA82/SUM(CA:CA)*'I-Project Contingency'!$F$71=0,0,CA82/SUM(CA:CA)*'I-Project Contingency'!$F$71)</f>
        <v>0</v>
      </c>
      <c r="EP82" s="334">
        <f>IF(CB82/SUM(CB:CB)*'I-Project Contingency'!$F$72=0,0,CB82/SUM(CB:CB)*'I-Project Contingency'!$F$72)</f>
        <v>0</v>
      </c>
      <c r="EQ82" s="334">
        <f>IF(CC82/SUM(CC:CC)*'I-Project Contingency'!$F$73=0,0,CC82/SUM(CC:CC)*'I-Project Contingency'!$F$73)</f>
        <v>0</v>
      </c>
      <c r="ER82" s="334">
        <f>IF(CD82/SUM(CD:CD)*'I-Project Contingency'!$F$74=0,0,CD82/SUM(CD:CD)*'I-Project Contingency'!$F$74)</f>
        <v>0</v>
      </c>
      <c r="ES82" s="334">
        <f>IF(CE82/SUM(CE:CE)*'I-Project Contingency'!$F$75=0,0,CE82/SUM(CE:CE)*'I-Project Contingency'!$F$75)</f>
        <v>0</v>
      </c>
      <c r="ET82" s="334">
        <f>IF(CF82/SUM(CF:CF)*'I-Project Contingency'!$F$76=0,0,CF82/SUM(CF:CF)*'I-Project Contingency'!$F$76)</f>
        <v>0</v>
      </c>
      <c r="EU82" s="334">
        <f>IF(CG82/SUM(CG:CG)*'I-Project Contingency'!$F$77=0,0,CG82/SUM(CG:CG)*'I-Project Contingency'!$F$77)</f>
        <v>0</v>
      </c>
      <c r="EV82" s="787">
        <f>IF(CH82/SUM(CH:CH)*'I-Project Contingency'!$F$78=0,0,CH82/SUM(CH:CH)*'I-Project Contingency'!$F$78)</f>
        <v>0</v>
      </c>
      <c r="EW82" s="787">
        <f>IF(CI82/SUM(CI:CI)*'I-Project Contingency'!$F$79=0,0,CI82/SUM(CI:CI)*'I-Project Contingency'!$F$79)</f>
        <v>0</v>
      </c>
      <c r="EX82" s="787">
        <f>IF(CJ82/SUM(CJ:CJ)*'I-Project Contingency'!$F$80=0,0,CJ82/SUM(CJ:CJ)*'I-Project Contingency'!$F$80)</f>
        <v>0</v>
      </c>
      <c r="EY82" s="787">
        <f>IF(CK82/SUM(CK:CK)*'I-Project Contingency'!$F$81=0,0,CK82/SUM(CK:CK)*'I-Project Contingency'!$F$81)</f>
        <v>0</v>
      </c>
      <c r="EZ82" s="333">
        <f>IF(FB82="N/A","N/A",ABS(INDEX(FB82:FV82,1,MATCH("ROM Schedule Risk @ "&amp;'D-Project Data'!$C$6*100&amp;"%",$FB$17:$FV$17,0))))</f>
        <v>0</v>
      </c>
      <c r="FA82" s="335">
        <f>IF(EZ82="N/A","N/A",RANK(EZ82,$EZ$18:$EZ$117,0)+COUNTIF($FB$18:FB82,FB82)-1)</f>
        <v>65</v>
      </c>
      <c r="FB82" s="788">
        <f>IF(DH82/SUM(DH:DH)*'I-Project Contingency'!$F$86=0,0,DH82/SUM(DH:DH)*'I-Project Contingency'!$F$86)</f>
        <v>0</v>
      </c>
      <c r="FC82" s="788">
        <f>IF(DI82/SUM(DI:DI)*'I-Project Contingency'!$F$87=0,0,DI82/SUM(DI:DI)*'I-Project Contingency'!$F$87)</f>
        <v>0</v>
      </c>
      <c r="FD82" s="788">
        <f>IF(DJ82/SUM(DJ:DJ)*'I-Project Contingency'!$F$88=0,0,DJ82/SUM(DJ:DJ)*'I-Project Contingency'!$F$88)</f>
        <v>0</v>
      </c>
      <c r="FE82" s="788">
        <f>IF(DK82/SUM(DK:DK)*'I-Project Contingency'!$F$89=0,0,DK82/SUM(DK:DK)*'I-Project Contingency'!$F$89)</f>
        <v>0</v>
      </c>
      <c r="FF82" s="788">
        <f>IF(DL82/SUM(DL:DL)*'I-Project Contingency'!$F$90=0,0,DL82/SUM(DL:DL)*'I-Project Contingency'!$F$90)</f>
        <v>0</v>
      </c>
      <c r="FG82" s="788">
        <f>IF(DM82/SUM(DM:DM)*'I-Project Contingency'!$F$91=0,0,DM82/SUM(DM:DM)*'I-Project Contingency'!$F$91)</f>
        <v>0</v>
      </c>
      <c r="FH82" s="788">
        <f>IF(DN82/SUM(DN:DN)*'I-Project Contingency'!$F$92=0,0,DN82/SUM(DN:DN)*'I-Project Contingency'!$F$92)</f>
        <v>0</v>
      </c>
      <c r="FI82" s="788">
        <f>IF(DO82/SUM(DO:DO)*'I-Project Contingency'!$F$93=0,0,DO82/SUM(DO:DO)*'I-Project Contingency'!$F$93)</f>
        <v>0</v>
      </c>
      <c r="FJ82" s="788">
        <f>IF(DP82/SUM(DP:DP)*'I-Project Contingency'!$F$94=0,0,DP82/SUM(DP:DP)*'I-Project Contingency'!$F$94)</f>
        <v>0</v>
      </c>
      <c r="FK82" s="788">
        <f>IF(DQ82/SUM(DQ:DQ)*'I-Project Contingency'!$F$95=0,0,DQ82/SUM(DQ:DQ)*'I-Project Contingency'!$F$95)</f>
        <v>0</v>
      </c>
      <c r="FL82" s="788">
        <f>IF(DR82/SUM(DR:DR)*'I-Project Contingency'!$F$96=0,0,DR82/SUM(DR:DR)*'I-Project Contingency'!$F$96)</f>
        <v>0</v>
      </c>
      <c r="FM82" s="788">
        <f>IF(DS82/SUM(DS:DS)*'I-Project Contingency'!$F$97=0,0,DS82/SUM(DS:DS)*'I-Project Contingency'!$F$97)</f>
        <v>0</v>
      </c>
      <c r="FN82" s="788">
        <f>IF(DT82/SUM(DT:DT)*'I-Project Contingency'!$F$98=0,0,DT82/SUM(DT:DT)*'I-Project Contingency'!$F$98)</f>
        <v>0</v>
      </c>
      <c r="FO82" s="788">
        <f>IF(DU82/SUM(DU:DU)*'I-Project Contingency'!$F$99=0,0,DU82/SUM(DU:DU)*'I-Project Contingency'!$F$99)</f>
        <v>0</v>
      </c>
      <c r="FP82" s="788">
        <f>IF(DV82/SUM(DV:DV)*'I-Project Contingency'!$F$100=0,0,DV82/SUM(DV:DV)*'I-Project Contingency'!$F$100)</f>
        <v>0</v>
      </c>
      <c r="FQ82" s="788">
        <f>IF(DW82/SUM(DW:DW)*'I-Project Contingency'!$F$101=0,0,DW82/SUM(DW:DW)*'I-Project Contingency'!$F$101)</f>
        <v>0</v>
      </c>
      <c r="FR82" s="788">
        <f>IF(DX82/SUM(DX:DX)*'I-Project Contingency'!$F$102=0,0,DX82/SUM(DX:DX)*'I-Project Contingency'!$F$102)</f>
        <v>0</v>
      </c>
      <c r="FS82" s="788">
        <f>IF(DY82/SUM(DY:DY)*'I-Project Contingency'!$F$103=0,0,DY82/SUM(DY:DY)*'I-Project Contingency'!$F$103)</f>
        <v>0</v>
      </c>
      <c r="FT82" s="788">
        <f>IF(DZ82/SUM(DZ:DZ)*'I-Project Contingency'!$F$104=0,0,DZ82/SUM(DZ:DZ)*'I-Project Contingency'!$F$104)</f>
        <v>0</v>
      </c>
      <c r="FU82" s="788">
        <f>IF(EA82/SUM(EA:EA)*'I-Project Contingency'!$F$105=0,0,EA82/SUM(EA:EA)*'I-Project Contingency'!$F$105)</f>
        <v>0</v>
      </c>
      <c r="FV82" s="788">
        <f>IF(EB82/SUM(EB:EB)*'I-Project Contingency'!$F$106=0,0,EB82/SUM(EB:EB)*'I-Project Contingency'!$F$106)</f>
        <v>0</v>
      </c>
      <c r="FW82" s="335">
        <f t="shared" ref="FW82:FW117" si="52">A82</f>
        <v>65</v>
      </c>
      <c r="FX82" s="336" t="str">
        <f t="shared" ref="FX82:FX117" si="53">A82&amp;" - "&amp;C82</f>
        <v xml:space="preserve">65 -  </v>
      </c>
      <c r="FY82" s="330">
        <f t="shared" si="43"/>
        <v>0</v>
      </c>
      <c r="FZ82" s="330">
        <f t="shared" si="44"/>
        <v>0</v>
      </c>
      <c r="GA82" s="332">
        <f t="shared" ref="GA82:GA117" si="54">IFERROR(S82,0)</f>
        <v>0</v>
      </c>
      <c r="GB82" s="332">
        <f t="shared" ref="GB82:GB117" si="55">IFERROR(U82,0)</f>
        <v>0</v>
      </c>
    </row>
    <row r="83" spans="1:184" ht="30" x14ac:dyDescent="0.25">
      <c r="A83" s="163">
        <f t="shared" si="23"/>
        <v>66</v>
      </c>
      <c r="B83" s="727" t="s">
        <v>728</v>
      </c>
      <c r="C83" s="729" t="s">
        <v>659</v>
      </c>
      <c r="D83" s="729" t="s">
        <v>659</v>
      </c>
      <c r="E83" s="729" t="s">
        <v>659</v>
      </c>
      <c r="F83" s="728" t="s">
        <v>728</v>
      </c>
      <c r="G83" s="728" t="s">
        <v>728</v>
      </c>
      <c r="H83" s="157" t="str">
        <f>IFERROR(IF('H-Risk Register-Model'!F83="Certain","Relook at Basis of Estimate",INDEX('G-Assumptions'!$F$8:$J$11,MATCH(F83,'G-Assumptions'!$D$8:$D$11,0),MATCH(G83,'G-Assumptions'!$F$6:$J$6,0))),"Unrated")</f>
        <v>Unrated</v>
      </c>
      <c r="I83" s="728" t="s">
        <v>728</v>
      </c>
      <c r="J83" s="157" t="str">
        <f>IFERROR(IF('H-Risk Register-Model'!F83="Certain","Relook at Basis of Estimate",INDEX('G-Assumptions'!$F$8:$J$11,MATCH(F83,'G-Assumptions'!$D$8:$D$11,0),MATCH(I83,'G-Assumptions'!$F$6:$J$6,0))),"Unrated")</f>
        <v>Unrated</v>
      </c>
      <c r="K83" s="728" t="s">
        <v>728</v>
      </c>
      <c r="L83" s="728" t="s">
        <v>728</v>
      </c>
      <c r="M83" s="728"/>
      <c r="N83" s="731" t="s">
        <v>728</v>
      </c>
      <c r="O83" s="731" t="s">
        <v>728</v>
      </c>
      <c r="P83" s="732"/>
      <c r="Q83" s="732"/>
      <c r="R83" s="732"/>
      <c r="S83" s="733"/>
      <c r="T83" s="733"/>
      <c r="U83" s="733"/>
      <c r="V83" s="734"/>
      <c r="W83" s="732"/>
      <c r="X83" s="732"/>
      <c r="Y83" s="735">
        <v>1</v>
      </c>
      <c r="Z83" s="736">
        <v>1</v>
      </c>
      <c r="AA83" s="166">
        <f t="shared" ref="AA83:AA117" si="56">P83+V83</f>
        <v>0</v>
      </c>
      <c r="AB83" s="166">
        <f t="shared" ref="AB83:AB117" si="57">Q83+W83</f>
        <v>0</v>
      </c>
      <c r="AC83" s="166">
        <f t="shared" ref="AC83:AC117" si="58">R83+X83</f>
        <v>0</v>
      </c>
      <c r="AD83" s="166"/>
      <c r="AE83" s="164">
        <f t="shared" si="41"/>
        <v>0</v>
      </c>
      <c r="AF83" s="167"/>
      <c r="AG83" s="165">
        <f t="shared" si="42"/>
        <v>0</v>
      </c>
      <c r="AH83" s="729"/>
      <c r="AI83" s="729"/>
      <c r="AJ83" s="8"/>
      <c r="AK83" s="495" t="str">
        <f t="shared" si="45"/>
        <v>No</v>
      </c>
      <c r="AL83" s="496">
        <f>'I-Project Contingency'!$I$4</f>
        <v>9000000</v>
      </c>
      <c r="AM83" s="326">
        <f>'I-Project Contingency'!$I$11</f>
        <v>23.978102189781023</v>
      </c>
      <c r="AN83" s="325">
        <f t="shared" si="46"/>
        <v>0</v>
      </c>
      <c r="AO83" s="326">
        <f t="shared" si="47"/>
        <v>0</v>
      </c>
      <c r="AP83" s="641" t="str">
        <f t="shared" si="48"/>
        <v/>
      </c>
      <c r="AQ83" s="641" t="str">
        <f t="shared" si="49"/>
        <v/>
      </c>
      <c r="AR83" s="497" t="str">
        <f t="shared" si="50"/>
        <v/>
      </c>
      <c r="AS83" s="497" t="str">
        <f t="shared" si="51"/>
        <v/>
      </c>
      <c r="AT83" s="8"/>
      <c r="AU83" s="329">
        <f>'I-Project Contingency'!$O$4-AE83</f>
        <v>0</v>
      </c>
      <c r="AV83" s="330">
        <v>-240515.59579276721</v>
      </c>
      <c r="AW83" s="330">
        <v>28172.931401335634</v>
      </c>
      <c r="AX83" s="330">
        <v>193478.84467429668</v>
      </c>
      <c r="AY83" s="330">
        <v>361668.20104834624</v>
      </c>
      <c r="AZ83" s="330">
        <v>524446.91524262261</v>
      </c>
      <c r="BA83" s="330">
        <v>704023.56387635041</v>
      </c>
      <c r="BB83" s="330">
        <v>886394.06956240814</v>
      </c>
      <c r="BC83" s="330">
        <v>1079363.7165157665</v>
      </c>
      <c r="BD83" s="330">
        <v>1280180.1532065615</v>
      </c>
      <c r="BE83" s="330">
        <v>1485323.8019108465</v>
      </c>
      <c r="BF83" s="330">
        <v>1703758.8827524669</v>
      </c>
      <c r="BG83" s="330">
        <v>1949523.4346483489</v>
      </c>
      <c r="BH83" s="330">
        <v>2177897.1603371189</v>
      </c>
      <c r="BI83" s="330">
        <v>2429374.4260425912</v>
      </c>
      <c r="BJ83" s="330">
        <v>2717092.7449284913</v>
      </c>
      <c r="BK83" s="330">
        <v>3010093.6968918457</v>
      </c>
      <c r="BL83" s="330">
        <v>3325414.5894657462</v>
      </c>
      <c r="BM83" s="330">
        <v>3690425.9159493577</v>
      </c>
      <c r="BN83" s="330">
        <v>4143935.1706127762</v>
      </c>
      <c r="BO83" s="330">
        <v>4722651.1159141911</v>
      </c>
      <c r="BP83" s="330">
        <v>5992048.8629153483</v>
      </c>
      <c r="BQ83" s="330">
        <f>'I-Project Contingency'!$E$61-AV83</f>
        <v>0</v>
      </c>
      <c r="BR83" s="330">
        <f>'I-Project Contingency'!$E$62-AW83</f>
        <v>0</v>
      </c>
      <c r="BS83" s="330">
        <f>'I-Project Contingency'!$E$63-AX83</f>
        <v>0</v>
      </c>
      <c r="BT83" s="330">
        <f>'I-Project Contingency'!$E$64-AY83</f>
        <v>0</v>
      </c>
      <c r="BU83" s="330">
        <f>'I-Project Contingency'!$E$65-AZ83</f>
        <v>0</v>
      </c>
      <c r="BV83" s="330">
        <f>'I-Project Contingency'!$E$66-BA83</f>
        <v>0</v>
      </c>
      <c r="BW83" s="330">
        <f>'I-Project Contingency'!$E$67-BB83</f>
        <v>0</v>
      </c>
      <c r="BX83" s="330">
        <f>'I-Project Contingency'!$E$68-BC83</f>
        <v>0</v>
      </c>
      <c r="BY83" s="330">
        <f>'I-Project Contingency'!$E$69-BD83</f>
        <v>0</v>
      </c>
      <c r="BZ83" s="330">
        <f>'I-Project Contingency'!$E$70-BE83</f>
        <v>0</v>
      </c>
      <c r="CA83" s="330">
        <f>'I-Project Contingency'!$E$71-BF83</f>
        <v>0</v>
      </c>
      <c r="CB83" s="330">
        <f>'I-Project Contingency'!$E$72-BG83</f>
        <v>0</v>
      </c>
      <c r="CC83" s="330">
        <f>'I-Project Contingency'!$E$73-BH83</f>
        <v>0</v>
      </c>
      <c r="CD83" s="330">
        <f>'I-Project Contingency'!$E$74-BI83</f>
        <v>0</v>
      </c>
      <c r="CE83" s="330">
        <f>'I-Project Contingency'!$E$75-BJ83</f>
        <v>0</v>
      </c>
      <c r="CF83" s="330">
        <f>'I-Project Contingency'!$E$76-BK83</f>
        <v>0</v>
      </c>
      <c r="CG83" s="330">
        <f>'I-Project Contingency'!$E$77-BL83</f>
        <v>0</v>
      </c>
      <c r="CH83" s="784">
        <f>'I-Project Contingency'!$E$78-BM83</f>
        <v>0</v>
      </c>
      <c r="CI83" s="330">
        <f>'I-Project Contingency'!$E$79-BN83</f>
        <v>0</v>
      </c>
      <c r="CJ83" s="330">
        <f>'I-Project Contingency'!$E$80-BO83</f>
        <v>0</v>
      </c>
      <c r="CK83" s="330">
        <f>'I-Project Contingency'!$E$81-BP83</f>
        <v>0</v>
      </c>
      <c r="CL83" s="331">
        <f>'I-Project Contingency'!$O$5-AG83</f>
        <v>0</v>
      </c>
      <c r="CM83" s="332">
        <v>-0.98711802853447173</v>
      </c>
      <c r="CN83" s="332">
        <v>-0.19547704728364468</v>
      </c>
      <c r="CO83" s="332">
        <v>0.126462150308498</v>
      </c>
      <c r="CP83" s="332">
        <v>0.45967989154545902</v>
      </c>
      <c r="CQ83" s="332">
        <v>0.78297319902744</v>
      </c>
      <c r="CR83" s="332">
        <v>1.0957191966482109</v>
      </c>
      <c r="CS83" s="332">
        <v>1.4418405003536849</v>
      </c>
      <c r="CT83" s="332">
        <v>1.801002404194165</v>
      </c>
      <c r="CU83" s="332">
        <v>2.1797608166947349</v>
      </c>
      <c r="CV83" s="332">
        <v>2.5671680610072478</v>
      </c>
      <c r="CW83" s="332">
        <v>2.9690760644797152</v>
      </c>
      <c r="CX83" s="332">
        <v>3.3964145469774811</v>
      </c>
      <c r="CY83" s="332">
        <v>3.864536087769562</v>
      </c>
      <c r="CZ83" s="332">
        <v>4.3569836138896116</v>
      </c>
      <c r="DA83" s="332">
        <v>4.8862357851222598</v>
      </c>
      <c r="DB83" s="332">
        <v>5.438836997347547</v>
      </c>
      <c r="DC83" s="332">
        <v>6.047993455908566</v>
      </c>
      <c r="DD83" s="785">
        <v>6.720204953601761</v>
      </c>
      <c r="DE83" s="333">
        <v>7.55131678090412</v>
      </c>
      <c r="DF83" s="332">
        <v>8.661446370835737</v>
      </c>
      <c r="DG83" s="332">
        <v>11.206316207857133</v>
      </c>
      <c r="DH83" s="332">
        <f>'I-Project Contingency'!$E$86-CM83</f>
        <v>0</v>
      </c>
      <c r="DI83" s="332">
        <f>'I-Project Contingency'!$E$87-CN83</f>
        <v>0</v>
      </c>
      <c r="DJ83" s="332">
        <f>'I-Project Contingency'!$E$88-CO83</f>
        <v>0</v>
      </c>
      <c r="DK83" s="332">
        <f>'I-Project Contingency'!$E$89-CP83</f>
        <v>0</v>
      </c>
      <c r="DL83" s="332">
        <f>'I-Project Contingency'!$E$90-CQ83</f>
        <v>0</v>
      </c>
      <c r="DM83" s="332">
        <f>'I-Project Contingency'!$E$91-CR83</f>
        <v>0</v>
      </c>
      <c r="DN83" s="332">
        <f>'I-Project Contingency'!$E$92-CS83</f>
        <v>0</v>
      </c>
      <c r="DO83" s="332">
        <f>'I-Project Contingency'!$E$93-CT83</f>
        <v>0</v>
      </c>
      <c r="DP83" s="332">
        <f>'I-Project Contingency'!$E$94-CU83</f>
        <v>0</v>
      </c>
      <c r="DQ83" s="332">
        <f>'I-Project Contingency'!$E$95-CV83</f>
        <v>0</v>
      </c>
      <c r="DR83" s="332">
        <f>'I-Project Contingency'!$E$96-CW83</f>
        <v>0</v>
      </c>
      <c r="DS83" s="332">
        <f>'I-Project Contingency'!$E$97-CX83</f>
        <v>0</v>
      </c>
      <c r="DT83" s="332">
        <f>'I-Project Contingency'!$E$98-CY83</f>
        <v>0</v>
      </c>
      <c r="DU83" s="332">
        <f>'I-Project Contingency'!$E$99-CZ83</f>
        <v>0</v>
      </c>
      <c r="DV83" s="332">
        <f>'I-Project Contingency'!$E$100-DA83</f>
        <v>0</v>
      </c>
      <c r="DW83" s="332">
        <f>'I-Project Contingency'!$E$101-DB83</f>
        <v>0</v>
      </c>
      <c r="DX83" s="332">
        <f>'I-Project Contingency'!$E$102-DC83</f>
        <v>0</v>
      </c>
      <c r="DY83" s="332">
        <f>'I-Project Contingency'!$E$103-DD83</f>
        <v>0</v>
      </c>
      <c r="DZ83" s="332">
        <f>'I-Project Contingency'!$E$104-DE83</f>
        <v>0</v>
      </c>
      <c r="EA83" s="332">
        <f>'I-Project Contingency'!$E$105-DF83</f>
        <v>0</v>
      </c>
      <c r="EB83" s="332">
        <f>'I-Project Contingency'!$E$106-DG83</f>
        <v>0</v>
      </c>
      <c r="EC83" s="334">
        <f>IF(EE83="N/A","N/A",ABS(INDEX(EE83:EY83,1,MATCH("ROM Cost Risk @ "&amp;'D-Project Data'!$C$6*100&amp;"%",$EE$17:$EY$17,0))))</f>
        <v>0</v>
      </c>
      <c r="ED83" s="335">
        <f>IF(EC83="N/A","N/A",RANK(EC83,$EC$18:$EC$117,0)+COUNTIF($EC$18:EC83,EC83)-1)</f>
        <v>66</v>
      </c>
      <c r="EE83" s="334">
        <f>IF(BQ83/SUM(BQ:BQ)*'I-Project Contingency'!$F$61=0,0,BQ83/SUM(BQ:BQ)*'I-Project Contingency'!$F$61)</f>
        <v>0</v>
      </c>
      <c r="EF83" s="334">
        <f>IF(BR83/SUM(BR:BR)*'I-Project Contingency'!$F$62=0,0,BR83/SUM(BR:BR)*'I-Project Contingency'!$F$62)</f>
        <v>0</v>
      </c>
      <c r="EG83" s="334">
        <f>IF(BS83/SUM(BS:BS)*'I-Project Contingency'!$F$63=0,0,BS83/SUM(BS:BS)*'I-Project Contingency'!$F$63)</f>
        <v>0</v>
      </c>
      <c r="EH83" s="334">
        <f>IF(BT83/SUM(BT:BT)*'I-Project Contingency'!$F$64=0,0,BT83/SUM(BT:BT)*'I-Project Contingency'!$F$64)</f>
        <v>0</v>
      </c>
      <c r="EI83" s="334">
        <f>IF(BU83/SUM(BU:BU)*'I-Project Contingency'!$F$65=0,0,BU83/SUM(BU:BU)*'I-Project Contingency'!$F$65)</f>
        <v>0</v>
      </c>
      <c r="EJ83" s="334">
        <f>IF(BV83/SUM(BV:BV)*'I-Project Contingency'!$F$66=0,0,BV83/SUM(BV:BV)*'I-Project Contingency'!$F$66)</f>
        <v>0</v>
      </c>
      <c r="EK83" s="334">
        <f>IF(BW83/SUM(BW:BW)*'I-Project Contingency'!$F$67=0,0,BW83/SUM(BW:BW)*'I-Project Contingency'!$F$67)</f>
        <v>0</v>
      </c>
      <c r="EL83" s="334">
        <f>IF(BX83/SUM(BX:BX)*'I-Project Contingency'!$F$68=0,0,BX83/SUM(BX:BX)*'I-Project Contingency'!$F$68)</f>
        <v>0</v>
      </c>
      <c r="EM83" s="334">
        <f>IF(BY83/SUM(BY:BY)*'I-Project Contingency'!$F$69=0,0,BY83/SUM(BY:BY)*'I-Project Contingency'!$F$69)</f>
        <v>0</v>
      </c>
      <c r="EN83" s="334">
        <f>IF(BZ83/SUM(BZ:BZ)*'I-Project Contingency'!$F$70=0,0,BZ83/SUM(BZ:BZ)*'I-Project Contingency'!$F$70)</f>
        <v>0</v>
      </c>
      <c r="EO83" s="334">
        <f>IF(CA83/SUM(CA:CA)*'I-Project Contingency'!$F$71=0,0,CA83/SUM(CA:CA)*'I-Project Contingency'!$F$71)</f>
        <v>0</v>
      </c>
      <c r="EP83" s="334">
        <f>IF(CB83/SUM(CB:CB)*'I-Project Contingency'!$F$72=0,0,CB83/SUM(CB:CB)*'I-Project Contingency'!$F$72)</f>
        <v>0</v>
      </c>
      <c r="EQ83" s="334">
        <f>IF(CC83/SUM(CC:CC)*'I-Project Contingency'!$F$73=0,0,CC83/SUM(CC:CC)*'I-Project Contingency'!$F$73)</f>
        <v>0</v>
      </c>
      <c r="ER83" s="334">
        <f>IF(CD83/SUM(CD:CD)*'I-Project Contingency'!$F$74=0,0,CD83/SUM(CD:CD)*'I-Project Contingency'!$F$74)</f>
        <v>0</v>
      </c>
      <c r="ES83" s="334">
        <f>IF(CE83/SUM(CE:CE)*'I-Project Contingency'!$F$75=0,0,CE83/SUM(CE:CE)*'I-Project Contingency'!$F$75)</f>
        <v>0</v>
      </c>
      <c r="ET83" s="334">
        <f>IF(CF83/SUM(CF:CF)*'I-Project Contingency'!$F$76=0,0,CF83/SUM(CF:CF)*'I-Project Contingency'!$F$76)</f>
        <v>0</v>
      </c>
      <c r="EU83" s="334">
        <f>IF(CG83/SUM(CG:CG)*'I-Project Contingency'!$F$77=0,0,CG83/SUM(CG:CG)*'I-Project Contingency'!$F$77)</f>
        <v>0</v>
      </c>
      <c r="EV83" s="787">
        <f>IF(CH83/SUM(CH:CH)*'I-Project Contingency'!$F$78=0,0,CH83/SUM(CH:CH)*'I-Project Contingency'!$F$78)</f>
        <v>0</v>
      </c>
      <c r="EW83" s="787">
        <f>IF(CI83/SUM(CI:CI)*'I-Project Contingency'!$F$79=0,0,CI83/SUM(CI:CI)*'I-Project Contingency'!$F$79)</f>
        <v>0</v>
      </c>
      <c r="EX83" s="787">
        <f>IF(CJ83/SUM(CJ:CJ)*'I-Project Contingency'!$F$80=0,0,CJ83/SUM(CJ:CJ)*'I-Project Contingency'!$F$80)</f>
        <v>0</v>
      </c>
      <c r="EY83" s="787">
        <f>IF(CK83/SUM(CK:CK)*'I-Project Contingency'!$F$81=0,0,CK83/SUM(CK:CK)*'I-Project Contingency'!$F$81)</f>
        <v>0</v>
      </c>
      <c r="EZ83" s="333">
        <f>IF(FB83="N/A","N/A",ABS(INDEX(FB83:FV83,1,MATCH("ROM Schedule Risk @ "&amp;'D-Project Data'!$C$6*100&amp;"%",$FB$17:$FV$17,0))))</f>
        <v>0</v>
      </c>
      <c r="FA83" s="335">
        <f>IF(EZ83="N/A","N/A",RANK(EZ83,$EZ$18:$EZ$117,0)+COUNTIF($FB$18:FB83,FB83)-1)</f>
        <v>66</v>
      </c>
      <c r="FB83" s="788">
        <f>IF(DH83/SUM(DH:DH)*'I-Project Contingency'!$F$86=0,0,DH83/SUM(DH:DH)*'I-Project Contingency'!$F$86)</f>
        <v>0</v>
      </c>
      <c r="FC83" s="788">
        <f>IF(DI83/SUM(DI:DI)*'I-Project Contingency'!$F$87=0,0,DI83/SUM(DI:DI)*'I-Project Contingency'!$F$87)</f>
        <v>0</v>
      </c>
      <c r="FD83" s="788">
        <f>IF(DJ83/SUM(DJ:DJ)*'I-Project Contingency'!$F$88=0,0,DJ83/SUM(DJ:DJ)*'I-Project Contingency'!$F$88)</f>
        <v>0</v>
      </c>
      <c r="FE83" s="788">
        <f>IF(DK83/SUM(DK:DK)*'I-Project Contingency'!$F$89=0,0,DK83/SUM(DK:DK)*'I-Project Contingency'!$F$89)</f>
        <v>0</v>
      </c>
      <c r="FF83" s="788">
        <f>IF(DL83/SUM(DL:DL)*'I-Project Contingency'!$F$90=0,0,DL83/SUM(DL:DL)*'I-Project Contingency'!$F$90)</f>
        <v>0</v>
      </c>
      <c r="FG83" s="788">
        <f>IF(DM83/SUM(DM:DM)*'I-Project Contingency'!$F$91=0,0,DM83/SUM(DM:DM)*'I-Project Contingency'!$F$91)</f>
        <v>0</v>
      </c>
      <c r="FH83" s="788">
        <f>IF(DN83/SUM(DN:DN)*'I-Project Contingency'!$F$92=0,0,DN83/SUM(DN:DN)*'I-Project Contingency'!$F$92)</f>
        <v>0</v>
      </c>
      <c r="FI83" s="788">
        <f>IF(DO83/SUM(DO:DO)*'I-Project Contingency'!$F$93=0,0,DO83/SUM(DO:DO)*'I-Project Contingency'!$F$93)</f>
        <v>0</v>
      </c>
      <c r="FJ83" s="788">
        <f>IF(DP83/SUM(DP:DP)*'I-Project Contingency'!$F$94=0,0,DP83/SUM(DP:DP)*'I-Project Contingency'!$F$94)</f>
        <v>0</v>
      </c>
      <c r="FK83" s="788">
        <f>IF(DQ83/SUM(DQ:DQ)*'I-Project Contingency'!$F$95=0,0,DQ83/SUM(DQ:DQ)*'I-Project Contingency'!$F$95)</f>
        <v>0</v>
      </c>
      <c r="FL83" s="788">
        <f>IF(DR83/SUM(DR:DR)*'I-Project Contingency'!$F$96=0,0,DR83/SUM(DR:DR)*'I-Project Contingency'!$F$96)</f>
        <v>0</v>
      </c>
      <c r="FM83" s="788">
        <f>IF(DS83/SUM(DS:DS)*'I-Project Contingency'!$F$97=0,0,DS83/SUM(DS:DS)*'I-Project Contingency'!$F$97)</f>
        <v>0</v>
      </c>
      <c r="FN83" s="788">
        <f>IF(DT83/SUM(DT:DT)*'I-Project Contingency'!$F$98=0,0,DT83/SUM(DT:DT)*'I-Project Contingency'!$F$98)</f>
        <v>0</v>
      </c>
      <c r="FO83" s="788">
        <f>IF(DU83/SUM(DU:DU)*'I-Project Contingency'!$F$99=0,0,DU83/SUM(DU:DU)*'I-Project Contingency'!$F$99)</f>
        <v>0</v>
      </c>
      <c r="FP83" s="788">
        <f>IF(DV83/SUM(DV:DV)*'I-Project Contingency'!$F$100=0,0,DV83/SUM(DV:DV)*'I-Project Contingency'!$F$100)</f>
        <v>0</v>
      </c>
      <c r="FQ83" s="788">
        <f>IF(DW83/SUM(DW:DW)*'I-Project Contingency'!$F$101=0,0,DW83/SUM(DW:DW)*'I-Project Contingency'!$F$101)</f>
        <v>0</v>
      </c>
      <c r="FR83" s="788">
        <f>IF(DX83/SUM(DX:DX)*'I-Project Contingency'!$F$102=0,0,DX83/SUM(DX:DX)*'I-Project Contingency'!$F$102)</f>
        <v>0</v>
      </c>
      <c r="FS83" s="788">
        <f>IF(DY83/SUM(DY:DY)*'I-Project Contingency'!$F$103=0,0,DY83/SUM(DY:DY)*'I-Project Contingency'!$F$103)</f>
        <v>0</v>
      </c>
      <c r="FT83" s="788">
        <f>IF(DZ83/SUM(DZ:DZ)*'I-Project Contingency'!$F$104=0,0,DZ83/SUM(DZ:DZ)*'I-Project Contingency'!$F$104)</f>
        <v>0</v>
      </c>
      <c r="FU83" s="788">
        <f>IF(EA83/SUM(EA:EA)*'I-Project Contingency'!$F$105=0,0,EA83/SUM(EA:EA)*'I-Project Contingency'!$F$105)</f>
        <v>0</v>
      </c>
      <c r="FV83" s="788">
        <f>IF(EB83/SUM(EB:EB)*'I-Project Contingency'!$F$106=0,0,EB83/SUM(EB:EB)*'I-Project Contingency'!$F$106)</f>
        <v>0</v>
      </c>
      <c r="FW83" s="335">
        <f t="shared" si="52"/>
        <v>66</v>
      </c>
      <c r="FX83" s="336" t="str">
        <f t="shared" si="53"/>
        <v xml:space="preserve">66 -  </v>
      </c>
      <c r="FY83" s="330">
        <f t="shared" si="43"/>
        <v>0</v>
      </c>
      <c r="FZ83" s="330">
        <f t="shared" si="44"/>
        <v>0</v>
      </c>
      <c r="GA83" s="332">
        <f t="shared" si="54"/>
        <v>0</v>
      </c>
      <c r="GB83" s="332">
        <f t="shared" si="55"/>
        <v>0</v>
      </c>
    </row>
    <row r="84" spans="1:184" ht="30" x14ac:dyDescent="0.25">
      <c r="A84" s="163">
        <f t="shared" si="23"/>
        <v>67</v>
      </c>
      <c r="B84" s="727" t="s">
        <v>728</v>
      </c>
      <c r="C84" s="729" t="s">
        <v>659</v>
      </c>
      <c r="D84" s="729" t="s">
        <v>659</v>
      </c>
      <c r="E84" s="729" t="s">
        <v>659</v>
      </c>
      <c r="F84" s="728" t="s">
        <v>728</v>
      </c>
      <c r="G84" s="728" t="s">
        <v>728</v>
      </c>
      <c r="H84" s="157" t="str">
        <f>IFERROR(IF('H-Risk Register-Model'!F84="Certain","Relook at Basis of Estimate",INDEX('G-Assumptions'!$F$8:$J$11,MATCH(F84,'G-Assumptions'!$D$8:$D$11,0),MATCH(G84,'G-Assumptions'!$F$6:$J$6,0))),"Unrated")</f>
        <v>Unrated</v>
      </c>
      <c r="I84" s="728" t="s">
        <v>728</v>
      </c>
      <c r="J84" s="157" t="str">
        <f>IFERROR(IF('H-Risk Register-Model'!F84="Certain","Relook at Basis of Estimate",INDEX('G-Assumptions'!$F$8:$J$11,MATCH(F84,'G-Assumptions'!$D$8:$D$11,0),MATCH(I84,'G-Assumptions'!$F$6:$J$6,0))),"Unrated")</f>
        <v>Unrated</v>
      </c>
      <c r="K84" s="728" t="s">
        <v>728</v>
      </c>
      <c r="L84" s="728" t="s">
        <v>728</v>
      </c>
      <c r="M84" s="728"/>
      <c r="N84" s="731" t="s">
        <v>728</v>
      </c>
      <c r="O84" s="731" t="s">
        <v>728</v>
      </c>
      <c r="P84" s="732"/>
      <c r="Q84" s="732"/>
      <c r="R84" s="732"/>
      <c r="S84" s="733"/>
      <c r="T84" s="733"/>
      <c r="U84" s="733"/>
      <c r="V84" s="734"/>
      <c r="W84" s="732"/>
      <c r="X84" s="732"/>
      <c r="Y84" s="735">
        <v>1</v>
      </c>
      <c r="Z84" s="736">
        <v>1</v>
      </c>
      <c r="AA84" s="166">
        <f t="shared" si="56"/>
        <v>0</v>
      </c>
      <c r="AB84" s="166">
        <f t="shared" si="57"/>
        <v>0</v>
      </c>
      <c r="AC84" s="166">
        <f t="shared" si="58"/>
        <v>0</v>
      </c>
      <c r="AD84" s="166"/>
      <c r="AE84" s="164">
        <f t="shared" si="41"/>
        <v>0</v>
      </c>
      <c r="AF84" s="167"/>
      <c r="AG84" s="165">
        <f t="shared" si="42"/>
        <v>0</v>
      </c>
      <c r="AH84" s="729"/>
      <c r="AI84" s="729"/>
      <c r="AJ84" s="8"/>
      <c r="AK84" s="495" t="str">
        <f t="shared" si="45"/>
        <v>No</v>
      </c>
      <c r="AL84" s="496">
        <f>'I-Project Contingency'!$I$4</f>
        <v>9000000</v>
      </c>
      <c r="AM84" s="326">
        <f>'I-Project Contingency'!$I$11</f>
        <v>23.978102189781023</v>
      </c>
      <c r="AN84" s="325">
        <f t="shared" si="46"/>
        <v>0</v>
      </c>
      <c r="AO84" s="326">
        <f t="shared" si="47"/>
        <v>0</v>
      </c>
      <c r="AP84" s="641" t="str">
        <f t="shared" si="48"/>
        <v/>
      </c>
      <c r="AQ84" s="641" t="str">
        <f t="shared" si="49"/>
        <v/>
      </c>
      <c r="AR84" s="497" t="str">
        <f t="shared" si="50"/>
        <v/>
      </c>
      <c r="AS84" s="497" t="str">
        <f t="shared" si="51"/>
        <v/>
      </c>
      <c r="AT84" s="8"/>
      <c r="AU84" s="329">
        <f>'I-Project Contingency'!$O$4-AE84</f>
        <v>0</v>
      </c>
      <c r="AV84" s="330">
        <v>-240515.59579276721</v>
      </c>
      <c r="AW84" s="330">
        <v>28172.931401335634</v>
      </c>
      <c r="AX84" s="330">
        <v>193478.84467429668</v>
      </c>
      <c r="AY84" s="330">
        <v>361668.20104834624</v>
      </c>
      <c r="AZ84" s="330">
        <v>524446.91524262261</v>
      </c>
      <c r="BA84" s="330">
        <v>704023.56387635041</v>
      </c>
      <c r="BB84" s="330">
        <v>886394.06956240814</v>
      </c>
      <c r="BC84" s="330">
        <v>1079363.7165157665</v>
      </c>
      <c r="BD84" s="330">
        <v>1280180.1532065615</v>
      </c>
      <c r="BE84" s="330">
        <v>1485323.8019108465</v>
      </c>
      <c r="BF84" s="330">
        <v>1703758.8827524669</v>
      </c>
      <c r="BG84" s="330">
        <v>1949523.4346483489</v>
      </c>
      <c r="BH84" s="330">
        <v>2177897.1603371189</v>
      </c>
      <c r="BI84" s="330">
        <v>2429374.4260425912</v>
      </c>
      <c r="BJ84" s="330">
        <v>2717092.7449284913</v>
      </c>
      <c r="BK84" s="330">
        <v>3010093.6968918457</v>
      </c>
      <c r="BL84" s="330">
        <v>3325414.5894657462</v>
      </c>
      <c r="BM84" s="330">
        <v>3690425.9159493577</v>
      </c>
      <c r="BN84" s="330">
        <v>4143935.1706127762</v>
      </c>
      <c r="BO84" s="330">
        <v>4722651.1159141911</v>
      </c>
      <c r="BP84" s="330">
        <v>5992048.8629153483</v>
      </c>
      <c r="BQ84" s="330">
        <f>'I-Project Contingency'!$E$61-AV84</f>
        <v>0</v>
      </c>
      <c r="BR84" s="330">
        <f>'I-Project Contingency'!$E$62-AW84</f>
        <v>0</v>
      </c>
      <c r="BS84" s="330">
        <f>'I-Project Contingency'!$E$63-AX84</f>
        <v>0</v>
      </c>
      <c r="BT84" s="330">
        <f>'I-Project Contingency'!$E$64-AY84</f>
        <v>0</v>
      </c>
      <c r="BU84" s="330">
        <f>'I-Project Contingency'!$E$65-AZ84</f>
        <v>0</v>
      </c>
      <c r="BV84" s="330">
        <f>'I-Project Contingency'!$E$66-BA84</f>
        <v>0</v>
      </c>
      <c r="BW84" s="330">
        <f>'I-Project Contingency'!$E$67-BB84</f>
        <v>0</v>
      </c>
      <c r="BX84" s="330">
        <f>'I-Project Contingency'!$E$68-BC84</f>
        <v>0</v>
      </c>
      <c r="BY84" s="330">
        <f>'I-Project Contingency'!$E$69-BD84</f>
        <v>0</v>
      </c>
      <c r="BZ84" s="330">
        <f>'I-Project Contingency'!$E$70-BE84</f>
        <v>0</v>
      </c>
      <c r="CA84" s="330">
        <f>'I-Project Contingency'!$E$71-BF84</f>
        <v>0</v>
      </c>
      <c r="CB84" s="330">
        <f>'I-Project Contingency'!$E$72-BG84</f>
        <v>0</v>
      </c>
      <c r="CC84" s="330">
        <f>'I-Project Contingency'!$E$73-BH84</f>
        <v>0</v>
      </c>
      <c r="CD84" s="330">
        <f>'I-Project Contingency'!$E$74-BI84</f>
        <v>0</v>
      </c>
      <c r="CE84" s="330">
        <f>'I-Project Contingency'!$E$75-BJ84</f>
        <v>0</v>
      </c>
      <c r="CF84" s="330">
        <f>'I-Project Contingency'!$E$76-BK84</f>
        <v>0</v>
      </c>
      <c r="CG84" s="330">
        <f>'I-Project Contingency'!$E$77-BL84</f>
        <v>0</v>
      </c>
      <c r="CH84" s="784">
        <f>'I-Project Contingency'!$E$78-BM84</f>
        <v>0</v>
      </c>
      <c r="CI84" s="330">
        <f>'I-Project Contingency'!$E$79-BN84</f>
        <v>0</v>
      </c>
      <c r="CJ84" s="330">
        <f>'I-Project Contingency'!$E$80-BO84</f>
        <v>0</v>
      </c>
      <c r="CK84" s="330">
        <f>'I-Project Contingency'!$E$81-BP84</f>
        <v>0</v>
      </c>
      <c r="CL84" s="331">
        <f>'I-Project Contingency'!$O$5-AG84</f>
        <v>0</v>
      </c>
      <c r="CM84" s="332">
        <v>-0.98711802853447173</v>
      </c>
      <c r="CN84" s="332">
        <v>-0.19547704728364468</v>
      </c>
      <c r="CO84" s="332">
        <v>0.126462150308498</v>
      </c>
      <c r="CP84" s="332">
        <v>0.45967989154545902</v>
      </c>
      <c r="CQ84" s="332">
        <v>0.78297319902744</v>
      </c>
      <c r="CR84" s="332">
        <v>1.0957191966482109</v>
      </c>
      <c r="CS84" s="332">
        <v>1.4418405003536849</v>
      </c>
      <c r="CT84" s="332">
        <v>1.801002404194165</v>
      </c>
      <c r="CU84" s="332">
        <v>2.1797608166947349</v>
      </c>
      <c r="CV84" s="332">
        <v>2.5671680610072478</v>
      </c>
      <c r="CW84" s="332">
        <v>2.9690760644797152</v>
      </c>
      <c r="CX84" s="332">
        <v>3.3964145469774811</v>
      </c>
      <c r="CY84" s="332">
        <v>3.864536087769562</v>
      </c>
      <c r="CZ84" s="332">
        <v>4.3569836138896116</v>
      </c>
      <c r="DA84" s="332">
        <v>4.8862357851222598</v>
      </c>
      <c r="DB84" s="332">
        <v>5.438836997347547</v>
      </c>
      <c r="DC84" s="332">
        <v>6.047993455908566</v>
      </c>
      <c r="DD84" s="785">
        <v>6.720204953601761</v>
      </c>
      <c r="DE84" s="333">
        <v>7.55131678090412</v>
      </c>
      <c r="DF84" s="332">
        <v>8.661446370835737</v>
      </c>
      <c r="DG84" s="332">
        <v>11.206316207857133</v>
      </c>
      <c r="DH84" s="332">
        <f>'I-Project Contingency'!$E$86-CM84</f>
        <v>0</v>
      </c>
      <c r="DI84" s="332">
        <f>'I-Project Contingency'!$E$87-CN84</f>
        <v>0</v>
      </c>
      <c r="DJ84" s="332">
        <f>'I-Project Contingency'!$E$88-CO84</f>
        <v>0</v>
      </c>
      <c r="DK84" s="332">
        <f>'I-Project Contingency'!$E$89-CP84</f>
        <v>0</v>
      </c>
      <c r="DL84" s="332">
        <f>'I-Project Contingency'!$E$90-CQ84</f>
        <v>0</v>
      </c>
      <c r="DM84" s="332">
        <f>'I-Project Contingency'!$E$91-CR84</f>
        <v>0</v>
      </c>
      <c r="DN84" s="332">
        <f>'I-Project Contingency'!$E$92-CS84</f>
        <v>0</v>
      </c>
      <c r="DO84" s="332">
        <f>'I-Project Contingency'!$E$93-CT84</f>
        <v>0</v>
      </c>
      <c r="DP84" s="332">
        <f>'I-Project Contingency'!$E$94-CU84</f>
        <v>0</v>
      </c>
      <c r="DQ84" s="332">
        <f>'I-Project Contingency'!$E$95-CV84</f>
        <v>0</v>
      </c>
      <c r="DR84" s="332">
        <f>'I-Project Contingency'!$E$96-CW84</f>
        <v>0</v>
      </c>
      <c r="DS84" s="332">
        <f>'I-Project Contingency'!$E$97-CX84</f>
        <v>0</v>
      </c>
      <c r="DT84" s="332">
        <f>'I-Project Contingency'!$E$98-CY84</f>
        <v>0</v>
      </c>
      <c r="DU84" s="332">
        <f>'I-Project Contingency'!$E$99-CZ84</f>
        <v>0</v>
      </c>
      <c r="DV84" s="332">
        <f>'I-Project Contingency'!$E$100-DA84</f>
        <v>0</v>
      </c>
      <c r="DW84" s="332">
        <f>'I-Project Contingency'!$E$101-DB84</f>
        <v>0</v>
      </c>
      <c r="DX84" s="332">
        <f>'I-Project Contingency'!$E$102-DC84</f>
        <v>0</v>
      </c>
      <c r="DY84" s="332">
        <f>'I-Project Contingency'!$E$103-DD84</f>
        <v>0</v>
      </c>
      <c r="DZ84" s="332">
        <f>'I-Project Contingency'!$E$104-DE84</f>
        <v>0</v>
      </c>
      <c r="EA84" s="332">
        <f>'I-Project Contingency'!$E$105-DF84</f>
        <v>0</v>
      </c>
      <c r="EB84" s="332">
        <f>'I-Project Contingency'!$E$106-DG84</f>
        <v>0</v>
      </c>
      <c r="EC84" s="334">
        <f>IF(EE84="N/A","N/A",ABS(INDEX(EE84:EY84,1,MATCH("ROM Cost Risk @ "&amp;'D-Project Data'!$C$6*100&amp;"%",$EE$17:$EY$17,0))))</f>
        <v>0</v>
      </c>
      <c r="ED84" s="335">
        <f>IF(EC84="N/A","N/A",RANK(EC84,$EC$18:$EC$117,0)+COUNTIF($EC$18:EC84,EC84)-1)</f>
        <v>67</v>
      </c>
      <c r="EE84" s="334">
        <f>IF(BQ84/SUM(BQ:BQ)*'I-Project Contingency'!$F$61=0,0,BQ84/SUM(BQ:BQ)*'I-Project Contingency'!$F$61)</f>
        <v>0</v>
      </c>
      <c r="EF84" s="334">
        <f>IF(BR84/SUM(BR:BR)*'I-Project Contingency'!$F$62=0,0,BR84/SUM(BR:BR)*'I-Project Contingency'!$F$62)</f>
        <v>0</v>
      </c>
      <c r="EG84" s="334">
        <f>IF(BS84/SUM(BS:BS)*'I-Project Contingency'!$F$63=0,0,BS84/SUM(BS:BS)*'I-Project Contingency'!$F$63)</f>
        <v>0</v>
      </c>
      <c r="EH84" s="334">
        <f>IF(BT84/SUM(BT:BT)*'I-Project Contingency'!$F$64=0,0,BT84/SUM(BT:BT)*'I-Project Contingency'!$F$64)</f>
        <v>0</v>
      </c>
      <c r="EI84" s="334">
        <f>IF(BU84/SUM(BU:BU)*'I-Project Contingency'!$F$65=0,0,BU84/SUM(BU:BU)*'I-Project Contingency'!$F$65)</f>
        <v>0</v>
      </c>
      <c r="EJ84" s="334">
        <f>IF(BV84/SUM(BV:BV)*'I-Project Contingency'!$F$66=0,0,BV84/SUM(BV:BV)*'I-Project Contingency'!$F$66)</f>
        <v>0</v>
      </c>
      <c r="EK84" s="334">
        <f>IF(BW84/SUM(BW:BW)*'I-Project Contingency'!$F$67=0,0,BW84/SUM(BW:BW)*'I-Project Contingency'!$F$67)</f>
        <v>0</v>
      </c>
      <c r="EL84" s="334">
        <f>IF(BX84/SUM(BX:BX)*'I-Project Contingency'!$F$68=0,0,BX84/SUM(BX:BX)*'I-Project Contingency'!$F$68)</f>
        <v>0</v>
      </c>
      <c r="EM84" s="334">
        <f>IF(BY84/SUM(BY:BY)*'I-Project Contingency'!$F$69=0,0,BY84/SUM(BY:BY)*'I-Project Contingency'!$F$69)</f>
        <v>0</v>
      </c>
      <c r="EN84" s="334">
        <f>IF(BZ84/SUM(BZ:BZ)*'I-Project Contingency'!$F$70=0,0,BZ84/SUM(BZ:BZ)*'I-Project Contingency'!$F$70)</f>
        <v>0</v>
      </c>
      <c r="EO84" s="334">
        <f>IF(CA84/SUM(CA:CA)*'I-Project Contingency'!$F$71=0,0,CA84/SUM(CA:CA)*'I-Project Contingency'!$F$71)</f>
        <v>0</v>
      </c>
      <c r="EP84" s="334">
        <f>IF(CB84/SUM(CB:CB)*'I-Project Contingency'!$F$72=0,0,CB84/SUM(CB:CB)*'I-Project Contingency'!$F$72)</f>
        <v>0</v>
      </c>
      <c r="EQ84" s="334">
        <f>IF(CC84/SUM(CC:CC)*'I-Project Contingency'!$F$73=0,0,CC84/SUM(CC:CC)*'I-Project Contingency'!$F$73)</f>
        <v>0</v>
      </c>
      <c r="ER84" s="334">
        <f>IF(CD84/SUM(CD:CD)*'I-Project Contingency'!$F$74=0,0,CD84/SUM(CD:CD)*'I-Project Contingency'!$F$74)</f>
        <v>0</v>
      </c>
      <c r="ES84" s="334">
        <f>IF(CE84/SUM(CE:CE)*'I-Project Contingency'!$F$75=0,0,CE84/SUM(CE:CE)*'I-Project Contingency'!$F$75)</f>
        <v>0</v>
      </c>
      <c r="ET84" s="334">
        <f>IF(CF84/SUM(CF:CF)*'I-Project Contingency'!$F$76=0,0,CF84/SUM(CF:CF)*'I-Project Contingency'!$F$76)</f>
        <v>0</v>
      </c>
      <c r="EU84" s="334">
        <f>IF(CG84/SUM(CG:CG)*'I-Project Contingency'!$F$77=0,0,CG84/SUM(CG:CG)*'I-Project Contingency'!$F$77)</f>
        <v>0</v>
      </c>
      <c r="EV84" s="787">
        <f>IF(CH84/SUM(CH:CH)*'I-Project Contingency'!$F$78=0,0,CH84/SUM(CH:CH)*'I-Project Contingency'!$F$78)</f>
        <v>0</v>
      </c>
      <c r="EW84" s="787">
        <f>IF(CI84/SUM(CI:CI)*'I-Project Contingency'!$F$79=0,0,CI84/SUM(CI:CI)*'I-Project Contingency'!$F$79)</f>
        <v>0</v>
      </c>
      <c r="EX84" s="787">
        <f>IF(CJ84/SUM(CJ:CJ)*'I-Project Contingency'!$F$80=0,0,CJ84/SUM(CJ:CJ)*'I-Project Contingency'!$F$80)</f>
        <v>0</v>
      </c>
      <c r="EY84" s="787">
        <f>IF(CK84/SUM(CK:CK)*'I-Project Contingency'!$F$81=0,0,CK84/SUM(CK:CK)*'I-Project Contingency'!$F$81)</f>
        <v>0</v>
      </c>
      <c r="EZ84" s="333">
        <f>IF(FB84="N/A","N/A",ABS(INDEX(FB84:FV84,1,MATCH("ROM Schedule Risk @ "&amp;'D-Project Data'!$C$6*100&amp;"%",$FB$17:$FV$17,0))))</f>
        <v>0</v>
      </c>
      <c r="FA84" s="335">
        <f>IF(EZ84="N/A","N/A",RANK(EZ84,$EZ$18:$EZ$117,0)+COUNTIF($FB$18:FB84,FB84)-1)</f>
        <v>67</v>
      </c>
      <c r="FB84" s="788">
        <f>IF(DH84/SUM(DH:DH)*'I-Project Contingency'!$F$86=0,0,DH84/SUM(DH:DH)*'I-Project Contingency'!$F$86)</f>
        <v>0</v>
      </c>
      <c r="FC84" s="788">
        <f>IF(DI84/SUM(DI:DI)*'I-Project Contingency'!$F$87=0,0,DI84/SUM(DI:DI)*'I-Project Contingency'!$F$87)</f>
        <v>0</v>
      </c>
      <c r="FD84" s="788">
        <f>IF(DJ84/SUM(DJ:DJ)*'I-Project Contingency'!$F$88=0,0,DJ84/SUM(DJ:DJ)*'I-Project Contingency'!$F$88)</f>
        <v>0</v>
      </c>
      <c r="FE84" s="788">
        <f>IF(DK84/SUM(DK:DK)*'I-Project Contingency'!$F$89=0,0,DK84/SUM(DK:DK)*'I-Project Contingency'!$F$89)</f>
        <v>0</v>
      </c>
      <c r="FF84" s="788">
        <f>IF(DL84/SUM(DL:DL)*'I-Project Contingency'!$F$90=0,0,DL84/SUM(DL:DL)*'I-Project Contingency'!$F$90)</f>
        <v>0</v>
      </c>
      <c r="FG84" s="788">
        <f>IF(DM84/SUM(DM:DM)*'I-Project Contingency'!$F$91=0,0,DM84/SUM(DM:DM)*'I-Project Contingency'!$F$91)</f>
        <v>0</v>
      </c>
      <c r="FH84" s="788">
        <f>IF(DN84/SUM(DN:DN)*'I-Project Contingency'!$F$92=0,0,DN84/SUM(DN:DN)*'I-Project Contingency'!$F$92)</f>
        <v>0</v>
      </c>
      <c r="FI84" s="788">
        <f>IF(DO84/SUM(DO:DO)*'I-Project Contingency'!$F$93=0,0,DO84/SUM(DO:DO)*'I-Project Contingency'!$F$93)</f>
        <v>0</v>
      </c>
      <c r="FJ84" s="788">
        <f>IF(DP84/SUM(DP:DP)*'I-Project Contingency'!$F$94=0,0,DP84/SUM(DP:DP)*'I-Project Contingency'!$F$94)</f>
        <v>0</v>
      </c>
      <c r="FK84" s="788">
        <f>IF(DQ84/SUM(DQ:DQ)*'I-Project Contingency'!$F$95=0,0,DQ84/SUM(DQ:DQ)*'I-Project Contingency'!$F$95)</f>
        <v>0</v>
      </c>
      <c r="FL84" s="788">
        <f>IF(DR84/SUM(DR:DR)*'I-Project Contingency'!$F$96=0,0,DR84/SUM(DR:DR)*'I-Project Contingency'!$F$96)</f>
        <v>0</v>
      </c>
      <c r="FM84" s="788">
        <f>IF(DS84/SUM(DS:DS)*'I-Project Contingency'!$F$97=0,0,DS84/SUM(DS:DS)*'I-Project Contingency'!$F$97)</f>
        <v>0</v>
      </c>
      <c r="FN84" s="788">
        <f>IF(DT84/SUM(DT:DT)*'I-Project Contingency'!$F$98=0,0,DT84/SUM(DT:DT)*'I-Project Contingency'!$F$98)</f>
        <v>0</v>
      </c>
      <c r="FO84" s="788">
        <f>IF(DU84/SUM(DU:DU)*'I-Project Contingency'!$F$99=0,0,DU84/SUM(DU:DU)*'I-Project Contingency'!$F$99)</f>
        <v>0</v>
      </c>
      <c r="FP84" s="788">
        <f>IF(DV84/SUM(DV:DV)*'I-Project Contingency'!$F$100=0,0,DV84/SUM(DV:DV)*'I-Project Contingency'!$F$100)</f>
        <v>0</v>
      </c>
      <c r="FQ84" s="788">
        <f>IF(DW84/SUM(DW:DW)*'I-Project Contingency'!$F$101=0,0,DW84/SUM(DW:DW)*'I-Project Contingency'!$F$101)</f>
        <v>0</v>
      </c>
      <c r="FR84" s="788">
        <f>IF(DX84/SUM(DX:DX)*'I-Project Contingency'!$F$102=0,0,DX84/SUM(DX:DX)*'I-Project Contingency'!$F$102)</f>
        <v>0</v>
      </c>
      <c r="FS84" s="788">
        <f>IF(DY84/SUM(DY:DY)*'I-Project Contingency'!$F$103=0,0,DY84/SUM(DY:DY)*'I-Project Contingency'!$F$103)</f>
        <v>0</v>
      </c>
      <c r="FT84" s="788">
        <f>IF(DZ84/SUM(DZ:DZ)*'I-Project Contingency'!$F$104=0,0,DZ84/SUM(DZ:DZ)*'I-Project Contingency'!$F$104)</f>
        <v>0</v>
      </c>
      <c r="FU84" s="788">
        <f>IF(EA84/SUM(EA:EA)*'I-Project Contingency'!$F$105=0,0,EA84/SUM(EA:EA)*'I-Project Contingency'!$F$105)</f>
        <v>0</v>
      </c>
      <c r="FV84" s="788">
        <f>IF(EB84/SUM(EB:EB)*'I-Project Contingency'!$F$106=0,0,EB84/SUM(EB:EB)*'I-Project Contingency'!$F$106)</f>
        <v>0</v>
      </c>
      <c r="FW84" s="335">
        <f t="shared" si="52"/>
        <v>67</v>
      </c>
      <c r="FX84" s="336" t="str">
        <f t="shared" si="53"/>
        <v xml:space="preserve">67 -  </v>
      </c>
      <c r="FY84" s="330">
        <f t="shared" si="43"/>
        <v>0</v>
      </c>
      <c r="FZ84" s="330">
        <f t="shared" si="44"/>
        <v>0</v>
      </c>
      <c r="GA84" s="332">
        <f t="shared" si="54"/>
        <v>0</v>
      </c>
      <c r="GB84" s="332">
        <f t="shared" si="55"/>
        <v>0</v>
      </c>
    </row>
    <row r="85" spans="1:184" ht="30" x14ac:dyDescent="0.25">
      <c r="A85" s="163">
        <f t="shared" si="23"/>
        <v>68</v>
      </c>
      <c r="B85" s="727" t="s">
        <v>728</v>
      </c>
      <c r="C85" s="729" t="s">
        <v>659</v>
      </c>
      <c r="D85" s="729" t="s">
        <v>659</v>
      </c>
      <c r="E85" s="729" t="s">
        <v>659</v>
      </c>
      <c r="F85" s="728" t="s">
        <v>728</v>
      </c>
      <c r="G85" s="728" t="s">
        <v>728</v>
      </c>
      <c r="H85" s="157" t="str">
        <f>IFERROR(IF('H-Risk Register-Model'!F85="Certain","Relook at Basis of Estimate",INDEX('G-Assumptions'!$F$8:$J$11,MATCH(F85,'G-Assumptions'!$D$8:$D$11,0),MATCH(G85,'G-Assumptions'!$F$6:$J$6,0))),"Unrated")</f>
        <v>Unrated</v>
      </c>
      <c r="I85" s="728" t="s">
        <v>728</v>
      </c>
      <c r="J85" s="157" t="str">
        <f>IFERROR(IF('H-Risk Register-Model'!F85="Certain","Relook at Basis of Estimate",INDEX('G-Assumptions'!$F$8:$J$11,MATCH(F85,'G-Assumptions'!$D$8:$D$11,0),MATCH(I85,'G-Assumptions'!$F$6:$J$6,0))),"Unrated")</f>
        <v>Unrated</v>
      </c>
      <c r="K85" s="728" t="s">
        <v>728</v>
      </c>
      <c r="L85" s="728" t="s">
        <v>728</v>
      </c>
      <c r="M85" s="728"/>
      <c r="N85" s="731" t="s">
        <v>728</v>
      </c>
      <c r="O85" s="731" t="s">
        <v>728</v>
      </c>
      <c r="P85" s="732"/>
      <c r="Q85" s="732"/>
      <c r="R85" s="732"/>
      <c r="S85" s="733"/>
      <c r="T85" s="733"/>
      <c r="U85" s="733"/>
      <c r="V85" s="734"/>
      <c r="W85" s="732"/>
      <c r="X85" s="732"/>
      <c r="Y85" s="735">
        <v>1</v>
      </c>
      <c r="Z85" s="736">
        <v>1</v>
      </c>
      <c r="AA85" s="166">
        <f t="shared" si="56"/>
        <v>0</v>
      </c>
      <c r="AB85" s="166">
        <f t="shared" si="57"/>
        <v>0</v>
      </c>
      <c r="AC85" s="166">
        <f t="shared" si="58"/>
        <v>0</v>
      </c>
      <c r="AD85" s="166"/>
      <c r="AE85" s="164">
        <f t="shared" si="41"/>
        <v>0</v>
      </c>
      <c r="AF85" s="167"/>
      <c r="AG85" s="165">
        <f t="shared" si="42"/>
        <v>0</v>
      </c>
      <c r="AH85" s="729"/>
      <c r="AI85" s="729"/>
      <c r="AJ85" s="8"/>
      <c r="AK85" s="495" t="str">
        <f t="shared" si="45"/>
        <v>No</v>
      </c>
      <c r="AL85" s="496">
        <f>'I-Project Contingency'!$I$4</f>
        <v>9000000</v>
      </c>
      <c r="AM85" s="326">
        <f>'I-Project Contingency'!$I$11</f>
        <v>23.978102189781023</v>
      </c>
      <c r="AN85" s="325">
        <f t="shared" si="46"/>
        <v>0</v>
      </c>
      <c r="AO85" s="326">
        <f t="shared" si="47"/>
        <v>0</v>
      </c>
      <c r="AP85" s="641" t="str">
        <f t="shared" si="48"/>
        <v/>
      </c>
      <c r="AQ85" s="641" t="str">
        <f t="shared" si="49"/>
        <v/>
      </c>
      <c r="AR85" s="497" t="str">
        <f t="shared" si="50"/>
        <v/>
      </c>
      <c r="AS85" s="497" t="str">
        <f t="shared" si="51"/>
        <v/>
      </c>
      <c r="AT85" s="8"/>
      <c r="AU85" s="329">
        <f>'I-Project Contingency'!$O$4-AE85</f>
        <v>0</v>
      </c>
      <c r="AV85" s="330">
        <v>-240515.59579276721</v>
      </c>
      <c r="AW85" s="330">
        <v>28172.931401335634</v>
      </c>
      <c r="AX85" s="330">
        <v>193478.84467429668</v>
      </c>
      <c r="AY85" s="330">
        <v>361668.20104834624</v>
      </c>
      <c r="AZ85" s="330">
        <v>524446.91524262261</v>
      </c>
      <c r="BA85" s="330">
        <v>704023.56387635041</v>
      </c>
      <c r="BB85" s="330">
        <v>886394.06956240814</v>
      </c>
      <c r="BC85" s="330">
        <v>1079363.7165157665</v>
      </c>
      <c r="BD85" s="330">
        <v>1280180.1532065615</v>
      </c>
      <c r="BE85" s="330">
        <v>1485323.8019108465</v>
      </c>
      <c r="BF85" s="330">
        <v>1703758.8827524669</v>
      </c>
      <c r="BG85" s="330">
        <v>1949523.4346483489</v>
      </c>
      <c r="BH85" s="330">
        <v>2177897.1603371189</v>
      </c>
      <c r="BI85" s="330">
        <v>2429374.4260425912</v>
      </c>
      <c r="BJ85" s="330">
        <v>2717092.7449284913</v>
      </c>
      <c r="BK85" s="330">
        <v>3010093.6968918457</v>
      </c>
      <c r="BL85" s="330">
        <v>3325414.5894657462</v>
      </c>
      <c r="BM85" s="330">
        <v>3690425.9159493577</v>
      </c>
      <c r="BN85" s="330">
        <v>4143935.1706127762</v>
      </c>
      <c r="BO85" s="330">
        <v>4722651.1159141911</v>
      </c>
      <c r="BP85" s="330">
        <v>5992048.8629153483</v>
      </c>
      <c r="BQ85" s="330">
        <f>'I-Project Contingency'!$E$61-AV85</f>
        <v>0</v>
      </c>
      <c r="BR85" s="330">
        <f>'I-Project Contingency'!$E$62-AW85</f>
        <v>0</v>
      </c>
      <c r="BS85" s="330">
        <f>'I-Project Contingency'!$E$63-AX85</f>
        <v>0</v>
      </c>
      <c r="BT85" s="330">
        <f>'I-Project Contingency'!$E$64-AY85</f>
        <v>0</v>
      </c>
      <c r="BU85" s="330">
        <f>'I-Project Contingency'!$E$65-AZ85</f>
        <v>0</v>
      </c>
      <c r="BV85" s="330">
        <f>'I-Project Contingency'!$E$66-BA85</f>
        <v>0</v>
      </c>
      <c r="BW85" s="330">
        <f>'I-Project Contingency'!$E$67-BB85</f>
        <v>0</v>
      </c>
      <c r="BX85" s="330">
        <f>'I-Project Contingency'!$E$68-BC85</f>
        <v>0</v>
      </c>
      <c r="BY85" s="330">
        <f>'I-Project Contingency'!$E$69-BD85</f>
        <v>0</v>
      </c>
      <c r="BZ85" s="330">
        <f>'I-Project Contingency'!$E$70-BE85</f>
        <v>0</v>
      </c>
      <c r="CA85" s="330">
        <f>'I-Project Contingency'!$E$71-BF85</f>
        <v>0</v>
      </c>
      <c r="CB85" s="330">
        <f>'I-Project Contingency'!$E$72-BG85</f>
        <v>0</v>
      </c>
      <c r="CC85" s="330">
        <f>'I-Project Contingency'!$E$73-BH85</f>
        <v>0</v>
      </c>
      <c r="CD85" s="330">
        <f>'I-Project Contingency'!$E$74-BI85</f>
        <v>0</v>
      </c>
      <c r="CE85" s="330">
        <f>'I-Project Contingency'!$E$75-BJ85</f>
        <v>0</v>
      </c>
      <c r="CF85" s="330">
        <f>'I-Project Contingency'!$E$76-BK85</f>
        <v>0</v>
      </c>
      <c r="CG85" s="330">
        <f>'I-Project Contingency'!$E$77-BL85</f>
        <v>0</v>
      </c>
      <c r="CH85" s="784">
        <f>'I-Project Contingency'!$E$78-BM85</f>
        <v>0</v>
      </c>
      <c r="CI85" s="330">
        <f>'I-Project Contingency'!$E$79-BN85</f>
        <v>0</v>
      </c>
      <c r="CJ85" s="330">
        <f>'I-Project Contingency'!$E$80-BO85</f>
        <v>0</v>
      </c>
      <c r="CK85" s="330">
        <f>'I-Project Contingency'!$E$81-BP85</f>
        <v>0</v>
      </c>
      <c r="CL85" s="331">
        <f>'I-Project Contingency'!$O$5-AG85</f>
        <v>0</v>
      </c>
      <c r="CM85" s="332">
        <v>-0.98711802853447173</v>
      </c>
      <c r="CN85" s="332">
        <v>-0.19547704728364468</v>
      </c>
      <c r="CO85" s="332">
        <v>0.126462150308498</v>
      </c>
      <c r="CP85" s="332">
        <v>0.45967989154545902</v>
      </c>
      <c r="CQ85" s="332">
        <v>0.78297319902744</v>
      </c>
      <c r="CR85" s="332">
        <v>1.0957191966482109</v>
      </c>
      <c r="CS85" s="332">
        <v>1.4418405003536849</v>
      </c>
      <c r="CT85" s="332">
        <v>1.801002404194165</v>
      </c>
      <c r="CU85" s="332">
        <v>2.1797608166947349</v>
      </c>
      <c r="CV85" s="332">
        <v>2.5671680610072478</v>
      </c>
      <c r="CW85" s="332">
        <v>2.9690760644797152</v>
      </c>
      <c r="CX85" s="332">
        <v>3.3964145469774811</v>
      </c>
      <c r="CY85" s="332">
        <v>3.864536087769562</v>
      </c>
      <c r="CZ85" s="332">
        <v>4.3569836138896116</v>
      </c>
      <c r="DA85" s="332">
        <v>4.8862357851222598</v>
      </c>
      <c r="DB85" s="332">
        <v>5.438836997347547</v>
      </c>
      <c r="DC85" s="332">
        <v>6.047993455908566</v>
      </c>
      <c r="DD85" s="785">
        <v>6.720204953601761</v>
      </c>
      <c r="DE85" s="333">
        <v>7.55131678090412</v>
      </c>
      <c r="DF85" s="332">
        <v>8.661446370835737</v>
      </c>
      <c r="DG85" s="332">
        <v>11.206316207857133</v>
      </c>
      <c r="DH85" s="332">
        <f>'I-Project Contingency'!$E$86-CM85</f>
        <v>0</v>
      </c>
      <c r="DI85" s="332">
        <f>'I-Project Contingency'!$E$87-CN85</f>
        <v>0</v>
      </c>
      <c r="DJ85" s="332">
        <f>'I-Project Contingency'!$E$88-CO85</f>
        <v>0</v>
      </c>
      <c r="DK85" s="332">
        <f>'I-Project Contingency'!$E$89-CP85</f>
        <v>0</v>
      </c>
      <c r="DL85" s="332">
        <f>'I-Project Contingency'!$E$90-CQ85</f>
        <v>0</v>
      </c>
      <c r="DM85" s="332">
        <f>'I-Project Contingency'!$E$91-CR85</f>
        <v>0</v>
      </c>
      <c r="DN85" s="332">
        <f>'I-Project Contingency'!$E$92-CS85</f>
        <v>0</v>
      </c>
      <c r="DO85" s="332">
        <f>'I-Project Contingency'!$E$93-CT85</f>
        <v>0</v>
      </c>
      <c r="DP85" s="332">
        <f>'I-Project Contingency'!$E$94-CU85</f>
        <v>0</v>
      </c>
      <c r="DQ85" s="332">
        <f>'I-Project Contingency'!$E$95-CV85</f>
        <v>0</v>
      </c>
      <c r="DR85" s="332">
        <f>'I-Project Contingency'!$E$96-CW85</f>
        <v>0</v>
      </c>
      <c r="DS85" s="332">
        <f>'I-Project Contingency'!$E$97-CX85</f>
        <v>0</v>
      </c>
      <c r="DT85" s="332">
        <f>'I-Project Contingency'!$E$98-CY85</f>
        <v>0</v>
      </c>
      <c r="DU85" s="332">
        <f>'I-Project Contingency'!$E$99-CZ85</f>
        <v>0</v>
      </c>
      <c r="DV85" s="332">
        <f>'I-Project Contingency'!$E$100-DA85</f>
        <v>0</v>
      </c>
      <c r="DW85" s="332">
        <f>'I-Project Contingency'!$E$101-DB85</f>
        <v>0</v>
      </c>
      <c r="DX85" s="332">
        <f>'I-Project Contingency'!$E$102-DC85</f>
        <v>0</v>
      </c>
      <c r="DY85" s="332">
        <f>'I-Project Contingency'!$E$103-DD85</f>
        <v>0</v>
      </c>
      <c r="DZ85" s="332">
        <f>'I-Project Contingency'!$E$104-DE85</f>
        <v>0</v>
      </c>
      <c r="EA85" s="332">
        <f>'I-Project Contingency'!$E$105-DF85</f>
        <v>0</v>
      </c>
      <c r="EB85" s="332">
        <f>'I-Project Contingency'!$E$106-DG85</f>
        <v>0</v>
      </c>
      <c r="EC85" s="334">
        <f>IF(EE85="N/A","N/A",ABS(INDEX(EE85:EY85,1,MATCH("ROM Cost Risk @ "&amp;'D-Project Data'!$C$6*100&amp;"%",$EE$17:$EY$17,0))))</f>
        <v>0</v>
      </c>
      <c r="ED85" s="335">
        <f>IF(EC85="N/A","N/A",RANK(EC85,$EC$18:$EC$117,0)+COUNTIF($EC$18:EC85,EC85)-1)</f>
        <v>68</v>
      </c>
      <c r="EE85" s="334">
        <f>IF(BQ85/SUM(BQ:BQ)*'I-Project Contingency'!$F$61=0,0,BQ85/SUM(BQ:BQ)*'I-Project Contingency'!$F$61)</f>
        <v>0</v>
      </c>
      <c r="EF85" s="334">
        <f>IF(BR85/SUM(BR:BR)*'I-Project Contingency'!$F$62=0,0,BR85/SUM(BR:BR)*'I-Project Contingency'!$F$62)</f>
        <v>0</v>
      </c>
      <c r="EG85" s="334">
        <f>IF(BS85/SUM(BS:BS)*'I-Project Contingency'!$F$63=0,0,BS85/SUM(BS:BS)*'I-Project Contingency'!$F$63)</f>
        <v>0</v>
      </c>
      <c r="EH85" s="334">
        <f>IF(BT85/SUM(BT:BT)*'I-Project Contingency'!$F$64=0,0,BT85/SUM(BT:BT)*'I-Project Contingency'!$F$64)</f>
        <v>0</v>
      </c>
      <c r="EI85" s="334">
        <f>IF(BU85/SUM(BU:BU)*'I-Project Contingency'!$F$65=0,0,BU85/SUM(BU:BU)*'I-Project Contingency'!$F$65)</f>
        <v>0</v>
      </c>
      <c r="EJ85" s="334">
        <f>IF(BV85/SUM(BV:BV)*'I-Project Contingency'!$F$66=0,0,BV85/SUM(BV:BV)*'I-Project Contingency'!$F$66)</f>
        <v>0</v>
      </c>
      <c r="EK85" s="334">
        <f>IF(BW85/SUM(BW:BW)*'I-Project Contingency'!$F$67=0,0,BW85/SUM(BW:BW)*'I-Project Contingency'!$F$67)</f>
        <v>0</v>
      </c>
      <c r="EL85" s="334">
        <f>IF(BX85/SUM(BX:BX)*'I-Project Contingency'!$F$68=0,0,BX85/SUM(BX:BX)*'I-Project Contingency'!$F$68)</f>
        <v>0</v>
      </c>
      <c r="EM85" s="334">
        <f>IF(BY85/SUM(BY:BY)*'I-Project Contingency'!$F$69=0,0,BY85/SUM(BY:BY)*'I-Project Contingency'!$F$69)</f>
        <v>0</v>
      </c>
      <c r="EN85" s="334">
        <f>IF(BZ85/SUM(BZ:BZ)*'I-Project Contingency'!$F$70=0,0,BZ85/SUM(BZ:BZ)*'I-Project Contingency'!$F$70)</f>
        <v>0</v>
      </c>
      <c r="EO85" s="334">
        <f>IF(CA85/SUM(CA:CA)*'I-Project Contingency'!$F$71=0,0,CA85/SUM(CA:CA)*'I-Project Contingency'!$F$71)</f>
        <v>0</v>
      </c>
      <c r="EP85" s="334">
        <f>IF(CB85/SUM(CB:CB)*'I-Project Contingency'!$F$72=0,0,CB85/SUM(CB:CB)*'I-Project Contingency'!$F$72)</f>
        <v>0</v>
      </c>
      <c r="EQ85" s="334">
        <f>IF(CC85/SUM(CC:CC)*'I-Project Contingency'!$F$73=0,0,CC85/SUM(CC:CC)*'I-Project Contingency'!$F$73)</f>
        <v>0</v>
      </c>
      <c r="ER85" s="334">
        <f>IF(CD85/SUM(CD:CD)*'I-Project Contingency'!$F$74=0,0,CD85/SUM(CD:CD)*'I-Project Contingency'!$F$74)</f>
        <v>0</v>
      </c>
      <c r="ES85" s="334">
        <f>IF(CE85/SUM(CE:CE)*'I-Project Contingency'!$F$75=0,0,CE85/SUM(CE:CE)*'I-Project Contingency'!$F$75)</f>
        <v>0</v>
      </c>
      <c r="ET85" s="334">
        <f>IF(CF85/SUM(CF:CF)*'I-Project Contingency'!$F$76=0,0,CF85/SUM(CF:CF)*'I-Project Contingency'!$F$76)</f>
        <v>0</v>
      </c>
      <c r="EU85" s="334">
        <f>IF(CG85/SUM(CG:CG)*'I-Project Contingency'!$F$77=0,0,CG85/SUM(CG:CG)*'I-Project Contingency'!$F$77)</f>
        <v>0</v>
      </c>
      <c r="EV85" s="787">
        <f>IF(CH85/SUM(CH:CH)*'I-Project Contingency'!$F$78=0,0,CH85/SUM(CH:CH)*'I-Project Contingency'!$F$78)</f>
        <v>0</v>
      </c>
      <c r="EW85" s="787">
        <f>IF(CI85/SUM(CI:CI)*'I-Project Contingency'!$F$79=0,0,CI85/SUM(CI:CI)*'I-Project Contingency'!$F$79)</f>
        <v>0</v>
      </c>
      <c r="EX85" s="787">
        <f>IF(CJ85/SUM(CJ:CJ)*'I-Project Contingency'!$F$80=0,0,CJ85/SUM(CJ:CJ)*'I-Project Contingency'!$F$80)</f>
        <v>0</v>
      </c>
      <c r="EY85" s="787">
        <f>IF(CK85/SUM(CK:CK)*'I-Project Contingency'!$F$81=0,0,CK85/SUM(CK:CK)*'I-Project Contingency'!$F$81)</f>
        <v>0</v>
      </c>
      <c r="EZ85" s="333">
        <f>IF(FB85="N/A","N/A",ABS(INDEX(FB85:FV85,1,MATCH("ROM Schedule Risk @ "&amp;'D-Project Data'!$C$6*100&amp;"%",$FB$17:$FV$17,0))))</f>
        <v>0</v>
      </c>
      <c r="FA85" s="335">
        <f>IF(EZ85="N/A","N/A",RANK(EZ85,$EZ$18:$EZ$117,0)+COUNTIF($FB$18:FB85,FB85)-1)</f>
        <v>68</v>
      </c>
      <c r="FB85" s="788">
        <f>IF(DH85/SUM(DH:DH)*'I-Project Contingency'!$F$86=0,0,DH85/SUM(DH:DH)*'I-Project Contingency'!$F$86)</f>
        <v>0</v>
      </c>
      <c r="FC85" s="788">
        <f>IF(DI85/SUM(DI:DI)*'I-Project Contingency'!$F$87=0,0,DI85/SUM(DI:DI)*'I-Project Contingency'!$F$87)</f>
        <v>0</v>
      </c>
      <c r="FD85" s="788">
        <f>IF(DJ85/SUM(DJ:DJ)*'I-Project Contingency'!$F$88=0,0,DJ85/SUM(DJ:DJ)*'I-Project Contingency'!$F$88)</f>
        <v>0</v>
      </c>
      <c r="FE85" s="788">
        <f>IF(DK85/SUM(DK:DK)*'I-Project Contingency'!$F$89=0,0,DK85/SUM(DK:DK)*'I-Project Contingency'!$F$89)</f>
        <v>0</v>
      </c>
      <c r="FF85" s="788">
        <f>IF(DL85/SUM(DL:DL)*'I-Project Contingency'!$F$90=0,0,DL85/SUM(DL:DL)*'I-Project Contingency'!$F$90)</f>
        <v>0</v>
      </c>
      <c r="FG85" s="788">
        <f>IF(DM85/SUM(DM:DM)*'I-Project Contingency'!$F$91=0,0,DM85/SUM(DM:DM)*'I-Project Contingency'!$F$91)</f>
        <v>0</v>
      </c>
      <c r="FH85" s="788">
        <f>IF(DN85/SUM(DN:DN)*'I-Project Contingency'!$F$92=0,0,DN85/SUM(DN:DN)*'I-Project Contingency'!$F$92)</f>
        <v>0</v>
      </c>
      <c r="FI85" s="788">
        <f>IF(DO85/SUM(DO:DO)*'I-Project Contingency'!$F$93=0,0,DO85/SUM(DO:DO)*'I-Project Contingency'!$F$93)</f>
        <v>0</v>
      </c>
      <c r="FJ85" s="788">
        <f>IF(DP85/SUM(DP:DP)*'I-Project Contingency'!$F$94=0,0,DP85/SUM(DP:DP)*'I-Project Contingency'!$F$94)</f>
        <v>0</v>
      </c>
      <c r="FK85" s="788">
        <f>IF(DQ85/SUM(DQ:DQ)*'I-Project Contingency'!$F$95=0,0,DQ85/SUM(DQ:DQ)*'I-Project Contingency'!$F$95)</f>
        <v>0</v>
      </c>
      <c r="FL85" s="788">
        <f>IF(DR85/SUM(DR:DR)*'I-Project Contingency'!$F$96=0,0,DR85/SUM(DR:DR)*'I-Project Contingency'!$F$96)</f>
        <v>0</v>
      </c>
      <c r="FM85" s="788">
        <f>IF(DS85/SUM(DS:DS)*'I-Project Contingency'!$F$97=0,0,DS85/SUM(DS:DS)*'I-Project Contingency'!$F$97)</f>
        <v>0</v>
      </c>
      <c r="FN85" s="788">
        <f>IF(DT85/SUM(DT:DT)*'I-Project Contingency'!$F$98=0,0,DT85/SUM(DT:DT)*'I-Project Contingency'!$F$98)</f>
        <v>0</v>
      </c>
      <c r="FO85" s="788">
        <f>IF(DU85/SUM(DU:DU)*'I-Project Contingency'!$F$99=0,0,DU85/SUM(DU:DU)*'I-Project Contingency'!$F$99)</f>
        <v>0</v>
      </c>
      <c r="FP85" s="788">
        <f>IF(DV85/SUM(DV:DV)*'I-Project Contingency'!$F$100=0,0,DV85/SUM(DV:DV)*'I-Project Contingency'!$F$100)</f>
        <v>0</v>
      </c>
      <c r="FQ85" s="788">
        <f>IF(DW85/SUM(DW:DW)*'I-Project Contingency'!$F$101=0,0,DW85/SUM(DW:DW)*'I-Project Contingency'!$F$101)</f>
        <v>0</v>
      </c>
      <c r="FR85" s="788">
        <f>IF(DX85/SUM(DX:DX)*'I-Project Contingency'!$F$102=0,0,DX85/SUM(DX:DX)*'I-Project Contingency'!$F$102)</f>
        <v>0</v>
      </c>
      <c r="FS85" s="788">
        <f>IF(DY85/SUM(DY:DY)*'I-Project Contingency'!$F$103=0,0,DY85/SUM(DY:DY)*'I-Project Contingency'!$F$103)</f>
        <v>0</v>
      </c>
      <c r="FT85" s="788">
        <f>IF(DZ85/SUM(DZ:DZ)*'I-Project Contingency'!$F$104=0,0,DZ85/SUM(DZ:DZ)*'I-Project Contingency'!$F$104)</f>
        <v>0</v>
      </c>
      <c r="FU85" s="788">
        <f>IF(EA85/SUM(EA:EA)*'I-Project Contingency'!$F$105=0,0,EA85/SUM(EA:EA)*'I-Project Contingency'!$F$105)</f>
        <v>0</v>
      </c>
      <c r="FV85" s="788">
        <f>IF(EB85/SUM(EB:EB)*'I-Project Contingency'!$F$106=0,0,EB85/SUM(EB:EB)*'I-Project Contingency'!$F$106)</f>
        <v>0</v>
      </c>
      <c r="FW85" s="335">
        <f t="shared" si="52"/>
        <v>68</v>
      </c>
      <c r="FX85" s="336" t="str">
        <f t="shared" si="53"/>
        <v xml:space="preserve">68 -  </v>
      </c>
      <c r="FY85" s="330">
        <f t="shared" si="43"/>
        <v>0</v>
      </c>
      <c r="FZ85" s="330">
        <f t="shared" si="44"/>
        <v>0</v>
      </c>
      <c r="GA85" s="332">
        <f t="shared" si="54"/>
        <v>0</v>
      </c>
      <c r="GB85" s="332">
        <f t="shared" si="55"/>
        <v>0</v>
      </c>
    </row>
    <row r="86" spans="1:184" ht="30" x14ac:dyDescent="0.25">
      <c r="A86" s="163">
        <f t="shared" si="23"/>
        <v>69</v>
      </c>
      <c r="B86" s="727" t="s">
        <v>728</v>
      </c>
      <c r="C86" s="729" t="s">
        <v>659</v>
      </c>
      <c r="D86" s="729" t="s">
        <v>659</v>
      </c>
      <c r="E86" s="729" t="s">
        <v>659</v>
      </c>
      <c r="F86" s="728" t="s">
        <v>728</v>
      </c>
      <c r="G86" s="728" t="s">
        <v>728</v>
      </c>
      <c r="H86" s="157" t="str">
        <f>IFERROR(IF('H-Risk Register-Model'!F86="Certain","Relook at Basis of Estimate",INDEX('G-Assumptions'!$F$8:$J$11,MATCH(F86,'G-Assumptions'!$D$8:$D$11,0),MATCH(G86,'G-Assumptions'!$F$6:$J$6,0))),"Unrated")</f>
        <v>Unrated</v>
      </c>
      <c r="I86" s="728" t="s">
        <v>728</v>
      </c>
      <c r="J86" s="157" t="str">
        <f>IFERROR(IF('H-Risk Register-Model'!F86="Certain","Relook at Basis of Estimate",INDEX('G-Assumptions'!$F$8:$J$11,MATCH(F86,'G-Assumptions'!$D$8:$D$11,0),MATCH(I86,'G-Assumptions'!$F$6:$J$6,0))),"Unrated")</f>
        <v>Unrated</v>
      </c>
      <c r="K86" s="728" t="s">
        <v>728</v>
      </c>
      <c r="L86" s="728" t="s">
        <v>728</v>
      </c>
      <c r="M86" s="728"/>
      <c r="N86" s="731" t="s">
        <v>728</v>
      </c>
      <c r="O86" s="731" t="s">
        <v>728</v>
      </c>
      <c r="P86" s="732"/>
      <c r="Q86" s="732"/>
      <c r="R86" s="732"/>
      <c r="S86" s="733"/>
      <c r="T86" s="733"/>
      <c r="U86" s="733"/>
      <c r="V86" s="734"/>
      <c r="W86" s="732"/>
      <c r="X86" s="732"/>
      <c r="Y86" s="735">
        <v>1</v>
      </c>
      <c r="Z86" s="736">
        <v>1</v>
      </c>
      <c r="AA86" s="166">
        <f t="shared" si="56"/>
        <v>0</v>
      </c>
      <c r="AB86" s="166">
        <f t="shared" si="57"/>
        <v>0</v>
      </c>
      <c r="AC86" s="166">
        <f t="shared" si="58"/>
        <v>0</v>
      </c>
      <c r="AD86" s="166"/>
      <c r="AE86" s="164">
        <f t="shared" si="41"/>
        <v>0</v>
      </c>
      <c r="AF86" s="167"/>
      <c r="AG86" s="165">
        <f t="shared" si="42"/>
        <v>0</v>
      </c>
      <c r="AH86" s="729"/>
      <c r="AI86" s="729"/>
      <c r="AJ86" s="8"/>
      <c r="AK86" s="495" t="str">
        <f t="shared" si="45"/>
        <v>No</v>
      </c>
      <c r="AL86" s="496">
        <f>'I-Project Contingency'!$I$4</f>
        <v>9000000</v>
      </c>
      <c r="AM86" s="326">
        <f>'I-Project Contingency'!$I$11</f>
        <v>23.978102189781023</v>
      </c>
      <c r="AN86" s="325">
        <f t="shared" si="46"/>
        <v>0</v>
      </c>
      <c r="AO86" s="326">
        <f t="shared" si="47"/>
        <v>0</v>
      </c>
      <c r="AP86" s="641" t="str">
        <f t="shared" si="48"/>
        <v/>
      </c>
      <c r="AQ86" s="641" t="str">
        <f t="shared" si="49"/>
        <v/>
      </c>
      <c r="AR86" s="497" t="str">
        <f t="shared" si="50"/>
        <v/>
      </c>
      <c r="AS86" s="497" t="str">
        <f t="shared" si="51"/>
        <v/>
      </c>
      <c r="AT86" s="8"/>
      <c r="AU86" s="329">
        <f>'I-Project Contingency'!$O$4-AE86</f>
        <v>0</v>
      </c>
      <c r="AV86" s="330">
        <v>-240515.59579276721</v>
      </c>
      <c r="AW86" s="330">
        <v>28172.931401335634</v>
      </c>
      <c r="AX86" s="330">
        <v>193478.84467429668</v>
      </c>
      <c r="AY86" s="330">
        <v>361668.20104834624</v>
      </c>
      <c r="AZ86" s="330">
        <v>524446.91524262261</v>
      </c>
      <c r="BA86" s="330">
        <v>704023.56387635041</v>
      </c>
      <c r="BB86" s="330">
        <v>886394.06956240814</v>
      </c>
      <c r="BC86" s="330">
        <v>1079363.7165157665</v>
      </c>
      <c r="BD86" s="330">
        <v>1280180.1532065615</v>
      </c>
      <c r="BE86" s="330">
        <v>1485323.8019108465</v>
      </c>
      <c r="BF86" s="330">
        <v>1703758.8827524669</v>
      </c>
      <c r="BG86" s="330">
        <v>1949523.4346483489</v>
      </c>
      <c r="BH86" s="330">
        <v>2177897.1603371189</v>
      </c>
      <c r="BI86" s="330">
        <v>2429374.4260425912</v>
      </c>
      <c r="BJ86" s="330">
        <v>2717092.7449284913</v>
      </c>
      <c r="BK86" s="330">
        <v>3010093.6968918457</v>
      </c>
      <c r="BL86" s="330">
        <v>3325414.5894657462</v>
      </c>
      <c r="BM86" s="330">
        <v>3690425.9159493577</v>
      </c>
      <c r="BN86" s="330">
        <v>4143935.1706127762</v>
      </c>
      <c r="BO86" s="330">
        <v>4722651.1159141911</v>
      </c>
      <c r="BP86" s="330">
        <v>5992048.8629153483</v>
      </c>
      <c r="BQ86" s="330">
        <f>'I-Project Contingency'!$E$61-AV86</f>
        <v>0</v>
      </c>
      <c r="BR86" s="330">
        <f>'I-Project Contingency'!$E$62-AW86</f>
        <v>0</v>
      </c>
      <c r="BS86" s="330">
        <f>'I-Project Contingency'!$E$63-AX86</f>
        <v>0</v>
      </c>
      <c r="BT86" s="330">
        <f>'I-Project Contingency'!$E$64-AY86</f>
        <v>0</v>
      </c>
      <c r="BU86" s="330">
        <f>'I-Project Contingency'!$E$65-AZ86</f>
        <v>0</v>
      </c>
      <c r="BV86" s="330">
        <f>'I-Project Contingency'!$E$66-BA86</f>
        <v>0</v>
      </c>
      <c r="BW86" s="330">
        <f>'I-Project Contingency'!$E$67-BB86</f>
        <v>0</v>
      </c>
      <c r="BX86" s="330">
        <f>'I-Project Contingency'!$E$68-BC86</f>
        <v>0</v>
      </c>
      <c r="BY86" s="330">
        <f>'I-Project Contingency'!$E$69-BD86</f>
        <v>0</v>
      </c>
      <c r="BZ86" s="330">
        <f>'I-Project Contingency'!$E$70-BE86</f>
        <v>0</v>
      </c>
      <c r="CA86" s="330">
        <f>'I-Project Contingency'!$E$71-BF86</f>
        <v>0</v>
      </c>
      <c r="CB86" s="330">
        <f>'I-Project Contingency'!$E$72-BG86</f>
        <v>0</v>
      </c>
      <c r="CC86" s="330">
        <f>'I-Project Contingency'!$E$73-BH86</f>
        <v>0</v>
      </c>
      <c r="CD86" s="330">
        <f>'I-Project Contingency'!$E$74-BI86</f>
        <v>0</v>
      </c>
      <c r="CE86" s="330">
        <f>'I-Project Contingency'!$E$75-BJ86</f>
        <v>0</v>
      </c>
      <c r="CF86" s="330">
        <f>'I-Project Contingency'!$E$76-BK86</f>
        <v>0</v>
      </c>
      <c r="CG86" s="330">
        <f>'I-Project Contingency'!$E$77-BL86</f>
        <v>0</v>
      </c>
      <c r="CH86" s="784">
        <f>'I-Project Contingency'!$E$78-BM86</f>
        <v>0</v>
      </c>
      <c r="CI86" s="330">
        <f>'I-Project Contingency'!$E$79-BN86</f>
        <v>0</v>
      </c>
      <c r="CJ86" s="330">
        <f>'I-Project Contingency'!$E$80-BO86</f>
        <v>0</v>
      </c>
      <c r="CK86" s="330">
        <f>'I-Project Contingency'!$E$81-BP86</f>
        <v>0</v>
      </c>
      <c r="CL86" s="331">
        <f>'I-Project Contingency'!$O$5-AG86</f>
        <v>0</v>
      </c>
      <c r="CM86" s="332">
        <v>-0.98711802853447173</v>
      </c>
      <c r="CN86" s="332">
        <v>-0.19547704728364468</v>
      </c>
      <c r="CO86" s="332">
        <v>0.126462150308498</v>
      </c>
      <c r="CP86" s="332">
        <v>0.45967989154545902</v>
      </c>
      <c r="CQ86" s="332">
        <v>0.78297319902744</v>
      </c>
      <c r="CR86" s="332">
        <v>1.0957191966482109</v>
      </c>
      <c r="CS86" s="332">
        <v>1.4418405003536849</v>
      </c>
      <c r="CT86" s="332">
        <v>1.801002404194165</v>
      </c>
      <c r="CU86" s="332">
        <v>2.1797608166947349</v>
      </c>
      <c r="CV86" s="332">
        <v>2.5671680610072478</v>
      </c>
      <c r="CW86" s="332">
        <v>2.9690760644797152</v>
      </c>
      <c r="CX86" s="332">
        <v>3.3964145469774811</v>
      </c>
      <c r="CY86" s="332">
        <v>3.864536087769562</v>
      </c>
      <c r="CZ86" s="332">
        <v>4.3569836138896116</v>
      </c>
      <c r="DA86" s="332">
        <v>4.8862357851222598</v>
      </c>
      <c r="DB86" s="332">
        <v>5.438836997347547</v>
      </c>
      <c r="DC86" s="332">
        <v>6.047993455908566</v>
      </c>
      <c r="DD86" s="785">
        <v>6.720204953601761</v>
      </c>
      <c r="DE86" s="333">
        <v>7.55131678090412</v>
      </c>
      <c r="DF86" s="332">
        <v>8.661446370835737</v>
      </c>
      <c r="DG86" s="332">
        <v>11.206316207857133</v>
      </c>
      <c r="DH86" s="332">
        <f>'I-Project Contingency'!$E$86-CM86</f>
        <v>0</v>
      </c>
      <c r="DI86" s="332">
        <f>'I-Project Contingency'!$E$87-CN86</f>
        <v>0</v>
      </c>
      <c r="DJ86" s="332">
        <f>'I-Project Contingency'!$E$88-CO86</f>
        <v>0</v>
      </c>
      <c r="DK86" s="332">
        <f>'I-Project Contingency'!$E$89-CP86</f>
        <v>0</v>
      </c>
      <c r="DL86" s="332">
        <f>'I-Project Contingency'!$E$90-CQ86</f>
        <v>0</v>
      </c>
      <c r="DM86" s="332">
        <f>'I-Project Contingency'!$E$91-CR86</f>
        <v>0</v>
      </c>
      <c r="DN86" s="332">
        <f>'I-Project Contingency'!$E$92-CS86</f>
        <v>0</v>
      </c>
      <c r="DO86" s="332">
        <f>'I-Project Contingency'!$E$93-CT86</f>
        <v>0</v>
      </c>
      <c r="DP86" s="332">
        <f>'I-Project Contingency'!$E$94-CU86</f>
        <v>0</v>
      </c>
      <c r="DQ86" s="332">
        <f>'I-Project Contingency'!$E$95-CV86</f>
        <v>0</v>
      </c>
      <c r="DR86" s="332">
        <f>'I-Project Contingency'!$E$96-CW86</f>
        <v>0</v>
      </c>
      <c r="DS86" s="332">
        <f>'I-Project Contingency'!$E$97-CX86</f>
        <v>0</v>
      </c>
      <c r="DT86" s="332">
        <f>'I-Project Contingency'!$E$98-CY86</f>
        <v>0</v>
      </c>
      <c r="DU86" s="332">
        <f>'I-Project Contingency'!$E$99-CZ86</f>
        <v>0</v>
      </c>
      <c r="DV86" s="332">
        <f>'I-Project Contingency'!$E$100-DA86</f>
        <v>0</v>
      </c>
      <c r="DW86" s="332">
        <f>'I-Project Contingency'!$E$101-DB86</f>
        <v>0</v>
      </c>
      <c r="DX86" s="332">
        <f>'I-Project Contingency'!$E$102-DC86</f>
        <v>0</v>
      </c>
      <c r="DY86" s="332">
        <f>'I-Project Contingency'!$E$103-DD86</f>
        <v>0</v>
      </c>
      <c r="DZ86" s="332">
        <f>'I-Project Contingency'!$E$104-DE86</f>
        <v>0</v>
      </c>
      <c r="EA86" s="332">
        <f>'I-Project Contingency'!$E$105-DF86</f>
        <v>0</v>
      </c>
      <c r="EB86" s="332">
        <f>'I-Project Contingency'!$E$106-DG86</f>
        <v>0</v>
      </c>
      <c r="EC86" s="334">
        <f>IF(EE86="N/A","N/A",ABS(INDEX(EE86:EY86,1,MATCH("ROM Cost Risk @ "&amp;'D-Project Data'!$C$6*100&amp;"%",$EE$17:$EY$17,0))))</f>
        <v>0</v>
      </c>
      <c r="ED86" s="335">
        <f>IF(EC86="N/A","N/A",RANK(EC86,$EC$18:$EC$117,0)+COUNTIF($EC$18:EC86,EC86)-1)</f>
        <v>69</v>
      </c>
      <c r="EE86" s="334">
        <f>IF(BQ86/SUM(BQ:BQ)*'I-Project Contingency'!$F$61=0,0,BQ86/SUM(BQ:BQ)*'I-Project Contingency'!$F$61)</f>
        <v>0</v>
      </c>
      <c r="EF86" s="334">
        <f>IF(BR86/SUM(BR:BR)*'I-Project Contingency'!$F$62=0,0,BR86/SUM(BR:BR)*'I-Project Contingency'!$F$62)</f>
        <v>0</v>
      </c>
      <c r="EG86" s="334">
        <f>IF(BS86/SUM(BS:BS)*'I-Project Contingency'!$F$63=0,0,BS86/SUM(BS:BS)*'I-Project Contingency'!$F$63)</f>
        <v>0</v>
      </c>
      <c r="EH86" s="334">
        <f>IF(BT86/SUM(BT:BT)*'I-Project Contingency'!$F$64=0,0,BT86/SUM(BT:BT)*'I-Project Contingency'!$F$64)</f>
        <v>0</v>
      </c>
      <c r="EI86" s="334">
        <f>IF(BU86/SUM(BU:BU)*'I-Project Contingency'!$F$65=0,0,BU86/SUM(BU:BU)*'I-Project Contingency'!$F$65)</f>
        <v>0</v>
      </c>
      <c r="EJ86" s="334">
        <f>IF(BV86/SUM(BV:BV)*'I-Project Contingency'!$F$66=0,0,BV86/SUM(BV:BV)*'I-Project Contingency'!$F$66)</f>
        <v>0</v>
      </c>
      <c r="EK86" s="334">
        <f>IF(BW86/SUM(BW:BW)*'I-Project Contingency'!$F$67=0,0,BW86/SUM(BW:BW)*'I-Project Contingency'!$F$67)</f>
        <v>0</v>
      </c>
      <c r="EL86" s="334">
        <f>IF(BX86/SUM(BX:BX)*'I-Project Contingency'!$F$68=0,0,BX86/SUM(BX:BX)*'I-Project Contingency'!$F$68)</f>
        <v>0</v>
      </c>
      <c r="EM86" s="334">
        <f>IF(BY86/SUM(BY:BY)*'I-Project Contingency'!$F$69=0,0,BY86/SUM(BY:BY)*'I-Project Contingency'!$F$69)</f>
        <v>0</v>
      </c>
      <c r="EN86" s="334">
        <f>IF(BZ86/SUM(BZ:BZ)*'I-Project Contingency'!$F$70=0,0,BZ86/SUM(BZ:BZ)*'I-Project Contingency'!$F$70)</f>
        <v>0</v>
      </c>
      <c r="EO86" s="334">
        <f>IF(CA86/SUM(CA:CA)*'I-Project Contingency'!$F$71=0,0,CA86/SUM(CA:CA)*'I-Project Contingency'!$F$71)</f>
        <v>0</v>
      </c>
      <c r="EP86" s="334">
        <f>IF(CB86/SUM(CB:CB)*'I-Project Contingency'!$F$72=0,0,CB86/SUM(CB:CB)*'I-Project Contingency'!$F$72)</f>
        <v>0</v>
      </c>
      <c r="EQ86" s="334">
        <f>IF(CC86/SUM(CC:CC)*'I-Project Contingency'!$F$73=0,0,CC86/SUM(CC:CC)*'I-Project Contingency'!$F$73)</f>
        <v>0</v>
      </c>
      <c r="ER86" s="334">
        <f>IF(CD86/SUM(CD:CD)*'I-Project Contingency'!$F$74=0,0,CD86/SUM(CD:CD)*'I-Project Contingency'!$F$74)</f>
        <v>0</v>
      </c>
      <c r="ES86" s="334">
        <f>IF(CE86/SUM(CE:CE)*'I-Project Contingency'!$F$75=0,0,CE86/SUM(CE:CE)*'I-Project Contingency'!$F$75)</f>
        <v>0</v>
      </c>
      <c r="ET86" s="334">
        <f>IF(CF86/SUM(CF:CF)*'I-Project Contingency'!$F$76=0,0,CF86/SUM(CF:CF)*'I-Project Contingency'!$F$76)</f>
        <v>0</v>
      </c>
      <c r="EU86" s="334">
        <f>IF(CG86/SUM(CG:CG)*'I-Project Contingency'!$F$77=0,0,CG86/SUM(CG:CG)*'I-Project Contingency'!$F$77)</f>
        <v>0</v>
      </c>
      <c r="EV86" s="787">
        <f>IF(CH86/SUM(CH:CH)*'I-Project Contingency'!$F$78=0,0,CH86/SUM(CH:CH)*'I-Project Contingency'!$F$78)</f>
        <v>0</v>
      </c>
      <c r="EW86" s="787">
        <f>IF(CI86/SUM(CI:CI)*'I-Project Contingency'!$F$79=0,0,CI86/SUM(CI:CI)*'I-Project Contingency'!$F$79)</f>
        <v>0</v>
      </c>
      <c r="EX86" s="787">
        <f>IF(CJ86/SUM(CJ:CJ)*'I-Project Contingency'!$F$80=0,0,CJ86/SUM(CJ:CJ)*'I-Project Contingency'!$F$80)</f>
        <v>0</v>
      </c>
      <c r="EY86" s="787">
        <f>IF(CK86/SUM(CK:CK)*'I-Project Contingency'!$F$81=0,0,CK86/SUM(CK:CK)*'I-Project Contingency'!$F$81)</f>
        <v>0</v>
      </c>
      <c r="EZ86" s="333">
        <f>IF(FB86="N/A","N/A",ABS(INDEX(FB86:FV86,1,MATCH("ROM Schedule Risk @ "&amp;'D-Project Data'!$C$6*100&amp;"%",$FB$17:$FV$17,0))))</f>
        <v>0</v>
      </c>
      <c r="FA86" s="335">
        <f>IF(EZ86="N/A","N/A",RANK(EZ86,$EZ$18:$EZ$117,0)+COUNTIF($FB$18:FB86,FB86)-1)</f>
        <v>69</v>
      </c>
      <c r="FB86" s="788">
        <f>IF(DH86/SUM(DH:DH)*'I-Project Contingency'!$F$86=0,0,DH86/SUM(DH:DH)*'I-Project Contingency'!$F$86)</f>
        <v>0</v>
      </c>
      <c r="FC86" s="788">
        <f>IF(DI86/SUM(DI:DI)*'I-Project Contingency'!$F$87=0,0,DI86/SUM(DI:DI)*'I-Project Contingency'!$F$87)</f>
        <v>0</v>
      </c>
      <c r="FD86" s="788">
        <f>IF(DJ86/SUM(DJ:DJ)*'I-Project Contingency'!$F$88=0,0,DJ86/SUM(DJ:DJ)*'I-Project Contingency'!$F$88)</f>
        <v>0</v>
      </c>
      <c r="FE86" s="788">
        <f>IF(DK86/SUM(DK:DK)*'I-Project Contingency'!$F$89=0,0,DK86/SUM(DK:DK)*'I-Project Contingency'!$F$89)</f>
        <v>0</v>
      </c>
      <c r="FF86" s="788">
        <f>IF(DL86/SUM(DL:DL)*'I-Project Contingency'!$F$90=0,0,DL86/SUM(DL:DL)*'I-Project Contingency'!$F$90)</f>
        <v>0</v>
      </c>
      <c r="FG86" s="788">
        <f>IF(DM86/SUM(DM:DM)*'I-Project Contingency'!$F$91=0,0,DM86/SUM(DM:DM)*'I-Project Contingency'!$F$91)</f>
        <v>0</v>
      </c>
      <c r="FH86" s="788">
        <f>IF(DN86/SUM(DN:DN)*'I-Project Contingency'!$F$92=0,0,DN86/SUM(DN:DN)*'I-Project Contingency'!$F$92)</f>
        <v>0</v>
      </c>
      <c r="FI86" s="788">
        <f>IF(DO86/SUM(DO:DO)*'I-Project Contingency'!$F$93=0,0,DO86/SUM(DO:DO)*'I-Project Contingency'!$F$93)</f>
        <v>0</v>
      </c>
      <c r="FJ86" s="788">
        <f>IF(DP86/SUM(DP:DP)*'I-Project Contingency'!$F$94=0,0,DP86/SUM(DP:DP)*'I-Project Contingency'!$F$94)</f>
        <v>0</v>
      </c>
      <c r="FK86" s="788">
        <f>IF(DQ86/SUM(DQ:DQ)*'I-Project Contingency'!$F$95=0,0,DQ86/SUM(DQ:DQ)*'I-Project Contingency'!$F$95)</f>
        <v>0</v>
      </c>
      <c r="FL86" s="788">
        <f>IF(DR86/SUM(DR:DR)*'I-Project Contingency'!$F$96=0,0,DR86/SUM(DR:DR)*'I-Project Contingency'!$F$96)</f>
        <v>0</v>
      </c>
      <c r="FM86" s="788">
        <f>IF(DS86/SUM(DS:DS)*'I-Project Contingency'!$F$97=0,0,DS86/SUM(DS:DS)*'I-Project Contingency'!$F$97)</f>
        <v>0</v>
      </c>
      <c r="FN86" s="788">
        <f>IF(DT86/SUM(DT:DT)*'I-Project Contingency'!$F$98=0,0,DT86/SUM(DT:DT)*'I-Project Contingency'!$F$98)</f>
        <v>0</v>
      </c>
      <c r="FO86" s="788">
        <f>IF(DU86/SUM(DU:DU)*'I-Project Contingency'!$F$99=0,0,DU86/SUM(DU:DU)*'I-Project Contingency'!$F$99)</f>
        <v>0</v>
      </c>
      <c r="FP86" s="788">
        <f>IF(DV86/SUM(DV:DV)*'I-Project Contingency'!$F$100=0,0,DV86/SUM(DV:DV)*'I-Project Contingency'!$F$100)</f>
        <v>0</v>
      </c>
      <c r="FQ86" s="788">
        <f>IF(DW86/SUM(DW:DW)*'I-Project Contingency'!$F$101=0,0,DW86/SUM(DW:DW)*'I-Project Contingency'!$F$101)</f>
        <v>0</v>
      </c>
      <c r="FR86" s="788">
        <f>IF(DX86/SUM(DX:DX)*'I-Project Contingency'!$F$102=0,0,DX86/SUM(DX:DX)*'I-Project Contingency'!$F$102)</f>
        <v>0</v>
      </c>
      <c r="FS86" s="788">
        <f>IF(DY86/SUM(DY:DY)*'I-Project Contingency'!$F$103=0,0,DY86/SUM(DY:DY)*'I-Project Contingency'!$F$103)</f>
        <v>0</v>
      </c>
      <c r="FT86" s="788">
        <f>IF(DZ86/SUM(DZ:DZ)*'I-Project Contingency'!$F$104=0,0,DZ86/SUM(DZ:DZ)*'I-Project Contingency'!$F$104)</f>
        <v>0</v>
      </c>
      <c r="FU86" s="788">
        <f>IF(EA86/SUM(EA:EA)*'I-Project Contingency'!$F$105=0,0,EA86/SUM(EA:EA)*'I-Project Contingency'!$F$105)</f>
        <v>0</v>
      </c>
      <c r="FV86" s="788">
        <f>IF(EB86/SUM(EB:EB)*'I-Project Contingency'!$F$106=0,0,EB86/SUM(EB:EB)*'I-Project Contingency'!$F$106)</f>
        <v>0</v>
      </c>
      <c r="FW86" s="335">
        <f t="shared" si="52"/>
        <v>69</v>
      </c>
      <c r="FX86" s="336" t="str">
        <f t="shared" si="53"/>
        <v xml:space="preserve">69 -  </v>
      </c>
      <c r="FY86" s="330">
        <f t="shared" si="43"/>
        <v>0</v>
      </c>
      <c r="FZ86" s="330">
        <f t="shared" si="44"/>
        <v>0</v>
      </c>
      <c r="GA86" s="332">
        <f t="shared" si="54"/>
        <v>0</v>
      </c>
      <c r="GB86" s="332">
        <f t="shared" si="55"/>
        <v>0</v>
      </c>
    </row>
    <row r="87" spans="1:184" ht="30" x14ac:dyDescent="0.25">
      <c r="A87" s="163">
        <f t="shared" si="23"/>
        <v>70</v>
      </c>
      <c r="B87" s="727" t="s">
        <v>728</v>
      </c>
      <c r="C87" s="729" t="s">
        <v>659</v>
      </c>
      <c r="D87" s="729" t="s">
        <v>659</v>
      </c>
      <c r="E87" s="729" t="s">
        <v>659</v>
      </c>
      <c r="F87" s="728" t="s">
        <v>728</v>
      </c>
      <c r="G87" s="728" t="s">
        <v>728</v>
      </c>
      <c r="H87" s="157" t="str">
        <f>IFERROR(IF('H-Risk Register-Model'!F87="Certain","Relook at Basis of Estimate",INDEX('G-Assumptions'!$F$8:$J$11,MATCH(F87,'G-Assumptions'!$D$8:$D$11,0),MATCH(G87,'G-Assumptions'!$F$6:$J$6,0))),"Unrated")</f>
        <v>Unrated</v>
      </c>
      <c r="I87" s="728" t="s">
        <v>728</v>
      </c>
      <c r="J87" s="157" t="str">
        <f>IFERROR(IF('H-Risk Register-Model'!F87="Certain","Relook at Basis of Estimate",INDEX('G-Assumptions'!$F$8:$J$11,MATCH(F87,'G-Assumptions'!$D$8:$D$11,0),MATCH(I87,'G-Assumptions'!$F$6:$J$6,0))),"Unrated")</f>
        <v>Unrated</v>
      </c>
      <c r="K87" s="728" t="s">
        <v>728</v>
      </c>
      <c r="L87" s="728" t="s">
        <v>728</v>
      </c>
      <c r="M87" s="728"/>
      <c r="N87" s="731" t="s">
        <v>728</v>
      </c>
      <c r="O87" s="731" t="s">
        <v>728</v>
      </c>
      <c r="P87" s="732"/>
      <c r="Q87" s="732"/>
      <c r="R87" s="732"/>
      <c r="S87" s="733"/>
      <c r="T87" s="733"/>
      <c r="U87" s="733"/>
      <c r="V87" s="734"/>
      <c r="W87" s="732"/>
      <c r="X87" s="732"/>
      <c r="Y87" s="735">
        <v>1</v>
      </c>
      <c r="Z87" s="736">
        <v>1</v>
      </c>
      <c r="AA87" s="166">
        <f t="shared" si="56"/>
        <v>0</v>
      </c>
      <c r="AB87" s="166">
        <f t="shared" si="57"/>
        <v>0</v>
      </c>
      <c r="AC87" s="166">
        <f t="shared" si="58"/>
        <v>0</v>
      </c>
      <c r="AD87" s="166"/>
      <c r="AE87" s="164">
        <f t="shared" si="41"/>
        <v>0</v>
      </c>
      <c r="AF87" s="167"/>
      <c r="AG87" s="165">
        <f t="shared" si="42"/>
        <v>0</v>
      </c>
      <c r="AH87" s="729"/>
      <c r="AI87" s="729"/>
      <c r="AJ87" s="8"/>
      <c r="AK87" s="495" t="str">
        <f t="shared" si="45"/>
        <v>No</v>
      </c>
      <c r="AL87" s="496">
        <f>'I-Project Contingency'!$I$4</f>
        <v>9000000</v>
      </c>
      <c r="AM87" s="326">
        <f>'I-Project Contingency'!$I$11</f>
        <v>23.978102189781023</v>
      </c>
      <c r="AN87" s="325">
        <f t="shared" si="46"/>
        <v>0</v>
      </c>
      <c r="AO87" s="326">
        <f t="shared" si="47"/>
        <v>0</v>
      </c>
      <c r="AP87" s="641" t="str">
        <f t="shared" si="48"/>
        <v/>
      </c>
      <c r="AQ87" s="641" t="str">
        <f t="shared" si="49"/>
        <v/>
      </c>
      <c r="AR87" s="497" t="str">
        <f t="shared" si="50"/>
        <v/>
      </c>
      <c r="AS87" s="497" t="str">
        <f t="shared" si="51"/>
        <v/>
      </c>
      <c r="AT87" s="8"/>
      <c r="AU87" s="329">
        <f>'I-Project Contingency'!$O$4-AE87</f>
        <v>0</v>
      </c>
      <c r="AV87" s="330">
        <v>-240515.59579276721</v>
      </c>
      <c r="AW87" s="330">
        <v>28172.931401335634</v>
      </c>
      <c r="AX87" s="330">
        <v>193478.84467429668</v>
      </c>
      <c r="AY87" s="330">
        <v>361668.20104834624</v>
      </c>
      <c r="AZ87" s="330">
        <v>524446.91524262261</v>
      </c>
      <c r="BA87" s="330">
        <v>704023.56387635041</v>
      </c>
      <c r="BB87" s="330">
        <v>886394.06956240814</v>
      </c>
      <c r="BC87" s="330">
        <v>1079363.7165157665</v>
      </c>
      <c r="BD87" s="330">
        <v>1280180.1532065615</v>
      </c>
      <c r="BE87" s="330">
        <v>1485323.8019108465</v>
      </c>
      <c r="BF87" s="330">
        <v>1703758.8827524669</v>
      </c>
      <c r="BG87" s="330">
        <v>1949523.4346483489</v>
      </c>
      <c r="BH87" s="330">
        <v>2177897.1603371189</v>
      </c>
      <c r="BI87" s="330">
        <v>2429374.4260425912</v>
      </c>
      <c r="BJ87" s="330">
        <v>2717092.7449284913</v>
      </c>
      <c r="BK87" s="330">
        <v>3010093.6968918457</v>
      </c>
      <c r="BL87" s="330">
        <v>3325414.5894657462</v>
      </c>
      <c r="BM87" s="330">
        <v>3690425.9159493577</v>
      </c>
      <c r="BN87" s="330">
        <v>4143935.1706127762</v>
      </c>
      <c r="BO87" s="330">
        <v>4722651.1159141911</v>
      </c>
      <c r="BP87" s="330">
        <v>5992048.8629153483</v>
      </c>
      <c r="BQ87" s="330">
        <f>'I-Project Contingency'!$E$61-AV87</f>
        <v>0</v>
      </c>
      <c r="BR87" s="330">
        <f>'I-Project Contingency'!$E$62-AW87</f>
        <v>0</v>
      </c>
      <c r="BS87" s="330">
        <f>'I-Project Contingency'!$E$63-AX87</f>
        <v>0</v>
      </c>
      <c r="BT87" s="330">
        <f>'I-Project Contingency'!$E$64-AY87</f>
        <v>0</v>
      </c>
      <c r="BU87" s="330">
        <f>'I-Project Contingency'!$E$65-AZ87</f>
        <v>0</v>
      </c>
      <c r="BV87" s="330">
        <f>'I-Project Contingency'!$E$66-BA87</f>
        <v>0</v>
      </c>
      <c r="BW87" s="330">
        <f>'I-Project Contingency'!$E$67-BB87</f>
        <v>0</v>
      </c>
      <c r="BX87" s="330">
        <f>'I-Project Contingency'!$E$68-BC87</f>
        <v>0</v>
      </c>
      <c r="BY87" s="330">
        <f>'I-Project Contingency'!$E$69-BD87</f>
        <v>0</v>
      </c>
      <c r="BZ87" s="330">
        <f>'I-Project Contingency'!$E$70-BE87</f>
        <v>0</v>
      </c>
      <c r="CA87" s="330">
        <f>'I-Project Contingency'!$E$71-BF87</f>
        <v>0</v>
      </c>
      <c r="CB87" s="330">
        <f>'I-Project Contingency'!$E$72-BG87</f>
        <v>0</v>
      </c>
      <c r="CC87" s="330">
        <f>'I-Project Contingency'!$E$73-BH87</f>
        <v>0</v>
      </c>
      <c r="CD87" s="330">
        <f>'I-Project Contingency'!$E$74-BI87</f>
        <v>0</v>
      </c>
      <c r="CE87" s="330">
        <f>'I-Project Contingency'!$E$75-BJ87</f>
        <v>0</v>
      </c>
      <c r="CF87" s="330">
        <f>'I-Project Contingency'!$E$76-BK87</f>
        <v>0</v>
      </c>
      <c r="CG87" s="330">
        <f>'I-Project Contingency'!$E$77-BL87</f>
        <v>0</v>
      </c>
      <c r="CH87" s="784">
        <f>'I-Project Contingency'!$E$78-BM87</f>
        <v>0</v>
      </c>
      <c r="CI87" s="330">
        <f>'I-Project Contingency'!$E$79-BN87</f>
        <v>0</v>
      </c>
      <c r="CJ87" s="330">
        <f>'I-Project Contingency'!$E$80-BO87</f>
        <v>0</v>
      </c>
      <c r="CK87" s="330">
        <f>'I-Project Contingency'!$E$81-BP87</f>
        <v>0</v>
      </c>
      <c r="CL87" s="331">
        <f>'I-Project Contingency'!$O$5-AG87</f>
        <v>0</v>
      </c>
      <c r="CM87" s="332">
        <v>-0.98711802853447173</v>
      </c>
      <c r="CN87" s="332">
        <v>-0.19547704728364468</v>
      </c>
      <c r="CO87" s="332">
        <v>0.126462150308498</v>
      </c>
      <c r="CP87" s="332">
        <v>0.45967989154545902</v>
      </c>
      <c r="CQ87" s="332">
        <v>0.78297319902744</v>
      </c>
      <c r="CR87" s="332">
        <v>1.0957191966482109</v>
      </c>
      <c r="CS87" s="332">
        <v>1.4418405003536849</v>
      </c>
      <c r="CT87" s="332">
        <v>1.801002404194165</v>
      </c>
      <c r="CU87" s="332">
        <v>2.1797608166947349</v>
      </c>
      <c r="CV87" s="332">
        <v>2.5671680610072478</v>
      </c>
      <c r="CW87" s="332">
        <v>2.9690760644797152</v>
      </c>
      <c r="CX87" s="332">
        <v>3.3964145469774811</v>
      </c>
      <c r="CY87" s="332">
        <v>3.864536087769562</v>
      </c>
      <c r="CZ87" s="332">
        <v>4.3569836138896116</v>
      </c>
      <c r="DA87" s="332">
        <v>4.8862357851222598</v>
      </c>
      <c r="DB87" s="332">
        <v>5.438836997347547</v>
      </c>
      <c r="DC87" s="332">
        <v>6.047993455908566</v>
      </c>
      <c r="DD87" s="785">
        <v>6.720204953601761</v>
      </c>
      <c r="DE87" s="333">
        <v>7.55131678090412</v>
      </c>
      <c r="DF87" s="332">
        <v>8.661446370835737</v>
      </c>
      <c r="DG87" s="332">
        <v>11.206316207857133</v>
      </c>
      <c r="DH87" s="332">
        <f>'I-Project Contingency'!$E$86-CM87</f>
        <v>0</v>
      </c>
      <c r="DI87" s="332">
        <f>'I-Project Contingency'!$E$87-CN87</f>
        <v>0</v>
      </c>
      <c r="DJ87" s="332">
        <f>'I-Project Contingency'!$E$88-CO87</f>
        <v>0</v>
      </c>
      <c r="DK87" s="332">
        <f>'I-Project Contingency'!$E$89-CP87</f>
        <v>0</v>
      </c>
      <c r="DL87" s="332">
        <f>'I-Project Contingency'!$E$90-CQ87</f>
        <v>0</v>
      </c>
      <c r="DM87" s="332">
        <f>'I-Project Contingency'!$E$91-CR87</f>
        <v>0</v>
      </c>
      <c r="DN87" s="332">
        <f>'I-Project Contingency'!$E$92-CS87</f>
        <v>0</v>
      </c>
      <c r="DO87" s="332">
        <f>'I-Project Contingency'!$E$93-CT87</f>
        <v>0</v>
      </c>
      <c r="DP87" s="332">
        <f>'I-Project Contingency'!$E$94-CU87</f>
        <v>0</v>
      </c>
      <c r="DQ87" s="332">
        <f>'I-Project Contingency'!$E$95-CV87</f>
        <v>0</v>
      </c>
      <c r="DR87" s="332">
        <f>'I-Project Contingency'!$E$96-CW87</f>
        <v>0</v>
      </c>
      <c r="DS87" s="332">
        <f>'I-Project Contingency'!$E$97-CX87</f>
        <v>0</v>
      </c>
      <c r="DT87" s="332">
        <f>'I-Project Contingency'!$E$98-CY87</f>
        <v>0</v>
      </c>
      <c r="DU87" s="332">
        <f>'I-Project Contingency'!$E$99-CZ87</f>
        <v>0</v>
      </c>
      <c r="DV87" s="332">
        <f>'I-Project Contingency'!$E$100-DA87</f>
        <v>0</v>
      </c>
      <c r="DW87" s="332">
        <f>'I-Project Contingency'!$E$101-DB87</f>
        <v>0</v>
      </c>
      <c r="DX87" s="332">
        <f>'I-Project Contingency'!$E$102-DC87</f>
        <v>0</v>
      </c>
      <c r="DY87" s="332">
        <f>'I-Project Contingency'!$E$103-DD87</f>
        <v>0</v>
      </c>
      <c r="DZ87" s="332">
        <f>'I-Project Contingency'!$E$104-DE87</f>
        <v>0</v>
      </c>
      <c r="EA87" s="332">
        <f>'I-Project Contingency'!$E$105-DF87</f>
        <v>0</v>
      </c>
      <c r="EB87" s="332">
        <f>'I-Project Contingency'!$E$106-DG87</f>
        <v>0</v>
      </c>
      <c r="EC87" s="334">
        <f>IF(EE87="N/A","N/A",ABS(INDEX(EE87:EY87,1,MATCH("ROM Cost Risk @ "&amp;'D-Project Data'!$C$6*100&amp;"%",$EE$17:$EY$17,0))))</f>
        <v>0</v>
      </c>
      <c r="ED87" s="335">
        <f>IF(EC87="N/A","N/A",RANK(EC87,$EC$18:$EC$117,0)+COUNTIF($EC$18:EC87,EC87)-1)</f>
        <v>70</v>
      </c>
      <c r="EE87" s="334">
        <f>IF(BQ87/SUM(BQ:BQ)*'I-Project Contingency'!$F$61=0,0,BQ87/SUM(BQ:BQ)*'I-Project Contingency'!$F$61)</f>
        <v>0</v>
      </c>
      <c r="EF87" s="334">
        <f>IF(BR87/SUM(BR:BR)*'I-Project Contingency'!$F$62=0,0,BR87/SUM(BR:BR)*'I-Project Contingency'!$F$62)</f>
        <v>0</v>
      </c>
      <c r="EG87" s="334">
        <f>IF(BS87/SUM(BS:BS)*'I-Project Contingency'!$F$63=0,0,BS87/SUM(BS:BS)*'I-Project Contingency'!$F$63)</f>
        <v>0</v>
      </c>
      <c r="EH87" s="334">
        <f>IF(BT87/SUM(BT:BT)*'I-Project Contingency'!$F$64=0,0,BT87/SUM(BT:BT)*'I-Project Contingency'!$F$64)</f>
        <v>0</v>
      </c>
      <c r="EI87" s="334">
        <f>IF(BU87/SUM(BU:BU)*'I-Project Contingency'!$F$65=0,0,BU87/SUM(BU:BU)*'I-Project Contingency'!$F$65)</f>
        <v>0</v>
      </c>
      <c r="EJ87" s="334">
        <f>IF(BV87/SUM(BV:BV)*'I-Project Contingency'!$F$66=0,0,BV87/SUM(BV:BV)*'I-Project Contingency'!$F$66)</f>
        <v>0</v>
      </c>
      <c r="EK87" s="334">
        <f>IF(BW87/SUM(BW:BW)*'I-Project Contingency'!$F$67=0,0,BW87/SUM(BW:BW)*'I-Project Contingency'!$F$67)</f>
        <v>0</v>
      </c>
      <c r="EL87" s="334">
        <f>IF(BX87/SUM(BX:BX)*'I-Project Contingency'!$F$68=0,0,BX87/SUM(BX:BX)*'I-Project Contingency'!$F$68)</f>
        <v>0</v>
      </c>
      <c r="EM87" s="334">
        <f>IF(BY87/SUM(BY:BY)*'I-Project Contingency'!$F$69=0,0,BY87/SUM(BY:BY)*'I-Project Contingency'!$F$69)</f>
        <v>0</v>
      </c>
      <c r="EN87" s="334">
        <f>IF(BZ87/SUM(BZ:BZ)*'I-Project Contingency'!$F$70=0,0,BZ87/SUM(BZ:BZ)*'I-Project Contingency'!$F$70)</f>
        <v>0</v>
      </c>
      <c r="EO87" s="334">
        <f>IF(CA87/SUM(CA:CA)*'I-Project Contingency'!$F$71=0,0,CA87/SUM(CA:CA)*'I-Project Contingency'!$F$71)</f>
        <v>0</v>
      </c>
      <c r="EP87" s="334">
        <f>IF(CB87/SUM(CB:CB)*'I-Project Contingency'!$F$72=0,0,CB87/SUM(CB:CB)*'I-Project Contingency'!$F$72)</f>
        <v>0</v>
      </c>
      <c r="EQ87" s="334">
        <f>IF(CC87/SUM(CC:CC)*'I-Project Contingency'!$F$73=0,0,CC87/SUM(CC:CC)*'I-Project Contingency'!$F$73)</f>
        <v>0</v>
      </c>
      <c r="ER87" s="334">
        <f>IF(CD87/SUM(CD:CD)*'I-Project Contingency'!$F$74=0,0,CD87/SUM(CD:CD)*'I-Project Contingency'!$F$74)</f>
        <v>0</v>
      </c>
      <c r="ES87" s="334">
        <f>IF(CE87/SUM(CE:CE)*'I-Project Contingency'!$F$75=0,0,CE87/SUM(CE:CE)*'I-Project Contingency'!$F$75)</f>
        <v>0</v>
      </c>
      <c r="ET87" s="334">
        <f>IF(CF87/SUM(CF:CF)*'I-Project Contingency'!$F$76=0,0,CF87/SUM(CF:CF)*'I-Project Contingency'!$F$76)</f>
        <v>0</v>
      </c>
      <c r="EU87" s="334">
        <f>IF(CG87/SUM(CG:CG)*'I-Project Contingency'!$F$77=0,0,CG87/SUM(CG:CG)*'I-Project Contingency'!$F$77)</f>
        <v>0</v>
      </c>
      <c r="EV87" s="787">
        <f>IF(CH87/SUM(CH:CH)*'I-Project Contingency'!$F$78=0,0,CH87/SUM(CH:CH)*'I-Project Contingency'!$F$78)</f>
        <v>0</v>
      </c>
      <c r="EW87" s="787">
        <f>IF(CI87/SUM(CI:CI)*'I-Project Contingency'!$F$79=0,0,CI87/SUM(CI:CI)*'I-Project Contingency'!$F$79)</f>
        <v>0</v>
      </c>
      <c r="EX87" s="787">
        <f>IF(CJ87/SUM(CJ:CJ)*'I-Project Contingency'!$F$80=0,0,CJ87/SUM(CJ:CJ)*'I-Project Contingency'!$F$80)</f>
        <v>0</v>
      </c>
      <c r="EY87" s="787">
        <f>IF(CK87/SUM(CK:CK)*'I-Project Contingency'!$F$81=0,0,CK87/SUM(CK:CK)*'I-Project Contingency'!$F$81)</f>
        <v>0</v>
      </c>
      <c r="EZ87" s="333">
        <f>IF(FB87="N/A","N/A",ABS(INDEX(FB87:FV87,1,MATCH("ROM Schedule Risk @ "&amp;'D-Project Data'!$C$6*100&amp;"%",$FB$17:$FV$17,0))))</f>
        <v>0</v>
      </c>
      <c r="FA87" s="335">
        <f>IF(EZ87="N/A","N/A",RANK(EZ87,$EZ$18:$EZ$117,0)+COUNTIF($FB$18:FB87,FB87)-1)</f>
        <v>70</v>
      </c>
      <c r="FB87" s="788">
        <f>IF(DH87/SUM(DH:DH)*'I-Project Contingency'!$F$86=0,0,DH87/SUM(DH:DH)*'I-Project Contingency'!$F$86)</f>
        <v>0</v>
      </c>
      <c r="FC87" s="788">
        <f>IF(DI87/SUM(DI:DI)*'I-Project Contingency'!$F$87=0,0,DI87/SUM(DI:DI)*'I-Project Contingency'!$F$87)</f>
        <v>0</v>
      </c>
      <c r="FD87" s="788">
        <f>IF(DJ87/SUM(DJ:DJ)*'I-Project Contingency'!$F$88=0,0,DJ87/SUM(DJ:DJ)*'I-Project Contingency'!$F$88)</f>
        <v>0</v>
      </c>
      <c r="FE87" s="788">
        <f>IF(DK87/SUM(DK:DK)*'I-Project Contingency'!$F$89=0,0,DK87/SUM(DK:DK)*'I-Project Contingency'!$F$89)</f>
        <v>0</v>
      </c>
      <c r="FF87" s="788">
        <f>IF(DL87/SUM(DL:DL)*'I-Project Contingency'!$F$90=0,0,DL87/SUM(DL:DL)*'I-Project Contingency'!$F$90)</f>
        <v>0</v>
      </c>
      <c r="FG87" s="788">
        <f>IF(DM87/SUM(DM:DM)*'I-Project Contingency'!$F$91=0,0,DM87/SUM(DM:DM)*'I-Project Contingency'!$F$91)</f>
        <v>0</v>
      </c>
      <c r="FH87" s="788">
        <f>IF(DN87/SUM(DN:DN)*'I-Project Contingency'!$F$92=0,0,DN87/SUM(DN:DN)*'I-Project Contingency'!$F$92)</f>
        <v>0</v>
      </c>
      <c r="FI87" s="788">
        <f>IF(DO87/SUM(DO:DO)*'I-Project Contingency'!$F$93=0,0,DO87/SUM(DO:DO)*'I-Project Contingency'!$F$93)</f>
        <v>0</v>
      </c>
      <c r="FJ87" s="788">
        <f>IF(DP87/SUM(DP:DP)*'I-Project Contingency'!$F$94=0,0,DP87/SUM(DP:DP)*'I-Project Contingency'!$F$94)</f>
        <v>0</v>
      </c>
      <c r="FK87" s="788">
        <f>IF(DQ87/SUM(DQ:DQ)*'I-Project Contingency'!$F$95=0,0,DQ87/SUM(DQ:DQ)*'I-Project Contingency'!$F$95)</f>
        <v>0</v>
      </c>
      <c r="FL87" s="788">
        <f>IF(DR87/SUM(DR:DR)*'I-Project Contingency'!$F$96=0,0,DR87/SUM(DR:DR)*'I-Project Contingency'!$F$96)</f>
        <v>0</v>
      </c>
      <c r="FM87" s="788">
        <f>IF(DS87/SUM(DS:DS)*'I-Project Contingency'!$F$97=0,0,DS87/SUM(DS:DS)*'I-Project Contingency'!$F$97)</f>
        <v>0</v>
      </c>
      <c r="FN87" s="788">
        <f>IF(DT87/SUM(DT:DT)*'I-Project Contingency'!$F$98=0,0,DT87/SUM(DT:DT)*'I-Project Contingency'!$F$98)</f>
        <v>0</v>
      </c>
      <c r="FO87" s="788">
        <f>IF(DU87/SUM(DU:DU)*'I-Project Contingency'!$F$99=0,0,DU87/SUM(DU:DU)*'I-Project Contingency'!$F$99)</f>
        <v>0</v>
      </c>
      <c r="FP87" s="788">
        <f>IF(DV87/SUM(DV:DV)*'I-Project Contingency'!$F$100=0,0,DV87/SUM(DV:DV)*'I-Project Contingency'!$F$100)</f>
        <v>0</v>
      </c>
      <c r="FQ87" s="788">
        <f>IF(DW87/SUM(DW:DW)*'I-Project Contingency'!$F$101=0,0,DW87/SUM(DW:DW)*'I-Project Contingency'!$F$101)</f>
        <v>0</v>
      </c>
      <c r="FR87" s="788">
        <f>IF(DX87/SUM(DX:DX)*'I-Project Contingency'!$F$102=0,0,DX87/SUM(DX:DX)*'I-Project Contingency'!$F$102)</f>
        <v>0</v>
      </c>
      <c r="FS87" s="788">
        <f>IF(DY87/SUM(DY:DY)*'I-Project Contingency'!$F$103=0,0,DY87/SUM(DY:DY)*'I-Project Contingency'!$F$103)</f>
        <v>0</v>
      </c>
      <c r="FT87" s="788">
        <f>IF(DZ87/SUM(DZ:DZ)*'I-Project Contingency'!$F$104=0,0,DZ87/SUM(DZ:DZ)*'I-Project Contingency'!$F$104)</f>
        <v>0</v>
      </c>
      <c r="FU87" s="788">
        <f>IF(EA87/SUM(EA:EA)*'I-Project Contingency'!$F$105=0,0,EA87/SUM(EA:EA)*'I-Project Contingency'!$F$105)</f>
        <v>0</v>
      </c>
      <c r="FV87" s="788">
        <f>IF(EB87/SUM(EB:EB)*'I-Project Contingency'!$F$106=0,0,EB87/SUM(EB:EB)*'I-Project Contingency'!$F$106)</f>
        <v>0</v>
      </c>
      <c r="FW87" s="335">
        <f t="shared" si="52"/>
        <v>70</v>
      </c>
      <c r="FX87" s="336" t="str">
        <f t="shared" si="53"/>
        <v xml:space="preserve">70 -  </v>
      </c>
      <c r="FY87" s="330">
        <f t="shared" si="43"/>
        <v>0</v>
      </c>
      <c r="FZ87" s="330">
        <f t="shared" si="44"/>
        <v>0</v>
      </c>
      <c r="GA87" s="332">
        <f t="shared" si="54"/>
        <v>0</v>
      </c>
      <c r="GB87" s="332">
        <f t="shared" si="55"/>
        <v>0</v>
      </c>
    </row>
    <row r="88" spans="1:184" ht="30" x14ac:dyDescent="0.25">
      <c r="A88" s="163">
        <f t="shared" si="23"/>
        <v>71</v>
      </c>
      <c r="B88" s="727" t="s">
        <v>728</v>
      </c>
      <c r="C88" s="729" t="s">
        <v>659</v>
      </c>
      <c r="D88" s="729" t="s">
        <v>659</v>
      </c>
      <c r="E88" s="729" t="s">
        <v>659</v>
      </c>
      <c r="F88" s="728" t="s">
        <v>728</v>
      </c>
      <c r="G88" s="728" t="s">
        <v>728</v>
      </c>
      <c r="H88" s="157" t="str">
        <f>IFERROR(IF('H-Risk Register-Model'!F88="Certain","Relook at Basis of Estimate",INDEX('G-Assumptions'!$F$8:$J$11,MATCH(F88,'G-Assumptions'!$D$8:$D$11,0),MATCH(G88,'G-Assumptions'!$F$6:$J$6,0))),"Unrated")</f>
        <v>Unrated</v>
      </c>
      <c r="I88" s="728" t="s">
        <v>728</v>
      </c>
      <c r="J88" s="157" t="str">
        <f>IFERROR(IF('H-Risk Register-Model'!F88="Certain","Relook at Basis of Estimate",INDEX('G-Assumptions'!$F$8:$J$11,MATCH(F88,'G-Assumptions'!$D$8:$D$11,0),MATCH(I88,'G-Assumptions'!$F$6:$J$6,0))),"Unrated")</f>
        <v>Unrated</v>
      </c>
      <c r="K88" s="728" t="s">
        <v>728</v>
      </c>
      <c r="L88" s="728" t="s">
        <v>728</v>
      </c>
      <c r="M88" s="728"/>
      <c r="N88" s="731" t="s">
        <v>728</v>
      </c>
      <c r="O88" s="731" t="s">
        <v>728</v>
      </c>
      <c r="P88" s="732"/>
      <c r="Q88" s="732"/>
      <c r="R88" s="732"/>
      <c r="S88" s="733"/>
      <c r="T88" s="733"/>
      <c r="U88" s="733"/>
      <c r="V88" s="734"/>
      <c r="W88" s="732"/>
      <c r="X88" s="732"/>
      <c r="Y88" s="735">
        <v>1</v>
      </c>
      <c r="Z88" s="736">
        <v>1</v>
      </c>
      <c r="AA88" s="166">
        <f t="shared" si="56"/>
        <v>0</v>
      </c>
      <c r="AB88" s="166">
        <f t="shared" si="57"/>
        <v>0</v>
      </c>
      <c r="AC88" s="166">
        <f t="shared" si="58"/>
        <v>0</v>
      </c>
      <c r="AD88" s="166"/>
      <c r="AE88" s="164">
        <f t="shared" si="41"/>
        <v>0</v>
      </c>
      <c r="AF88" s="167"/>
      <c r="AG88" s="165">
        <f t="shared" si="42"/>
        <v>0</v>
      </c>
      <c r="AH88" s="729"/>
      <c r="AI88" s="729"/>
      <c r="AJ88" s="8"/>
      <c r="AK88" s="495" t="str">
        <f t="shared" si="45"/>
        <v>No</v>
      </c>
      <c r="AL88" s="496">
        <f>'I-Project Contingency'!$I$4</f>
        <v>9000000</v>
      </c>
      <c r="AM88" s="326">
        <f>'I-Project Contingency'!$I$11</f>
        <v>23.978102189781023</v>
      </c>
      <c r="AN88" s="325">
        <f t="shared" si="46"/>
        <v>0</v>
      </c>
      <c r="AO88" s="326">
        <f t="shared" si="47"/>
        <v>0</v>
      </c>
      <c r="AP88" s="641" t="str">
        <f t="shared" si="48"/>
        <v/>
      </c>
      <c r="AQ88" s="641" t="str">
        <f t="shared" si="49"/>
        <v/>
      </c>
      <c r="AR88" s="497" t="str">
        <f t="shared" si="50"/>
        <v/>
      </c>
      <c r="AS88" s="497" t="str">
        <f t="shared" si="51"/>
        <v/>
      </c>
      <c r="AT88" s="8"/>
      <c r="AU88" s="329">
        <f>'I-Project Contingency'!$O$4-AE88</f>
        <v>0</v>
      </c>
      <c r="AV88" s="330">
        <v>-240515.59579276721</v>
      </c>
      <c r="AW88" s="330">
        <v>28172.931401335634</v>
      </c>
      <c r="AX88" s="330">
        <v>193478.84467429668</v>
      </c>
      <c r="AY88" s="330">
        <v>361668.20104834624</v>
      </c>
      <c r="AZ88" s="330">
        <v>524446.91524262261</v>
      </c>
      <c r="BA88" s="330">
        <v>704023.56387635041</v>
      </c>
      <c r="BB88" s="330">
        <v>886394.06956240814</v>
      </c>
      <c r="BC88" s="330">
        <v>1079363.7165157665</v>
      </c>
      <c r="BD88" s="330">
        <v>1280180.1532065615</v>
      </c>
      <c r="BE88" s="330">
        <v>1485323.8019108465</v>
      </c>
      <c r="BF88" s="330">
        <v>1703758.8827524669</v>
      </c>
      <c r="BG88" s="330">
        <v>1949523.4346483489</v>
      </c>
      <c r="BH88" s="330">
        <v>2177897.1603371189</v>
      </c>
      <c r="BI88" s="330">
        <v>2429374.4260425912</v>
      </c>
      <c r="BJ88" s="330">
        <v>2717092.7449284913</v>
      </c>
      <c r="BK88" s="330">
        <v>3010093.6968918457</v>
      </c>
      <c r="BL88" s="330">
        <v>3325414.5894657462</v>
      </c>
      <c r="BM88" s="330">
        <v>3690425.9159493577</v>
      </c>
      <c r="BN88" s="330">
        <v>4143935.1706127762</v>
      </c>
      <c r="BO88" s="330">
        <v>4722651.1159141911</v>
      </c>
      <c r="BP88" s="330">
        <v>5992048.8629153483</v>
      </c>
      <c r="BQ88" s="330">
        <f>'I-Project Contingency'!$E$61-AV88</f>
        <v>0</v>
      </c>
      <c r="BR88" s="330">
        <f>'I-Project Contingency'!$E$62-AW88</f>
        <v>0</v>
      </c>
      <c r="BS88" s="330">
        <f>'I-Project Contingency'!$E$63-AX88</f>
        <v>0</v>
      </c>
      <c r="BT88" s="330">
        <f>'I-Project Contingency'!$E$64-AY88</f>
        <v>0</v>
      </c>
      <c r="BU88" s="330">
        <f>'I-Project Contingency'!$E$65-AZ88</f>
        <v>0</v>
      </c>
      <c r="BV88" s="330">
        <f>'I-Project Contingency'!$E$66-BA88</f>
        <v>0</v>
      </c>
      <c r="BW88" s="330">
        <f>'I-Project Contingency'!$E$67-BB88</f>
        <v>0</v>
      </c>
      <c r="BX88" s="330">
        <f>'I-Project Contingency'!$E$68-BC88</f>
        <v>0</v>
      </c>
      <c r="BY88" s="330">
        <f>'I-Project Contingency'!$E$69-BD88</f>
        <v>0</v>
      </c>
      <c r="BZ88" s="330">
        <f>'I-Project Contingency'!$E$70-BE88</f>
        <v>0</v>
      </c>
      <c r="CA88" s="330">
        <f>'I-Project Contingency'!$E$71-BF88</f>
        <v>0</v>
      </c>
      <c r="CB88" s="330">
        <f>'I-Project Contingency'!$E$72-BG88</f>
        <v>0</v>
      </c>
      <c r="CC88" s="330">
        <f>'I-Project Contingency'!$E$73-BH88</f>
        <v>0</v>
      </c>
      <c r="CD88" s="330">
        <f>'I-Project Contingency'!$E$74-BI88</f>
        <v>0</v>
      </c>
      <c r="CE88" s="330">
        <f>'I-Project Contingency'!$E$75-BJ88</f>
        <v>0</v>
      </c>
      <c r="CF88" s="330">
        <f>'I-Project Contingency'!$E$76-BK88</f>
        <v>0</v>
      </c>
      <c r="CG88" s="330">
        <f>'I-Project Contingency'!$E$77-BL88</f>
        <v>0</v>
      </c>
      <c r="CH88" s="784">
        <f>'I-Project Contingency'!$E$78-BM88</f>
        <v>0</v>
      </c>
      <c r="CI88" s="330">
        <f>'I-Project Contingency'!$E$79-BN88</f>
        <v>0</v>
      </c>
      <c r="CJ88" s="330">
        <f>'I-Project Contingency'!$E$80-BO88</f>
        <v>0</v>
      </c>
      <c r="CK88" s="330">
        <f>'I-Project Contingency'!$E$81-BP88</f>
        <v>0</v>
      </c>
      <c r="CL88" s="331">
        <f>'I-Project Contingency'!$O$5-AG88</f>
        <v>0</v>
      </c>
      <c r="CM88" s="332">
        <v>-0.98711802853447173</v>
      </c>
      <c r="CN88" s="332">
        <v>-0.19547704728364468</v>
      </c>
      <c r="CO88" s="332">
        <v>0.126462150308498</v>
      </c>
      <c r="CP88" s="332">
        <v>0.45967989154545902</v>
      </c>
      <c r="CQ88" s="332">
        <v>0.78297319902744</v>
      </c>
      <c r="CR88" s="332">
        <v>1.0957191966482109</v>
      </c>
      <c r="CS88" s="332">
        <v>1.4418405003536849</v>
      </c>
      <c r="CT88" s="332">
        <v>1.801002404194165</v>
      </c>
      <c r="CU88" s="332">
        <v>2.1797608166947349</v>
      </c>
      <c r="CV88" s="332">
        <v>2.5671680610072478</v>
      </c>
      <c r="CW88" s="332">
        <v>2.9690760644797152</v>
      </c>
      <c r="CX88" s="332">
        <v>3.3964145469774811</v>
      </c>
      <c r="CY88" s="332">
        <v>3.864536087769562</v>
      </c>
      <c r="CZ88" s="332">
        <v>4.3569836138896116</v>
      </c>
      <c r="DA88" s="332">
        <v>4.8862357851222598</v>
      </c>
      <c r="DB88" s="332">
        <v>5.438836997347547</v>
      </c>
      <c r="DC88" s="332">
        <v>6.047993455908566</v>
      </c>
      <c r="DD88" s="785">
        <v>6.720204953601761</v>
      </c>
      <c r="DE88" s="333">
        <v>7.55131678090412</v>
      </c>
      <c r="DF88" s="332">
        <v>8.661446370835737</v>
      </c>
      <c r="DG88" s="332">
        <v>11.206316207857133</v>
      </c>
      <c r="DH88" s="332">
        <f>'I-Project Contingency'!$E$86-CM88</f>
        <v>0</v>
      </c>
      <c r="DI88" s="332">
        <f>'I-Project Contingency'!$E$87-CN88</f>
        <v>0</v>
      </c>
      <c r="DJ88" s="332">
        <f>'I-Project Contingency'!$E$88-CO88</f>
        <v>0</v>
      </c>
      <c r="DK88" s="332">
        <f>'I-Project Contingency'!$E$89-CP88</f>
        <v>0</v>
      </c>
      <c r="DL88" s="332">
        <f>'I-Project Contingency'!$E$90-CQ88</f>
        <v>0</v>
      </c>
      <c r="DM88" s="332">
        <f>'I-Project Contingency'!$E$91-CR88</f>
        <v>0</v>
      </c>
      <c r="DN88" s="332">
        <f>'I-Project Contingency'!$E$92-CS88</f>
        <v>0</v>
      </c>
      <c r="DO88" s="332">
        <f>'I-Project Contingency'!$E$93-CT88</f>
        <v>0</v>
      </c>
      <c r="DP88" s="332">
        <f>'I-Project Contingency'!$E$94-CU88</f>
        <v>0</v>
      </c>
      <c r="DQ88" s="332">
        <f>'I-Project Contingency'!$E$95-CV88</f>
        <v>0</v>
      </c>
      <c r="DR88" s="332">
        <f>'I-Project Contingency'!$E$96-CW88</f>
        <v>0</v>
      </c>
      <c r="DS88" s="332">
        <f>'I-Project Contingency'!$E$97-CX88</f>
        <v>0</v>
      </c>
      <c r="DT88" s="332">
        <f>'I-Project Contingency'!$E$98-CY88</f>
        <v>0</v>
      </c>
      <c r="DU88" s="332">
        <f>'I-Project Contingency'!$E$99-CZ88</f>
        <v>0</v>
      </c>
      <c r="DV88" s="332">
        <f>'I-Project Contingency'!$E$100-DA88</f>
        <v>0</v>
      </c>
      <c r="DW88" s="332">
        <f>'I-Project Contingency'!$E$101-DB88</f>
        <v>0</v>
      </c>
      <c r="DX88" s="332">
        <f>'I-Project Contingency'!$E$102-DC88</f>
        <v>0</v>
      </c>
      <c r="DY88" s="332">
        <f>'I-Project Contingency'!$E$103-DD88</f>
        <v>0</v>
      </c>
      <c r="DZ88" s="332">
        <f>'I-Project Contingency'!$E$104-DE88</f>
        <v>0</v>
      </c>
      <c r="EA88" s="332">
        <f>'I-Project Contingency'!$E$105-DF88</f>
        <v>0</v>
      </c>
      <c r="EB88" s="332">
        <f>'I-Project Contingency'!$E$106-DG88</f>
        <v>0</v>
      </c>
      <c r="EC88" s="334">
        <f>IF(EE88="N/A","N/A",ABS(INDEX(EE88:EY88,1,MATCH("ROM Cost Risk @ "&amp;'D-Project Data'!$C$6*100&amp;"%",$EE$17:$EY$17,0))))</f>
        <v>0</v>
      </c>
      <c r="ED88" s="335">
        <f>IF(EC88="N/A","N/A",RANK(EC88,$EC$18:$EC$117,0)+COUNTIF($EC$18:EC88,EC88)-1)</f>
        <v>71</v>
      </c>
      <c r="EE88" s="334">
        <f>IF(BQ88/SUM(BQ:BQ)*'I-Project Contingency'!$F$61=0,0,BQ88/SUM(BQ:BQ)*'I-Project Contingency'!$F$61)</f>
        <v>0</v>
      </c>
      <c r="EF88" s="334">
        <f>IF(BR88/SUM(BR:BR)*'I-Project Contingency'!$F$62=0,0,BR88/SUM(BR:BR)*'I-Project Contingency'!$F$62)</f>
        <v>0</v>
      </c>
      <c r="EG88" s="334">
        <f>IF(BS88/SUM(BS:BS)*'I-Project Contingency'!$F$63=0,0,BS88/SUM(BS:BS)*'I-Project Contingency'!$F$63)</f>
        <v>0</v>
      </c>
      <c r="EH88" s="334">
        <f>IF(BT88/SUM(BT:BT)*'I-Project Contingency'!$F$64=0,0,BT88/SUM(BT:BT)*'I-Project Contingency'!$F$64)</f>
        <v>0</v>
      </c>
      <c r="EI88" s="334">
        <f>IF(BU88/SUM(BU:BU)*'I-Project Contingency'!$F$65=0,0,BU88/SUM(BU:BU)*'I-Project Contingency'!$F$65)</f>
        <v>0</v>
      </c>
      <c r="EJ88" s="334">
        <f>IF(BV88/SUM(BV:BV)*'I-Project Contingency'!$F$66=0,0,BV88/SUM(BV:BV)*'I-Project Contingency'!$F$66)</f>
        <v>0</v>
      </c>
      <c r="EK88" s="334">
        <f>IF(BW88/SUM(BW:BW)*'I-Project Contingency'!$F$67=0,0,BW88/SUM(BW:BW)*'I-Project Contingency'!$F$67)</f>
        <v>0</v>
      </c>
      <c r="EL88" s="334">
        <f>IF(BX88/SUM(BX:BX)*'I-Project Contingency'!$F$68=0,0,BX88/SUM(BX:BX)*'I-Project Contingency'!$F$68)</f>
        <v>0</v>
      </c>
      <c r="EM88" s="334">
        <f>IF(BY88/SUM(BY:BY)*'I-Project Contingency'!$F$69=0,0,BY88/SUM(BY:BY)*'I-Project Contingency'!$F$69)</f>
        <v>0</v>
      </c>
      <c r="EN88" s="334">
        <f>IF(BZ88/SUM(BZ:BZ)*'I-Project Contingency'!$F$70=0,0,BZ88/SUM(BZ:BZ)*'I-Project Contingency'!$F$70)</f>
        <v>0</v>
      </c>
      <c r="EO88" s="334">
        <f>IF(CA88/SUM(CA:CA)*'I-Project Contingency'!$F$71=0,0,CA88/SUM(CA:CA)*'I-Project Contingency'!$F$71)</f>
        <v>0</v>
      </c>
      <c r="EP88" s="334">
        <f>IF(CB88/SUM(CB:CB)*'I-Project Contingency'!$F$72=0,0,CB88/SUM(CB:CB)*'I-Project Contingency'!$F$72)</f>
        <v>0</v>
      </c>
      <c r="EQ88" s="334">
        <f>IF(CC88/SUM(CC:CC)*'I-Project Contingency'!$F$73=0,0,CC88/SUM(CC:CC)*'I-Project Contingency'!$F$73)</f>
        <v>0</v>
      </c>
      <c r="ER88" s="334">
        <f>IF(CD88/SUM(CD:CD)*'I-Project Contingency'!$F$74=0,0,CD88/SUM(CD:CD)*'I-Project Contingency'!$F$74)</f>
        <v>0</v>
      </c>
      <c r="ES88" s="334">
        <f>IF(CE88/SUM(CE:CE)*'I-Project Contingency'!$F$75=0,0,CE88/SUM(CE:CE)*'I-Project Contingency'!$F$75)</f>
        <v>0</v>
      </c>
      <c r="ET88" s="334">
        <f>IF(CF88/SUM(CF:CF)*'I-Project Contingency'!$F$76=0,0,CF88/SUM(CF:CF)*'I-Project Contingency'!$F$76)</f>
        <v>0</v>
      </c>
      <c r="EU88" s="334">
        <f>IF(CG88/SUM(CG:CG)*'I-Project Contingency'!$F$77=0,0,CG88/SUM(CG:CG)*'I-Project Contingency'!$F$77)</f>
        <v>0</v>
      </c>
      <c r="EV88" s="787">
        <f>IF(CH88/SUM(CH:CH)*'I-Project Contingency'!$F$78=0,0,CH88/SUM(CH:CH)*'I-Project Contingency'!$F$78)</f>
        <v>0</v>
      </c>
      <c r="EW88" s="787">
        <f>IF(CI88/SUM(CI:CI)*'I-Project Contingency'!$F$79=0,0,CI88/SUM(CI:CI)*'I-Project Contingency'!$F$79)</f>
        <v>0</v>
      </c>
      <c r="EX88" s="787">
        <f>IF(CJ88/SUM(CJ:CJ)*'I-Project Contingency'!$F$80=0,0,CJ88/SUM(CJ:CJ)*'I-Project Contingency'!$F$80)</f>
        <v>0</v>
      </c>
      <c r="EY88" s="787">
        <f>IF(CK88/SUM(CK:CK)*'I-Project Contingency'!$F$81=0,0,CK88/SUM(CK:CK)*'I-Project Contingency'!$F$81)</f>
        <v>0</v>
      </c>
      <c r="EZ88" s="333">
        <f>IF(FB88="N/A","N/A",ABS(INDEX(FB88:FV88,1,MATCH("ROM Schedule Risk @ "&amp;'D-Project Data'!$C$6*100&amp;"%",$FB$17:$FV$17,0))))</f>
        <v>0</v>
      </c>
      <c r="FA88" s="335">
        <f>IF(EZ88="N/A","N/A",RANK(EZ88,$EZ$18:$EZ$117,0)+COUNTIF($FB$18:FB88,FB88)-1)</f>
        <v>71</v>
      </c>
      <c r="FB88" s="788">
        <f>IF(DH88/SUM(DH:DH)*'I-Project Contingency'!$F$86=0,0,DH88/SUM(DH:DH)*'I-Project Contingency'!$F$86)</f>
        <v>0</v>
      </c>
      <c r="FC88" s="788">
        <f>IF(DI88/SUM(DI:DI)*'I-Project Contingency'!$F$87=0,0,DI88/SUM(DI:DI)*'I-Project Contingency'!$F$87)</f>
        <v>0</v>
      </c>
      <c r="FD88" s="788">
        <f>IF(DJ88/SUM(DJ:DJ)*'I-Project Contingency'!$F$88=0,0,DJ88/SUM(DJ:DJ)*'I-Project Contingency'!$F$88)</f>
        <v>0</v>
      </c>
      <c r="FE88" s="788">
        <f>IF(DK88/SUM(DK:DK)*'I-Project Contingency'!$F$89=0,0,DK88/SUM(DK:DK)*'I-Project Contingency'!$F$89)</f>
        <v>0</v>
      </c>
      <c r="FF88" s="788">
        <f>IF(DL88/SUM(DL:DL)*'I-Project Contingency'!$F$90=0,0,DL88/SUM(DL:DL)*'I-Project Contingency'!$F$90)</f>
        <v>0</v>
      </c>
      <c r="FG88" s="788">
        <f>IF(DM88/SUM(DM:DM)*'I-Project Contingency'!$F$91=0,0,DM88/SUM(DM:DM)*'I-Project Contingency'!$F$91)</f>
        <v>0</v>
      </c>
      <c r="FH88" s="788">
        <f>IF(DN88/SUM(DN:DN)*'I-Project Contingency'!$F$92=0,0,DN88/SUM(DN:DN)*'I-Project Contingency'!$F$92)</f>
        <v>0</v>
      </c>
      <c r="FI88" s="788">
        <f>IF(DO88/SUM(DO:DO)*'I-Project Contingency'!$F$93=0,0,DO88/SUM(DO:DO)*'I-Project Contingency'!$F$93)</f>
        <v>0</v>
      </c>
      <c r="FJ88" s="788">
        <f>IF(DP88/SUM(DP:DP)*'I-Project Contingency'!$F$94=0,0,DP88/SUM(DP:DP)*'I-Project Contingency'!$F$94)</f>
        <v>0</v>
      </c>
      <c r="FK88" s="788">
        <f>IF(DQ88/SUM(DQ:DQ)*'I-Project Contingency'!$F$95=0,0,DQ88/SUM(DQ:DQ)*'I-Project Contingency'!$F$95)</f>
        <v>0</v>
      </c>
      <c r="FL88" s="788">
        <f>IF(DR88/SUM(DR:DR)*'I-Project Contingency'!$F$96=0,0,DR88/SUM(DR:DR)*'I-Project Contingency'!$F$96)</f>
        <v>0</v>
      </c>
      <c r="FM88" s="788">
        <f>IF(DS88/SUM(DS:DS)*'I-Project Contingency'!$F$97=0,0,DS88/SUM(DS:DS)*'I-Project Contingency'!$F$97)</f>
        <v>0</v>
      </c>
      <c r="FN88" s="788">
        <f>IF(DT88/SUM(DT:DT)*'I-Project Contingency'!$F$98=0,0,DT88/SUM(DT:DT)*'I-Project Contingency'!$F$98)</f>
        <v>0</v>
      </c>
      <c r="FO88" s="788">
        <f>IF(DU88/SUM(DU:DU)*'I-Project Contingency'!$F$99=0,0,DU88/SUM(DU:DU)*'I-Project Contingency'!$F$99)</f>
        <v>0</v>
      </c>
      <c r="FP88" s="788">
        <f>IF(DV88/SUM(DV:DV)*'I-Project Contingency'!$F$100=0,0,DV88/SUM(DV:DV)*'I-Project Contingency'!$F$100)</f>
        <v>0</v>
      </c>
      <c r="FQ88" s="788">
        <f>IF(DW88/SUM(DW:DW)*'I-Project Contingency'!$F$101=0,0,DW88/SUM(DW:DW)*'I-Project Contingency'!$F$101)</f>
        <v>0</v>
      </c>
      <c r="FR88" s="788">
        <f>IF(DX88/SUM(DX:DX)*'I-Project Contingency'!$F$102=0,0,DX88/SUM(DX:DX)*'I-Project Contingency'!$F$102)</f>
        <v>0</v>
      </c>
      <c r="FS88" s="788">
        <f>IF(DY88/SUM(DY:DY)*'I-Project Contingency'!$F$103=0,0,DY88/SUM(DY:DY)*'I-Project Contingency'!$F$103)</f>
        <v>0</v>
      </c>
      <c r="FT88" s="788">
        <f>IF(DZ88/SUM(DZ:DZ)*'I-Project Contingency'!$F$104=0,0,DZ88/SUM(DZ:DZ)*'I-Project Contingency'!$F$104)</f>
        <v>0</v>
      </c>
      <c r="FU88" s="788">
        <f>IF(EA88/SUM(EA:EA)*'I-Project Contingency'!$F$105=0,0,EA88/SUM(EA:EA)*'I-Project Contingency'!$F$105)</f>
        <v>0</v>
      </c>
      <c r="FV88" s="788">
        <f>IF(EB88/SUM(EB:EB)*'I-Project Contingency'!$F$106=0,0,EB88/SUM(EB:EB)*'I-Project Contingency'!$F$106)</f>
        <v>0</v>
      </c>
      <c r="FW88" s="335">
        <f t="shared" si="52"/>
        <v>71</v>
      </c>
      <c r="FX88" s="336" t="str">
        <f t="shared" si="53"/>
        <v xml:space="preserve">71 -  </v>
      </c>
      <c r="FY88" s="330">
        <f t="shared" si="43"/>
        <v>0</v>
      </c>
      <c r="FZ88" s="330">
        <f t="shared" si="44"/>
        <v>0</v>
      </c>
      <c r="GA88" s="332">
        <f t="shared" si="54"/>
        <v>0</v>
      </c>
      <c r="GB88" s="332">
        <f t="shared" si="55"/>
        <v>0</v>
      </c>
    </row>
    <row r="89" spans="1:184" ht="30" x14ac:dyDescent="0.25">
      <c r="A89" s="163">
        <f t="shared" si="23"/>
        <v>72</v>
      </c>
      <c r="B89" s="727" t="s">
        <v>728</v>
      </c>
      <c r="C89" s="729" t="s">
        <v>659</v>
      </c>
      <c r="D89" s="729" t="s">
        <v>659</v>
      </c>
      <c r="E89" s="729" t="s">
        <v>659</v>
      </c>
      <c r="F89" s="728" t="s">
        <v>728</v>
      </c>
      <c r="G89" s="728" t="s">
        <v>728</v>
      </c>
      <c r="H89" s="157" t="str">
        <f>IFERROR(IF('H-Risk Register-Model'!F89="Certain","Relook at Basis of Estimate",INDEX('G-Assumptions'!$F$8:$J$11,MATCH(F89,'G-Assumptions'!$D$8:$D$11,0),MATCH(G89,'G-Assumptions'!$F$6:$J$6,0))),"Unrated")</f>
        <v>Unrated</v>
      </c>
      <c r="I89" s="728" t="s">
        <v>728</v>
      </c>
      <c r="J89" s="157" t="str">
        <f>IFERROR(IF('H-Risk Register-Model'!F89="Certain","Relook at Basis of Estimate",INDEX('G-Assumptions'!$F$8:$J$11,MATCH(F89,'G-Assumptions'!$D$8:$D$11,0),MATCH(I89,'G-Assumptions'!$F$6:$J$6,0))),"Unrated")</f>
        <v>Unrated</v>
      </c>
      <c r="K89" s="728" t="s">
        <v>728</v>
      </c>
      <c r="L89" s="728" t="s">
        <v>728</v>
      </c>
      <c r="M89" s="728"/>
      <c r="N89" s="731" t="s">
        <v>728</v>
      </c>
      <c r="O89" s="731" t="s">
        <v>728</v>
      </c>
      <c r="P89" s="732"/>
      <c r="Q89" s="732"/>
      <c r="R89" s="732"/>
      <c r="S89" s="733"/>
      <c r="T89" s="733"/>
      <c r="U89" s="733"/>
      <c r="V89" s="734"/>
      <c r="W89" s="732"/>
      <c r="X89" s="732"/>
      <c r="Y89" s="735">
        <v>1</v>
      </c>
      <c r="Z89" s="736">
        <v>1</v>
      </c>
      <c r="AA89" s="166">
        <f t="shared" si="56"/>
        <v>0</v>
      </c>
      <c r="AB89" s="166">
        <f t="shared" si="57"/>
        <v>0</v>
      </c>
      <c r="AC89" s="166">
        <f t="shared" si="58"/>
        <v>0</v>
      </c>
      <c r="AD89" s="166"/>
      <c r="AE89" s="164">
        <f t="shared" si="41"/>
        <v>0</v>
      </c>
      <c r="AF89" s="167"/>
      <c r="AG89" s="165">
        <f t="shared" si="42"/>
        <v>0</v>
      </c>
      <c r="AH89" s="729"/>
      <c r="AI89" s="729"/>
      <c r="AJ89" s="8"/>
      <c r="AK89" s="495" t="str">
        <f t="shared" si="45"/>
        <v>No</v>
      </c>
      <c r="AL89" s="496">
        <f>'I-Project Contingency'!$I$4</f>
        <v>9000000</v>
      </c>
      <c r="AM89" s="326">
        <f>'I-Project Contingency'!$I$11</f>
        <v>23.978102189781023</v>
      </c>
      <c r="AN89" s="325">
        <f t="shared" si="46"/>
        <v>0</v>
      </c>
      <c r="AO89" s="326">
        <f t="shared" si="47"/>
        <v>0</v>
      </c>
      <c r="AP89" s="641" t="str">
        <f t="shared" si="48"/>
        <v/>
      </c>
      <c r="AQ89" s="641" t="str">
        <f t="shared" si="49"/>
        <v/>
      </c>
      <c r="AR89" s="497" t="str">
        <f t="shared" si="50"/>
        <v/>
      </c>
      <c r="AS89" s="497" t="str">
        <f t="shared" si="51"/>
        <v/>
      </c>
      <c r="AT89" s="8"/>
      <c r="AU89" s="329">
        <f>'I-Project Contingency'!$O$4-AE89</f>
        <v>0</v>
      </c>
      <c r="AV89" s="330">
        <v>-240515.59579276721</v>
      </c>
      <c r="AW89" s="330">
        <v>28172.931401335634</v>
      </c>
      <c r="AX89" s="330">
        <v>193478.84467429668</v>
      </c>
      <c r="AY89" s="330">
        <v>361668.20104834624</v>
      </c>
      <c r="AZ89" s="330">
        <v>524446.91524262261</v>
      </c>
      <c r="BA89" s="330">
        <v>704023.56387635041</v>
      </c>
      <c r="BB89" s="330">
        <v>886394.06956240814</v>
      </c>
      <c r="BC89" s="330">
        <v>1079363.7165157665</v>
      </c>
      <c r="BD89" s="330">
        <v>1280180.1532065615</v>
      </c>
      <c r="BE89" s="330">
        <v>1485323.8019108465</v>
      </c>
      <c r="BF89" s="330">
        <v>1703758.8827524669</v>
      </c>
      <c r="BG89" s="330">
        <v>1949523.4346483489</v>
      </c>
      <c r="BH89" s="330">
        <v>2177897.1603371189</v>
      </c>
      <c r="BI89" s="330">
        <v>2429374.4260425912</v>
      </c>
      <c r="BJ89" s="330">
        <v>2717092.7449284913</v>
      </c>
      <c r="BK89" s="330">
        <v>3010093.6968918457</v>
      </c>
      <c r="BL89" s="330">
        <v>3325414.5894657462</v>
      </c>
      <c r="BM89" s="330">
        <v>3690425.9159493577</v>
      </c>
      <c r="BN89" s="330">
        <v>4143935.1706127762</v>
      </c>
      <c r="BO89" s="330">
        <v>4722651.1159141911</v>
      </c>
      <c r="BP89" s="330">
        <v>5992048.8629153483</v>
      </c>
      <c r="BQ89" s="330">
        <f>'I-Project Contingency'!$E$61-AV89</f>
        <v>0</v>
      </c>
      <c r="BR89" s="330">
        <f>'I-Project Contingency'!$E$62-AW89</f>
        <v>0</v>
      </c>
      <c r="BS89" s="330">
        <f>'I-Project Contingency'!$E$63-AX89</f>
        <v>0</v>
      </c>
      <c r="BT89" s="330">
        <f>'I-Project Contingency'!$E$64-AY89</f>
        <v>0</v>
      </c>
      <c r="BU89" s="330">
        <f>'I-Project Contingency'!$E$65-AZ89</f>
        <v>0</v>
      </c>
      <c r="BV89" s="330">
        <f>'I-Project Contingency'!$E$66-BA89</f>
        <v>0</v>
      </c>
      <c r="BW89" s="330">
        <f>'I-Project Contingency'!$E$67-BB89</f>
        <v>0</v>
      </c>
      <c r="BX89" s="330">
        <f>'I-Project Contingency'!$E$68-BC89</f>
        <v>0</v>
      </c>
      <c r="BY89" s="330">
        <f>'I-Project Contingency'!$E$69-BD89</f>
        <v>0</v>
      </c>
      <c r="BZ89" s="330">
        <f>'I-Project Contingency'!$E$70-BE89</f>
        <v>0</v>
      </c>
      <c r="CA89" s="330">
        <f>'I-Project Contingency'!$E$71-BF89</f>
        <v>0</v>
      </c>
      <c r="CB89" s="330">
        <f>'I-Project Contingency'!$E$72-BG89</f>
        <v>0</v>
      </c>
      <c r="CC89" s="330">
        <f>'I-Project Contingency'!$E$73-BH89</f>
        <v>0</v>
      </c>
      <c r="CD89" s="330">
        <f>'I-Project Contingency'!$E$74-BI89</f>
        <v>0</v>
      </c>
      <c r="CE89" s="330">
        <f>'I-Project Contingency'!$E$75-BJ89</f>
        <v>0</v>
      </c>
      <c r="CF89" s="330">
        <f>'I-Project Contingency'!$E$76-BK89</f>
        <v>0</v>
      </c>
      <c r="CG89" s="330">
        <f>'I-Project Contingency'!$E$77-BL89</f>
        <v>0</v>
      </c>
      <c r="CH89" s="784">
        <f>'I-Project Contingency'!$E$78-BM89</f>
        <v>0</v>
      </c>
      <c r="CI89" s="330">
        <f>'I-Project Contingency'!$E$79-BN89</f>
        <v>0</v>
      </c>
      <c r="CJ89" s="330">
        <f>'I-Project Contingency'!$E$80-BO89</f>
        <v>0</v>
      </c>
      <c r="CK89" s="330">
        <f>'I-Project Contingency'!$E$81-BP89</f>
        <v>0</v>
      </c>
      <c r="CL89" s="331">
        <f>'I-Project Contingency'!$O$5-AG89</f>
        <v>0</v>
      </c>
      <c r="CM89" s="332">
        <v>-0.98711802853447173</v>
      </c>
      <c r="CN89" s="332">
        <v>-0.19547704728364468</v>
      </c>
      <c r="CO89" s="332">
        <v>0.126462150308498</v>
      </c>
      <c r="CP89" s="332">
        <v>0.45967989154545902</v>
      </c>
      <c r="CQ89" s="332">
        <v>0.78297319902744</v>
      </c>
      <c r="CR89" s="332">
        <v>1.0957191966482109</v>
      </c>
      <c r="CS89" s="332">
        <v>1.4418405003536849</v>
      </c>
      <c r="CT89" s="332">
        <v>1.801002404194165</v>
      </c>
      <c r="CU89" s="332">
        <v>2.1797608166947349</v>
      </c>
      <c r="CV89" s="332">
        <v>2.5671680610072478</v>
      </c>
      <c r="CW89" s="332">
        <v>2.9690760644797152</v>
      </c>
      <c r="CX89" s="332">
        <v>3.3964145469774811</v>
      </c>
      <c r="CY89" s="332">
        <v>3.864536087769562</v>
      </c>
      <c r="CZ89" s="332">
        <v>4.3569836138896116</v>
      </c>
      <c r="DA89" s="332">
        <v>4.8862357851222598</v>
      </c>
      <c r="DB89" s="332">
        <v>5.438836997347547</v>
      </c>
      <c r="DC89" s="332">
        <v>6.047993455908566</v>
      </c>
      <c r="DD89" s="785">
        <v>6.720204953601761</v>
      </c>
      <c r="DE89" s="333">
        <v>7.55131678090412</v>
      </c>
      <c r="DF89" s="332">
        <v>8.661446370835737</v>
      </c>
      <c r="DG89" s="332">
        <v>11.206316207857133</v>
      </c>
      <c r="DH89" s="332">
        <f>'I-Project Contingency'!$E$86-CM89</f>
        <v>0</v>
      </c>
      <c r="DI89" s="332">
        <f>'I-Project Contingency'!$E$87-CN89</f>
        <v>0</v>
      </c>
      <c r="DJ89" s="332">
        <f>'I-Project Contingency'!$E$88-CO89</f>
        <v>0</v>
      </c>
      <c r="DK89" s="332">
        <f>'I-Project Contingency'!$E$89-CP89</f>
        <v>0</v>
      </c>
      <c r="DL89" s="332">
        <f>'I-Project Contingency'!$E$90-CQ89</f>
        <v>0</v>
      </c>
      <c r="DM89" s="332">
        <f>'I-Project Contingency'!$E$91-CR89</f>
        <v>0</v>
      </c>
      <c r="DN89" s="332">
        <f>'I-Project Contingency'!$E$92-CS89</f>
        <v>0</v>
      </c>
      <c r="DO89" s="332">
        <f>'I-Project Contingency'!$E$93-CT89</f>
        <v>0</v>
      </c>
      <c r="DP89" s="332">
        <f>'I-Project Contingency'!$E$94-CU89</f>
        <v>0</v>
      </c>
      <c r="DQ89" s="332">
        <f>'I-Project Contingency'!$E$95-CV89</f>
        <v>0</v>
      </c>
      <c r="DR89" s="332">
        <f>'I-Project Contingency'!$E$96-CW89</f>
        <v>0</v>
      </c>
      <c r="DS89" s="332">
        <f>'I-Project Contingency'!$E$97-CX89</f>
        <v>0</v>
      </c>
      <c r="DT89" s="332">
        <f>'I-Project Contingency'!$E$98-CY89</f>
        <v>0</v>
      </c>
      <c r="DU89" s="332">
        <f>'I-Project Contingency'!$E$99-CZ89</f>
        <v>0</v>
      </c>
      <c r="DV89" s="332">
        <f>'I-Project Contingency'!$E$100-DA89</f>
        <v>0</v>
      </c>
      <c r="DW89" s="332">
        <f>'I-Project Contingency'!$E$101-DB89</f>
        <v>0</v>
      </c>
      <c r="DX89" s="332">
        <f>'I-Project Contingency'!$E$102-DC89</f>
        <v>0</v>
      </c>
      <c r="DY89" s="332">
        <f>'I-Project Contingency'!$E$103-DD89</f>
        <v>0</v>
      </c>
      <c r="DZ89" s="332">
        <f>'I-Project Contingency'!$E$104-DE89</f>
        <v>0</v>
      </c>
      <c r="EA89" s="332">
        <f>'I-Project Contingency'!$E$105-DF89</f>
        <v>0</v>
      </c>
      <c r="EB89" s="332">
        <f>'I-Project Contingency'!$E$106-DG89</f>
        <v>0</v>
      </c>
      <c r="EC89" s="334">
        <f>IF(EE89="N/A","N/A",ABS(INDEX(EE89:EY89,1,MATCH("ROM Cost Risk @ "&amp;'D-Project Data'!$C$6*100&amp;"%",$EE$17:$EY$17,0))))</f>
        <v>0</v>
      </c>
      <c r="ED89" s="335">
        <f>IF(EC89="N/A","N/A",RANK(EC89,$EC$18:$EC$117,0)+COUNTIF($EC$18:EC89,EC89)-1)</f>
        <v>72</v>
      </c>
      <c r="EE89" s="334">
        <f>IF(BQ89/SUM(BQ:BQ)*'I-Project Contingency'!$F$61=0,0,BQ89/SUM(BQ:BQ)*'I-Project Contingency'!$F$61)</f>
        <v>0</v>
      </c>
      <c r="EF89" s="334">
        <f>IF(BR89/SUM(BR:BR)*'I-Project Contingency'!$F$62=0,0,BR89/SUM(BR:BR)*'I-Project Contingency'!$F$62)</f>
        <v>0</v>
      </c>
      <c r="EG89" s="334">
        <f>IF(BS89/SUM(BS:BS)*'I-Project Contingency'!$F$63=0,0,BS89/SUM(BS:BS)*'I-Project Contingency'!$F$63)</f>
        <v>0</v>
      </c>
      <c r="EH89" s="334">
        <f>IF(BT89/SUM(BT:BT)*'I-Project Contingency'!$F$64=0,0,BT89/SUM(BT:BT)*'I-Project Contingency'!$F$64)</f>
        <v>0</v>
      </c>
      <c r="EI89" s="334">
        <f>IF(BU89/SUM(BU:BU)*'I-Project Contingency'!$F$65=0,0,BU89/SUM(BU:BU)*'I-Project Contingency'!$F$65)</f>
        <v>0</v>
      </c>
      <c r="EJ89" s="334">
        <f>IF(BV89/SUM(BV:BV)*'I-Project Contingency'!$F$66=0,0,BV89/SUM(BV:BV)*'I-Project Contingency'!$F$66)</f>
        <v>0</v>
      </c>
      <c r="EK89" s="334">
        <f>IF(BW89/SUM(BW:BW)*'I-Project Contingency'!$F$67=0,0,BW89/SUM(BW:BW)*'I-Project Contingency'!$F$67)</f>
        <v>0</v>
      </c>
      <c r="EL89" s="334">
        <f>IF(BX89/SUM(BX:BX)*'I-Project Contingency'!$F$68=0,0,BX89/SUM(BX:BX)*'I-Project Contingency'!$F$68)</f>
        <v>0</v>
      </c>
      <c r="EM89" s="334">
        <f>IF(BY89/SUM(BY:BY)*'I-Project Contingency'!$F$69=0,0,BY89/SUM(BY:BY)*'I-Project Contingency'!$F$69)</f>
        <v>0</v>
      </c>
      <c r="EN89" s="334">
        <f>IF(BZ89/SUM(BZ:BZ)*'I-Project Contingency'!$F$70=0,0,BZ89/SUM(BZ:BZ)*'I-Project Contingency'!$F$70)</f>
        <v>0</v>
      </c>
      <c r="EO89" s="334">
        <f>IF(CA89/SUM(CA:CA)*'I-Project Contingency'!$F$71=0,0,CA89/SUM(CA:CA)*'I-Project Contingency'!$F$71)</f>
        <v>0</v>
      </c>
      <c r="EP89" s="334">
        <f>IF(CB89/SUM(CB:CB)*'I-Project Contingency'!$F$72=0,0,CB89/SUM(CB:CB)*'I-Project Contingency'!$F$72)</f>
        <v>0</v>
      </c>
      <c r="EQ89" s="334">
        <f>IF(CC89/SUM(CC:CC)*'I-Project Contingency'!$F$73=0,0,CC89/SUM(CC:CC)*'I-Project Contingency'!$F$73)</f>
        <v>0</v>
      </c>
      <c r="ER89" s="334">
        <f>IF(CD89/SUM(CD:CD)*'I-Project Contingency'!$F$74=0,0,CD89/SUM(CD:CD)*'I-Project Contingency'!$F$74)</f>
        <v>0</v>
      </c>
      <c r="ES89" s="334">
        <f>IF(CE89/SUM(CE:CE)*'I-Project Contingency'!$F$75=0,0,CE89/SUM(CE:CE)*'I-Project Contingency'!$F$75)</f>
        <v>0</v>
      </c>
      <c r="ET89" s="334">
        <f>IF(CF89/SUM(CF:CF)*'I-Project Contingency'!$F$76=0,0,CF89/SUM(CF:CF)*'I-Project Contingency'!$F$76)</f>
        <v>0</v>
      </c>
      <c r="EU89" s="334">
        <f>IF(CG89/SUM(CG:CG)*'I-Project Contingency'!$F$77=0,0,CG89/SUM(CG:CG)*'I-Project Contingency'!$F$77)</f>
        <v>0</v>
      </c>
      <c r="EV89" s="787">
        <f>IF(CH89/SUM(CH:CH)*'I-Project Contingency'!$F$78=0,0,CH89/SUM(CH:CH)*'I-Project Contingency'!$F$78)</f>
        <v>0</v>
      </c>
      <c r="EW89" s="787">
        <f>IF(CI89/SUM(CI:CI)*'I-Project Contingency'!$F$79=0,0,CI89/SUM(CI:CI)*'I-Project Contingency'!$F$79)</f>
        <v>0</v>
      </c>
      <c r="EX89" s="787">
        <f>IF(CJ89/SUM(CJ:CJ)*'I-Project Contingency'!$F$80=0,0,CJ89/SUM(CJ:CJ)*'I-Project Contingency'!$F$80)</f>
        <v>0</v>
      </c>
      <c r="EY89" s="787">
        <f>IF(CK89/SUM(CK:CK)*'I-Project Contingency'!$F$81=0,0,CK89/SUM(CK:CK)*'I-Project Contingency'!$F$81)</f>
        <v>0</v>
      </c>
      <c r="EZ89" s="333">
        <f>IF(FB89="N/A","N/A",ABS(INDEX(FB89:FV89,1,MATCH("ROM Schedule Risk @ "&amp;'D-Project Data'!$C$6*100&amp;"%",$FB$17:$FV$17,0))))</f>
        <v>0</v>
      </c>
      <c r="FA89" s="335">
        <f>IF(EZ89="N/A","N/A",RANK(EZ89,$EZ$18:$EZ$117,0)+COUNTIF($FB$18:FB89,FB89)-1)</f>
        <v>72</v>
      </c>
      <c r="FB89" s="788">
        <f>IF(DH89/SUM(DH:DH)*'I-Project Contingency'!$F$86=0,0,DH89/SUM(DH:DH)*'I-Project Contingency'!$F$86)</f>
        <v>0</v>
      </c>
      <c r="FC89" s="788">
        <f>IF(DI89/SUM(DI:DI)*'I-Project Contingency'!$F$87=0,0,DI89/SUM(DI:DI)*'I-Project Contingency'!$F$87)</f>
        <v>0</v>
      </c>
      <c r="FD89" s="788">
        <f>IF(DJ89/SUM(DJ:DJ)*'I-Project Contingency'!$F$88=0,0,DJ89/SUM(DJ:DJ)*'I-Project Contingency'!$F$88)</f>
        <v>0</v>
      </c>
      <c r="FE89" s="788">
        <f>IF(DK89/SUM(DK:DK)*'I-Project Contingency'!$F$89=0,0,DK89/SUM(DK:DK)*'I-Project Contingency'!$F$89)</f>
        <v>0</v>
      </c>
      <c r="FF89" s="788">
        <f>IF(DL89/SUM(DL:DL)*'I-Project Contingency'!$F$90=0,0,DL89/SUM(DL:DL)*'I-Project Contingency'!$F$90)</f>
        <v>0</v>
      </c>
      <c r="FG89" s="788">
        <f>IF(DM89/SUM(DM:DM)*'I-Project Contingency'!$F$91=0,0,DM89/SUM(DM:DM)*'I-Project Contingency'!$F$91)</f>
        <v>0</v>
      </c>
      <c r="FH89" s="788">
        <f>IF(DN89/SUM(DN:DN)*'I-Project Contingency'!$F$92=0,0,DN89/SUM(DN:DN)*'I-Project Contingency'!$F$92)</f>
        <v>0</v>
      </c>
      <c r="FI89" s="788">
        <f>IF(DO89/SUM(DO:DO)*'I-Project Contingency'!$F$93=0,0,DO89/SUM(DO:DO)*'I-Project Contingency'!$F$93)</f>
        <v>0</v>
      </c>
      <c r="FJ89" s="788">
        <f>IF(DP89/SUM(DP:DP)*'I-Project Contingency'!$F$94=0,0,DP89/SUM(DP:DP)*'I-Project Contingency'!$F$94)</f>
        <v>0</v>
      </c>
      <c r="FK89" s="788">
        <f>IF(DQ89/SUM(DQ:DQ)*'I-Project Contingency'!$F$95=0,0,DQ89/SUM(DQ:DQ)*'I-Project Contingency'!$F$95)</f>
        <v>0</v>
      </c>
      <c r="FL89" s="788">
        <f>IF(DR89/SUM(DR:DR)*'I-Project Contingency'!$F$96=0,0,DR89/SUM(DR:DR)*'I-Project Contingency'!$F$96)</f>
        <v>0</v>
      </c>
      <c r="FM89" s="788">
        <f>IF(DS89/SUM(DS:DS)*'I-Project Contingency'!$F$97=0,0,DS89/SUM(DS:DS)*'I-Project Contingency'!$F$97)</f>
        <v>0</v>
      </c>
      <c r="FN89" s="788">
        <f>IF(DT89/SUM(DT:DT)*'I-Project Contingency'!$F$98=0,0,DT89/SUM(DT:DT)*'I-Project Contingency'!$F$98)</f>
        <v>0</v>
      </c>
      <c r="FO89" s="788">
        <f>IF(DU89/SUM(DU:DU)*'I-Project Contingency'!$F$99=0,0,DU89/SUM(DU:DU)*'I-Project Contingency'!$F$99)</f>
        <v>0</v>
      </c>
      <c r="FP89" s="788">
        <f>IF(DV89/SUM(DV:DV)*'I-Project Contingency'!$F$100=0,0,DV89/SUM(DV:DV)*'I-Project Contingency'!$F$100)</f>
        <v>0</v>
      </c>
      <c r="FQ89" s="788">
        <f>IF(DW89/SUM(DW:DW)*'I-Project Contingency'!$F$101=0,0,DW89/SUM(DW:DW)*'I-Project Contingency'!$F$101)</f>
        <v>0</v>
      </c>
      <c r="FR89" s="788">
        <f>IF(DX89/SUM(DX:DX)*'I-Project Contingency'!$F$102=0,0,DX89/SUM(DX:DX)*'I-Project Contingency'!$F$102)</f>
        <v>0</v>
      </c>
      <c r="FS89" s="788">
        <f>IF(DY89/SUM(DY:DY)*'I-Project Contingency'!$F$103=0,0,DY89/SUM(DY:DY)*'I-Project Contingency'!$F$103)</f>
        <v>0</v>
      </c>
      <c r="FT89" s="788">
        <f>IF(DZ89/SUM(DZ:DZ)*'I-Project Contingency'!$F$104=0,0,DZ89/SUM(DZ:DZ)*'I-Project Contingency'!$F$104)</f>
        <v>0</v>
      </c>
      <c r="FU89" s="788">
        <f>IF(EA89/SUM(EA:EA)*'I-Project Contingency'!$F$105=0,0,EA89/SUM(EA:EA)*'I-Project Contingency'!$F$105)</f>
        <v>0</v>
      </c>
      <c r="FV89" s="788">
        <f>IF(EB89/SUM(EB:EB)*'I-Project Contingency'!$F$106=0,0,EB89/SUM(EB:EB)*'I-Project Contingency'!$F$106)</f>
        <v>0</v>
      </c>
      <c r="FW89" s="335">
        <f t="shared" si="52"/>
        <v>72</v>
      </c>
      <c r="FX89" s="336" t="str">
        <f t="shared" si="53"/>
        <v xml:space="preserve">72 -  </v>
      </c>
      <c r="FY89" s="330">
        <f t="shared" si="43"/>
        <v>0</v>
      </c>
      <c r="FZ89" s="330">
        <f t="shared" si="44"/>
        <v>0</v>
      </c>
      <c r="GA89" s="332">
        <f t="shared" si="54"/>
        <v>0</v>
      </c>
      <c r="GB89" s="332">
        <f t="shared" si="55"/>
        <v>0</v>
      </c>
    </row>
    <row r="90" spans="1:184" ht="30" x14ac:dyDescent="0.25">
      <c r="A90" s="163">
        <f t="shared" si="23"/>
        <v>73</v>
      </c>
      <c r="B90" s="727" t="s">
        <v>728</v>
      </c>
      <c r="C90" s="729" t="s">
        <v>659</v>
      </c>
      <c r="D90" s="729" t="s">
        <v>659</v>
      </c>
      <c r="E90" s="729" t="s">
        <v>659</v>
      </c>
      <c r="F90" s="728" t="s">
        <v>728</v>
      </c>
      <c r="G90" s="728" t="s">
        <v>728</v>
      </c>
      <c r="H90" s="157" t="str">
        <f>IFERROR(IF('H-Risk Register-Model'!F90="Certain","Relook at Basis of Estimate",INDEX('G-Assumptions'!$F$8:$J$11,MATCH(F90,'G-Assumptions'!$D$8:$D$11,0),MATCH(G90,'G-Assumptions'!$F$6:$J$6,0))),"Unrated")</f>
        <v>Unrated</v>
      </c>
      <c r="I90" s="728" t="s">
        <v>728</v>
      </c>
      <c r="J90" s="157" t="str">
        <f>IFERROR(IF('H-Risk Register-Model'!F90="Certain","Relook at Basis of Estimate",INDEX('G-Assumptions'!$F$8:$J$11,MATCH(F90,'G-Assumptions'!$D$8:$D$11,0),MATCH(I90,'G-Assumptions'!$F$6:$J$6,0))),"Unrated")</f>
        <v>Unrated</v>
      </c>
      <c r="K90" s="728" t="s">
        <v>728</v>
      </c>
      <c r="L90" s="728" t="s">
        <v>728</v>
      </c>
      <c r="M90" s="728"/>
      <c r="N90" s="731" t="s">
        <v>728</v>
      </c>
      <c r="O90" s="731" t="s">
        <v>728</v>
      </c>
      <c r="P90" s="732"/>
      <c r="Q90" s="732"/>
      <c r="R90" s="732"/>
      <c r="S90" s="733"/>
      <c r="T90" s="733"/>
      <c r="U90" s="733"/>
      <c r="V90" s="734"/>
      <c r="W90" s="732"/>
      <c r="X90" s="732"/>
      <c r="Y90" s="735">
        <v>1</v>
      </c>
      <c r="Z90" s="736">
        <v>1</v>
      </c>
      <c r="AA90" s="166">
        <f t="shared" si="56"/>
        <v>0</v>
      </c>
      <c r="AB90" s="166">
        <f t="shared" si="57"/>
        <v>0</v>
      </c>
      <c r="AC90" s="166">
        <f t="shared" si="58"/>
        <v>0</v>
      </c>
      <c r="AD90" s="166"/>
      <c r="AE90" s="164">
        <f t="shared" si="41"/>
        <v>0</v>
      </c>
      <c r="AF90" s="167"/>
      <c r="AG90" s="165">
        <f t="shared" si="42"/>
        <v>0</v>
      </c>
      <c r="AH90" s="729"/>
      <c r="AI90" s="729"/>
      <c r="AJ90" s="8"/>
      <c r="AK90" s="495" t="str">
        <f t="shared" si="45"/>
        <v>No</v>
      </c>
      <c r="AL90" s="496">
        <f>'I-Project Contingency'!$I$4</f>
        <v>9000000</v>
      </c>
      <c r="AM90" s="326">
        <f>'I-Project Contingency'!$I$11</f>
        <v>23.978102189781023</v>
      </c>
      <c r="AN90" s="325">
        <f t="shared" si="46"/>
        <v>0</v>
      </c>
      <c r="AO90" s="326">
        <f t="shared" si="47"/>
        <v>0</v>
      </c>
      <c r="AP90" s="641" t="str">
        <f t="shared" si="48"/>
        <v/>
      </c>
      <c r="AQ90" s="641" t="str">
        <f t="shared" si="49"/>
        <v/>
      </c>
      <c r="AR90" s="497" t="str">
        <f t="shared" si="50"/>
        <v/>
      </c>
      <c r="AS90" s="497" t="str">
        <f t="shared" si="51"/>
        <v/>
      </c>
      <c r="AT90" s="8"/>
      <c r="AU90" s="329">
        <f>'I-Project Contingency'!$O$4-AE90</f>
        <v>0</v>
      </c>
      <c r="AV90" s="330">
        <v>-240515.59579276721</v>
      </c>
      <c r="AW90" s="330">
        <v>28172.931401335634</v>
      </c>
      <c r="AX90" s="330">
        <v>193478.84467429668</v>
      </c>
      <c r="AY90" s="330">
        <v>361668.20104834624</v>
      </c>
      <c r="AZ90" s="330">
        <v>524446.91524262261</v>
      </c>
      <c r="BA90" s="330">
        <v>704023.56387635041</v>
      </c>
      <c r="BB90" s="330">
        <v>886394.06956240814</v>
      </c>
      <c r="BC90" s="330">
        <v>1079363.7165157665</v>
      </c>
      <c r="BD90" s="330">
        <v>1280180.1532065615</v>
      </c>
      <c r="BE90" s="330">
        <v>1485323.8019108465</v>
      </c>
      <c r="BF90" s="330">
        <v>1703758.8827524669</v>
      </c>
      <c r="BG90" s="330">
        <v>1949523.4346483489</v>
      </c>
      <c r="BH90" s="330">
        <v>2177897.1603371189</v>
      </c>
      <c r="BI90" s="330">
        <v>2429374.4260425912</v>
      </c>
      <c r="BJ90" s="330">
        <v>2717092.7449284913</v>
      </c>
      <c r="BK90" s="330">
        <v>3010093.6968918457</v>
      </c>
      <c r="BL90" s="330">
        <v>3325414.5894657462</v>
      </c>
      <c r="BM90" s="330">
        <v>3690425.9159493577</v>
      </c>
      <c r="BN90" s="330">
        <v>4143935.1706127762</v>
      </c>
      <c r="BO90" s="330">
        <v>4722651.1159141911</v>
      </c>
      <c r="BP90" s="330">
        <v>5992048.8629153483</v>
      </c>
      <c r="BQ90" s="330">
        <f>'I-Project Contingency'!$E$61-AV90</f>
        <v>0</v>
      </c>
      <c r="BR90" s="330">
        <f>'I-Project Contingency'!$E$62-AW90</f>
        <v>0</v>
      </c>
      <c r="BS90" s="330">
        <f>'I-Project Contingency'!$E$63-AX90</f>
        <v>0</v>
      </c>
      <c r="BT90" s="330">
        <f>'I-Project Contingency'!$E$64-AY90</f>
        <v>0</v>
      </c>
      <c r="BU90" s="330">
        <f>'I-Project Contingency'!$E$65-AZ90</f>
        <v>0</v>
      </c>
      <c r="BV90" s="330">
        <f>'I-Project Contingency'!$E$66-BA90</f>
        <v>0</v>
      </c>
      <c r="BW90" s="330">
        <f>'I-Project Contingency'!$E$67-BB90</f>
        <v>0</v>
      </c>
      <c r="BX90" s="330">
        <f>'I-Project Contingency'!$E$68-BC90</f>
        <v>0</v>
      </c>
      <c r="BY90" s="330">
        <f>'I-Project Contingency'!$E$69-BD90</f>
        <v>0</v>
      </c>
      <c r="BZ90" s="330">
        <f>'I-Project Contingency'!$E$70-BE90</f>
        <v>0</v>
      </c>
      <c r="CA90" s="330">
        <f>'I-Project Contingency'!$E$71-BF90</f>
        <v>0</v>
      </c>
      <c r="CB90" s="330">
        <f>'I-Project Contingency'!$E$72-BG90</f>
        <v>0</v>
      </c>
      <c r="CC90" s="330">
        <f>'I-Project Contingency'!$E$73-BH90</f>
        <v>0</v>
      </c>
      <c r="CD90" s="330">
        <f>'I-Project Contingency'!$E$74-BI90</f>
        <v>0</v>
      </c>
      <c r="CE90" s="330">
        <f>'I-Project Contingency'!$E$75-BJ90</f>
        <v>0</v>
      </c>
      <c r="CF90" s="330">
        <f>'I-Project Contingency'!$E$76-BK90</f>
        <v>0</v>
      </c>
      <c r="CG90" s="330">
        <f>'I-Project Contingency'!$E$77-BL90</f>
        <v>0</v>
      </c>
      <c r="CH90" s="784">
        <f>'I-Project Contingency'!$E$78-BM90</f>
        <v>0</v>
      </c>
      <c r="CI90" s="330">
        <f>'I-Project Contingency'!$E$79-BN90</f>
        <v>0</v>
      </c>
      <c r="CJ90" s="330">
        <f>'I-Project Contingency'!$E$80-BO90</f>
        <v>0</v>
      </c>
      <c r="CK90" s="330">
        <f>'I-Project Contingency'!$E$81-BP90</f>
        <v>0</v>
      </c>
      <c r="CL90" s="331">
        <f>'I-Project Contingency'!$O$5-AG90</f>
        <v>0</v>
      </c>
      <c r="CM90" s="332">
        <v>-0.98711802853447173</v>
      </c>
      <c r="CN90" s="332">
        <v>-0.19547704728364468</v>
      </c>
      <c r="CO90" s="332">
        <v>0.126462150308498</v>
      </c>
      <c r="CP90" s="332">
        <v>0.45967989154545902</v>
      </c>
      <c r="CQ90" s="332">
        <v>0.78297319902744</v>
      </c>
      <c r="CR90" s="332">
        <v>1.0957191966482109</v>
      </c>
      <c r="CS90" s="332">
        <v>1.4418405003536849</v>
      </c>
      <c r="CT90" s="332">
        <v>1.801002404194165</v>
      </c>
      <c r="CU90" s="332">
        <v>2.1797608166947349</v>
      </c>
      <c r="CV90" s="332">
        <v>2.5671680610072478</v>
      </c>
      <c r="CW90" s="332">
        <v>2.9690760644797152</v>
      </c>
      <c r="CX90" s="332">
        <v>3.3964145469774811</v>
      </c>
      <c r="CY90" s="332">
        <v>3.864536087769562</v>
      </c>
      <c r="CZ90" s="332">
        <v>4.3569836138896116</v>
      </c>
      <c r="DA90" s="332">
        <v>4.8862357851222598</v>
      </c>
      <c r="DB90" s="332">
        <v>5.438836997347547</v>
      </c>
      <c r="DC90" s="332">
        <v>6.047993455908566</v>
      </c>
      <c r="DD90" s="785">
        <v>6.720204953601761</v>
      </c>
      <c r="DE90" s="333">
        <v>7.55131678090412</v>
      </c>
      <c r="DF90" s="332">
        <v>8.661446370835737</v>
      </c>
      <c r="DG90" s="332">
        <v>11.206316207857133</v>
      </c>
      <c r="DH90" s="332">
        <f>'I-Project Contingency'!$E$86-CM90</f>
        <v>0</v>
      </c>
      <c r="DI90" s="332">
        <f>'I-Project Contingency'!$E$87-CN90</f>
        <v>0</v>
      </c>
      <c r="DJ90" s="332">
        <f>'I-Project Contingency'!$E$88-CO90</f>
        <v>0</v>
      </c>
      <c r="DK90" s="332">
        <f>'I-Project Contingency'!$E$89-CP90</f>
        <v>0</v>
      </c>
      <c r="DL90" s="332">
        <f>'I-Project Contingency'!$E$90-CQ90</f>
        <v>0</v>
      </c>
      <c r="DM90" s="332">
        <f>'I-Project Contingency'!$E$91-CR90</f>
        <v>0</v>
      </c>
      <c r="DN90" s="332">
        <f>'I-Project Contingency'!$E$92-CS90</f>
        <v>0</v>
      </c>
      <c r="DO90" s="332">
        <f>'I-Project Contingency'!$E$93-CT90</f>
        <v>0</v>
      </c>
      <c r="DP90" s="332">
        <f>'I-Project Contingency'!$E$94-CU90</f>
        <v>0</v>
      </c>
      <c r="DQ90" s="332">
        <f>'I-Project Contingency'!$E$95-CV90</f>
        <v>0</v>
      </c>
      <c r="DR90" s="332">
        <f>'I-Project Contingency'!$E$96-CW90</f>
        <v>0</v>
      </c>
      <c r="DS90" s="332">
        <f>'I-Project Contingency'!$E$97-CX90</f>
        <v>0</v>
      </c>
      <c r="DT90" s="332">
        <f>'I-Project Contingency'!$E$98-CY90</f>
        <v>0</v>
      </c>
      <c r="DU90" s="332">
        <f>'I-Project Contingency'!$E$99-CZ90</f>
        <v>0</v>
      </c>
      <c r="DV90" s="332">
        <f>'I-Project Contingency'!$E$100-DA90</f>
        <v>0</v>
      </c>
      <c r="DW90" s="332">
        <f>'I-Project Contingency'!$E$101-DB90</f>
        <v>0</v>
      </c>
      <c r="DX90" s="332">
        <f>'I-Project Contingency'!$E$102-DC90</f>
        <v>0</v>
      </c>
      <c r="DY90" s="332">
        <f>'I-Project Contingency'!$E$103-DD90</f>
        <v>0</v>
      </c>
      <c r="DZ90" s="332">
        <f>'I-Project Contingency'!$E$104-DE90</f>
        <v>0</v>
      </c>
      <c r="EA90" s="332">
        <f>'I-Project Contingency'!$E$105-DF90</f>
        <v>0</v>
      </c>
      <c r="EB90" s="332">
        <f>'I-Project Contingency'!$E$106-DG90</f>
        <v>0</v>
      </c>
      <c r="EC90" s="334">
        <f>IF(EE90="N/A","N/A",ABS(INDEX(EE90:EY90,1,MATCH("ROM Cost Risk @ "&amp;'D-Project Data'!$C$6*100&amp;"%",$EE$17:$EY$17,0))))</f>
        <v>0</v>
      </c>
      <c r="ED90" s="335">
        <f>IF(EC90="N/A","N/A",RANK(EC90,$EC$18:$EC$117,0)+COUNTIF($EC$18:EC90,EC90)-1)</f>
        <v>73</v>
      </c>
      <c r="EE90" s="334">
        <f>IF(BQ90/SUM(BQ:BQ)*'I-Project Contingency'!$F$61=0,0,BQ90/SUM(BQ:BQ)*'I-Project Contingency'!$F$61)</f>
        <v>0</v>
      </c>
      <c r="EF90" s="334">
        <f>IF(BR90/SUM(BR:BR)*'I-Project Contingency'!$F$62=0,0,BR90/SUM(BR:BR)*'I-Project Contingency'!$F$62)</f>
        <v>0</v>
      </c>
      <c r="EG90" s="334">
        <f>IF(BS90/SUM(BS:BS)*'I-Project Contingency'!$F$63=0,0,BS90/SUM(BS:BS)*'I-Project Contingency'!$F$63)</f>
        <v>0</v>
      </c>
      <c r="EH90" s="334">
        <f>IF(BT90/SUM(BT:BT)*'I-Project Contingency'!$F$64=0,0,BT90/SUM(BT:BT)*'I-Project Contingency'!$F$64)</f>
        <v>0</v>
      </c>
      <c r="EI90" s="334">
        <f>IF(BU90/SUM(BU:BU)*'I-Project Contingency'!$F$65=0,0,BU90/SUM(BU:BU)*'I-Project Contingency'!$F$65)</f>
        <v>0</v>
      </c>
      <c r="EJ90" s="334">
        <f>IF(BV90/SUM(BV:BV)*'I-Project Contingency'!$F$66=0,0,BV90/SUM(BV:BV)*'I-Project Contingency'!$F$66)</f>
        <v>0</v>
      </c>
      <c r="EK90" s="334">
        <f>IF(BW90/SUM(BW:BW)*'I-Project Contingency'!$F$67=0,0,BW90/SUM(BW:BW)*'I-Project Contingency'!$F$67)</f>
        <v>0</v>
      </c>
      <c r="EL90" s="334">
        <f>IF(BX90/SUM(BX:BX)*'I-Project Contingency'!$F$68=0,0,BX90/SUM(BX:BX)*'I-Project Contingency'!$F$68)</f>
        <v>0</v>
      </c>
      <c r="EM90" s="334">
        <f>IF(BY90/SUM(BY:BY)*'I-Project Contingency'!$F$69=0,0,BY90/SUM(BY:BY)*'I-Project Contingency'!$F$69)</f>
        <v>0</v>
      </c>
      <c r="EN90" s="334">
        <f>IF(BZ90/SUM(BZ:BZ)*'I-Project Contingency'!$F$70=0,0,BZ90/SUM(BZ:BZ)*'I-Project Contingency'!$F$70)</f>
        <v>0</v>
      </c>
      <c r="EO90" s="334">
        <f>IF(CA90/SUM(CA:CA)*'I-Project Contingency'!$F$71=0,0,CA90/SUM(CA:CA)*'I-Project Contingency'!$F$71)</f>
        <v>0</v>
      </c>
      <c r="EP90" s="334">
        <f>IF(CB90/SUM(CB:CB)*'I-Project Contingency'!$F$72=0,0,CB90/SUM(CB:CB)*'I-Project Contingency'!$F$72)</f>
        <v>0</v>
      </c>
      <c r="EQ90" s="334">
        <f>IF(CC90/SUM(CC:CC)*'I-Project Contingency'!$F$73=0,0,CC90/SUM(CC:CC)*'I-Project Contingency'!$F$73)</f>
        <v>0</v>
      </c>
      <c r="ER90" s="334">
        <f>IF(CD90/SUM(CD:CD)*'I-Project Contingency'!$F$74=0,0,CD90/SUM(CD:CD)*'I-Project Contingency'!$F$74)</f>
        <v>0</v>
      </c>
      <c r="ES90" s="334">
        <f>IF(CE90/SUM(CE:CE)*'I-Project Contingency'!$F$75=0,0,CE90/SUM(CE:CE)*'I-Project Contingency'!$F$75)</f>
        <v>0</v>
      </c>
      <c r="ET90" s="334">
        <f>IF(CF90/SUM(CF:CF)*'I-Project Contingency'!$F$76=0,0,CF90/SUM(CF:CF)*'I-Project Contingency'!$F$76)</f>
        <v>0</v>
      </c>
      <c r="EU90" s="334">
        <f>IF(CG90/SUM(CG:CG)*'I-Project Contingency'!$F$77=0,0,CG90/SUM(CG:CG)*'I-Project Contingency'!$F$77)</f>
        <v>0</v>
      </c>
      <c r="EV90" s="787">
        <f>IF(CH90/SUM(CH:CH)*'I-Project Contingency'!$F$78=0,0,CH90/SUM(CH:CH)*'I-Project Contingency'!$F$78)</f>
        <v>0</v>
      </c>
      <c r="EW90" s="787">
        <f>IF(CI90/SUM(CI:CI)*'I-Project Contingency'!$F$79=0,0,CI90/SUM(CI:CI)*'I-Project Contingency'!$F$79)</f>
        <v>0</v>
      </c>
      <c r="EX90" s="787">
        <f>IF(CJ90/SUM(CJ:CJ)*'I-Project Contingency'!$F$80=0,0,CJ90/SUM(CJ:CJ)*'I-Project Contingency'!$F$80)</f>
        <v>0</v>
      </c>
      <c r="EY90" s="787">
        <f>IF(CK90/SUM(CK:CK)*'I-Project Contingency'!$F$81=0,0,CK90/SUM(CK:CK)*'I-Project Contingency'!$F$81)</f>
        <v>0</v>
      </c>
      <c r="EZ90" s="333">
        <f>IF(FB90="N/A","N/A",ABS(INDEX(FB90:FV90,1,MATCH("ROM Schedule Risk @ "&amp;'D-Project Data'!$C$6*100&amp;"%",$FB$17:$FV$17,0))))</f>
        <v>0</v>
      </c>
      <c r="FA90" s="335">
        <f>IF(EZ90="N/A","N/A",RANK(EZ90,$EZ$18:$EZ$117,0)+COUNTIF($FB$18:FB90,FB90)-1)</f>
        <v>73</v>
      </c>
      <c r="FB90" s="788">
        <f>IF(DH90/SUM(DH:DH)*'I-Project Contingency'!$F$86=0,0,DH90/SUM(DH:DH)*'I-Project Contingency'!$F$86)</f>
        <v>0</v>
      </c>
      <c r="FC90" s="788">
        <f>IF(DI90/SUM(DI:DI)*'I-Project Contingency'!$F$87=0,0,DI90/SUM(DI:DI)*'I-Project Contingency'!$F$87)</f>
        <v>0</v>
      </c>
      <c r="FD90" s="788">
        <f>IF(DJ90/SUM(DJ:DJ)*'I-Project Contingency'!$F$88=0,0,DJ90/SUM(DJ:DJ)*'I-Project Contingency'!$F$88)</f>
        <v>0</v>
      </c>
      <c r="FE90" s="788">
        <f>IF(DK90/SUM(DK:DK)*'I-Project Contingency'!$F$89=0,0,DK90/SUM(DK:DK)*'I-Project Contingency'!$F$89)</f>
        <v>0</v>
      </c>
      <c r="FF90" s="788">
        <f>IF(DL90/SUM(DL:DL)*'I-Project Contingency'!$F$90=0,0,DL90/SUM(DL:DL)*'I-Project Contingency'!$F$90)</f>
        <v>0</v>
      </c>
      <c r="FG90" s="788">
        <f>IF(DM90/SUM(DM:DM)*'I-Project Contingency'!$F$91=0,0,DM90/SUM(DM:DM)*'I-Project Contingency'!$F$91)</f>
        <v>0</v>
      </c>
      <c r="FH90" s="788">
        <f>IF(DN90/SUM(DN:DN)*'I-Project Contingency'!$F$92=0,0,DN90/SUM(DN:DN)*'I-Project Contingency'!$F$92)</f>
        <v>0</v>
      </c>
      <c r="FI90" s="788">
        <f>IF(DO90/SUM(DO:DO)*'I-Project Contingency'!$F$93=0,0,DO90/SUM(DO:DO)*'I-Project Contingency'!$F$93)</f>
        <v>0</v>
      </c>
      <c r="FJ90" s="788">
        <f>IF(DP90/SUM(DP:DP)*'I-Project Contingency'!$F$94=0,0,DP90/SUM(DP:DP)*'I-Project Contingency'!$F$94)</f>
        <v>0</v>
      </c>
      <c r="FK90" s="788">
        <f>IF(DQ90/SUM(DQ:DQ)*'I-Project Contingency'!$F$95=0,0,DQ90/SUM(DQ:DQ)*'I-Project Contingency'!$F$95)</f>
        <v>0</v>
      </c>
      <c r="FL90" s="788">
        <f>IF(DR90/SUM(DR:DR)*'I-Project Contingency'!$F$96=0,0,DR90/SUM(DR:DR)*'I-Project Contingency'!$F$96)</f>
        <v>0</v>
      </c>
      <c r="FM90" s="788">
        <f>IF(DS90/SUM(DS:DS)*'I-Project Contingency'!$F$97=0,0,DS90/SUM(DS:DS)*'I-Project Contingency'!$F$97)</f>
        <v>0</v>
      </c>
      <c r="FN90" s="788">
        <f>IF(DT90/SUM(DT:DT)*'I-Project Contingency'!$F$98=0,0,DT90/SUM(DT:DT)*'I-Project Contingency'!$F$98)</f>
        <v>0</v>
      </c>
      <c r="FO90" s="788">
        <f>IF(DU90/SUM(DU:DU)*'I-Project Contingency'!$F$99=0,0,DU90/SUM(DU:DU)*'I-Project Contingency'!$F$99)</f>
        <v>0</v>
      </c>
      <c r="FP90" s="788">
        <f>IF(DV90/SUM(DV:DV)*'I-Project Contingency'!$F$100=0,0,DV90/SUM(DV:DV)*'I-Project Contingency'!$F$100)</f>
        <v>0</v>
      </c>
      <c r="FQ90" s="788">
        <f>IF(DW90/SUM(DW:DW)*'I-Project Contingency'!$F$101=0,0,DW90/SUM(DW:DW)*'I-Project Contingency'!$F$101)</f>
        <v>0</v>
      </c>
      <c r="FR90" s="788">
        <f>IF(DX90/SUM(DX:DX)*'I-Project Contingency'!$F$102=0,0,DX90/SUM(DX:DX)*'I-Project Contingency'!$F$102)</f>
        <v>0</v>
      </c>
      <c r="FS90" s="788">
        <f>IF(DY90/SUM(DY:DY)*'I-Project Contingency'!$F$103=0,0,DY90/SUM(DY:DY)*'I-Project Contingency'!$F$103)</f>
        <v>0</v>
      </c>
      <c r="FT90" s="788">
        <f>IF(DZ90/SUM(DZ:DZ)*'I-Project Contingency'!$F$104=0,0,DZ90/SUM(DZ:DZ)*'I-Project Contingency'!$F$104)</f>
        <v>0</v>
      </c>
      <c r="FU90" s="788">
        <f>IF(EA90/SUM(EA:EA)*'I-Project Contingency'!$F$105=0,0,EA90/SUM(EA:EA)*'I-Project Contingency'!$F$105)</f>
        <v>0</v>
      </c>
      <c r="FV90" s="788">
        <f>IF(EB90/SUM(EB:EB)*'I-Project Contingency'!$F$106=0,0,EB90/SUM(EB:EB)*'I-Project Contingency'!$F$106)</f>
        <v>0</v>
      </c>
      <c r="FW90" s="335">
        <f t="shared" si="52"/>
        <v>73</v>
      </c>
      <c r="FX90" s="336" t="str">
        <f t="shared" si="53"/>
        <v xml:space="preserve">73 -  </v>
      </c>
      <c r="FY90" s="330">
        <f t="shared" si="43"/>
        <v>0</v>
      </c>
      <c r="FZ90" s="330">
        <f t="shared" si="44"/>
        <v>0</v>
      </c>
      <c r="GA90" s="332">
        <f t="shared" si="54"/>
        <v>0</v>
      </c>
      <c r="GB90" s="332">
        <f t="shared" si="55"/>
        <v>0</v>
      </c>
    </row>
    <row r="91" spans="1:184" ht="30" x14ac:dyDescent="0.25">
      <c r="A91" s="163">
        <f t="shared" si="23"/>
        <v>74</v>
      </c>
      <c r="B91" s="727" t="s">
        <v>728</v>
      </c>
      <c r="C91" s="729" t="s">
        <v>659</v>
      </c>
      <c r="D91" s="729" t="s">
        <v>659</v>
      </c>
      <c r="E91" s="729" t="s">
        <v>659</v>
      </c>
      <c r="F91" s="728" t="s">
        <v>728</v>
      </c>
      <c r="G91" s="728" t="s">
        <v>728</v>
      </c>
      <c r="H91" s="157" t="str">
        <f>IFERROR(IF('H-Risk Register-Model'!F91="Certain","Relook at Basis of Estimate",INDEX('G-Assumptions'!$F$8:$J$11,MATCH(F91,'G-Assumptions'!$D$8:$D$11,0),MATCH(G91,'G-Assumptions'!$F$6:$J$6,0))),"Unrated")</f>
        <v>Unrated</v>
      </c>
      <c r="I91" s="728" t="s">
        <v>728</v>
      </c>
      <c r="J91" s="157" t="str">
        <f>IFERROR(IF('H-Risk Register-Model'!F91="Certain","Relook at Basis of Estimate",INDEX('G-Assumptions'!$F$8:$J$11,MATCH(F91,'G-Assumptions'!$D$8:$D$11,0),MATCH(I91,'G-Assumptions'!$F$6:$J$6,0))),"Unrated")</f>
        <v>Unrated</v>
      </c>
      <c r="K91" s="728" t="s">
        <v>728</v>
      </c>
      <c r="L91" s="728" t="s">
        <v>728</v>
      </c>
      <c r="M91" s="728"/>
      <c r="N91" s="731" t="s">
        <v>728</v>
      </c>
      <c r="O91" s="731" t="s">
        <v>728</v>
      </c>
      <c r="P91" s="732"/>
      <c r="Q91" s="732"/>
      <c r="R91" s="732"/>
      <c r="S91" s="733"/>
      <c r="T91" s="733"/>
      <c r="U91" s="733"/>
      <c r="V91" s="734"/>
      <c r="W91" s="732"/>
      <c r="X91" s="732"/>
      <c r="Y91" s="735">
        <v>1</v>
      </c>
      <c r="Z91" s="736">
        <v>1</v>
      </c>
      <c r="AA91" s="166">
        <f t="shared" si="56"/>
        <v>0</v>
      </c>
      <c r="AB91" s="166">
        <f t="shared" si="57"/>
        <v>0</v>
      </c>
      <c r="AC91" s="166">
        <f t="shared" si="58"/>
        <v>0</v>
      </c>
      <c r="AD91" s="166"/>
      <c r="AE91" s="164">
        <f t="shared" si="41"/>
        <v>0</v>
      </c>
      <c r="AF91" s="167"/>
      <c r="AG91" s="165">
        <f t="shared" si="42"/>
        <v>0</v>
      </c>
      <c r="AH91" s="729"/>
      <c r="AI91" s="729"/>
      <c r="AJ91" s="8"/>
      <c r="AK91" s="495" t="str">
        <f t="shared" si="45"/>
        <v>No</v>
      </c>
      <c r="AL91" s="496">
        <f>'I-Project Contingency'!$I$4</f>
        <v>9000000</v>
      </c>
      <c r="AM91" s="326">
        <f>'I-Project Contingency'!$I$11</f>
        <v>23.978102189781023</v>
      </c>
      <c r="AN91" s="325">
        <f t="shared" si="46"/>
        <v>0</v>
      </c>
      <c r="AO91" s="326">
        <f t="shared" si="47"/>
        <v>0</v>
      </c>
      <c r="AP91" s="641" t="str">
        <f t="shared" si="48"/>
        <v/>
      </c>
      <c r="AQ91" s="641" t="str">
        <f t="shared" si="49"/>
        <v/>
      </c>
      <c r="AR91" s="497" t="str">
        <f t="shared" si="50"/>
        <v/>
      </c>
      <c r="AS91" s="497" t="str">
        <f t="shared" si="51"/>
        <v/>
      </c>
      <c r="AT91" s="8"/>
      <c r="AU91" s="329">
        <f>'I-Project Contingency'!$O$4-AE91</f>
        <v>0</v>
      </c>
      <c r="AV91" s="330">
        <v>-240515.59579276721</v>
      </c>
      <c r="AW91" s="330">
        <v>28172.931401335634</v>
      </c>
      <c r="AX91" s="330">
        <v>193478.84467429668</v>
      </c>
      <c r="AY91" s="330">
        <v>361668.20104834624</v>
      </c>
      <c r="AZ91" s="330">
        <v>524446.91524262261</v>
      </c>
      <c r="BA91" s="330">
        <v>704023.56387635041</v>
      </c>
      <c r="BB91" s="330">
        <v>886394.06956240814</v>
      </c>
      <c r="BC91" s="330">
        <v>1079363.7165157665</v>
      </c>
      <c r="BD91" s="330">
        <v>1280180.1532065615</v>
      </c>
      <c r="BE91" s="330">
        <v>1485323.8019108465</v>
      </c>
      <c r="BF91" s="330">
        <v>1703758.8827524669</v>
      </c>
      <c r="BG91" s="330">
        <v>1949523.4346483489</v>
      </c>
      <c r="BH91" s="330">
        <v>2177897.1603371189</v>
      </c>
      <c r="BI91" s="330">
        <v>2429374.4260425912</v>
      </c>
      <c r="BJ91" s="330">
        <v>2717092.7449284913</v>
      </c>
      <c r="BK91" s="330">
        <v>3010093.6968918457</v>
      </c>
      <c r="BL91" s="330">
        <v>3325414.5894657462</v>
      </c>
      <c r="BM91" s="330">
        <v>3690425.9159493577</v>
      </c>
      <c r="BN91" s="330">
        <v>4143935.1706127762</v>
      </c>
      <c r="BO91" s="330">
        <v>4722651.1159141911</v>
      </c>
      <c r="BP91" s="330">
        <v>5992048.8629153483</v>
      </c>
      <c r="BQ91" s="330">
        <f>'I-Project Contingency'!$E$61-AV91</f>
        <v>0</v>
      </c>
      <c r="BR91" s="330">
        <f>'I-Project Contingency'!$E$62-AW91</f>
        <v>0</v>
      </c>
      <c r="BS91" s="330">
        <f>'I-Project Contingency'!$E$63-AX91</f>
        <v>0</v>
      </c>
      <c r="BT91" s="330">
        <f>'I-Project Contingency'!$E$64-AY91</f>
        <v>0</v>
      </c>
      <c r="BU91" s="330">
        <f>'I-Project Contingency'!$E$65-AZ91</f>
        <v>0</v>
      </c>
      <c r="BV91" s="330">
        <f>'I-Project Contingency'!$E$66-BA91</f>
        <v>0</v>
      </c>
      <c r="BW91" s="330">
        <f>'I-Project Contingency'!$E$67-BB91</f>
        <v>0</v>
      </c>
      <c r="BX91" s="330">
        <f>'I-Project Contingency'!$E$68-BC91</f>
        <v>0</v>
      </c>
      <c r="BY91" s="330">
        <f>'I-Project Contingency'!$E$69-BD91</f>
        <v>0</v>
      </c>
      <c r="BZ91" s="330">
        <f>'I-Project Contingency'!$E$70-BE91</f>
        <v>0</v>
      </c>
      <c r="CA91" s="330">
        <f>'I-Project Contingency'!$E$71-BF91</f>
        <v>0</v>
      </c>
      <c r="CB91" s="330">
        <f>'I-Project Contingency'!$E$72-BG91</f>
        <v>0</v>
      </c>
      <c r="CC91" s="330">
        <f>'I-Project Contingency'!$E$73-BH91</f>
        <v>0</v>
      </c>
      <c r="CD91" s="330">
        <f>'I-Project Contingency'!$E$74-BI91</f>
        <v>0</v>
      </c>
      <c r="CE91" s="330">
        <f>'I-Project Contingency'!$E$75-BJ91</f>
        <v>0</v>
      </c>
      <c r="CF91" s="330">
        <f>'I-Project Contingency'!$E$76-BK91</f>
        <v>0</v>
      </c>
      <c r="CG91" s="330">
        <f>'I-Project Contingency'!$E$77-BL91</f>
        <v>0</v>
      </c>
      <c r="CH91" s="784">
        <f>'I-Project Contingency'!$E$78-BM91</f>
        <v>0</v>
      </c>
      <c r="CI91" s="330">
        <f>'I-Project Contingency'!$E$79-BN91</f>
        <v>0</v>
      </c>
      <c r="CJ91" s="330">
        <f>'I-Project Contingency'!$E$80-BO91</f>
        <v>0</v>
      </c>
      <c r="CK91" s="330">
        <f>'I-Project Contingency'!$E$81-BP91</f>
        <v>0</v>
      </c>
      <c r="CL91" s="331">
        <f>'I-Project Contingency'!$O$5-AG91</f>
        <v>0</v>
      </c>
      <c r="CM91" s="332">
        <v>-0.98711802853447173</v>
      </c>
      <c r="CN91" s="332">
        <v>-0.19547704728364468</v>
      </c>
      <c r="CO91" s="332">
        <v>0.126462150308498</v>
      </c>
      <c r="CP91" s="332">
        <v>0.45967989154545902</v>
      </c>
      <c r="CQ91" s="332">
        <v>0.78297319902744</v>
      </c>
      <c r="CR91" s="332">
        <v>1.0957191966482109</v>
      </c>
      <c r="CS91" s="332">
        <v>1.4418405003536849</v>
      </c>
      <c r="CT91" s="332">
        <v>1.801002404194165</v>
      </c>
      <c r="CU91" s="332">
        <v>2.1797608166947349</v>
      </c>
      <c r="CV91" s="332">
        <v>2.5671680610072478</v>
      </c>
      <c r="CW91" s="332">
        <v>2.9690760644797152</v>
      </c>
      <c r="CX91" s="332">
        <v>3.3964145469774811</v>
      </c>
      <c r="CY91" s="332">
        <v>3.864536087769562</v>
      </c>
      <c r="CZ91" s="332">
        <v>4.3569836138896116</v>
      </c>
      <c r="DA91" s="332">
        <v>4.8862357851222598</v>
      </c>
      <c r="DB91" s="332">
        <v>5.438836997347547</v>
      </c>
      <c r="DC91" s="332">
        <v>6.047993455908566</v>
      </c>
      <c r="DD91" s="785">
        <v>6.720204953601761</v>
      </c>
      <c r="DE91" s="333">
        <v>7.55131678090412</v>
      </c>
      <c r="DF91" s="332">
        <v>8.661446370835737</v>
      </c>
      <c r="DG91" s="332">
        <v>11.206316207857133</v>
      </c>
      <c r="DH91" s="332">
        <f>'I-Project Contingency'!$E$86-CM91</f>
        <v>0</v>
      </c>
      <c r="DI91" s="332">
        <f>'I-Project Contingency'!$E$87-CN91</f>
        <v>0</v>
      </c>
      <c r="DJ91" s="332">
        <f>'I-Project Contingency'!$E$88-CO91</f>
        <v>0</v>
      </c>
      <c r="DK91" s="332">
        <f>'I-Project Contingency'!$E$89-CP91</f>
        <v>0</v>
      </c>
      <c r="DL91" s="332">
        <f>'I-Project Contingency'!$E$90-CQ91</f>
        <v>0</v>
      </c>
      <c r="DM91" s="332">
        <f>'I-Project Contingency'!$E$91-CR91</f>
        <v>0</v>
      </c>
      <c r="DN91" s="332">
        <f>'I-Project Contingency'!$E$92-CS91</f>
        <v>0</v>
      </c>
      <c r="DO91" s="332">
        <f>'I-Project Contingency'!$E$93-CT91</f>
        <v>0</v>
      </c>
      <c r="DP91" s="332">
        <f>'I-Project Contingency'!$E$94-CU91</f>
        <v>0</v>
      </c>
      <c r="DQ91" s="332">
        <f>'I-Project Contingency'!$E$95-CV91</f>
        <v>0</v>
      </c>
      <c r="DR91" s="332">
        <f>'I-Project Contingency'!$E$96-CW91</f>
        <v>0</v>
      </c>
      <c r="DS91" s="332">
        <f>'I-Project Contingency'!$E$97-CX91</f>
        <v>0</v>
      </c>
      <c r="DT91" s="332">
        <f>'I-Project Contingency'!$E$98-CY91</f>
        <v>0</v>
      </c>
      <c r="DU91" s="332">
        <f>'I-Project Contingency'!$E$99-CZ91</f>
        <v>0</v>
      </c>
      <c r="DV91" s="332">
        <f>'I-Project Contingency'!$E$100-DA91</f>
        <v>0</v>
      </c>
      <c r="DW91" s="332">
        <f>'I-Project Contingency'!$E$101-DB91</f>
        <v>0</v>
      </c>
      <c r="DX91" s="332">
        <f>'I-Project Contingency'!$E$102-DC91</f>
        <v>0</v>
      </c>
      <c r="DY91" s="332">
        <f>'I-Project Contingency'!$E$103-DD91</f>
        <v>0</v>
      </c>
      <c r="DZ91" s="332">
        <f>'I-Project Contingency'!$E$104-DE91</f>
        <v>0</v>
      </c>
      <c r="EA91" s="332">
        <f>'I-Project Contingency'!$E$105-DF91</f>
        <v>0</v>
      </c>
      <c r="EB91" s="332">
        <f>'I-Project Contingency'!$E$106-DG91</f>
        <v>0</v>
      </c>
      <c r="EC91" s="334">
        <f>IF(EE91="N/A","N/A",ABS(INDEX(EE91:EY91,1,MATCH("ROM Cost Risk @ "&amp;'D-Project Data'!$C$6*100&amp;"%",$EE$17:$EY$17,0))))</f>
        <v>0</v>
      </c>
      <c r="ED91" s="335">
        <f>IF(EC91="N/A","N/A",RANK(EC91,$EC$18:$EC$117,0)+COUNTIF($EC$18:EC91,EC91)-1)</f>
        <v>74</v>
      </c>
      <c r="EE91" s="334">
        <f>IF(BQ91/SUM(BQ:BQ)*'I-Project Contingency'!$F$61=0,0,BQ91/SUM(BQ:BQ)*'I-Project Contingency'!$F$61)</f>
        <v>0</v>
      </c>
      <c r="EF91" s="334">
        <f>IF(BR91/SUM(BR:BR)*'I-Project Contingency'!$F$62=0,0,BR91/SUM(BR:BR)*'I-Project Contingency'!$F$62)</f>
        <v>0</v>
      </c>
      <c r="EG91" s="334">
        <f>IF(BS91/SUM(BS:BS)*'I-Project Contingency'!$F$63=0,0,BS91/SUM(BS:BS)*'I-Project Contingency'!$F$63)</f>
        <v>0</v>
      </c>
      <c r="EH91" s="334">
        <f>IF(BT91/SUM(BT:BT)*'I-Project Contingency'!$F$64=0,0,BT91/SUM(BT:BT)*'I-Project Contingency'!$F$64)</f>
        <v>0</v>
      </c>
      <c r="EI91" s="334">
        <f>IF(BU91/SUM(BU:BU)*'I-Project Contingency'!$F$65=0,0,BU91/SUM(BU:BU)*'I-Project Contingency'!$F$65)</f>
        <v>0</v>
      </c>
      <c r="EJ91" s="334">
        <f>IF(BV91/SUM(BV:BV)*'I-Project Contingency'!$F$66=0,0,BV91/SUM(BV:BV)*'I-Project Contingency'!$F$66)</f>
        <v>0</v>
      </c>
      <c r="EK91" s="334">
        <f>IF(BW91/SUM(BW:BW)*'I-Project Contingency'!$F$67=0,0,BW91/SUM(BW:BW)*'I-Project Contingency'!$F$67)</f>
        <v>0</v>
      </c>
      <c r="EL91" s="334">
        <f>IF(BX91/SUM(BX:BX)*'I-Project Contingency'!$F$68=0,0,BX91/SUM(BX:BX)*'I-Project Contingency'!$F$68)</f>
        <v>0</v>
      </c>
      <c r="EM91" s="334">
        <f>IF(BY91/SUM(BY:BY)*'I-Project Contingency'!$F$69=0,0,BY91/SUM(BY:BY)*'I-Project Contingency'!$F$69)</f>
        <v>0</v>
      </c>
      <c r="EN91" s="334">
        <f>IF(BZ91/SUM(BZ:BZ)*'I-Project Contingency'!$F$70=0,0,BZ91/SUM(BZ:BZ)*'I-Project Contingency'!$F$70)</f>
        <v>0</v>
      </c>
      <c r="EO91" s="334">
        <f>IF(CA91/SUM(CA:CA)*'I-Project Contingency'!$F$71=0,0,CA91/SUM(CA:CA)*'I-Project Contingency'!$F$71)</f>
        <v>0</v>
      </c>
      <c r="EP91" s="334">
        <f>IF(CB91/SUM(CB:CB)*'I-Project Contingency'!$F$72=0,0,CB91/SUM(CB:CB)*'I-Project Contingency'!$F$72)</f>
        <v>0</v>
      </c>
      <c r="EQ91" s="334">
        <f>IF(CC91/SUM(CC:CC)*'I-Project Contingency'!$F$73=0,0,CC91/SUM(CC:CC)*'I-Project Contingency'!$F$73)</f>
        <v>0</v>
      </c>
      <c r="ER91" s="334">
        <f>IF(CD91/SUM(CD:CD)*'I-Project Contingency'!$F$74=0,0,CD91/SUM(CD:CD)*'I-Project Contingency'!$F$74)</f>
        <v>0</v>
      </c>
      <c r="ES91" s="334">
        <f>IF(CE91/SUM(CE:CE)*'I-Project Contingency'!$F$75=0,0,CE91/SUM(CE:CE)*'I-Project Contingency'!$F$75)</f>
        <v>0</v>
      </c>
      <c r="ET91" s="334">
        <f>IF(CF91/SUM(CF:CF)*'I-Project Contingency'!$F$76=0,0,CF91/SUM(CF:CF)*'I-Project Contingency'!$F$76)</f>
        <v>0</v>
      </c>
      <c r="EU91" s="334">
        <f>IF(CG91/SUM(CG:CG)*'I-Project Contingency'!$F$77=0,0,CG91/SUM(CG:CG)*'I-Project Contingency'!$F$77)</f>
        <v>0</v>
      </c>
      <c r="EV91" s="787">
        <f>IF(CH91/SUM(CH:CH)*'I-Project Contingency'!$F$78=0,0,CH91/SUM(CH:CH)*'I-Project Contingency'!$F$78)</f>
        <v>0</v>
      </c>
      <c r="EW91" s="787">
        <f>IF(CI91/SUM(CI:CI)*'I-Project Contingency'!$F$79=0,0,CI91/SUM(CI:CI)*'I-Project Contingency'!$F$79)</f>
        <v>0</v>
      </c>
      <c r="EX91" s="787">
        <f>IF(CJ91/SUM(CJ:CJ)*'I-Project Contingency'!$F$80=0,0,CJ91/SUM(CJ:CJ)*'I-Project Contingency'!$F$80)</f>
        <v>0</v>
      </c>
      <c r="EY91" s="787">
        <f>IF(CK91/SUM(CK:CK)*'I-Project Contingency'!$F$81=0,0,CK91/SUM(CK:CK)*'I-Project Contingency'!$F$81)</f>
        <v>0</v>
      </c>
      <c r="EZ91" s="333">
        <f>IF(FB91="N/A","N/A",ABS(INDEX(FB91:FV91,1,MATCH("ROM Schedule Risk @ "&amp;'D-Project Data'!$C$6*100&amp;"%",$FB$17:$FV$17,0))))</f>
        <v>0</v>
      </c>
      <c r="FA91" s="335">
        <f>IF(EZ91="N/A","N/A",RANK(EZ91,$EZ$18:$EZ$117,0)+COUNTIF($FB$18:FB91,FB91)-1)</f>
        <v>74</v>
      </c>
      <c r="FB91" s="788">
        <f>IF(DH91/SUM(DH:DH)*'I-Project Contingency'!$F$86=0,0,DH91/SUM(DH:DH)*'I-Project Contingency'!$F$86)</f>
        <v>0</v>
      </c>
      <c r="FC91" s="788">
        <f>IF(DI91/SUM(DI:DI)*'I-Project Contingency'!$F$87=0,0,DI91/SUM(DI:DI)*'I-Project Contingency'!$F$87)</f>
        <v>0</v>
      </c>
      <c r="FD91" s="788">
        <f>IF(DJ91/SUM(DJ:DJ)*'I-Project Contingency'!$F$88=0,0,DJ91/SUM(DJ:DJ)*'I-Project Contingency'!$F$88)</f>
        <v>0</v>
      </c>
      <c r="FE91" s="788">
        <f>IF(DK91/SUM(DK:DK)*'I-Project Contingency'!$F$89=0,0,DK91/SUM(DK:DK)*'I-Project Contingency'!$F$89)</f>
        <v>0</v>
      </c>
      <c r="FF91" s="788">
        <f>IF(DL91/SUM(DL:DL)*'I-Project Contingency'!$F$90=0,0,DL91/SUM(DL:DL)*'I-Project Contingency'!$F$90)</f>
        <v>0</v>
      </c>
      <c r="FG91" s="788">
        <f>IF(DM91/SUM(DM:DM)*'I-Project Contingency'!$F$91=0,0,DM91/SUM(DM:DM)*'I-Project Contingency'!$F$91)</f>
        <v>0</v>
      </c>
      <c r="FH91" s="788">
        <f>IF(DN91/SUM(DN:DN)*'I-Project Contingency'!$F$92=0,0,DN91/SUM(DN:DN)*'I-Project Contingency'!$F$92)</f>
        <v>0</v>
      </c>
      <c r="FI91" s="788">
        <f>IF(DO91/SUM(DO:DO)*'I-Project Contingency'!$F$93=0,0,DO91/SUM(DO:DO)*'I-Project Contingency'!$F$93)</f>
        <v>0</v>
      </c>
      <c r="FJ91" s="788">
        <f>IF(DP91/SUM(DP:DP)*'I-Project Contingency'!$F$94=0,0,DP91/SUM(DP:DP)*'I-Project Contingency'!$F$94)</f>
        <v>0</v>
      </c>
      <c r="FK91" s="788">
        <f>IF(DQ91/SUM(DQ:DQ)*'I-Project Contingency'!$F$95=0,0,DQ91/SUM(DQ:DQ)*'I-Project Contingency'!$F$95)</f>
        <v>0</v>
      </c>
      <c r="FL91" s="788">
        <f>IF(DR91/SUM(DR:DR)*'I-Project Contingency'!$F$96=0,0,DR91/SUM(DR:DR)*'I-Project Contingency'!$F$96)</f>
        <v>0</v>
      </c>
      <c r="FM91" s="788">
        <f>IF(DS91/SUM(DS:DS)*'I-Project Contingency'!$F$97=0,0,DS91/SUM(DS:DS)*'I-Project Contingency'!$F$97)</f>
        <v>0</v>
      </c>
      <c r="FN91" s="788">
        <f>IF(DT91/SUM(DT:DT)*'I-Project Contingency'!$F$98=0,0,DT91/SUM(DT:DT)*'I-Project Contingency'!$F$98)</f>
        <v>0</v>
      </c>
      <c r="FO91" s="788">
        <f>IF(DU91/SUM(DU:DU)*'I-Project Contingency'!$F$99=0,0,DU91/SUM(DU:DU)*'I-Project Contingency'!$F$99)</f>
        <v>0</v>
      </c>
      <c r="FP91" s="788">
        <f>IF(DV91/SUM(DV:DV)*'I-Project Contingency'!$F$100=0,0,DV91/SUM(DV:DV)*'I-Project Contingency'!$F$100)</f>
        <v>0</v>
      </c>
      <c r="FQ91" s="788">
        <f>IF(DW91/SUM(DW:DW)*'I-Project Contingency'!$F$101=0,0,DW91/SUM(DW:DW)*'I-Project Contingency'!$F$101)</f>
        <v>0</v>
      </c>
      <c r="FR91" s="788">
        <f>IF(DX91/SUM(DX:DX)*'I-Project Contingency'!$F$102=0,0,DX91/SUM(DX:DX)*'I-Project Contingency'!$F$102)</f>
        <v>0</v>
      </c>
      <c r="FS91" s="788">
        <f>IF(DY91/SUM(DY:DY)*'I-Project Contingency'!$F$103=0,0,DY91/SUM(DY:DY)*'I-Project Contingency'!$F$103)</f>
        <v>0</v>
      </c>
      <c r="FT91" s="788">
        <f>IF(DZ91/SUM(DZ:DZ)*'I-Project Contingency'!$F$104=0,0,DZ91/SUM(DZ:DZ)*'I-Project Contingency'!$F$104)</f>
        <v>0</v>
      </c>
      <c r="FU91" s="788">
        <f>IF(EA91/SUM(EA:EA)*'I-Project Contingency'!$F$105=0,0,EA91/SUM(EA:EA)*'I-Project Contingency'!$F$105)</f>
        <v>0</v>
      </c>
      <c r="FV91" s="788">
        <f>IF(EB91/SUM(EB:EB)*'I-Project Contingency'!$F$106=0,0,EB91/SUM(EB:EB)*'I-Project Contingency'!$F$106)</f>
        <v>0</v>
      </c>
      <c r="FW91" s="335">
        <f t="shared" si="52"/>
        <v>74</v>
      </c>
      <c r="FX91" s="336" t="str">
        <f t="shared" si="53"/>
        <v xml:space="preserve">74 -  </v>
      </c>
      <c r="FY91" s="330">
        <f t="shared" si="43"/>
        <v>0</v>
      </c>
      <c r="FZ91" s="330">
        <f t="shared" si="44"/>
        <v>0</v>
      </c>
      <c r="GA91" s="332">
        <f t="shared" si="54"/>
        <v>0</v>
      </c>
      <c r="GB91" s="332">
        <f t="shared" si="55"/>
        <v>0</v>
      </c>
    </row>
    <row r="92" spans="1:184" ht="30" x14ac:dyDescent="0.25">
      <c r="A92" s="163">
        <f t="shared" si="23"/>
        <v>75</v>
      </c>
      <c r="B92" s="727" t="s">
        <v>728</v>
      </c>
      <c r="C92" s="729" t="s">
        <v>659</v>
      </c>
      <c r="D92" s="729" t="s">
        <v>659</v>
      </c>
      <c r="E92" s="729" t="s">
        <v>659</v>
      </c>
      <c r="F92" s="728" t="s">
        <v>728</v>
      </c>
      <c r="G92" s="728" t="s">
        <v>728</v>
      </c>
      <c r="H92" s="157" t="str">
        <f>IFERROR(IF('H-Risk Register-Model'!F92="Certain","Relook at Basis of Estimate",INDEX('G-Assumptions'!$F$8:$J$11,MATCH(F92,'G-Assumptions'!$D$8:$D$11,0),MATCH(G92,'G-Assumptions'!$F$6:$J$6,0))),"Unrated")</f>
        <v>Unrated</v>
      </c>
      <c r="I92" s="728" t="s">
        <v>728</v>
      </c>
      <c r="J92" s="157" t="str">
        <f>IFERROR(IF('H-Risk Register-Model'!F92="Certain","Relook at Basis of Estimate",INDEX('G-Assumptions'!$F$8:$J$11,MATCH(F92,'G-Assumptions'!$D$8:$D$11,0),MATCH(I92,'G-Assumptions'!$F$6:$J$6,0))),"Unrated")</f>
        <v>Unrated</v>
      </c>
      <c r="K92" s="728" t="s">
        <v>728</v>
      </c>
      <c r="L92" s="728" t="s">
        <v>728</v>
      </c>
      <c r="M92" s="728"/>
      <c r="N92" s="731" t="s">
        <v>728</v>
      </c>
      <c r="O92" s="731" t="s">
        <v>728</v>
      </c>
      <c r="P92" s="732"/>
      <c r="Q92" s="732"/>
      <c r="R92" s="732"/>
      <c r="S92" s="733"/>
      <c r="T92" s="733"/>
      <c r="U92" s="733"/>
      <c r="V92" s="734"/>
      <c r="W92" s="732"/>
      <c r="X92" s="732"/>
      <c r="Y92" s="735">
        <v>1</v>
      </c>
      <c r="Z92" s="736">
        <v>1</v>
      </c>
      <c r="AA92" s="166">
        <f t="shared" si="56"/>
        <v>0</v>
      </c>
      <c r="AB92" s="166">
        <f t="shared" si="57"/>
        <v>0</v>
      </c>
      <c r="AC92" s="166">
        <f t="shared" si="58"/>
        <v>0</v>
      </c>
      <c r="AD92" s="166"/>
      <c r="AE92" s="164">
        <f t="shared" si="41"/>
        <v>0</v>
      </c>
      <c r="AF92" s="167"/>
      <c r="AG92" s="165">
        <f t="shared" si="42"/>
        <v>0</v>
      </c>
      <c r="AH92" s="729"/>
      <c r="AI92" s="729"/>
      <c r="AJ92" s="8"/>
      <c r="AK92" s="495" t="str">
        <f t="shared" si="45"/>
        <v>No</v>
      </c>
      <c r="AL92" s="496">
        <f>'I-Project Contingency'!$I$4</f>
        <v>9000000</v>
      </c>
      <c r="AM92" s="326">
        <f>'I-Project Contingency'!$I$11</f>
        <v>23.978102189781023</v>
      </c>
      <c r="AN92" s="325">
        <f t="shared" si="46"/>
        <v>0</v>
      </c>
      <c r="AO92" s="326">
        <f t="shared" si="47"/>
        <v>0</v>
      </c>
      <c r="AP92" s="641" t="str">
        <f t="shared" si="48"/>
        <v/>
      </c>
      <c r="AQ92" s="641" t="str">
        <f t="shared" si="49"/>
        <v/>
      </c>
      <c r="AR92" s="497" t="str">
        <f t="shared" si="50"/>
        <v/>
      </c>
      <c r="AS92" s="497" t="str">
        <f t="shared" si="51"/>
        <v/>
      </c>
      <c r="AT92" s="8"/>
      <c r="AU92" s="329">
        <f>'I-Project Contingency'!$O$4-AE92</f>
        <v>0</v>
      </c>
      <c r="AV92" s="330">
        <v>-240515.59579276721</v>
      </c>
      <c r="AW92" s="330">
        <v>28172.931401335634</v>
      </c>
      <c r="AX92" s="330">
        <v>193478.84467429668</v>
      </c>
      <c r="AY92" s="330">
        <v>361668.20104834624</v>
      </c>
      <c r="AZ92" s="330">
        <v>524446.91524262261</v>
      </c>
      <c r="BA92" s="330">
        <v>704023.56387635041</v>
      </c>
      <c r="BB92" s="330">
        <v>886394.06956240814</v>
      </c>
      <c r="BC92" s="330">
        <v>1079363.7165157665</v>
      </c>
      <c r="BD92" s="330">
        <v>1280180.1532065615</v>
      </c>
      <c r="BE92" s="330">
        <v>1485323.8019108465</v>
      </c>
      <c r="BF92" s="330">
        <v>1703758.8827524669</v>
      </c>
      <c r="BG92" s="330">
        <v>1949523.4346483489</v>
      </c>
      <c r="BH92" s="330">
        <v>2177897.1603371189</v>
      </c>
      <c r="BI92" s="330">
        <v>2429374.4260425912</v>
      </c>
      <c r="BJ92" s="330">
        <v>2717092.7449284913</v>
      </c>
      <c r="BK92" s="330">
        <v>3010093.6968918457</v>
      </c>
      <c r="BL92" s="330">
        <v>3325414.5894657462</v>
      </c>
      <c r="BM92" s="330">
        <v>3690425.9159493577</v>
      </c>
      <c r="BN92" s="330">
        <v>4143935.1706127762</v>
      </c>
      <c r="BO92" s="330">
        <v>4722651.1159141911</v>
      </c>
      <c r="BP92" s="330">
        <v>5992048.8629153483</v>
      </c>
      <c r="BQ92" s="330">
        <f>'I-Project Contingency'!$E$61-AV92</f>
        <v>0</v>
      </c>
      <c r="BR92" s="330">
        <f>'I-Project Contingency'!$E$62-AW92</f>
        <v>0</v>
      </c>
      <c r="BS92" s="330">
        <f>'I-Project Contingency'!$E$63-AX92</f>
        <v>0</v>
      </c>
      <c r="BT92" s="330">
        <f>'I-Project Contingency'!$E$64-AY92</f>
        <v>0</v>
      </c>
      <c r="BU92" s="330">
        <f>'I-Project Contingency'!$E$65-AZ92</f>
        <v>0</v>
      </c>
      <c r="BV92" s="330">
        <f>'I-Project Contingency'!$E$66-BA92</f>
        <v>0</v>
      </c>
      <c r="BW92" s="330">
        <f>'I-Project Contingency'!$E$67-BB92</f>
        <v>0</v>
      </c>
      <c r="BX92" s="330">
        <f>'I-Project Contingency'!$E$68-BC92</f>
        <v>0</v>
      </c>
      <c r="BY92" s="330">
        <f>'I-Project Contingency'!$E$69-BD92</f>
        <v>0</v>
      </c>
      <c r="BZ92" s="330">
        <f>'I-Project Contingency'!$E$70-BE92</f>
        <v>0</v>
      </c>
      <c r="CA92" s="330">
        <f>'I-Project Contingency'!$E$71-BF92</f>
        <v>0</v>
      </c>
      <c r="CB92" s="330">
        <f>'I-Project Contingency'!$E$72-BG92</f>
        <v>0</v>
      </c>
      <c r="CC92" s="330">
        <f>'I-Project Contingency'!$E$73-BH92</f>
        <v>0</v>
      </c>
      <c r="CD92" s="330">
        <f>'I-Project Contingency'!$E$74-BI92</f>
        <v>0</v>
      </c>
      <c r="CE92" s="330">
        <f>'I-Project Contingency'!$E$75-BJ92</f>
        <v>0</v>
      </c>
      <c r="CF92" s="330">
        <f>'I-Project Contingency'!$E$76-BK92</f>
        <v>0</v>
      </c>
      <c r="CG92" s="330">
        <f>'I-Project Contingency'!$E$77-BL92</f>
        <v>0</v>
      </c>
      <c r="CH92" s="784">
        <f>'I-Project Contingency'!$E$78-BM92</f>
        <v>0</v>
      </c>
      <c r="CI92" s="330">
        <f>'I-Project Contingency'!$E$79-BN92</f>
        <v>0</v>
      </c>
      <c r="CJ92" s="330">
        <f>'I-Project Contingency'!$E$80-BO92</f>
        <v>0</v>
      </c>
      <c r="CK92" s="330">
        <f>'I-Project Contingency'!$E$81-BP92</f>
        <v>0</v>
      </c>
      <c r="CL92" s="331">
        <f>'I-Project Contingency'!$O$5-AG92</f>
        <v>0</v>
      </c>
      <c r="CM92" s="332">
        <v>-0.98711802853447173</v>
      </c>
      <c r="CN92" s="332">
        <v>-0.19547704728364468</v>
      </c>
      <c r="CO92" s="332">
        <v>0.126462150308498</v>
      </c>
      <c r="CP92" s="332">
        <v>0.45967989154545902</v>
      </c>
      <c r="CQ92" s="332">
        <v>0.78297319902744</v>
      </c>
      <c r="CR92" s="332">
        <v>1.0957191966482109</v>
      </c>
      <c r="CS92" s="332">
        <v>1.4418405003536849</v>
      </c>
      <c r="CT92" s="332">
        <v>1.801002404194165</v>
      </c>
      <c r="CU92" s="332">
        <v>2.1797608166947349</v>
      </c>
      <c r="CV92" s="332">
        <v>2.5671680610072478</v>
      </c>
      <c r="CW92" s="332">
        <v>2.9690760644797152</v>
      </c>
      <c r="CX92" s="332">
        <v>3.3964145469774811</v>
      </c>
      <c r="CY92" s="332">
        <v>3.864536087769562</v>
      </c>
      <c r="CZ92" s="332">
        <v>4.3569836138896116</v>
      </c>
      <c r="DA92" s="332">
        <v>4.8862357851222598</v>
      </c>
      <c r="DB92" s="332">
        <v>5.438836997347547</v>
      </c>
      <c r="DC92" s="332">
        <v>6.047993455908566</v>
      </c>
      <c r="DD92" s="785">
        <v>6.720204953601761</v>
      </c>
      <c r="DE92" s="333">
        <v>7.55131678090412</v>
      </c>
      <c r="DF92" s="332">
        <v>8.661446370835737</v>
      </c>
      <c r="DG92" s="332">
        <v>11.206316207857133</v>
      </c>
      <c r="DH92" s="332">
        <f>'I-Project Contingency'!$E$86-CM92</f>
        <v>0</v>
      </c>
      <c r="DI92" s="332">
        <f>'I-Project Contingency'!$E$87-CN92</f>
        <v>0</v>
      </c>
      <c r="DJ92" s="332">
        <f>'I-Project Contingency'!$E$88-CO92</f>
        <v>0</v>
      </c>
      <c r="DK92" s="332">
        <f>'I-Project Contingency'!$E$89-CP92</f>
        <v>0</v>
      </c>
      <c r="DL92" s="332">
        <f>'I-Project Contingency'!$E$90-CQ92</f>
        <v>0</v>
      </c>
      <c r="DM92" s="332">
        <f>'I-Project Contingency'!$E$91-CR92</f>
        <v>0</v>
      </c>
      <c r="DN92" s="332">
        <f>'I-Project Contingency'!$E$92-CS92</f>
        <v>0</v>
      </c>
      <c r="DO92" s="332">
        <f>'I-Project Contingency'!$E$93-CT92</f>
        <v>0</v>
      </c>
      <c r="DP92" s="332">
        <f>'I-Project Contingency'!$E$94-CU92</f>
        <v>0</v>
      </c>
      <c r="DQ92" s="332">
        <f>'I-Project Contingency'!$E$95-CV92</f>
        <v>0</v>
      </c>
      <c r="DR92" s="332">
        <f>'I-Project Contingency'!$E$96-CW92</f>
        <v>0</v>
      </c>
      <c r="DS92" s="332">
        <f>'I-Project Contingency'!$E$97-CX92</f>
        <v>0</v>
      </c>
      <c r="DT92" s="332">
        <f>'I-Project Contingency'!$E$98-CY92</f>
        <v>0</v>
      </c>
      <c r="DU92" s="332">
        <f>'I-Project Contingency'!$E$99-CZ92</f>
        <v>0</v>
      </c>
      <c r="DV92" s="332">
        <f>'I-Project Contingency'!$E$100-DA92</f>
        <v>0</v>
      </c>
      <c r="DW92" s="332">
        <f>'I-Project Contingency'!$E$101-DB92</f>
        <v>0</v>
      </c>
      <c r="DX92" s="332">
        <f>'I-Project Contingency'!$E$102-DC92</f>
        <v>0</v>
      </c>
      <c r="DY92" s="332">
        <f>'I-Project Contingency'!$E$103-DD92</f>
        <v>0</v>
      </c>
      <c r="DZ92" s="332">
        <f>'I-Project Contingency'!$E$104-DE92</f>
        <v>0</v>
      </c>
      <c r="EA92" s="332">
        <f>'I-Project Contingency'!$E$105-DF92</f>
        <v>0</v>
      </c>
      <c r="EB92" s="332">
        <f>'I-Project Contingency'!$E$106-DG92</f>
        <v>0</v>
      </c>
      <c r="EC92" s="334">
        <f>IF(EE92="N/A","N/A",ABS(INDEX(EE92:EY92,1,MATCH("ROM Cost Risk @ "&amp;'D-Project Data'!$C$6*100&amp;"%",$EE$17:$EY$17,0))))</f>
        <v>0</v>
      </c>
      <c r="ED92" s="335">
        <f>IF(EC92="N/A","N/A",RANK(EC92,$EC$18:$EC$117,0)+COUNTIF($EC$18:EC92,EC92)-1)</f>
        <v>75</v>
      </c>
      <c r="EE92" s="334">
        <f>IF(BQ92/SUM(BQ:BQ)*'I-Project Contingency'!$F$61=0,0,BQ92/SUM(BQ:BQ)*'I-Project Contingency'!$F$61)</f>
        <v>0</v>
      </c>
      <c r="EF92" s="334">
        <f>IF(BR92/SUM(BR:BR)*'I-Project Contingency'!$F$62=0,0,BR92/SUM(BR:BR)*'I-Project Contingency'!$F$62)</f>
        <v>0</v>
      </c>
      <c r="EG92" s="334">
        <f>IF(BS92/SUM(BS:BS)*'I-Project Contingency'!$F$63=0,0,BS92/SUM(BS:BS)*'I-Project Contingency'!$F$63)</f>
        <v>0</v>
      </c>
      <c r="EH92" s="334">
        <f>IF(BT92/SUM(BT:BT)*'I-Project Contingency'!$F$64=0,0,BT92/SUM(BT:BT)*'I-Project Contingency'!$F$64)</f>
        <v>0</v>
      </c>
      <c r="EI92" s="334">
        <f>IF(BU92/SUM(BU:BU)*'I-Project Contingency'!$F$65=0,0,BU92/SUM(BU:BU)*'I-Project Contingency'!$F$65)</f>
        <v>0</v>
      </c>
      <c r="EJ92" s="334">
        <f>IF(BV92/SUM(BV:BV)*'I-Project Contingency'!$F$66=0,0,BV92/SUM(BV:BV)*'I-Project Contingency'!$F$66)</f>
        <v>0</v>
      </c>
      <c r="EK92" s="334">
        <f>IF(BW92/SUM(BW:BW)*'I-Project Contingency'!$F$67=0,0,BW92/SUM(BW:BW)*'I-Project Contingency'!$F$67)</f>
        <v>0</v>
      </c>
      <c r="EL92" s="334">
        <f>IF(BX92/SUM(BX:BX)*'I-Project Contingency'!$F$68=0,0,BX92/SUM(BX:BX)*'I-Project Contingency'!$F$68)</f>
        <v>0</v>
      </c>
      <c r="EM92" s="334">
        <f>IF(BY92/SUM(BY:BY)*'I-Project Contingency'!$F$69=0,0,BY92/SUM(BY:BY)*'I-Project Contingency'!$F$69)</f>
        <v>0</v>
      </c>
      <c r="EN92" s="334">
        <f>IF(BZ92/SUM(BZ:BZ)*'I-Project Contingency'!$F$70=0,0,BZ92/SUM(BZ:BZ)*'I-Project Contingency'!$F$70)</f>
        <v>0</v>
      </c>
      <c r="EO92" s="334">
        <f>IF(CA92/SUM(CA:CA)*'I-Project Contingency'!$F$71=0,0,CA92/SUM(CA:CA)*'I-Project Contingency'!$F$71)</f>
        <v>0</v>
      </c>
      <c r="EP92" s="334">
        <f>IF(CB92/SUM(CB:CB)*'I-Project Contingency'!$F$72=0,0,CB92/SUM(CB:CB)*'I-Project Contingency'!$F$72)</f>
        <v>0</v>
      </c>
      <c r="EQ92" s="334">
        <f>IF(CC92/SUM(CC:CC)*'I-Project Contingency'!$F$73=0,0,CC92/SUM(CC:CC)*'I-Project Contingency'!$F$73)</f>
        <v>0</v>
      </c>
      <c r="ER92" s="334">
        <f>IF(CD92/SUM(CD:CD)*'I-Project Contingency'!$F$74=0,0,CD92/SUM(CD:CD)*'I-Project Contingency'!$F$74)</f>
        <v>0</v>
      </c>
      <c r="ES92" s="334">
        <f>IF(CE92/SUM(CE:CE)*'I-Project Contingency'!$F$75=0,0,CE92/SUM(CE:CE)*'I-Project Contingency'!$F$75)</f>
        <v>0</v>
      </c>
      <c r="ET92" s="334">
        <f>IF(CF92/SUM(CF:CF)*'I-Project Contingency'!$F$76=0,0,CF92/SUM(CF:CF)*'I-Project Contingency'!$F$76)</f>
        <v>0</v>
      </c>
      <c r="EU92" s="334">
        <f>IF(CG92/SUM(CG:CG)*'I-Project Contingency'!$F$77=0,0,CG92/SUM(CG:CG)*'I-Project Contingency'!$F$77)</f>
        <v>0</v>
      </c>
      <c r="EV92" s="787">
        <f>IF(CH92/SUM(CH:CH)*'I-Project Contingency'!$F$78=0,0,CH92/SUM(CH:CH)*'I-Project Contingency'!$F$78)</f>
        <v>0</v>
      </c>
      <c r="EW92" s="787">
        <f>IF(CI92/SUM(CI:CI)*'I-Project Contingency'!$F$79=0,0,CI92/SUM(CI:CI)*'I-Project Contingency'!$F$79)</f>
        <v>0</v>
      </c>
      <c r="EX92" s="787">
        <f>IF(CJ92/SUM(CJ:CJ)*'I-Project Contingency'!$F$80=0,0,CJ92/SUM(CJ:CJ)*'I-Project Contingency'!$F$80)</f>
        <v>0</v>
      </c>
      <c r="EY92" s="787">
        <f>IF(CK92/SUM(CK:CK)*'I-Project Contingency'!$F$81=0,0,CK92/SUM(CK:CK)*'I-Project Contingency'!$F$81)</f>
        <v>0</v>
      </c>
      <c r="EZ92" s="333">
        <f>IF(FB92="N/A","N/A",ABS(INDEX(FB92:FV92,1,MATCH("ROM Schedule Risk @ "&amp;'D-Project Data'!$C$6*100&amp;"%",$FB$17:$FV$17,0))))</f>
        <v>0</v>
      </c>
      <c r="FA92" s="335">
        <f>IF(EZ92="N/A","N/A",RANK(EZ92,$EZ$18:$EZ$117,0)+COUNTIF($FB$18:FB92,FB92)-1)</f>
        <v>75</v>
      </c>
      <c r="FB92" s="788">
        <f>IF(DH92/SUM(DH:DH)*'I-Project Contingency'!$F$86=0,0,DH92/SUM(DH:DH)*'I-Project Contingency'!$F$86)</f>
        <v>0</v>
      </c>
      <c r="FC92" s="788">
        <f>IF(DI92/SUM(DI:DI)*'I-Project Contingency'!$F$87=0,0,DI92/SUM(DI:DI)*'I-Project Contingency'!$F$87)</f>
        <v>0</v>
      </c>
      <c r="FD92" s="788">
        <f>IF(DJ92/SUM(DJ:DJ)*'I-Project Contingency'!$F$88=0,0,DJ92/SUM(DJ:DJ)*'I-Project Contingency'!$F$88)</f>
        <v>0</v>
      </c>
      <c r="FE92" s="788">
        <f>IF(DK92/SUM(DK:DK)*'I-Project Contingency'!$F$89=0,0,DK92/SUM(DK:DK)*'I-Project Contingency'!$F$89)</f>
        <v>0</v>
      </c>
      <c r="FF92" s="788">
        <f>IF(DL92/SUM(DL:DL)*'I-Project Contingency'!$F$90=0,0,DL92/SUM(DL:DL)*'I-Project Contingency'!$F$90)</f>
        <v>0</v>
      </c>
      <c r="FG92" s="788">
        <f>IF(DM92/SUM(DM:DM)*'I-Project Contingency'!$F$91=0,0,DM92/SUM(DM:DM)*'I-Project Contingency'!$F$91)</f>
        <v>0</v>
      </c>
      <c r="FH92" s="788">
        <f>IF(DN92/SUM(DN:DN)*'I-Project Contingency'!$F$92=0,0,DN92/SUM(DN:DN)*'I-Project Contingency'!$F$92)</f>
        <v>0</v>
      </c>
      <c r="FI92" s="788">
        <f>IF(DO92/SUM(DO:DO)*'I-Project Contingency'!$F$93=0,0,DO92/SUM(DO:DO)*'I-Project Contingency'!$F$93)</f>
        <v>0</v>
      </c>
      <c r="FJ92" s="788">
        <f>IF(DP92/SUM(DP:DP)*'I-Project Contingency'!$F$94=0,0,DP92/SUM(DP:DP)*'I-Project Contingency'!$F$94)</f>
        <v>0</v>
      </c>
      <c r="FK92" s="788">
        <f>IF(DQ92/SUM(DQ:DQ)*'I-Project Contingency'!$F$95=0,0,DQ92/SUM(DQ:DQ)*'I-Project Contingency'!$F$95)</f>
        <v>0</v>
      </c>
      <c r="FL92" s="788">
        <f>IF(DR92/SUM(DR:DR)*'I-Project Contingency'!$F$96=0,0,DR92/SUM(DR:DR)*'I-Project Contingency'!$F$96)</f>
        <v>0</v>
      </c>
      <c r="FM92" s="788">
        <f>IF(DS92/SUM(DS:DS)*'I-Project Contingency'!$F$97=0,0,DS92/SUM(DS:DS)*'I-Project Contingency'!$F$97)</f>
        <v>0</v>
      </c>
      <c r="FN92" s="788">
        <f>IF(DT92/SUM(DT:DT)*'I-Project Contingency'!$F$98=0,0,DT92/SUM(DT:DT)*'I-Project Contingency'!$F$98)</f>
        <v>0</v>
      </c>
      <c r="FO92" s="788">
        <f>IF(DU92/SUM(DU:DU)*'I-Project Contingency'!$F$99=0,0,DU92/SUM(DU:DU)*'I-Project Contingency'!$F$99)</f>
        <v>0</v>
      </c>
      <c r="FP92" s="788">
        <f>IF(DV92/SUM(DV:DV)*'I-Project Contingency'!$F$100=0,0,DV92/SUM(DV:DV)*'I-Project Contingency'!$F$100)</f>
        <v>0</v>
      </c>
      <c r="FQ92" s="788">
        <f>IF(DW92/SUM(DW:DW)*'I-Project Contingency'!$F$101=0,0,DW92/SUM(DW:DW)*'I-Project Contingency'!$F$101)</f>
        <v>0</v>
      </c>
      <c r="FR92" s="788">
        <f>IF(DX92/SUM(DX:DX)*'I-Project Contingency'!$F$102=0,0,DX92/SUM(DX:DX)*'I-Project Contingency'!$F$102)</f>
        <v>0</v>
      </c>
      <c r="FS92" s="788">
        <f>IF(DY92/SUM(DY:DY)*'I-Project Contingency'!$F$103=0,0,DY92/SUM(DY:DY)*'I-Project Contingency'!$F$103)</f>
        <v>0</v>
      </c>
      <c r="FT92" s="788">
        <f>IF(DZ92/SUM(DZ:DZ)*'I-Project Contingency'!$F$104=0,0,DZ92/SUM(DZ:DZ)*'I-Project Contingency'!$F$104)</f>
        <v>0</v>
      </c>
      <c r="FU92" s="788">
        <f>IF(EA92/SUM(EA:EA)*'I-Project Contingency'!$F$105=0,0,EA92/SUM(EA:EA)*'I-Project Contingency'!$F$105)</f>
        <v>0</v>
      </c>
      <c r="FV92" s="788">
        <f>IF(EB92/SUM(EB:EB)*'I-Project Contingency'!$F$106=0,0,EB92/SUM(EB:EB)*'I-Project Contingency'!$F$106)</f>
        <v>0</v>
      </c>
      <c r="FW92" s="335">
        <f t="shared" si="52"/>
        <v>75</v>
      </c>
      <c r="FX92" s="336" t="str">
        <f t="shared" si="53"/>
        <v xml:space="preserve">75 -  </v>
      </c>
      <c r="FY92" s="330">
        <f t="shared" si="43"/>
        <v>0</v>
      </c>
      <c r="FZ92" s="330">
        <f t="shared" si="44"/>
        <v>0</v>
      </c>
      <c r="GA92" s="332">
        <f t="shared" si="54"/>
        <v>0</v>
      </c>
      <c r="GB92" s="332">
        <f t="shared" si="55"/>
        <v>0</v>
      </c>
    </row>
    <row r="93" spans="1:184" ht="30" x14ac:dyDescent="0.25">
      <c r="A93" s="163">
        <f t="shared" si="23"/>
        <v>76</v>
      </c>
      <c r="B93" s="727" t="s">
        <v>728</v>
      </c>
      <c r="C93" s="729" t="s">
        <v>659</v>
      </c>
      <c r="D93" s="729" t="s">
        <v>659</v>
      </c>
      <c r="E93" s="729" t="s">
        <v>659</v>
      </c>
      <c r="F93" s="728" t="s">
        <v>728</v>
      </c>
      <c r="G93" s="728" t="s">
        <v>728</v>
      </c>
      <c r="H93" s="157" t="str">
        <f>IFERROR(IF('H-Risk Register-Model'!F93="Certain","Relook at Basis of Estimate",INDEX('G-Assumptions'!$F$8:$J$11,MATCH(F93,'G-Assumptions'!$D$8:$D$11,0),MATCH(G93,'G-Assumptions'!$F$6:$J$6,0))),"Unrated")</f>
        <v>Unrated</v>
      </c>
      <c r="I93" s="728" t="s">
        <v>728</v>
      </c>
      <c r="J93" s="157" t="str">
        <f>IFERROR(IF('H-Risk Register-Model'!F93="Certain","Relook at Basis of Estimate",INDEX('G-Assumptions'!$F$8:$J$11,MATCH(F93,'G-Assumptions'!$D$8:$D$11,0),MATCH(I93,'G-Assumptions'!$F$6:$J$6,0))),"Unrated")</f>
        <v>Unrated</v>
      </c>
      <c r="K93" s="728" t="s">
        <v>728</v>
      </c>
      <c r="L93" s="728" t="s">
        <v>728</v>
      </c>
      <c r="M93" s="728"/>
      <c r="N93" s="731" t="s">
        <v>728</v>
      </c>
      <c r="O93" s="731" t="s">
        <v>728</v>
      </c>
      <c r="P93" s="732"/>
      <c r="Q93" s="732"/>
      <c r="R93" s="732"/>
      <c r="S93" s="733"/>
      <c r="T93" s="733"/>
      <c r="U93" s="733"/>
      <c r="V93" s="734"/>
      <c r="W93" s="732"/>
      <c r="X93" s="732"/>
      <c r="Y93" s="735">
        <v>1</v>
      </c>
      <c r="Z93" s="736">
        <v>1</v>
      </c>
      <c r="AA93" s="166">
        <f t="shared" si="56"/>
        <v>0</v>
      </c>
      <c r="AB93" s="166">
        <f t="shared" si="57"/>
        <v>0</v>
      </c>
      <c r="AC93" s="166">
        <f t="shared" si="58"/>
        <v>0</v>
      </c>
      <c r="AD93" s="166"/>
      <c r="AE93" s="164">
        <f t="shared" si="41"/>
        <v>0</v>
      </c>
      <c r="AF93" s="167"/>
      <c r="AG93" s="165">
        <f t="shared" si="42"/>
        <v>0</v>
      </c>
      <c r="AH93" s="729"/>
      <c r="AI93" s="729"/>
      <c r="AJ93" s="8"/>
      <c r="AK93" s="495" t="str">
        <f t="shared" si="45"/>
        <v>No</v>
      </c>
      <c r="AL93" s="496">
        <f>'I-Project Contingency'!$I$4</f>
        <v>9000000</v>
      </c>
      <c r="AM93" s="326">
        <f>'I-Project Contingency'!$I$11</f>
        <v>23.978102189781023</v>
      </c>
      <c r="AN93" s="325">
        <f t="shared" si="46"/>
        <v>0</v>
      </c>
      <c r="AO93" s="326">
        <f t="shared" si="47"/>
        <v>0</v>
      </c>
      <c r="AP93" s="641" t="str">
        <f t="shared" si="48"/>
        <v/>
      </c>
      <c r="AQ93" s="641" t="str">
        <f t="shared" si="49"/>
        <v/>
      </c>
      <c r="AR93" s="497" t="str">
        <f t="shared" si="50"/>
        <v/>
      </c>
      <c r="AS93" s="497" t="str">
        <f t="shared" si="51"/>
        <v/>
      </c>
      <c r="AT93" s="8"/>
      <c r="AU93" s="329">
        <f>'I-Project Contingency'!$O$4-AE93</f>
        <v>0</v>
      </c>
      <c r="AV93" s="330">
        <v>-240515.59579276721</v>
      </c>
      <c r="AW93" s="330">
        <v>28172.931401335634</v>
      </c>
      <c r="AX93" s="330">
        <v>193478.84467429668</v>
      </c>
      <c r="AY93" s="330">
        <v>361668.20104834624</v>
      </c>
      <c r="AZ93" s="330">
        <v>524446.91524262261</v>
      </c>
      <c r="BA93" s="330">
        <v>704023.56387635041</v>
      </c>
      <c r="BB93" s="330">
        <v>886394.06956240814</v>
      </c>
      <c r="BC93" s="330">
        <v>1079363.7165157665</v>
      </c>
      <c r="BD93" s="330">
        <v>1280180.1532065615</v>
      </c>
      <c r="BE93" s="330">
        <v>1485323.8019108465</v>
      </c>
      <c r="BF93" s="330">
        <v>1703758.8827524669</v>
      </c>
      <c r="BG93" s="330">
        <v>1949523.4346483489</v>
      </c>
      <c r="BH93" s="330">
        <v>2177897.1603371189</v>
      </c>
      <c r="BI93" s="330">
        <v>2429374.4260425912</v>
      </c>
      <c r="BJ93" s="330">
        <v>2717092.7449284913</v>
      </c>
      <c r="BK93" s="330">
        <v>3010093.6968918457</v>
      </c>
      <c r="BL93" s="330">
        <v>3325414.5894657462</v>
      </c>
      <c r="BM93" s="330">
        <v>3690425.9159493577</v>
      </c>
      <c r="BN93" s="330">
        <v>4143935.1706127762</v>
      </c>
      <c r="BO93" s="330">
        <v>4722651.1159141911</v>
      </c>
      <c r="BP93" s="330">
        <v>5992048.8629153483</v>
      </c>
      <c r="BQ93" s="330">
        <f>'I-Project Contingency'!$E$61-AV93</f>
        <v>0</v>
      </c>
      <c r="BR93" s="330">
        <f>'I-Project Contingency'!$E$62-AW93</f>
        <v>0</v>
      </c>
      <c r="BS93" s="330">
        <f>'I-Project Contingency'!$E$63-AX93</f>
        <v>0</v>
      </c>
      <c r="BT93" s="330">
        <f>'I-Project Contingency'!$E$64-AY93</f>
        <v>0</v>
      </c>
      <c r="BU93" s="330">
        <f>'I-Project Contingency'!$E$65-AZ93</f>
        <v>0</v>
      </c>
      <c r="BV93" s="330">
        <f>'I-Project Contingency'!$E$66-BA93</f>
        <v>0</v>
      </c>
      <c r="BW93" s="330">
        <f>'I-Project Contingency'!$E$67-BB93</f>
        <v>0</v>
      </c>
      <c r="BX93" s="330">
        <f>'I-Project Contingency'!$E$68-BC93</f>
        <v>0</v>
      </c>
      <c r="BY93" s="330">
        <f>'I-Project Contingency'!$E$69-BD93</f>
        <v>0</v>
      </c>
      <c r="BZ93" s="330">
        <f>'I-Project Contingency'!$E$70-BE93</f>
        <v>0</v>
      </c>
      <c r="CA93" s="330">
        <f>'I-Project Contingency'!$E$71-BF93</f>
        <v>0</v>
      </c>
      <c r="CB93" s="330">
        <f>'I-Project Contingency'!$E$72-BG93</f>
        <v>0</v>
      </c>
      <c r="CC93" s="330">
        <f>'I-Project Contingency'!$E$73-BH93</f>
        <v>0</v>
      </c>
      <c r="CD93" s="330">
        <f>'I-Project Contingency'!$E$74-BI93</f>
        <v>0</v>
      </c>
      <c r="CE93" s="330">
        <f>'I-Project Contingency'!$E$75-BJ93</f>
        <v>0</v>
      </c>
      <c r="CF93" s="330">
        <f>'I-Project Contingency'!$E$76-BK93</f>
        <v>0</v>
      </c>
      <c r="CG93" s="330">
        <f>'I-Project Contingency'!$E$77-BL93</f>
        <v>0</v>
      </c>
      <c r="CH93" s="784">
        <f>'I-Project Contingency'!$E$78-BM93</f>
        <v>0</v>
      </c>
      <c r="CI93" s="330">
        <f>'I-Project Contingency'!$E$79-BN93</f>
        <v>0</v>
      </c>
      <c r="CJ93" s="330">
        <f>'I-Project Contingency'!$E$80-BO93</f>
        <v>0</v>
      </c>
      <c r="CK93" s="330">
        <f>'I-Project Contingency'!$E$81-BP93</f>
        <v>0</v>
      </c>
      <c r="CL93" s="331">
        <f>'I-Project Contingency'!$O$5-AG93</f>
        <v>0</v>
      </c>
      <c r="CM93" s="332">
        <v>-0.98711802853447173</v>
      </c>
      <c r="CN93" s="332">
        <v>-0.19547704728364468</v>
      </c>
      <c r="CO93" s="332">
        <v>0.126462150308498</v>
      </c>
      <c r="CP93" s="332">
        <v>0.45967989154545902</v>
      </c>
      <c r="CQ93" s="332">
        <v>0.78297319902744</v>
      </c>
      <c r="CR93" s="332">
        <v>1.0957191966482109</v>
      </c>
      <c r="CS93" s="332">
        <v>1.4418405003536849</v>
      </c>
      <c r="CT93" s="332">
        <v>1.801002404194165</v>
      </c>
      <c r="CU93" s="332">
        <v>2.1797608166947349</v>
      </c>
      <c r="CV93" s="332">
        <v>2.5671680610072478</v>
      </c>
      <c r="CW93" s="332">
        <v>2.9690760644797152</v>
      </c>
      <c r="CX93" s="332">
        <v>3.3964145469774811</v>
      </c>
      <c r="CY93" s="332">
        <v>3.864536087769562</v>
      </c>
      <c r="CZ93" s="332">
        <v>4.3569836138896116</v>
      </c>
      <c r="DA93" s="332">
        <v>4.8862357851222598</v>
      </c>
      <c r="DB93" s="332">
        <v>5.438836997347547</v>
      </c>
      <c r="DC93" s="332">
        <v>6.047993455908566</v>
      </c>
      <c r="DD93" s="785">
        <v>6.720204953601761</v>
      </c>
      <c r="DE93" s="333">
        <v>7.55131678090412</v>
      </c>
      <c r="DF93" s="332">
        <v>8.661446370835737</v>
      </c>
      <c r="DG93" s="332">
        <v>11.206316207857133</v>
      </c>
      <c r="DH93" s="332">
        <f>'I-Project Contingency'!$E$86-CM93</f>
        <v>0</v>
      </c>
      <c r="DI93" s="332">
        <f>'I-Project Contingency'!$E$87-CN93</f>
        <v>0</v>
      </c>
      <c r="DJ93" s="332">
        <f>'I-Project Contingency'!$E$88-CO93</f>
        <v>0</v>
      </c>
      <c r="DK93" s="332">
        <f>'I-Project Contingency'!$E$89-CP93</f>
        <v>0</v>
      </c>
      <c r="DL93" s="332">
        <f>'I-Project Contingency'!$E$90-CQ93</f>
        <v>0</v>
      </c>
      <c r="DM93" s="332">
        <f>'I-Project Contingency'!$E$91-CR93</f>
        <v>0</v>
      </c>
      <c r="DN93" s="332">
        <f>'I-Project Contingency'!$E$92-CS93</f>
        <v>0</v>
      </c>
      <c r="DO93" s="332">
        <f>'I-Project Contingency'!$E$93-CT93</f>
        <v>0</v>
      </c>
      <c r="DP93" s="332">
        <f>'I-Project Contingency'!$E$94-CU93</f>
        <v>0</v>
      </c>
      <c r="DQ93" s="332">
        <f>'I-Project Contingency'!$E$95-CV93</f>
        <v>0</v>
      </c>
      <c r="DR93" s="332">
        <f>'I-Project Contingency'!$E$96-CW93</f>
        <v>0</v>
      </c>
      <c r="DS93" s="332">
        <f>'I-Project Contingency'!$E$97-CX93</f>
        <v>0</v>
      </c>
      <c r="DT93" s="332">
        <f>'I-Project Contingency'!$E$98-CY93</f>
        <v>0</v>
      </c>
      <c r="DU93" s="332">
        <f>'I-Project Contingency'!$E$99-CZ93</f>
        <v>0</v>
      </c>
      <c r="DV93" s="332">
        <f>'I-Project Contingency'!$E$100-DA93</f>
        <v>0</v>
      </c>
      <c r="DW93" s="332">
        <f>'I-Project Contingency'!$E$101-DB93</f>
        <v>0</v>
      </c>
      <c r="DX93" s="332">
        <f>'I-Project Contingency'!$E$102-DC93</f>
        <v>0</v>
      </c>
      <c r="DY93" s="332">
        <f>'I-Project Contingency'!$E$103-DD93</f>
        <v>0</v>
      </c>
      <c r="DZ93" s="332">
        <f>'I-Project Contingency'!$E$104-DE93</f>
        <v>0</v>
      </c>
      <c r="EA93" s="332">
        <f>'I-Project Contingency'!$E$105-DF93</f>
        <v>0</v>
      </c>
      <c r="EB93" s="332">
        <f>'I-Project Contingency'!$E$106-DG93</f>
        <v>0</v>
      </c>
      <c r="EC93" s="334">
        <f>IF(EE93="N/A","N/A",ABS(INDEX(EE93:EY93,1,MATCH("ROM Cost Risk @ "&amp;'D-Project Data'!$C$6*100&amp;"%",$EE$17:$EY$17,0))))</f>
        <v>0</v>
      </c>
      <c r="ED93" s="335">
        <f>IF(EC93="N/A","N/A",RANK(EC93,$EC$18:$EC$117,0)+COUNTIF($EC$18:EC93,EC93)-1)</f>
        <v>76</v>
      </c>
      <c r="EE93" s="334">
        <f>IF(BQ93/SUM(BQ:BQ)*'I-Project Contingency'!$F$61=0,0,BQ93/SUM(BQ:BQ)*'I-Project Contingency'!$F$61)</f>
        <v>0</v>
      </c>
      <c r="EF93" s="334">
        <f>IF(BR93/SUM(BR:BR)*'I-Project Contingency'!$F$62=0,0,BR93/SUM(BR:BR)*'I-Project Contingency'!$F$62)</f>
        <v>0</v>
      </c>
      <c r="EG93" s="334">
        <f>IF(BS93/SUM(BS:BS)*'I-Project Contingency'!$F$63=0,0,BS93/SUM(BS:BS)*'I-Project Contingency'!$F$63)</f>
        <v>0</v>
      </c>
      <c r="EH93" s="334">
        <f>IF(BT93/SUM(BT:BT)*'I-Project Contingency'!$F$64=0,0,BT93/SUM(BT:BT)*'I-Project Contingency'!$F$64)</f>
        <v>0</v>
      </c>
      <c r="EI93" s="334">
        <f>IF(BU93/SUM(BU:BU)*'I-Project Contingency'!$F$65=0,0,BU93/SUM(BU:BU)*'I-Project Contingency'!$F$65)</f>
        <v>0</v>
      </c>
      <c r="EJ93" s="334">
        <f>IF(BV93/SUM(BV:BV)*'I-Project Contingency'!$F$66=0,0,BV93/SUM(BV:BV)*'I-Project Contingency'!$F$66)</f>
        <v>0</v>
      </c>
      <c r="EK93" s="334">
        <f>IF(BW93/SUM(BW:BW)*'I-Project Contingency'!$F$67=0,0,BW93/SUM(BW:BW)*'I-Project Contingency'!$F$67)</f>
        <v>0</v>
      </c>
      <c r="EL93" s="334">
        <f>IF(BX93/SUM(BX:BX)*'I-Project Contingency'!$F$68=0,0,BX93/SUM(BX:BX)*'I-Project Contingency'!$F$68)</f>
        <v>0</v>
      </c>
      <c r="EM93" s="334">
        <f>IF(BY93/SUM(BY:BY)*'I-Project Contingency'!$F$69=0,0,BY93/SUM(BY:BY)*'I-Project Contingency'!$F$69)</f>
        <v>0</v>
      </c>
      <c r="EN93" s="334">
        <f>IF(BZ93/SUM(BZ:BZ)*'I-Project Contingency'!$F$70=0,0,BZ93/SUM(BZ:BZ)*'I-Project Contingency'!$F$70)</f>
        <v>0</v>
      </c>
      <c r="EO93" s="334">
        <f>IF(CA93/SUM(CA:CA)*'I-Project Contingency'!$F$71=0,0,CA93/SUM(CA:CA)*'I-Project Contingency'!$F$71)</f>
        <v>0</v>
      </c>
      <c r="EP93" s="334">
        <f>IF(CB93/SUM(CB:CB)*'I-Project Contingency'!$F$72=0,0,CB93/SUM(CB:CB)*'I-Project Contingency'!$F$72)</f>
        <v>0</v>
      </c>
      <c r="EQ93" s="334">
        <f>IF(CC93/SUM(CC:CC)*'I-Project Contingency'!$F$73=0,0,CC93/SUM(CC:CC)*'I-Project Contingency'!$F$73)</f>
        <v>0</v>
      </c>
      <c r="ER93" s="334">
        <f>IF(CD93/SUM(CD:CD)*'I-Project Contingency'!$F$74=0,0,CD93/SUM(CD:CD)*'I-Project Contingency'!$F$74)</f>
        <v>0</v>
      </c>
      <c r="ES93" s="334">
        <f>IF(CE93/SUM(CE:CE)*'I-Project Contingency'!$F$75=0,0,CE93/SUM(CE:CE)*'I-Project Contingency'!$F$75)</f>
        <v>0</v>
      </c>
      <c r="ET93" s="334">
        <f>IF(CF93/SUM(CF:CF)*'I-Project Contingency'!$F$76=0,0,CF93/SUM(CF:CF)*'I-Project Contingency'!$F$76)</f>
        <v>0</v>
      </c>
      <c r="EU93" s="334">
        <f>IF(CG93/SUM(CG:CG)*'I-Project Contingency'!$F$77=0,0,CG93/SUM(CG:CG)*'I-Project Contingency'!$F$77)</f>
        <v>0</v>
      </c>
      <c r="EV93" s="787">
        <f>IF(CH93/SUM(CH:CH)*'I-Project Contingency'!$F$78=0,0,CH93/SUM(CH:CH)*'I-Project Contingency'!$F$78)</f>
        <v>0</v>
      </c>
      <c r="EW93" s="787">
        <f>IF(CI93/SUM(CI:CI)*'I-Project Contingency'!$F$79=0,0,CI93/SUM(CI:CI)*'I-Project Contingency'!$F$79)</f>
        <v>0</v>
      </c>
      <c r="EX93" s="787">
        <f>IF(CJ93/SUM(CJ:CJ)*'I-Project Contingency'!$F$80=0,0,CJ93/SUM(CJ:CJ)*'I-Project Contingency'!$F$80)</f>
        <v>0</v>
      </c>
      <c r="EY93" s="787">
        <f>IF(CK93/SUM(CK:CK)*'I-Project Contingency'!$F$81=0,0,CK93/SUM(CK:CK)*'I-Project Contingency'!$F$81)</f>
        <v>0</v>
      </c>
      <c r="EZ93" s="333">
        <f>IF(FB93="N/A","N/A",ABS(INDEX(FB93:FV93,1,MATCH("ROM Schedule Risk @ "&amp;'D-Project Data'!$C$6*100&amp;"%",$FB$17:$FV$17,0))))</f>
        <v>0</v>
      </c>
      <c r="FA93" s="335">
        <f>IF(EZ93="N/A","N/A",RANK(EZ93,$EZ$18:$EZ$117,0)+COUNTIF($FB$18:FB93,FB93)-1)</f>
        <v>76</v>
      </c>
      <c r="FB93" s="788">
        <f>IF(DH93/SUM(DH:DH)*'I-Project Contingency'!$F$86=0,0,DH93/SUM(DH:DH)*'I-Project Contingency'!$F$86)</f>
        <v>0</v>
      </c>
      <c r="FC93" s="788">
        <f>IF(DI93/SUM(DI:DI)*'I-Project Contingency'!$F$87=0,0,DI93/SUM(DI:DI)*'I-Project Contingency'!$F$87)</f>
        <v>0</v>
      </c>
      <c r="FD93" s="788">
        <f>IF(DJ93/SUM(DJ:DJ)*'I-Project Contingency'!$F$88=0,0,DJ93/SUM(DJ:DJ)*'I-Project Contingency'!$F$88)</f>
        <v>0</v>
      </c>
      <c r="FE93" s="788">
        <f>IF(DK93/SUM(DK:DK)*'I-Project Contingency'!$F$89=0,0,DK93/SUM(DK:DK)*'I-Project Contingency'!$F$89)</f>
        <v>0</v>
      </c>
      <c r="FF93" s="788">
        <f>IF(DL93/SUM(DL:DL)*'I-Project Contingency'!$F$90=0,0,DL93/SUM(DL:DL)*'I-Project Contingency'!$F$90)</f>
        <v>0</v>
      </c>
      <c r="FG93" s="788">
        <f>IF(DM93/SUM(DM:DM)*'I-Project Contingency'!$F$91=0,0,DM93/SUM(DM:DM)*'I-Project Contingency'!$F$91)</f>
        <v>0</v>
      </c>
      <c r="FH93" s="788">
        <f>IF(DN93/SUM(DN:DN)*'I-Project Contingency'!$F$92=0,0,DN93/SUM(DN:DN)*'I-Project Contingency'!$F$92)</f>
        <v>0</v>
      </c>
      <c r="FI93" s="788">
        <f>IF(DO93/SUM(DO:DO)*'I-Project Contingency'!$F$93=0,0,DO93/SUM(DO:DO)*'I-Project Contingency'!$F$93)</f>
        <v>0</v>
      </c>
      <c r="FJ93" s="788">
        <f>IF(DP93/SUM(DP:DP)*'I-Project Contingency'!$F$94=0,0,DP93/SUM(DP:DP)*'I-Project Contingency'!$F$94)</f>
        <v>0</v>
      </c>
      <c r="FK93" s="788">
        <f>IF(DQ93/SUM(DQ:DQ)*'I-Project Contingency'!$F$95=0,0,DQ93/SUM(DQ:DQ)*'I-Project Contingency'!$F$95)</f>
        <v>0</v>
      </c>
      <c r="FL93" s="788">
        <f>IF(DR93/SUM(DR:DR)*'I-Project Contingency'!$F$96=0,0,DR93/SUM(DR:DR)*'I-Project Contingency'!$F$96)</f>
        <v>0</v>
      </c>
      <c r="FM93" s="788">
        <f>IF(DS93/SUM(DS:DS)*'I-Project Contingency'!$F$97=0,0,DS93/SUM(DS:DS)*'I-Project Contingency'!$F$97)</f>
        <v>0</v>
      </c>
      <c r="FN93" s="788">
        <f>IF(DT93/SUM(DT:DT)*'I-Project Contingency'!$F$98=0,0,DT93/SUM(DT:DT)*'I-Project Contingency'!$F$98)</f>
        <v>0</v>
      </c>
      <c r="FO93" s="788">
        <f>IF(DU93/SUM(DU:DU)*'I-Project Contingency'!$F$99=0,0,DU93/SUM(DU:DU)*'I-Project Contingency'!$F$99)</f>
        <v>0</v>
      </c>
      <c r="FP93" s="788">
        <f>IF(DV93/SUM(DV:DV)*'I-Project Contingency'!$F$100=0,0,DV93/SUM(DV:DV)*'I-Project Contingency'!$F$100)</f>
        <v>0</v>
      </c>
      <c r="FQ93" s="788">
        <f>IF(DW93/SUM(DW:DW)*'I-Project Contingency'!$F$101=0,0,DW93/SUM(DW:DW)*'I-Project Contingency'!$F$101)</f>
        <v>0</v>
      </c>
      <c r="FR93" s="788">
        <f>IF(DX93/SUM(DX:DX)*'I-Project Contingency'!$F$102=0,0,DX93/SUM(DX:DX)*'I-Project Contingency'!$F$102)</f>
        <v>0</v>
      </c>
      <c r="FS93" s="788">
        <f>IF(DY93/SUM(DY:DY)*'I-Project Contingency'!$F$103=0,0,DY93/SUM(DY:DY)*'I-Project Contingency'!$F$103)</f>
        <v>0</v>
      </c>
      <c r="FT93" s="788">
        <f>IF(DZ93/SUM(DZ:DZ)*'I-Project Contingency'!$F$104=0,0,DZ93/SUM(DZ:DZ)*'I-Project Contingency'!$F$104)</f>
        <v>0</v>
      </c>
      <c r="FU93" s="788">
        <f>IF(EA93/SUM(EA:EA)*'I-Project Contingency'!$F$105=0,0,EA93/SUM(EA:EA)*'I-Project Contingency'!$F$105)</f>
        <v>0</v>
      </c>
      <c r="FV93" s="788">
        <f>IF(EB93/SUM(EB:EB)*'I-Project Contingency'!$F$106=0,0,EB93/SUM(EB:EB)*'I-Project Contingency'!$F$106)</f>
        <v>0</v>
      </c>
      <c r="FW93" s="335">
        <f t="shared" si="52"/>
        <v>76</v>
      </c>
      <c r="FX93" s="336" t="str">
        <f t="shared" si="53"/>
        <v xml:space="preserve">76 -  </v>
      </c>
      <c r="FY93" s="330">
        <f t="shared" si="43"/>
        <v>0</v>
      </c>
      <c r="FZ93" s="330">
        <f t="shared" si="44"/>
        <v>0</v>
      </c>
      <c r="GA93" s="332">
        <f t="shared" si="54"/>
        <v>0</v>
      </c>
      <c r="GB93" s="332">
        <f t="shared" si="55"/>
        <v>0</v>
      </c>
    </row>
    <row r="94" spans="1:184" ht="30" x14ac:dyDescent="0.25">
      <c r="A94" s="163">
        <f t="shared" si="23"/>
        <v>77</v>
      </c>
      <c r="B94" s="727" t="s">
        <v>728</v>
      </c>
      <c r="C94" s="729" t="s">
        <v>659</v>
      </c>
      <c r="D94" s="729" t="s">
        <v>659</v>
      </c>
      <c r="E94" s="729" t="s">
        <v>659</v>
      </c>
      <c r="F94" s="728" t="s">
        <v>728</v>
      </c>
      <c r="G94" s="728" t="s">
        <v>728</v>
      </c>
      <c r="H94" s="157" t="str">
        <f>IFERROR(IF('H-Risk Register-Model'!F94="Certain","Relook at Basis of Estimate",INDEX('G-Assumptions'!$F$8:$J$11,MATCH(F94,'G-Assumptions'!$D$8:$D$11,0),MATCH(G94,'G-Assumptions'!$F$6:$J$6,0))),"Unrated")</f>
        <v>Unrated</v>
      </c>
      <c r="I94" s="728" t="s">
        <v>728</v>
      </c>
      <c r="J94" s="157" t="str">
        <f>IFERROR(IF('H-Risk Register-Model'!F94="Certain","Relook at Basis of Estimate",INDEX('G-Assumptions'!$F$8:$J$11,MATCH(F94,'G-Assumptions'!$D$8:$D$11,0),MATCH(I94,'G-Assumptions'!$F$6:$J$6,0))),"Unrated")</f>
        <v>Unrated</v>
      </c>
      <c r="K94" s="728" t="s">
        <v>728</v>
      </c>
      <c r="L94" s="728" t="s">
        <v>728</v>
      </c>
      <c r="M94" s="728"/>
      <c r="N94" s="731" t="s">
        <v>728</v>
      </c>
      <c r="O94" s="731" t="s">
        <v>728</v>
      </c>
      <c r="P94" s="732"/>
      <c r="Q94" s="732"/>
      <c r="R94" s="732"/>
      <c r="S94" s="733"/>
      <c r="T94" s="733"/>
      <c r="U94" s="733"/>
      <c r="V94" s="734"/>
      <c r="W94" s="732"/>
      <c r="X94" s="732"/>
      <c r="Y94" s="735">
        <v>1</v>
      </c>
      <c r="Z94" s="736">
        <v>1</v>
      </c>
      <c r="AA94" s="166">
        <f t="shared" si="56"/>
        <v>0</v>
      </c>
      <c r="AB94" s="166">
        <f t="shared" si="57"/>
        <v>0</v>
      </c>
      <c r="AC94" s="166">
        <f t="shared" si="58"/>
        <v>0</v>
      </c>
      <c r="AD94" s="166"/>
      <c r="AE94" s="164">
        <f t="shared" si="41"/>
        <v>0</v>
      </c>
      <c r="AF94" s="167"/>
      <c r="AG94" s="165">
        <f t="shared" si="42"/>
        <v>0</v>
      </c>
      <c r="AH94" s="729"/>
      <c r="AI94" s="729"/>
      <c r="AJ94" s="8"/>
      <c r="AK94" s="495" t="str">
        <f t="shared" si="45"/>
        <v>No</v>
      </c>
      <c r="AL94" s="496">
        <f>'I-Project Contingency'!$I$4</f>
        <v>9000000</v>
      </c>
      <c r="AM94" s="326">
        <f>'I-Project Contingency'!$I$11</f>
        <v>23.978102189781023</v>
      </c>
      <c r="AN94" s="325">
        <f t="shared" si="46"/>
        <v>0</v>
      </c>
      <c r="AO94" s="326">
        <f t="shared" si="47"/>
        <v>0</v>
      </c>
      <c r="AP94" s="641" t="str">
        <f t="shared" si="48"/>
        <v/>
      </c>
      <c r="AQ94" s="641" t="str">
        <f t="shared" si="49"/>
        <v/>
      </c>
      <c r="AR94" s="497" t="str">
        <f t="shared" si="50"/>
        <v/>
      </c>
      <c r="AS94" s="497" t="str">
        <f t="shared" si="51"/>
        <v/>
      </c>
      <c r="AT94" s="8"/>
      <c r="AU94" s="329">
        <f>'I-Project Contingency'!$O$4-AE94</f>
        <v>0</v>
      </c>
      <c r="AV94" s="330">
        <v>-240515.59579276721</v>
      </c>
      <c r="AW94" s="330">
        <v>28172.931401335634</v>
      </c>
      <c r="AX94" s="330">
        <v>193478.84467429668</v>
      </c>
      <c r="AY94" s="330">
        <v>361668.20104834624</v>
      </c>
      <c r="AZ94" s="330">
        <v>524446.91524262261</v>
      </c>
      <c r="BA94" s="330">
        <v>704023.56387635041</v>
      </c>
      <c r="BB94" s="330">
        <v>886394.06956240814</v>
      </c>
      <c r="BC94" s="330">
        <v>1079363.7165157665</v>
      </c>
      <c r="BD94" s="330">
        <v>1280180.1532065615</v>
      </c>
      <c r="BE94" s="330">
        <v>1485323.8019108465</v>
      </c>
      <c r="BF94" s="330">
        <v>1703758.8827524669</v>
      </c>
      <c r="BG94" s="330">
        <v>1949523.4346483489</v>
      </c>
      <c r="BH94" s="330">
        <v>2177897.1603371189</v>
      </c>
      <c r="BI94" s="330">
        <v>2429374.4260425912</v>
      </c>
      <c r="BJ94" s="330">
        <v>2717092.7449284913</v>
      </c>
      <c r="BK94" s="330">
        <v>3010093.6968918457</v>
      </c>
      <c r="BL94" s="330">
        <v>3325414.5894657462</v>
      </c>
      <c r="BM94" s="330">
        <v>3690425.9159493577</v>
      </c>
      <c r="BN94" s="330">
        <v>4143935.1706127762</v>
      </c>
      <c r="BO94" s="330">
        <v>4722651.1159141911</v>
      </c>
      <c r="BP94" s="330">
        <v>5992048.8629153483</v>
      </c>
      <c r="BQ94" s="330">
        <f>'I-Project Contingency'!$E$61-AV94</f>
        <v>0</v>
      </c>
      <c r="BR94" s="330">
        <f>'I-Project Contingency'!$E$62-AW94</f>
        <v>0</v>
      </c>
      <c r="BS94" s="330">
        <f>'I-Project Contingency'!$E$63-AX94</f>
        <v>0</v>
      </c>
      <c r="BT94" s="330">
        <f>'I-Project Contingency'!$E$64-AY94</f>
        <v>0</v>
      </c>
      <c r="BU94" s="330">
        <f>'I-Project Contingency'!$E$65-AZ94</f>
        <v>0</v>
      </c>
      <c r="BV94" s="330">
        <f>'I-Project Contingency'!$E$66-BA94</f>
        <v>0</v>
      </c>
      <c r="BW94" s="330">
        <f>'I-Project Contingency'!$E$67-BB94</f>
        <v>0</v>
      </c>
      <c r="BX94" s="330">
        <f>'I-Project Contingency'!$E$68-BC94</f>
        <v>0</v>
      </c>
      <c r="BY94" s="330">
        <f>'I-Project Contingency'!$E$69-BD94</f>
        <v>0</v>
      </c>
      <c r="BZ94" s="330">
        <f>'I-Project Contingency'!$E$70-BE94</f>
        <v>0</v>
      </c>
      <c r="CA94" s="330">
        <f>'I-Project Contingency'!$E$71-BF94</f>
        <v>0</v>
      </c>
      <c r="CB94" s="330">
        <f>'I-Project Contingency'!$E$72-BG94</f>
        <v>0</v>
      </c>
      <c r="CC94" s="330">
        <f>'I-Project Contingency'!$E$73-BH94</f>
        <v>0</v>
      </c>
      <c r="CD94" s="330">
        <f>'I-Project Contingency'!$E$74-BI94</f>
        <v>0</v>
      </c>
      <c r="CE94" s="330">
        <f>'I-Project Contingency'!$E$75-BJ94</f>
        <v>0</v>
      </c>
      <c r="CF94" s="330">
        <f>'I-Project Contingency'!$E$76-BK94</f>
        <v>0</v>
      </c>
      <c r="CG94" s="330">
        <f>'I-Project Contingency'!$E$77-BL94</f>
        <v>0</v>
      </c>
      <c r="CH94" s="784">
        <f>'I-Project Contingency'!$E$78-BM94</f>
        <v>0</v>
      </c>
      <c r="CI94" s="330">
        <f>'I-Project Contingency'!$E$79-BN94</f>
        <v>0</v>
      </c>
      <c r="CJ94" s="330">
        <f>'I-Project Contingency'!$E$80-BO94</f>
        <v>0</v>
      </c>
      <c r="CK94" s="330">
        <f>'I-Project Contingency'!$E$81-BP94</f>
        <v>0</v>
      </c>
      <c r="CL94" s="331">
        <f>'I-Project Contingency'!$O$5-AG94</f>
        <v>0</v>
      </c>
      <c r="CM94" s="332">
        <v>-0.98711802853447173</v>
      </c>
      <c r="CN94" s="332">
        <v>-0.19547704728364468</v>
      </c>
      <c r="CO94" s="332">
        <v>0.126462150308498</v>
      </c>
      <c r="CP94" s="332">
        <v>0.45967989154545902</v>
      </c>
      <c r="CQ94" s="332">
        <v>0.78297319902744</v>
      </c>
      <c r="CR94" s="332">
        <v>1.0957191966482109</v>
      </c>
      <c r="CS94" s="332">
        <v>1.4418405003536849</v>
      </c>
      <c r="CT94" s="332">
        <v>1.801002404194165</v>
      </c>
      <c r="CU94" s="332">
        <v>2.1797608166947349</v>
      </c>
      <c r="CV94" s="332">
        <v>2.5671680610072478</v>
      </c>
      <c r="CW94" s="332">
        <v>2.9690760644797152</v>
      </c>
      <c r="CX94" s="332">
        <v>3.3964145469774811</v>
      </c>
      <c r="CY94" s="332">
        <v>3.864536087769562</v>
      </c>
      <c r="CZ94" s="332">
        <v>4.3569836138896116</v>
      </c>
      <c r="DA94" s="332">
        <v>4.8862357851222598</v>
      </c>
      <c r="DB94" s="332">
        <v>5.438836997347547</v>
      </c>
      <c r="DC94" s="332">
        <v>6.047993455908566</v>
      </c>
      <c r="DD94" s="785">
        <v>6.720204953601761</v>
      </c>
      <c r="DE94" s="333">
        <v>7.55131678090412</v>
      </c>
      <c r="DF94" s="332">
        <v>8.661446370835737</v>
      </c>
      <c r="DG94" s="332">
        <v>11.206316207857133</v>
      </c>
      <c r="DH94" s="332">
        <f>'I-Project Contingency'!$E$86-CM94</f>
        <v>0</v>
      </c>
      <c r="DI94" s="332">
        <f>'I-Project Contingency'!$E$87-CN94</f>
        <v>0</v>
      </c>
      <c r="DJ94" s="332">
        <f>'I-Project Contingency'!$E$88-CO94</f>
        <v>0</v>
      </c>
      <c r="DK94" s="332">
        <f>'I-Project Contingency'!$E$89-CP94</f>
        <v>0</v>
      </c>
      <c r="DL94" s="332">
        <f>'I-Project Contingency'!$E$90-CQ94</f>
        <v>0</v>
      </c>
      <c r="DM94" s="332">
        <f>'I-Project Contingency'!$E$91-CR94</f>
        <v>0</v>
      </c>
      <c r="DN94" s="332">
        <f>'I-Project Contingency'!$E$92-CS94</f>
        <v>0</v>
      </c>
      <c r="DO94" s="332">
        <f>'I-Project Contingency'!$E$93-CT94</f>
        <v>0</v>
      </c>
      <c r="DP94" s="332">
        <f>'I-Project Contingency'!$E$94-CU94</f>
        <v>0</v>
      </c>
      <c r="DQ94" s="332">
        <f>'I-Project Contingency'!$E$95-CV94</f>
        <v>0</v>
      </c>
      <c r="DR94" s="332">
        <f>'I-Project Contingency'!$E$96-CW94</f>
        <v>0</v>
      </c>
      <c r="DS94" s="332">
        <f>'I-Project Contingency'!$E$97-CX94</f>
        <v>0</v>
      </c>
      <c r="DT94" s="332">
        <f>'I-Project Contingency'!$E$98-CY94</f>
        <v>0</v>
      </c>
      <c r="DU94" s="332">
        <f>'I-Project Contingency'!$E$99-CZ94</f>
        <v>0</v>
      </c>
      <c r="DV94" s="332">
        <f>'I-Project Contingency'!$E$100-DA94</f>
        <v>0</v>
      </c>
      <c r="DW94" s="332">
        <f>'I-Project Contingency'!$E$101-DB94</f>
        <v>0</v>
      </c>
      <c r="DX94" s="332">
        <f>'I-Project Contingency'!$E$102-DC94</f>
        <v>0</v>
      </c>
      <c r="DY94" s="332">
        <f>'I-Project Contingency'!$E$103-DD94</f>
        <v>0</v>
      </c>
      <c r="DZ94" s="332">
        <f>'I-Project Contingency'!$E$104-DE94</f>
        <v>0</v>
      </c>
      <c r="EA94" s="332">
        <f>'I-Project Contingency'!$E$105-DF94</f>
        <v>0</v>
      </c>
      <c r="EB94" s="332">
        <f>'I-Project Contingency'!$E$106-DG94</f>
        <v>0</v>
      </c>
      <c r="EC94" s="334">
        <f>IF(EE94="N/A","N/A",ABS(INDEX(EE94:EY94,1,MATCH("ROM Cost Risk @ "&amp;'D-Project Data'!$C$6*100&amp;"%",$EE$17:$EY$17,0))))</f>
        <v>0</v>
      </c>
      <c r="ED94" s="335">
        <f>IF(EC94="N/A","N/A",RANK(EC94,$EC$18:$EC$117,0)+COUNTIF($EC$18:EC94,EC94)-1)</f>
        <v>77</v>
      </c>
      <c r="EE94" s="334">
        <f>IF(BQ94/SUM(BQ:BQ)*'I-Project Contingency'!$F$61=0,0,BQ94/SUM(BQ:BQ)*'I-Project Contingency'!$F$61)</f>
        <v>0</v>
      </c>
      <c r="EF94" s="334">
        <f>IF(BR94/SUM(BR:BR)*'I-Project Contingency'!$F$62=0,0,BR94/SUM(BR:BR)*'I-Project Contingency'!$F$62)</f>
        <v>0</v>
      </c>
      <c r="EG94" s="334">
        <f>IF(BS94/SUM(BS:BS)*'I-Project Contingency'!$F$63=0,0,BS94/SUM(BS:BS)*'I-Project Contingency'!$F$63)</f>
        <v>0</v>
      </c>
      <c r="EH94" s="334">
        <f>IF(BT94/SUM(BT:BT)*'I-Project Contingency'!$F$64=0,0,BT94/SUM(BT:BT)*'I-Project Contingency'!$F$64)</f>
        <v>0</v>
      </c>
      <c r="EI94" s="334">
        <f>IF(BU94/SUM(BU:BU)*'I-Project Contingency'!$F$65=0,0,BU94/SUM(BU:BU)*'I-Project Contingency'!$F$65)</f>
        <v>0</v>
      </c>
      <c r="EJ94" s="334">
        <f>IF(BV94/SUM(BV:BV)*'I-Project Contingency'!$F$66=0,0,BV94/SUM(BV:BV)*'I-Project Contingency'!$F$66)</f>
        <v>0</v>
      </c>
      <c r="EK94" s="334">
        <f>IF(BW94/SUM(BW:BW)*'I-Project Contingency'!$F$67=0,0,BW94/SUM(BW:BW)*'I-Project Contingency'!$F$67)</f>
        <v>0</v>
      </c>
      <c r="EL94" s="334">
        <f>IF(BX94/SUM(BX:BX)*'I-Project Contingency'!$F$68=0,0,BX94/SUM(BX:BX)*'I-Project Contingency'!$F$68)</f>
        <v>0</v>
      </c>
      <c r="EM94" s="334">
        <f>IF(BY94/SUM(BY:BY)*'I-Project Contingency'!$F$69=0,0,BY94/SUM(BY:BY)*'I-Project Contingency'!$F$69)</f>
        <v>0</v>
      </c>
      <c r="EN94" s="334">
        <f>IF(BZ94/SUM(BZ:BZ)*'I-Project Contingency'!$F$70=0,0,BZ94/SUM(BZ:BZ)*'I-Project Contingency'!$F$70)</f>
        <v>0</v>
      </c>
      <c r="EO94" s="334">
        <f>IF(CA94/SUM(CA:CA)*'I-Project Contingency'!$F$71=0,0,CA94/SUM(CA:CA)*'I-Project Contingency'!$F$71)</f>
        <v>0</v>
      </c>
      <c r="EP94" s="334">
        <f>IF(CB94/SUM(CB:CB)*'I-Project Contingency'!$F$72=0,0,CB94/SUM(CB:CB)*'I-Project Contingency'!$F$72)</f>
        <v>0</v>
      </c>
      <c r="EQ94" s="334">
        <f>IF(CC94/SUM(CC:CC)*'I-Project Contingency'!$F$73=0,0,CC94/SUM(CC:CC)*'I-Project Contingency'!$F$73)</f>
        <v>0</v>
      </c>
      <c r="ER94" s="334">
        <f>IF(CD94/SUM(CD:CD)*'I-Project Contingency'!$F$74=0,0,CD94/SUM(CD:CD)*'I-Project Contingency'!$F$74)</f>
        <v>0</v>
      </c>
      <c r="ES94" s="334">
        <f>IF(CE94/SUM(CE:CE)*'I-Project Contingency'!$F$75=0,0,CE94/SUM(CE:CE)*'I-Project Contingency'!$F$75)</f>
        <v>0</v>
      </c>
      <c r="ET94" s="334">
        <f>IF(CF94/SUM(CF:CF)*'I-Project Contingency'!$F$76=0,0,CF94/SUM(CF:CF)*'I-Project Contingency'!$F$76)</f>
        <v>0</v>
      </c>
      <c r="EU94" s="334">
        <f>IF(CG94/SUM(CG:CG)*'I-Project Contingency'!$F$77=0,0,CG94/SUM(CG:CG)*'I-Project Contingency'!$F$77)</f>
        <v>0</v>
      </c>
      <c r="EV94" s="787">
        <f>IF(CH94/SUM(CH:CH)*'I-Project Contingency'!$F$78=0,0,CH94/SUM(CH:CH)*'I-Project Contingency'!$F$78)</f>
        <v>0</v>
      </c>
      <c r="EW94" s="787">
        <f>IF(CI94/SUM(CI:CI)*'I-Project Contingency'!$F$79=0,0,CI94/SUM(CI:CI)*'I-Project Contingency'!$F$79)</f>
        <v>0</v>
      </c>
      <c r="EX94" s="787">
        <f>IF(CJ94/SUM(CJ:CJ)*'I-Project Contingency'!$F$80=0,0,CJ94/SUM(CJ:CJ)*'I-Project Contingency'!$F$80)</f>
        <v>0</v>
      </c>
      <c r="EY94" s="787">
        <f>IF(CK94/SUM(CK:CK)*'I-Project Contingency'!$F$81=0,0,CK94/SUM(CK:CK)*'I-Project Contingency'!$F$81)</f>
        <v>0</v>
      </c>
      <c r="EZ94" s="333">
        <f>IF(FB94="N/A","N/A",ABS(INDEX(FB94:FV94,1,MATCH("ROM Schedule Risk @ "&amp;'D-Project Data'!$C$6*100&amp;"%",$FB$17:$FV$17,0))))</f>
        <v>0</v>
      </c>
      <c r="FA94" s="335">
        <f>IF(EZ94="N/A","N/A",RANK(EZ94,$EZ$18:$EZ$117,0)+COUNTIF($FB$18:FB94,FB94)-1)</f>
        <v>77</v>
      </c>
      <c r="FB94" s="788">
        <f>IF(DH94/SUM(DH:DH)*'I-Project Contingency'!$F$86=0,0,DH94/SUM(DH:DH)*'I-Project Contingency'!$F$86)</f>
        <v>0</v>
      </c>
      <c r="FC94" s="788">
        <f>IF(DI94/SUM(DI:DI)*'I-Project Contingency'!$F$87=0,0,DI94/SUM(DI:DI)*'I-Project Contingency'!$F$87)</f>
        <v>0</v>
      </c>
      <c r="FD94" s="788">
        <f>IF(DJ94/SUM(DJ:DJ)*'I-Project Contingency'!$F$88=0,0,DJ94/SUM(DJ:DJ)*'I-Project Contingency'!$F$88)</f>
        <v>0</v>
      </c>
      <c r="FE94" s="788">
        <f>IF(DK94/SUM(DK:DK)*'I-Project Contingency'!$F$89=0,0,DK94/SUM(DK:DK)*'I-Project Contingency'!$F$89)</f>
        <v>0</v>
      </c>
      <c r="FF94" s="788">
        <f>IF(DL94/SUM(DL:DL)*'I-Project Contingency'!$F$90=0,0,DL94/SUM(DL:DL)*'I-Project Contingency'!$F$90)</f>
        <v>0</v>
      </c>
      <c r="FG94" s="788">
        <f>IF(DM94/SUM(DM:DM)*'I-Project Contingency'!$F$91=0,0,DM94/SUM(DM:DM)*'I-Project Contingency'!$F$91)</f>
        <v>0</v>
      </c>
      <c r="FH94" s="788">
        <f>IF(DN94/SUM(DN:DN)*'I-Project Contingency'!$F$92=0,0,DN94/SUM(DN:DN)*'I-Project Contingency'!$F$92)</f>
        <v>0</v>
      </c>
      <c r="FI94" s="788">
        <f>IF(DO94/SUM(DO:DO)*'I-Project Contingency'!$F$93=0,0,DO94/SUM(DO:DO)*'I-Project Contingency'!$F$93)</f>
        <v>0</v>
      </c>
      <c r="FJ94" s="788">
        <f>IF(DP94/SUM(DP:DP)*'I-Project Contingency'!$F$94=0,0,DP94/SUM(DP:DP)*'I-Project Contingency'!$F$94)</f>
        <v>0</v>
      </c>
      <c r="FK94" s="788">
        <f>IF(DQ94/SUM(DQ:DQ)*'I-Project Contingency'!$F$95=0,0,DQ94/SUM(DQ:DQ)*'I-Project Contingency'!$F$95)</f>
        <v>0</v>
      </c>
      <c r="FL94" s="788">
        <f>IF(DR94/SUM(DR:DR)*'I-Project Contingency'!$F$96=0,0,DR94/SUM(DR:DR)*'I-Project Contingency'!$F$96)</f>
        <v>0</v>
      </c>
      <c r="FM94" s="788">
        <f>IF(DS94/SUM(DS:DS)*'I-Project Contingency'!$F$97=0,0,DS94/SUM(DS:DS)*'I-Project Contingency'!$F$97)</f>
        <v>0</v>
      </c>
      <c r="FN94" s="788">
        <f>IF(DT94/SUM(DT:DT)*'I-Project Contingency'!$F$98=0,0,DT94/SUM(DT:DT)*'I-Project Contingency'!$F$98)</f>
        <v>0</v>
      </c>
      <c r="FO94" s="788">
        <f>IF(DU94/SUM(DU:DU)*'I-Project Contingency'!$F$99=0,0,DU94/SUM(DU:DU)*'I-Project Contingency'!$F$99)</f>
        <v>0</v>
      </c>
      <c r="FP94" s="788">
        <f>IF(DV94/SUM(DV:DV)*'I-Project Contingency'!$F$100=0,0,DV94/SUM(DV:DV)*'I-Project Contingency'!$F$100)</f>
        <v>0</v>
      </c>
      <c r="FQ94" s="788">
        <f>IF(DW94/SUM(DW:DW)*'I-Project Contingency'!$F$101=0,0,DW94/SUM(DW:DW)*'I-Project Contingency'!$F$101)</f>
        <v>0</v>
      </c>
      <c r="FR94" s="788">
        <f>IF(DX94/SUM(DX:DX)*'I-Project Contingency'!$F$102=0,0,DX94/SUM(DX:DX)*'I-Project Contingency'!$F$102)</f>
        <v>0</v>
      </c>
      <c r="FS94" s="788">
        <f>IF(DY94/SUM(DY:DY)*'I-Project Contingency'!$F$103=0,0,DY94/SUM(DY:DY)*'I-Project Contingency'!$F$103)</f>
        <v>0</v>
      </c>
      <c r="FT94" s="788">
        <f>IF(DZ94/SUM(DZ:DZ)*'I-Project Contingency'!$F$104=0,0,DZ94/SUM(DZ:DZ)*'I-Project Contingency'!$F$104)</f>
        <v>0</v>
      </c>
      <c r="FU94" s="788">
        <f>IF(EA94/SUM(EA:EA)*'I-Project Contingency'!$F$105=0,0,EA94/SUM(EA:EA)*'I-Project Contingency'!$F$105)</f>
        <v>0</v>
      </c>
      <c r="FV94" s="788">
        <f>IF(EB94/SUM(EB:EB)*'I-Project Contingency'!$F$106=0,0,EB94/SUM(EB:EB)*'I-Project Contingency'!$F$106)</f>
        <v>0</v>
      </c>
      <c r="FW94" s="335">
        <f t="shared" si="52"/>
        <v>77</v>
      </c>
      <c r="FX94" s="336" t="str">
        <f t="shared" si="53"/>
        <v xml:space="preserve">77 -  </v>
      </c>
      <c r="FY94" s="330">
        <f t="shared" si="43"/>
        <v>0</v>
      </c>
      <c r="FZ94" s="330">
        <f t="shared" si="44"/>
        <v>0</v>
      </c>
      <c r="GA94" s="332">
        <f t="shared" si="54"/>
        <v>0</v>
      </c>
      <c r="GB94" s="332">
        <f t="shared" si="55"/>
        <v>0</v>
      </c>
    </row>
    <row r="95" spans="1:184" ht="30" x14ac:dyDescent="0.25">
      <c r="A95" s="163">
        <f t="shared" si="23"/>
        <v>78</v>
      </c>
      <c r="B95" s="727" t="s">
        <v>728</v>
      </c>
      <c r="C95" s="729" t="s">
        <v>659</v>
      </c>
      <c r="D95" s="729" t="s">
        <v>659</v>
      </c>
      <c r="E95" s="729" t="s">
        <v>659</v>
      </c>
      <c r="F95" s="728" t="s">
        <v>728</v>
      </c>
      <c r="G95" s="728" t="s">
        <v>728</v>
      </c>
      <c r="H95" s="157" t="str">
        <f>IFERROR(IF('H-Risk Register-Model'!F95="Certain","Relook at Basis of Estimate",INDEX('G-Assumptions'!$F$8:$J$11,MATCH(F95,'G-Assumptions'!$D$8:$D$11,0),MATCH(G95,'G-Assumptions'!$F$6:$J$6,0))),"Unrated")</f>
        <v>Unrated</v>
      </c>
      <c r="I95" s="728" t="s">
        <v>728</v>
      </c>
      <c r="J95" s="157" t="str">
        <f>IFERROR(IF('H-Risk Register-Model'!F95="Certain","Relook at Basis of Estimate",INDEX('G-Assumptions'!$F$8:$J$11,MATCH(F95,'G-Assumptions'!$D$8:$D$11,0),MATCH(I95,'G-Assumptions'!$F$6:$J$6,0))),"Unrated")</f>
        <v>Unrated</v>
      </c>
      <c r="K95" s="728" t="s">
        <v>728</v>
      </c>
      <c r="L95" s="728" t="s">
        <v>728</v>
      </c>
      <c r="M95" s="728"/>
      <c r="N95" s="731" t="s">
        <v>728</v>
      </c>
      <c r="O95" s="731" t="s">
        <v>728</v>
      </c>
      <c r="P95" s="732"/>
      <c r="Q95" s="732"/>
      <c r="R95" s="732"/>
      <c r="S95" s="733"/>
      <c r="T95" s="733"/>
      <c r="U95" s="733"/>
      <c r="V95" s="734"/>
      <c r="W95" s="732"/>
      <c r="X95" s="732"/>
      <c r="Y95" s="735">
        <v>1</v>
      </c>
      <c r="Z95" s="736">
        <v>1</v>
      </c>
      <c r="AA95" s="166">
        <f t="shared" si="56"/>
        <v>0</v>
      </c>
      <c r="AB95" s="166">
        <f t="shared" si="57"/>
        <v>0</v>
      </c>
      <c r="AC95" s="166">
        <f t="shared" si="58"/>
        <v>0</v>
      </c>
      <c r="AD95" s="166"/>
      <c r="AE95" s="164">
        <f t="shared" si="41"/>
        <v>0</v>
      </c>
      <c r="AF95" s="167"/>
      <c r="AG95" s="165">
        <f t="shared" si="42"/>
        <v>0</v>
      </c>
      <c r="AH95" s="729"/>
      <c r="AI95" s="729"/>
      <c r="AJ95" s="8"/>
      <c r="AK95" s="495" t="str">
        <f t="shared" si="45"/>
        <v>No</v>
      </c>
      <c r="AL95" s="496">
        <f>'I-Project Contingency'!$I$4</f>
        <v>9000000</v>
      </c>
      <c r="AM95" s="326">
        <f>'I-Project Contingency'!$I$11</f>
        <v>23.978102189781023</v>
      </c>
      <c r="AN95" s="325">
        <f t="shared" si="46"/>
        <v>0</v>
      </c>
      <c r="AO95" s="326">
        <f t="shared" si="47"/>
        <v>0</v>
      </c>
      <c r="AP95" s="641" t="str">
        <f t="shared" si="48"/>
        <v/>
      </c>
      <c r="AQ95" s="641" t="str">
        <f t="shared" si="49"/>
        <v/>
      </c>
      <c r="AR95" s="497" t="str">
        <f t="shared" si="50"/>
        <v/>
      </c>
      <c r="AS95" s="497" t="str">
        <f t="shared" si="51"/>
        <v/>
      </c>
      <c r="AT95" s="8"/>
      <c r="AU95" s="329">
        <f>'I-Project Contingency'!$O$4-AE95</f>
        <v>0</v>
      </c>
      <c r="AV95" s="330">
        <v>-240515.59579276721</v>
      </c>
      <c r="AW95" s="330">
        <v>28172.931401335634</v>
      </c>
      <c r="AX95" s="330">
        <v>193478.84467429668</v>
      </c>
      <c r="AY95" s="330">
        <v>361668.20104834624</v>
      </c>
      <c r="AZ95" s="330">
        <v>524446.91524262261</v>
      </c>
      <c r="BA95" s="330">
        <v>704023.56387635041</v>
      </c>
      <c r="BB95" s="330">
        <v>886394.06956240814</v>
      </c>
      <c r="BC95" s="330">
        <v>1079363.7165157665</v>
      </c>
      <c r="BD95" s="330">
        <v>1280180.1532065615</v>
      </c>
      <c r="BE95" s="330">
        <v>1485323.8019108465</v>
      </c>
      <c r="BF95" s="330">
        <v>1703758.8827524669</v>
      </c>
      <c r="BG95" s="330">
        <v>1949523.4346483489</v>
      </c>
      <c r="BH95" s="330">
        <v>2177897.1603371189</v>
      </c>
      <c r="BI95" s="330">
        <v>2429374.4260425912</v>
      </c>
      <c r="BJ95" s="330">
        <v>2717092.7449284913</v>
      </c>
      <c r="BK95" s="330">
        <v>3010093.6968918457</v>
      </c>
      <c r="BL95" s="330">
        <v>3325414.5894657462</v>
      </c>
      <c r="BM95" s="330">
        <v>3690425.9159493577</v>
      </c>
      <c r="BN95" s="330">
        <v>4143935.1706127762</v>
      </c>
      <c r="BO95" s="330">
        <v>4722651.1159141911</v>
      </c>
      <c r="BP95" s="330">
        <v>5992048.8629153483</v>
      </c>
      <c r="BQ95" s="330">
        <f>'I-Project Contingency'!$E$61-AV95</f>
        <v>0</v>
      </c>
      <c r="BR95" s="330">
        <f>'I-Project Contingency'!$E$62-AW95</f>
        <v>0</v>
      </c>
      <c r="BS95" s="330">
        <f>'I-Project Contingency'!$E$63-AX95</f>
        <v>0</v>
      </c>
      <c r="BT95" s="330">
        <f>'I-Project Contingency'!$E$64-AY95</f>
        <v>0</v>
      </c>
      <c r="BU95" s="330">
        <f>'I-Project Contingency'!$E$65-AZ95</f>
        <v>0</v>
      </c>
      <c r="BV95" s="330">
        <f>'I-Project Contingency'!$E$66-BA95</f>
        <v>0</v>
      </c>
      <c r="BW95" s="330">
        <f>'I-Project Contingency'!$E$67-BB95</f>
        <v>0</v>
      </c>
      <c r="BX95" s="330">
        <f>'I-Project Contingency'!$E$68-BC95</f>
        <v>0</v>
      </c>
      <c r="BY95" s="330">
        <f>'I-Project Contingency'!$E$69-BD95</f>
        <v>0</v>
      </c>
      <c r="BZ95" s="330">
        <f>'I-Project Contingency'!$E$70-BE95</f>
        <v>0</v>
      </c>
      <c r="CA95" s="330">
        <f>'I-Project Contingency'!$E$71-BF95</f>
        <v>0</v>
      </c>
      <c r="CB95" s="330">
        <f>'I-Project Contingency'!$E$72-BG95</f>
        <v>0</v>
      </c>
      <c r="CC95" s="330">
        <f>'I-Project Contingency'!$E$73-BH95</f>
        <v>0</v>
      </c>
      <c r="CD95" s="330">
        <f>'I-Project Contingency'!$E$74-BI95</f>
        <v>0</v>
      </c>
      <c r="CE95" s="330">
        <f>'I-Project Contingency'!$E$75-BJ95</f>
        <v>0</v>
      </c>
      <c r="CF95" s="330">
        <f>'I-Project Contingency'!$E$76-BK95</f>
        <v>0</v>
      </c>
      <c r="CG95" s="330">
        <f>'I-Project Contingency'!$E$77-BL95</f>
        <v>0</v>
      </c>
      <c r="CH95" s="784">
        <f>'I-Project Contingency'!$E$78-BM95</f>
        <v>0</v>
      </c>
      <c r="CI95" s="330">
        <f>'I-Project Contingency'!$E$79-BN95</f>
        <v>0</v>
      </c>
      <c r="CJ95" s="330">
        <f>'I-Project Contingency'!$E$80-BO95</f>
        <v>0</v>
      </c>
      <c r="CK95" s="330">
        <f>'I-Project Contingency'!$E$81-BP95</f>
        <v>0</v>
      </c>
      <c r="CL95" s="331">
        <f>'I-Project Contingency'!$O$5-AG95</f>
        <v>0</v>
      </c>
      <c r="CM95" s="332">
        <v>-0.98711802853447173</v>
      </c>
      <c r="CN95" s="332">
        <v>-0.19547704728364468</v>
      </c>
      <c r="CO95" s="332">
        <v>0.126462150308498</v>
      </c>
      <c r="CP95" s="332">
        <v>0.45967989154545902</v>
      </c>
      <c r="CQ95" s="332">
        <v>0.78297319902744</v>
      </c>
      <c r="CR95" s="332">
        <v>1.0957191966482109</v>
      </c>
      <c r="CS95" s="332">
        <v>1.4418405003536849</v>
      </c>
      <c r="CT95" s="332">
        <v>1.801002404194165</v>
      </c>
      <c r="CU95" s="332">
        <v>2.1797608166947349</v>
      </c>
      <c r="CV95" s="332">
        <v>2.5671680610072478</v>
      </c>
      <c r="CW95" s="332">
        <v>2.9690760644797152</v>
      </c>
      <c r="CX95" s="332">
        <v>3.3964145469774811</v>
      </c>
      <c r="CY95" s="332">
        <v>3.864536087769562</v>
      </c>
      <c r="CZ95" s="332">
        <v>4.3569836138896116</v>
      </c>
      <c r="DA95" s="332">
        <v>4.8862357851222598</v>
      </c>
      <c r="DB95" s="332">
        <v>5.438836997347547</v>
      </c>
      <c r="DC95" s="332">
        <v>6.047993455908566</v>
      </c>
      <c r="DD95" s="785">
        <v>6.720204953601761</v>
      </c>
      <c r="DE95" s="333">
        <v>7.55131678090412</v>
      </c>
      <c r="DF95" s="332">
        <v>8.661446370835737</v>
      </c>
      <c r="DG95" s="332">
        <v>11.206316207857133</v>
      </c>
      <c r="DH95" s="332">
        <f>'I-Project Contingency'!$E$86-CM95</f>
        <v>0</v>
      </c>
      <c r="DI95" s="332">
        <f>'I-Project Contingency'!$E$87-CN95</f>
        <v>0</v>
      </c>
      <c r="DJ95" s="332">
        <f>'I-Project Contingency'!$E$88-CO95</f>
        <v>0</v>
      </c>
      <c r="DK95" s="332">
        <f>'I-Project Contingency'!$E$89-CP95</f>
        <v>0</v>
      </c>
      <c r="DL95" s="332">
        <f>'I-Project Contingency'!$E$90-CQ95</f>
        <v>0</v>
      </c>
      <c r="DM95" s="332">
        <f>'I-Project Contingency'!$E$91-CR95</f>
        <v>0</v>
      </c>
      <c r="DN95" s="332">
        <f>'I-Project Contingency'!$E$92-CS95</f>
        <v>0</v>
      </c>
      <c r="DO95" s="332">
        <f>'I-Project Contingency'!$E$93-CT95</f>
        <v>0</v>
      </c>
      <c r="DP95" s="332">
        <f>'I-Project Contingency'!$E$94-CU95</f>
        <v>0</v>
      </c>
      <c r="DQ95" s="332">
        <f>'I-Project Contingency'!$E$95-CV95</f>
        <v>0</v>
      </c>
      <c r="DR95" s="332">
        <f>'I-Project Contingency'!$E$96-CW95</f>
        <v>0</v>
      </c>
      <c r="DS95" s="332">
        <f>'I-Project Contingency'!$E$97-CX95</f>
        <v>0</v>
      </c>
      <c r="DT95" s="332">
        <f>'I-Project Contingency'!$E$98-CY95</f>
        <v>0</v>
      </c>
      <c r="DU95" s="332">
        <f>'I-Project Contingency'!$E$99-CZ95</f>
        <v>0</v>
      </c>
      <c r="DV95" s="332">
        <f>'I-Project Contingency'!$E$100-DA95</f>
        <v>0</v>
      </c>
      <c r="DW95" s="332">
        <f>'I-Project Contingency'!$E$101-DB95</f>
        <v>0</v>
      </c>
      <c r="DX95" s="332">
        <f>'I-Project Contingency'!$E$102-DC95</f>
        <v>0</v>
      </c>
      <c r="DY95" s="332">
        <f>'I-Project Contingency'!$E$103-DD95</f>
        <v>0</v>
      </c>
      <c r="DZ95" s="332">
        <f>'I-Project Contingency'!$E$104-DE95</f>
        <v>0</v>
      </c>
      <c r="EA95" s="332">
        <f>'I-Project Contingency'!$E$105-DF95</f>
        <v>0</v>
      </c>
      <c r="EB95" s="332">
        <f>'I-Project Contingency'!$E$106-DG95</f>
        <v>0</v>
      </c>
      <c r="EC95" s="334">
        <f>IF(EE95="N/A","N/A",ABS(INDEX(EE95:EY95,1,MATCH("ROM Cost Risk @ "&amp;'D-Project Data'!$C$6*100&amp;"%",$EE$17:$EY$17,0))))</f>
        <v>0</v>
      </c>
      <c r="ED95" s="335">
        <f>IF(EC95="N/A","N/A",RANK(EC95,$EC$18:$EC$117,0)+COUNTIF($EC$18:EC95,EC95)-1)</f>
        <v>78</v>
      </c>
      <c r="EE95" s="334">
        <f>IF(BQ95/SUM(BQ:BQ)*'I-Project Contingency'!$F$61=0,0,BQ95/SUM(BQ:BQ)*'I-Project Contingency'!$F$61)</f>
        <v>0</v>
      </c>
      <c r="EF95" s="334">
        <f>IF(BR95/SUM(BR:BR)*'I-Project Contingency'!$F$62=0,0,BR95/SUM(BR:BR)*'I-Project Contingency'!$F$62)</f>
        <v>0</v>
      </c>
      <c r="EG95" s="334">
        <f>IF(BS95/SUM(BS:BS)*'I-Project Contingency'!$F$63=0,0,BS95/SUM(BS:BS)*'I-Project Contingency'!$F$63)</f>
        <v>0</v>
      </c>
      <c r="EH95" s="334">
        <f>IF(BT95/SUM(BT:BT)*'I-Project Contingency'!$F$64=0,0,BT95/SUM(BT:BT)*'I-Project Contingency'!$F$64)</f>
        <v>0</v>
      </c>
      <c r="EI95" s="334">
        <f>IF(BU95/SUM(BU:BU)*'I-Project Contingency'!$F$65=0,0,BU95/SUM(BU:BU)*'I-Project Contingency'!$F$65)</f>
        <v>0</v>
      </c>
      <c r="EJ95" s="334">
        <f>IF(BV95/SUM(BV:BV)*'I-Project Contingency'!$F$66=0,0,BV95/SUM(BV:BV)*'I-Project Contingency'!$F$66)</f>
        <v>0</v>
      </c>
      <c r="EK95" s="334">
        <f>IF(BW95/SUM(BW:BW)*'I-Project Contingency'!$F$67=0,0,BW95/SUM(BW:BW)*'I-Project Contingency'!$F$67)</f>
        <v>0</v>
      </c>
      <c r="EL95" s="334">
        <f>IF(BX95/SUM(BX:BX)*'I-Project Contingency'!$F$68=0,0,BX95/SUM(BX:BX)*'I-Project Contingency'!$F$68)</f>
        <v>0</v>
      </c>
      <c r="EM95" s="334">
        <f>IF(BY95/SUM(BY:BY)*'I-Project Contingency'!$F$69=0,0,BY95/SUM(BY:BY)*'I-Project Contingency'!$F$69)</f>
        <v>0</v>
      </c>
      <c r="EN95" s="334">
        <f>IF(BZ95/SUM(BZ:BZ)*'I-Project Contingency'!$F$70=0,0,BZ95/SUM(BZ:BZ)*'I-Project Contingency'!$F$70)</f>
        <v>0</v>
      </c>
      <c r="EO95" s="334">
        <f>IF(CA95/SUM(CA:CA)*'I-Project Contingency'!$F$71=0,0,CA95/SUM(CA:CA)*'I-Project Contingency'!$F$71)</f>
        <v>0</v>
      </c>
      <c r="EP95" s="334">
        <f>IF(CB95/SUM(CB:CB)*'I-Project Contingency'!$F$72=0,0,CB95/SUM(CB:CB)*'I-Project Contingency'!$F$72)</f>
        <v>0</v>
      </c>
      <c r="EQ95" s="334">
        <f>IF(CC95/SUM(CC:CC)*'I-Project Contingency'!$F$73=0,0,CC95/SUM(CC:CC)*'I-Project Contingency'!$F$73)</f>
        <v>0</v>
      </c>
      <c r="ER95" s="334">
        <f>IF(CD95/SUM(CD:CD)*'I-Project Contingency'!$F$74=0,0,CD95/SUM(CD:CD)*'I-Project Contingency'!$F$74)</f>
        <v>0</v>
      </c>
      <c r="ES95" s="334">
        <f>IF(CE95/SUM(CE:CE)*'I-Project Contingency'!$F$75=0,0,CE95/SUM(CE:CE)*'I-Project Contingency'!$F$75)</f>
        <v>0</v>
      </c>
      <c r="ET95" s="334">
        <f>IF(CF95/SUM(CF:CF)*'I-Project Contingency'!$F$76=0,0,CF95/SUM(CF:CF)*'I-Project Contingency'!$F$76)</f>
        <v>0</v>
      </c>
      <c r="EU95" s="334">
        <f>IF(CG95/SUM(CG:CG)*'I-Project Contingency'!$F$77=0,0,CG95/SUM(CG:CG)*'I-Project Contingency'!$F$77)</f>
        <v>0</v>
      </c>
      <c r="EV95" s="787">
        <f>IF(CH95/SUM(CH:CH)*'I-Project Contingency'!$F$78=0,0,CH95/SUM(CH:CH)*'I-Project Contingency'!$F$78)</f>
        <v>0</v>
      </c>
      <c r="EW95" s="787">
        <f>IF(CI95/SUM(CI:CI)*'I-Project Contingency'!$F$79=0,0,CI95/SUM(CI:CI)*'I-Project Contingency'!$F$79)</f>
        <v>0</v>
      </c>
      <c r="EX95" s="787">
        <f>IF(CJ95/SUM(CJ:CJ)*'I-Project Contingency'!$F$80=0,0,CJ95/SUM(CJ:CJ)*'I-Project Contingency'!$F$80)</f>
        <v>0</v>
      </c>
      <c r="EY95" s="787">
        <f>IF(CK95/SUM(CK:CK)*'I-Project Contingency'!$F$81=0,0,CK95/SUM(CK:CK)*'I-Project Contingency'!$F$81)</f>
        <v>0</v>
      </c>
      <c r="EZ95" s="333">
        <f>IF(FB95="N/A","N/A",ABS(INDEX(FB95:FV95,1,MATCH("ROM Schedule Risk @ "&amp;'D-Project Data'!$C$6*100&amp;"%",$FB$17:$FV$17,0))))</f>
        <v>0</v>
      </c>
      <c r="FA95" s="335">
        <f>IF(EZ95="N/A","N/A",RANK(EZ95,$EZ$18:$EZ$117,0)+COUNTIF($FB$18:FB95,FB95)-1)</f>
        <v>78</v>
      </c>
      <c r="FB95" s="788">
        <f>IF(DH95/SUM(DH:DH)*'I-Project Contingency'!$F$86=0,0,DH95/SUM(DH:DH)*'I-Project Contingency'!$F$86)</f>
        <v>0</v>
      </c>
      <c r="FC95" s="788">
        <f>IF(DI95/SUM(DI:DI)*'I-Project Contingency'!$F$87=0,0,DI95/SUM(DI:DI)*'I-Project Contingency'!$F$87)</f>
        <v>0</v>
      </c>
      <c r="FD95" s="788">
        <f>IF(DJ95/SUM(DJ:DJ)*'I-Project Contingency'!$F$88=0,0,DJ95/SUM(DJ:DJ)*'I-Project Contingency'!$F$88)</f>
        <v>0</v>
      </c>
      <c r="FE95" s="788">
        <f>IF(DK95/SUM(DK:DK)*'I-Project Contingency'!$F$89=0,0,DK95/SUM(DK:DK)*'I-Project Contingency'!$F$89)</f>
        <v>0</v>
      </c>
      <c r="FF95" s="788">
        <f>IF(DL95/SUM(DL:DL)*'I-Project Contingency'!$F$90=0,0,DL95/SUM(DL:DL)*'I-Project Contingency'!$F$90)</f>
        <v>0</v>
      </c>
      <c r="FG95" s="788">
        <f>IF(DM95/SUM(DM:DM)*'I-Project Contingency'!$F$91=0,0,DM95/SUM(DM:DM)*'I-Project Contingency'!$F$91)</f>
        <v>0</v>
      </c>
      <c r="FH95" s="788">
        <f>IF(DN95/SUM(DN:DN)*'I-Project Contingency'!$F$92=0,0,DN95/SUM(DN:DN)*'I-Project Contingency'!$F$92)</f>
        <v>0</v>
      </c>
      <c r="FI95" s="788">
        <f>IF(DO95/SUM(DO:DO)*'I-Project Contingency'!$F$93=0,0,DO95/SUM(DO:DO)*'I-Project Contingency'!$F$93)</f>
        <v>0</v>
      </c>
      <c r="FJ95" s="788">
        <f>IF(DP95/SUM(DP:DP)*'I-Project Contingency'!$F$94=0,0,DP95/SUM(DP:DP)*'I-Project Contingency'!$F$94)</f>
        <v>0</v>
      </c>
      <c r="FK95" s="788">
        <f>IF(DQ95/SUM(DQ:DQ)*'I-Project Contingency'!$F$95=0,0,DQ95/SUM(DQ:DQ)*'I-Project Contingency'!$F$95)</f>
        <v>0</v>
      </c>
      <c r="FL95" s="788">
        <f>IF(DR95/SUM(DR:DR)*'I-Project Contingency'!$F$96=0,0,DR95/SUM(DR:DR)*'I-Project Contingency'!$F$96)</f>
        <v>0</v>
      </c>
      <c r="FM95" s="788">
        <f>IF(DS95/SUM(DS:DS)*'I-Project Contingency'!$F$97=0,0,DS95/SUM(DS:DS)*'I-Project Contingency'!$F$97)</f>
        <v>0</v>
      </c>
      <c r="FN95" s="788">
        <f>IF(DT95/SUM(DT:DT)*'I-Project Contingency'!$F$98=0,0,DT95/SUM(DT:DT)*'I-Project Contingency'!$F$98)</f>
        <v>0</v>
      </c>
      <c r="FO95" s="788">
        <f>IF(DU95/SUM(DU:DU)*'I-Project Contingency'!$F$99=0,0,DU95/SUM(DU:DU)*'I-Project Contingency'!$F$99)</f>
        <v>0</v>
      </c>
      <c r="FP95" s="788">
        <f>IF(DV95/SUM(DV:DV)*'I-Project Contingency'!$F$100=0,0,DV95/SUM(DV:DV)*'I-Project Contingency'!$F$100)</f>
        <v>0</v>
      </c>
      <c r="FQ95" s="788">
        <f>IF(DW95/SUM(DW:DW)*'I-Project Contingency'!$F$101=0,0,DW95/SUM(DW:DW)*'I-Project Contingency'!$F$101)</f>
        <v>0</v>
      </c>
      <c r="FR95" s="788">
        <f>IF(DX95/SUM(DX:DX)*'I-Project Contingency'!$F$102=0,0,DX95/SUM(DX:DX)*'I-Project Contingency'!$F$102)</f>
        <v>0</v>
      </c>
      <c r="FS95" s="788">
        <f>IF(DY95/SUM(DY:DY)*'I-Project Contingency'!$F$103=0,0,DY95/SUM(DY:DY)*'I-Project Contingency'!$F$103)</f>
        <v>0</v>
      </c>
      <c r="FT95" s="788">
        <f>IF(DZ95/SUM(DZ:DZ)*'I-Project Contingency'!$F$104=0,0,DZ95/SUM(DZ:DZ)*'I-Project Contingency'!$F$104)</f>
        <v>0</v>
      </c>
      <c r="FU95" s="788">
        <f>IF(EA95/SUM(EA:EA)*'I-Project Contingency'!$F$105=0,0,EA95/SUM(EA:EA)*'I-Project Contingency'!$F$105)</f>
        <v>0</v>
      </c>
      <c r="FV95" s="788">
        <f>IF(EB95/SUM(EB:EB)*'I-Project Contingency'!$F$106=0,0,EB95/SUM(EB:EB)*'I-Project Contingency'!$F$106)</f>
        <v>0</v>
      </c>
      <c r="FW95" s="335">
        <f t="shared" si="52"/>
        <v>78</v>
      </c>
      <c r="FX95" s="336" t="str">
        <f t="shared" si="53"/>
        <v xml:space="preserve">78 -  </v>
      </c>
      <c r="FY95" s="330">
        <f t="shared" si="43"/>
        <v>0</v>
      </c>
      <c r="FZ95" s="330">
        <f t="shared" si="44"/>
        <v>0</v>
      </c>
      <c r="GA95" s="332">
        <f t="shared" si="54"/>
        <v>0</v>
      </c>
      <c r="GB95" s="332">
        <f t="shared" si="55"/>
        <v>0</v>
      </c>
    </row>
    <row r="96" spans="1:184" ht="30" x14ac:dyDescent="0.25">
      <c r="A96" s="163">
        <f t="shared" si="23"/>
        <v>79</v>
      </c>
      <c r="B96" s="727" t="s">
        <v>728</v>
      </c>
      <c r="C96" s="729" t="s">
        <v>659</v>
      </c>
      <c r="D96" s="729" t="s">
        <v>659</v>
      </c>
      <c r="E96" s="729" t="s">
        <v>659</v>
      </c>
      <c r="F96" s="728" t="s">
        <v>728</v>
      </c>
      <c r="G96" s="728" t="s">
        <v>728</v>
      </c>
      <c r="H96" s="157" t="str">
        <f>IFERROR(IF('H-Risk Register-Model'!F96="Certain","Relook at Basis of Estimate",INDEX('G-Assumptions'!$F$8:$J$11,MATCH(F96,'G-Assumptions'!$D$8:$D$11,0),MATCH(G96,'G-Assumptions'!$F$6:$J$6,0))),"Unrated")</f>
        <v>Unrated</v>
      </c>
      <c r="I96" s="728" t="s">
        <v>728</v>
      </c>
      <c r="J96" s="157" t="str">
        <f>IFERROR(IF('H-Risk Register-Model'!F96="Certain","Relook at Basis of Estimate",INDEX('G-Assumptions'!$F$8:$J$11,MATCH(F96,'G-Assumptions'!$D$8:$D$11,0),MATCH(I96,'G-Assumptions'!$F$6:$J$6,0))),"Unrated")</f>
        <v>Unrated</v>
      </c>
      <c r="K96" s="728" t="s">
        <v>728</v>
      </c>
      <c r="L96" s="728" t="s">
        <v>728</v>
      </c>
      <c r="M96" s="728"/>
      <c r="N96" s="731" t="s">
        <v>728</v>
      </c>
      <c r="O96" s="731" t="s">
        <v>728</v>
      </c>
      <c r="P96" s="732"/>
      <c r="Q96" s="732"/>
      <c r="R96" s="732"/>
      <c r="S96" s="733"/>
      <c r="T96" s="733"/>
      <c r="U96" s="733"/>
      <c r="V96" s="734"/>
      <c r="W96" s="732"/>
      <c r="X96" s="732"/>
      <c r="Y96" s="735">
        <v>1</v>
      </c>
      <c r="Z96" s="736">
        <v>1</v>
      </c>
      <c r="AA96" s="166">
        <f t="shared" si="56"/>
        <v>0</v>
      </c>
      <c r="AB96" s="166">
        <f t="shared" si="57"/>
        <v>0</v>
      </c>
      <c r="AC96" s="166">
        <f t="shared" si="58"/>
        <v>0</v>
      </c>
      <c r="AD96" s="166"/>
      <c r="AE96" s="164">
        <f t="shared" si="41"/>
        <v>0</v>
      </c>
      <c r="AF96" s="167"/>
      <c r="AG96" s="165">
        <f t="shared" si="42"/>
        <v>0</v>
      </c>
      <c r="AH96" s="729"/>
      <c r="AI96" s="729"/>
      <c r="AJ96" s="8"/>
      <c r="AK96" s="495" t="str">
        <f t="shared" si="45"/>
        <v>No</v>
      </c>
      <c r="AL96" s="496">
        <f>'I-Project Contingency'!$I$4</f>
        <v>9000000</v>
      </c>
      <c r="AM96" s="326">
        <f>'I-Project Contingency'!$I$11</f>
        <v>23.978102189781023</v>
      </c>
      <c r="AN96" s="325">
        <f t="shared" si="46"/>
        <v>0</v>
      </c>
      <c r="AO96" s="326">
        <f t="shared" si="47"/>
        <v>0</v>
      </c>
      <c r="AP96" s="641" t="str">
        <f t="shared" si="48"/>
        <v/>
      </c>
      <c r="AQ96" s="641" t="str">
        <f t="shared" si="49"/>
        <v/>
      </c>
      <c r="AR96" s="497" t="str">
        <f t="shared" si="50"/>
        <v/>
      </c>
      <c r="AS96" s="497" t="str">
        <f t="shared" si="51"/>
        <v/>
      </c>
      <c r="AT96" s="8"/>
      <c r="AU96" s="329">
        <f>'I-Project Contingency'!$O$4-AE96</f>
        <v>0</v>
      </c>
      <c r="AV96" s="330">
        <v>-240515.59579276721</v>
      </c>
      <c r="AW96" s="330">
        <v>28172.931401335634</v>
      </c>
      <c r="AX96" s="330">
        <v>193478.84467429668</v>
      </c>
      <c r="AY96" s="330">
        <v>361668.20104834624</v>
      </c>
      <c r="AZ96" s="330">
        <v>524446.91524262261</v>
      </c>
      <c r="BA96" s="330">
        <v>704023.56387635041</v>
      </c>
      <c r="BB96" s="330">
        <v>886394.06956240814</v>
      </c>
      <c r="BC96" s="330">
        <v>1079363.7165157665</v>
      </c>
      <c r="BD96" s="330">
        <v>1280180.1532065615</v>
      </c>
      <c r="BE96" s="330">
        <v>1485323.8019108465</v>
      </c>
      <c r="BF96" s="330">
        <v>1703758.8827524669</v>
      </c>
      <c r="BG96" s="330">
        <v>1949523.4346483489</v>
      </c>
      <c r="BH96" s="330">
        <v>2177897.1603371189</v>
      </c>
      <c r="BI96" s="330">
        <v>2429374.4260425912</v>
      </c>
      <c r="BJ96" s="330">
        <v>2717092.7449284913</v>
      </c>
      <c r="BK96" s="330">
        <v>3010093.6968918457</v>
      </c>
      <c r="BL96" s="330">
        <v>3325414.5894657462</v>
      </c>
      <c r="BM96" s="330">
        <v>3690425.9159493577</v>
      </c>
      <c r="BN96" s="330">
        <v>4143935.1706127762</v>
      </c>
      <c r="BO96" s="330">
        <v>4722651.1159141911</v>
      </c>
      <c r="BP96" s="330">
        <v>5992048.8629153483</v>
      </c>
      <c r="BQ96" s="330">
        <f>'I-Project Contingency'!$E$61-AV96</f>
        <v>0</v>
      </c>
      <c r="BR96" s="330">
        <f>'I-Project Contingency'!$E$62-AW96</f>
        <v>0</v>
      </c>
      <c r="BS96" s="330">
        <f>'I-Project Contingency'!$E$63-AX96</f>
        <v>0</v>
      </c>
      <c r="BT96" s="330">
        <f>'I-Project Contingency'!$E$64-AY96</f>
        <v>0</v>
      </c>
      <c r="BU96" s="330">
        <f>'I-Project Contingency'!$E$65-AZ96</f>
        <v>0</v>
      </c>
      <c r="BV96" s="330">
        <f>'I-Project Contingency'!$E$66-BA96</f>
        <v>0</v>
      </c>
      <c r="BW96" s="330">
        <f>'I-Project Contingency'!$E$67-BB96</f>
        <v>0</v>
      </c>
      <c r="BX96" s="330">
        <f>'I-Project Contingency'!$E$68-BC96</f>
        <v>0</v>
      </c>
      <c r="BY96" s="330">
        <f>'I-Project Contingency'!$E$69-BD96</f>
        <v>0</v>
      </c>
      <c r="BZ96" s="330">
        <f>'I-Project Contingency'!$E$70-BE96</f>
        <v>0</v>
      </c>
      <c r="CA96" s="330">
        <f>'I-Project Contingency'!$E$71-BF96</f>
        <v>0</v>
      </c>
      <c r="CB96" s="330">
        <f>'I-Project Contingency'!$E$72-BG96</f>
        <v>0</v>
      </c>
      <c r="CC96" s="330">
        <f>'I-Project Contingency'!$E$73-BH96</f>
        <v>0</v>
      </c>
      <c r="CD96" s="330">
        <f>'I-Project Contingency'!$E$74-BI96</f>
        <v>0</v>
      </c>
      <c r="CE96" s="330">
        <f>'I-Project Contingency'!$E$75-BJ96</f>
        <v>0</v>
      </c>
      <c r="CF96" s="330">
        <f>'I-Project Contingency'!$E$76-BK96</f>
        <v>0</v>
      </c>
      <c r="CG96" s="330">
        <f>'I-Project Contingency'!$E$77-BL96</f>
        <v>0</v>
      </c>
      <c r="CH96" s="784">
        <f>'I-Project Contingency'!$E$78-BM96</f>
        <v>0</v>
      </c>
      <c r="CI96" s="330">
        <f>'I-Project Contingency'!$E$79-BN96</f>
        <v>0</v>
      </c>
      <c r="CJ96" s="330">
        <f>'I-Project Contingency'!$E$80-BO96</f>
        <v>0</v>
      </c>
      <c r="CK96" s="330">
        <f>'I-Project Contingency'!$E$81-BP96</f>
        <v>0</v>
      </c>
      <c r="CL96" s="331">
        <f>'I-Project Contingency'!$O$5-AG96</f>
        <v>0</v>
      </c>
      <c r="CM96" s="332">
        <v>-0.98711802853447173</v>
      </c>
      <c r="CN96" s="332">
        <v>-0.19547704728364468</v>
      </c>
      <c r="CO96" s="332">
        <v>0.126462150308498</v>
      </c>
      <c r="CP96" s="332">
        <v>0.45967989154545902</v>
      </c>
      <c r="CQ96" s="332">
        <v>0.78297319902744</v>
      </c>
      <c r="CR96" s="332">
        <v>1.0957191966482109</v>
      </c>
      <c r="CS96" s="332">
        <v>1.4418405003536849</v>
      </c>
      <c r="CT96" s="332">
        <v>1.801002404194165</v>
      </c>
      <c r="CU96" s="332">
        <v>2.1797608166947349</v>
      </c>
      <c r="CV96" s="332">
        <v>2.5671680610072478</v>
      </c>
      <c r="CW96" s="332">
        <v>2.9690760644797152</v>
      </c>
      <c r="CX96" s="332">
        <v>3.3964145469774811</v>
      </c>
      <c r="CY96" s="332">
        <v>3.864536087769562</v>
      </c>
      <c r="CZ96" s="332">
        <v>4.3569836138896116</v>
      </c>
      <c r="DA96" s="332">
        <v>4.8862357851222598</v>
      </c>
      <c r="DB96" s="332">
        <v>5.438836997347547</v>
      </c>
      <c r="DC96" s="332">
        <v>6.047993455908566</v>
      </c>
      <c r="DD96" s="785">
        <v>6.720204953601761</v>
      </c>
      <c r="DE96" s="333">
        <v>7.55131678090412</v>
      </c>
      <c r="DF96" s="332">
        <v>8.661446370835737</v>
      </c>
      <c r="DG96" s="332">
        <v>11.206316207857133</v>
      </c>
      <c r="DH96" s="332">
        <f>'I-Project Contingency'!$E$86-CM96</f>
        <v>0</v>
      </c>
      <c r="DI96" s="332">
        <f>'I-Project Contingency'!$E$87-CN96</f>
        <v>0</v>
      </c>
      <c r="DJ96" s="332">
        <f>'I-Project Contingency'!$E$88-CO96</f>
        <v>0</v>
      </c>
      <c r="DK96" s="332">
        <f>'I-Project Contingency'!$E$89-CP96</f>
        <v>0</v>
      </c>
      <c r="DL96" s="332">
        <f>'I-Project Contingency'!$E$90-CQ96</f>
        <v>0</v>
      </c>
      <c r="DM96" s="332">
        <f>'I-Project Contingency'!$E$91-CR96</f>
        <v>0</v>
      </c>
      <c r="DN96" s="332">
        <f>'I-Project Contingency'!$E$92-CS96</f>
        <v>0</v>
      </c>
      <c r="DO96" s="332">
        <f>'I-Project Contingency'!$E$93-CT96</f>
        <v>0</v>
      </c>
      <c r="DP96" s="332">
        <f>'I-Project Contingency'!$E$94-CU96</f>
        <v>0</v>
      </c>
      <c r="DQ96" s="332">
        <f>'I-Project Contingency'!$E$95-CV96</f>
        <v>0</v>
      </c>
      <c r="DR96" s="332">
        <f>'I-Project Contingency'!$E$96-CW96</f>
        <v>0</v>
      </c>
      <c r="DS96" s="332">
        <f>'I-Project Contingency'!$E$97-CX96</f>
        <v>0</v>
      </c>
      <c r="DT96" s="332">
        <f>'I-Project Contingency'!$E$98-CY96</f>
        <v>0</v>
      </c>
      <c r="DU96" s="332">
        <f>'I-Project Contingency'!$E$99-CZ96</f>
        <v>0</v>
      </c>
      <c r="DV96" s="332">
        <f>'I-Project Contingency'!$E$100-DA96</f>
        <v>0</v>
      </c>
      <c r="DW96" s="332">
        <f>'I-Project Contingency'!$E$101-DB96</f>
        <v>0</v>
      </c>
      <c r="DX96" s="332">
        <f>'I-Project Contingency'!$E$102-DC96</f>
        <v>0</v>
      </c>
      <c r="DY96" s="332">
        <f>'I-Project Contingency'!$E$103-DD96</f>
        <v>0</v>
      </c>
      <c r="DZ96" s="332">
        <f>'I-Project Contingency'!$E$104-DE96</f>
        <v>0</v>
      </c>
      <c r="EA96" s="332">
        <f>'I-Project Contingency'!$E$105-DF96</f>
        <v>0</v>
      </c>
      <c r="EB96" s="332">
        <f>'I-Project Contingency'!$E$106-DG96</f>
        <v>0</v>
      </c>
      <c r="EC96" s="334">
        <f>IF(EE96="N/A","N/A",ABS(INDEX(EE96:EY96,1,MATCH("ROM Cost Risk @ "&amp;'D-Project Data'!$C$6*100&amp;"%",$EE$17:$EY$17,0))))</f>
        <v>0</v>
      </c>
      <c r="ED96" s="335">
        <f>IF(EC96="N/A","N/A",RANK(EC96,$EC$18:$EC$117,0)+COUNTIF($EC$18:EC96,EC96)-1)</f>
        <v>79</v>
      </c>
      <c r="EE96" s="334">
        <f>IF(BQ96/SUM(BQ:BQ)*'I-Project Contingency'!$F$61=0,0,BQ96/SUM(BQ:BQ)*'I-Project Contingency'!$F$61)</f>
        <v>0</v>
      </c>
      <c r="EF96" s="334">
        <f>IF(BR96/SUM(BR:BR)*'I-Project Contingency'!$F$62=0,0,BR96/SUM(BR:BR)*'I-Project Contingency'!$F$62)</f>
        <v>0</v>
      </c>
      <c r="EG96" s="334">
        <f>IF(BS96/SUM(BS:BS)*'I-Project Contingency'!$F$63=0,0,BS96/SUM(BS:BS)*'I-Project Contingency'!$F$63)</f>
        <v>0</v>
      </c>
      <c r="EH96" s="334">
        <f>IF(BT96/SUM(BT:BT)*'I-Project Contingency'!$F$64=0,0,BT96/SUM(BT:BT)*'I-Project Contingency'!$F$64)</f>
        <v>0</v>
      </c>
      <c r="EI96" s="334">
        <f>IF(BU96/SUM(BU:BU)*'I-Project Contingency'!$F$65=0,0,BU96/SUM(BU:BU)*'I-Project Contingency'!$F$65)</f>
        <v>0</v>
      </c>
      <c r="EJ96" s="334">
        <f>IF(BV96/SUM(BV:BV)*'I-Project Contingency'!$F$66=0,0,BV96/SUM(BV:BV)*'I-Project Contingency'!$F$66)</f>
        <v>0</v>
      </c>
      <c r="EK96" s="334">
        <f>IF(BW96/SUM(BW:BW)*'I-Project Contingency'!$F$67=0,0,BW96/SUM(BW:BW)*'I-Project Contingency'!$F$67)</f>
        <v>0</v>
      </c>
      <c r="EL96" s="334">
        <f>IF(BX96/SUM(BX:BX)*'I-Project Contingency'!$F$68=0,0,BX96/SUM(BX:BX)*'I-Project Contingency'!$F$68)</f>
        <v>0</v>
      </c>
      <c r="EM96" s="334">
        <f>IF(BY96/SUM(BY:BY)*'I-Project Contingency'!$F$69=0,0,BY96/SUM(BY:BY)*'I-Project Contingency'!$F$69)</f>
        <v>0</v>
      </c>
      <c r="EN96" s="334">
        <f>IF(BZ96/SUM(BZ:BZ)*'I-Project Contingency'!$F$70=0,0,BZ96/SUM(BZ:BZ)*'I-Project Contingency'!$F$70)</f>
        <v>0</v>
      </c>
      <c r="EO96" s="334">
        <f>IF(CA96/SUM(CA:CA)*'I-Project Contingency'!$F$71=0,0,CA96/SUM(CA:CA)*'I-Project Contingency'!$F$71)</f>
        <v>0</v>
      </c>
      <c r="EP96" s="334">
        <f>IF(CB96/SUM(CB:CB)*'I-Project Contingency'!$F$72=0,0,CB96/SUM(CB:CB)*'I-Project Contingency'!$F$72)</f>
        <v>0</v>
      </c>
      <c r="EQ96" s="334">
        <f>IF(CC96/SUM(CC:CC)*'I-Project Contingency'!$F$73=0,0,CC96/SUM(CC:CC)*'I-Project Contingency'!$F$73)</f>
        <v>0</v>
      </c>
      <c r="ER96" s="334">
        <f>IF(CD96/SUM(CD:CD)*'I-Project Contingency'!$F$74=0,0,CD96/SUM(CD:CD)*'I-Project Contingency'!$F$74)</f>
        <v>0</v>
      </c>
      <c r="ES96" s="334">
        <f>IF(CE96/SUM(CE:CE)*'I-Project Contingency'!$F$75=0,0,CE96/SUM(CE:CE)*'I-Project Contingency'!$F$75)</f>
        <v>0</v>
      </c>
      <c r="ET96" s="334">
        <f>IF(CF96/SUM(CF:CF)*'I-Project Contingency'!$F$76=0,0,CF96/SUM(CF:CF)*'I-Project Contingency'!$F$76)</f>
        <v>0</v>
      </c>
      <c r="EU96" s="334">
        <f>IF(CG96/SUM(CG:CG)*'I-Project Contingency'!$F$77=0,0,CG96/SUM(CG:CG)*'I-Project Contingency'!$F$77)</f>
        <v>0</v>
      </c>
      <c r="EV96" s="787">
        <f>IF(CH96/SUM(CH:CH)*'I-Project Contingency'!$F$78=0,0,CH96/SUM(CH:CH)*'I-Project Contingency'!$F$78)</f>
        <v>0</v>
      </c>
      <c r="EW96" s="787">
        <f>IF(CI96/SUM(CI:CI)*'I-Project Contingency'!$F$79=0,0,CI96/SUM(CI:CI)*'I-Project Contingency'!$F$79)</f>
        <v>0</v>
      </c>
      <c r="EX96" s="787">
        <f>IF(CJ96/SUM(CJ:CJ)*'I-Project Contingency'!$F$80=0,0,CJ96/SUM(CJ:CJ)*'I-Project Contingency'!$F$80)</f>
        <v>0</v>
      </c>
      <c r="EY96" s="787">
        <f>IF(CK96/SUM(CK:CK)*'I-Project Contingency'!$F$81=0,0,CK96/SUM(CK:CK)*'I-Project Contingency'!$F$81)</f>
        <v>0</v>
      </c>
      <c r="EZ96" s="333">
        <f>IF(FB96="N/A","N/A",ABS(INDEX(FB96:FV96,1,MATCH("ROM Schedule Risk @ "&amp;'D-Project Data'!$C$6*100&amp;"%",$FB$17:$FV$17,0))))</f>
        <v>0</v>
      </c>
      <c r="FA96" s="335">
        <f>IF(EZ96="N/A","N/A",RANK(EZ96,$EZ$18:$EZ$117,0)+COUNTIF($FB$18:FB96,FB96)-1)</f>
        <v>79</v>
      </c>
      <c r="FB96" s="788">
        <f>IF(DH96/SUM(DH:DH)*'I-Project Contingency'!$F$86=0,0,DH96/SUM(DH:DH)*'I-Project Contingency'!$F$86)</f>
        <v>0</v>
      </c>
      <c r="FC96" s="788">
        <f>IF(DI96/SUM(DI:DI)*'I-Project Contingency'!$F$87=0,0,DI96/SUM(DI:DI)*'I-Project Contingency'!$F$87)</f>
        <v>0</v>
      </c>
      <c r="FD96" s="788">
        <f>IF(DJ96/SUM(DJ:DJ)*'I-Project Contingency'!$F$88=0,0,DJ96/SUM(DJ:DJ)*'I-Project Contingency'!$F$88)</f>
        <v>0</v>
      </c>
      <c r="FE96" s="788">
        <f>IF(DK96/SUM(DK:DK)*'I-Project Contingency'!$F$89=0,0,DK96/SUM(DK:DK)*'I-Project Contingency'!$F$89)</f>
        <v>0</v>
      </c>
      <c r="FF96" s="788">
        <f>IF(DL96/SUM(DL:DL)*'I-Project Contingency'!$F$90=0,0,DL96/SUM(DL:DL)*'I-Project Contingency'!$F$90)</f>
        <v>0</v>
      </c>
      <c r="FG96" s="788">
        <f>IF(DM96/SUM(DM:DM)*'I-Project Contingency'!$F$91=0,0,DM96/SUM(DM:DM)*'I-Project Contingency'!$F$91)</f>
        <v>0</v>
      </c>
      <c r="FH96" s="788">
        <f>IF(DN96/SUM(DN:DN)*'I-Project Contingency'!$F$92=0,0,DN96/SUM(DN:DN)*'I-Project Contingency'!$F$92)</f>
        <v>0</v>
      </c>
      <c r="FI96" s="788">
        <f>IF(DO96/SUM(DO:DO)*'I-Project Contingency'!$F$93=0,0,DO96/SUM(DO:DO)*'I-Project Contingency'!$F$93)</f>
        <v>0</v>
      </c>
      <c r="FJ96" s="788">
        <f>IF(DP96/SUM(DP:DP)*'I-Project Contingency'!$F$94=0,0,DP96/SUM(DP:DP)*'I-Project Contingency'!$F$94)</f>
        <v>0</v>
      </c>
      <c r="FK96" s="788">
        <f>IF(DQ96/SUM(DQ:DQ)*'I-Project Contingency'!$F$95=0,0,DQ96/SUM(DQ:DQ)*'I-Project Contingency'!$F$95)</f>
        <v>0</v>
      </c>
      <c r="FL96" s="788">
        <f>IF(DR96/SUM(DR:DR)*'I-Project Contingency'!$F$96=0,0,DR96/SUM(DR:DR)*'I-Project Contingency'!$F$96)</f>
        <v>0</v>
      </c>
      <c r="FM96" s="788">
        <f>IF(DS96/SUM(DS:DS)*'I-Project Contingency'!$F$97=0,0,DS96/SUM(DS:DS)*'I-Project Contingency'!$F$97)</f>
        <v>0</v>
      </c>
      <c r="FN96" s="788">
        <f>IF(DT96/SUM(DT:DT)*'I-Project Contingency'!$F$98=0,0,DT96/SUM(DT:DT)*'I-Project Contingency'!$F$98)</f>
        <v>0</v>
      </c>
      <c r="FO96" s="788">
        <f>IF(DU96/SUM(DU:DU)*'I-Project Contingency'!$F$99=0,0,DU96/SUM(DU:DU)*'I-Project Contingency'!$F$99)</f>
        <v>0</v>
      </c>
      <c r="FP96" s="788">
        <f>IF(DV96/SUM(DV:DV)*'I-Project Contingency'!$F$100=0,0,DV96/SUM(DV:DV)*'I-Project Contingency'!$F$100)</f>
        <v>0</v>
      </c>
      <c r="FQ96" s="788">
        <f>IF(DW96/SUM(DW:DW)*'I-Project Contingency'!$F$101=0,0,DW96/SUM(DW:DW)*'I-Project Contingency'!$F$101)</f>
        <v>0</v>
      </c>
      <c r="FR96" s="788">
        <f>IF(DX96/SUM(DX:DX)*'I-Project Contingency'!$F$102=0,0,DX96/SUM(DX:DX)*'I-Project Contingency'!$F$102)</f>
        <v>0</v>
      </c>
      <c r="FS96" s="788">
        <f>IF(DY96/SUM(DY:DY)*'I-Project Contingency'!$F$103=0,0,DY96/SUM(DY:DY)*'I-Project Contingency'!$F$103)</f>
        <v>0</v>
      </c>
      <c r="FT96" s="788">
        <f>IF(DZ96/SUM(DZ:DZ)*'I-Project Contingency'!$F$104=0,0,DZ96/SUM(DZ:DZ)*'I-Project Contingency'!$F$104)</f>
        <v>0</v>
      </c>
      <c r="FU96" s="788">
        <f>IF(EA96/SUM(EA:EA)*'I-Project Contingency'!$F$105=0,0,EA96/SUM(EA:EA)*'I-Project Contingency'!$F$105)</f>
        <v>0</v>
      </c>
      <c r="FV96" s="788">
        <f>IF(EB96/SUM(EB:EB)*'I-Project Contingency'!$F$106=0,0,EB96/SUM(EB:EB)*'I-Project Contingency'!$F$106)</f>
        <v>0</v>
      </c>
      <c r="FW96" s="335">
        <f t="shared" si="52"/>
        <v>79</v>
      </c>
      <c r="FX96" s="336" t="str">
        <f t="shared" si="53"/>
        <v xml:space="preserve">79 -  </v>
      </c>
      <c r="FY96" s="330">
        <f t="shared" si="43"/>
        <v>0</v>
      </c>
      <c r="FZ96" s="330">
        <f t="shared" si="44"/>
        <v>0</v>
      </c>
      <c r="GA96" s="332">
        <f t="shared" si="54"/>
        <v>0</v>
      </c>
      <c r="GB96" s="332">
        <f t="shared" si="55"/>
        <v>0</v>
      </c>
    </row>
    <row r="97" spans="1:184" ht="30" x14ac:dyDescent="0.25">
      <c r="A97" s="163">
        <f t="shared" si="23"/>
        <v>80</v>
      </c>
      <c r="B97" s="727" t="s">
        <v>728</v>
      </c>
      <c r="C97" s="729" t="s">
        <v>659</v>
      </c>
      <c r="D97" s="729" t="s">
        <v>659</v>
      </c>
      <c r="E97" s="729" t="s">
        <v>659</v>
      </c>
      <c r="F97" s="728" t="s">
        <v>728</v>
      </c>
      <c r="G97" s="728" t="s">
        <v>728</v>
      </c>
      <c r="H97" s="157" t="str">
        <f>IFERROR(IF('H-Risk Register-Model'!F97="Certain","Relook at Basis of Estimate",INDEX('G-Assumptions'!$F$8:$J$11,MATCH(F97,'G-Assumptions'!$D$8:$D$11,0),MATCH(G97,'G-Assumptions'!$F$6:$J$6,0))),"Unrated")</f>
        <v>Unrated</v>
      </c>
      <c r="I97" s="728" t="s">
        <v>728</v>
      </c>
      <c r="J97" s="157" t="str">
        <f>IFERROR(IF('H-Risk Register-Model'!F97="Certain","Relook at Basis of Estimate",INDEX('G-Assumptions'!$F$8:$J$11,MATCH(F97,'G-Assumptions'!$D$8:$D$11,0),MATCH(I97,'G-Assumptions'!$F$6:$J$6,0))),"Unrated")</f>
        <v>Unrated</v>
      </c>
      <c r="K97" s="728" t="s">
        <v>728</v>
      </c>
      <c r="L97" s="728" t="s">
        <v>728</v>
      </c>
      <c r="M97" s="728"/>
      <c r="N97" s="731" t="s">
        <v>728</v>
      </c>
      <c r="O97" s="731" t="s">
        <v>728</v>
      </c>
      <c r="P97" s="732"/>
      <c r="Q97" s="732"/>
      <c r="R97" s="732"/>
      <c r="S97" s="733"/>
      <c r="T97" s="733"/>
      <c r="U97" s="733"/>
      <c r="V97" s="734"/>
      <c r="W97" s="732"/>
      <c r="X97" s="732"/>
      <c r="Y97" s="735">
        <v>1</v>
      </c>
      <c r="Z97" s="736">
        <v>1</v>
      </c>
      <c r="AA97" s="166">
        <f t="shared" si="56"/>
        <v>0</v>
      </c>
      <c r="AB97" s="166">
        <f t="shared" si="57"/>
        <v>0</v>
      </c>
      <c r="AC97" s="166">
        <f t="shared" si="58"/>
        <v>0</v>
      </c>
      <c r="AD97" s="166"/>
      <c r="AE97" s="164">
        <f t="shared" si="41"/>
        <v>0</v>
      </c>
      <c r="AF97" s="167"/>
      <c r="AG97" s="165">
        <f t="shared" si="42"/>
        <v>0</v>
      </c>
      <c r="AH97" s="729"/>
      <c r="AI97" s="729"/>
      <c r="AJ97" s="8"/>
      <c r="AK97" s="495" t="str">
        <f t="shared" si="45"/>
        <v>No</v>
      </c>
      <c r="AL97" s="496">
        <f>'I-Project Contingency'!$I$4</f>
        <v>9000000</v>
      </c>
      <c r="AM97" s="326">
        <f>'I-Project Contingency'!$I$11</f>
        <v>23.978102189781023</v>
      </c>
      <c r="AN97" s="325">
        <f t="shared" si="46"/>
        <v>0</v>
      </c>
      <c r="AO97" s="326">
        <f t="shared" si="47"/>
        <v>0</v>
      </c>
      <c r="AP97" s="641" t="str">
        <f t="shared" si="48"/>
        <v/>
      </c>
      <c r="AQ97" s="641" t="str">
        <f t="shared" si="49"/>
        <v/>
      </c>
      <c r="AR97" s="497" t="str">
        <f t="shared" si="50"/>
        <v/>
      </c>
      <c r="AS97" s="497" t="str">
        <f t="shared" si="51"/>
        <v/>
      </c>
      <c r="AT97" s="8"/>
      <c r="AU97" s="329">
        <f>'I-Project Contingency'!$O$4-AE97</f>
        <v>0</v>
      </c>
      <c r="AV97" s="330">
        <v>-240515.59579276721</v>
      </c>
      <c r="AW97" s="330">
        <v>28172.931401335634</v>
      </c>
      <c r="AX97" s="330">
        <v>193478.84467429668</v>
      </c>
      <c r="AY97" s="330">
        <v>361668.20104834624</v>
      </c>
      <c r="AZ97" s="330">
        <v>524446.91524262261</v>
      </c>
      <c r="BA97" s="330">
        <v>704023.56387635041</v>
      </c>
      <c r="BB97" s="330">
        <v>886394.06956240814</v>
      </c>
      <c r="BC97" s="330">
        <v>1079363.7165157665</v>
      </c>
      <c r="BD97" s="330">
        <v>1280180.1532065615</v>
      </c>
      <c r="BE97" s="330">
        <v>1485323.8019108465</v>
      </c>
      <c r="BF97" s="330">
        <v>1703758.8827524669</v>
      </c>
      <c r="BG97" s="330">
        <v>1949523.4346483489</v>
      </c>
      <c r="BH97" s="330">
        <v>2177897.1603371189</v>
      </c>
      <c r="BI97" s="330">
        <v>2429374.4260425912</v>
      </c>
      <c r="BJ97" s="330">
        <v>2717092.7449284913</v>
      </c>
      <c r="BK97" s="330">
        <v>3010093.6968918457</v>
      </c>
      <c r="BL97" s="330">
        <v>3325414.5894657462</v>
      </c>
      <c r="BM97" s="330">
        <v>3690425.9159493577</v>
      </c>
      <c r="BN97" s="330">
        <v>4143935.1706127762</v>
      </c>
      <c r="BO97" s="330">
        <v>4722651.1159141911</v>
      </c>
      <c r="BP97" s="330">
        <v>5992048.8629153483</v>
      </c>
      <c r="BQ97" s="330">
        <f>'I-Project Contingency'!$E$61-AV97</f>
        <v>0</v>
      </c>
      <c r="BR97" s="330">
        <f>'I-Project Contingency'!$E$62-AW97</f>
        <v>0</v>
      </c>
      <c r="BS97" s="330">
        <f>'I-Project Contingency'!$E$63-AX97</f>
        <v>0</v>
      </c>
      <c r="BT97" s="330">
        <f>'I-Project Contingency'!$E$64-AY97</f>
        <v>0</v>
      </c>
      <c r="BU97" s="330">
        <f>'I-Project Contingency'!$E$65-AZ97</f>
        <v>0</v>
      </c>
      <c r="BV97" s="330">
        <f>'I-Project Contingency'!$E$66-BA97</f>
        <v>0</v>
      </c>
      <c r="BW97" s="330">
        <f>'I-Project Contingency'!$E$67-BB97</f>
        <v>0</v>
      </c>
      <c r="BX97" s="330">
        <f>'I-Project Contingency'!$E$68-BC97</f>
        <v>0</v>
      </c>
      <c r="BY97" s="330">
        <f>'I-Project Contingency'!$E$69-BD97</f>
        <v>0</v>
      </c>
      <c r="BZ97" s="330">
        <f>'I-Project Contingency'!$E$70-BE97</f>
        <v>0</v>
      </c>
      <c r="CA97" s="330">
        <f>'I-Project Contingency'!$E$71-BF97</f>
        <v>0</v>
      </c>
      <c r="CB97" s="330">
        <f>'I-Project Contingency'!$E$72-BG97</f>
        <v>0</v>
      </c>
      <c r="CC97" s="330">
        <f>'I-Project Contingency'!$E$73-BH97</f>
        <v>0</v>
      </c>
      <c r="CD97" s="330">
        <f>'I-Project Contingency'!$E$74-BI97</f>
        <v>0</v>
      </c>
      <c r="CE97" s="330">
        <f>'I-Project Contingency'!$E$75-BJ97</f>
        <v>0</v>
      </c>
      <c r="CF97" s="330">
        <f>'I-Project Contingency'!$E$76-BK97</f>
        <v>0</v>
      </c>
      <c r="CG97" s="330">
        <f>'I-Project Contingency'!$E$77-BL97</f>
        <v>0</v>
      </c>
      <c r="CH97" s="784">
        <f>'I-Project Contingency'!$E$78-BM97</f>
        <v>0</v>
      </c>
      <c r="CI97" s="330">
        <f>'I-Project Contingency'!$E$79-BN97</f>
        <v>0</v>
      </c>
      <c r="CJ97" s="330">
        <f>'I-Project Contingency'!$E$80-BO97</f>
        <v>0</v>
      </c>
      <c r="CK97" s="330">
        <f>'I-Project Contingency'!$E$81-BP97</f>
        <v>0</v>
      </c>
      <c r="CL97" s="331">
        <f>'I-Project Contingency'!$O$5-AG97</f>
        <v>0</v>
      </c>
      <c r="CM97" s="332">
        <v>-0.98711802853447173</v>
      </c>
      <c r="CN97" s="332">
        <v>-0.19547704728364468</v>
      </c>
      <c r="CO97" s="332">
        <v>0.126462150308498</v>
      </c>
      <c r="CP97" s="332">
        <v>0.45967989154545902</v>
      </c>
      <c r="CQ97" s="332">
        <v>0.78297319902744</v>
      </c>
      <c r="CR97" s="332">
        <v>1.0957191966482109</v>
      </c>
      <c r="CS97" s="332">
        <v>1.4418405003536849</v>
      </c>
      <c r="CT97" s="332">
        <v>1.801002404194165</v>
      </c>
      <c r="CU97" s="332">
        <v>2.1797608166947349</v>
      </c>
      <c r="CV97" s="332">
        <v>2.5671680610072478</v>
      </c>
      <c r="CW97" s="332">
        <v>2.9690760644797152</v>
      </c>
      <c r="CX97" s="332">
        <v>3.3964145469774811</v>
      </c>
      <c r="CY97" s="332">
        <v>3.864536087769562</v>
      </c>
      <c r="CZ97" s="332">
        <v>4.3569836138896116</v>
      </c>
      <c r="DA97" s="332">
        <v>4.8862357851222598</v>
      </c>
      <c r="DB97" s="332">
        <v>5.438836997347547</v>
      </c>
      <c r="DC97" s="332">
        <v>6.047993455908566</v>
      </c>
      <c r="DD97" s="785">
        <v>6.720204953601761</v>
      </c>
      <c r="DE97" s="333">
        <v>7.55131678090412</v>
      </c>
      <c r="DF97" s="332">
        <v>8.661446370835737</v>
      </c>
      <c r="DG97" s="332">
        <v>11.206316207857133</v>
      </c>
      <c r="DH97" s="332">
        <f>'I-Project Contingency'!$E$86-CM97</f>
        <v>0</v>
      </c>
      <c r="DI97" s="332">
        <f>'I-Project Contingency'!$E$87-CN97</f>
        <v>0</v>
      </c>
      <c r="DJ97" s="332">
        <f>'I-Project Contingency'!$E$88-CO97</f>
        <v>0</v>
      </c>
      <c r="DK97" s="332">
        <f>'I-Project Contingency'!$E$89-CP97</f>
        <v>0</v>
      </c>
      <c r="DL97" s="332">
        <f>'I-Project Contingency'!$E$90-CQ97</f>
        <v>0</v>
      </c>
      <c r="DM97" s="332">
        <f>'I-Project Contingency'!$E$91-CR97</f>
        <v>0</v>
      </c>
      <c r="DN97" s="332">
        <f>'I-Project Contingency'!$E$92-CS97</f>
        <v>0</v>
      </c>
      <c r="DO97" s="332">
        <f>'I-Project Contingency'!$E$93-CT97</f>
        <v>0</v>
      </c>
      <c r="DP97" s="332">
        <f>'I-Project Contingency'!$E$94-CU97</f>
        <v>0</v>
      </c>
      <c r="DQ97" s="332">
        <f>'I-Project Contingency'!$E$95-CV97</f>
        <v>0</v>
      </c>
      <c r="DR97" s="332">
        <f>'I-Project Contingency'!$E$96-CW97</f>
        <v>0</v>
      </c>
      <c r="DS97" s="332">
        <f>'I-Project Contingency'!$E$97-CX97</f>
        <v>0</v>
      </c>
      <c r="DT97" s="332">
        <f>'I-Project Contingency'!$E$98-CY97</f>
        <v>0</v>
      </c>
      <c r="DU97" s="332">
        <f>'I-Project Contingency'!$E$99-CZ97</f>
        <v>0</v>
      </c>
      <c r="DV97" s="332">
        <f>'I-Project Contingency'!$E$100-DA97</f>
        <v>0</v>
      </c>
      <c r="DW97" s="332">
        <f>'I-Project Contingency'!$E$101-DB97</f>
        <v>0</v>
      </c>
      <c r="DX97" s="332">
        <f>'I-Project Contingency'!$E$102-DC97</f>
        <v>0</v>
      </c>
      <c r="DY97" s="332">
        <f>'I-Project Contingency'!$E$103-DD97</f>
        <v>0</v>
      </c>
      <c r="DZ97" s="332">
        <f>'I-Project Contingency'!$E$104-DE97</f>
        <v>0</v>
      </c>
      <c r="EA97" s="332">
        <f>'I-Project Contingency'!$E$105-DF97</f>
        <v>0</v>
      </c>
      <c r="EB97" s="332">
        <f>'I-Project Contingency'!$E$106-DG97</f>
        <v>0</v>
      </c>
      <c r="EC97" s="334">
        <f>IF(EE97="N/A","N/A",ABS(INDEX(EE97:EY97,1,MATCH("ROM Cost Risk @ "&amp;'D-Project Data'!$C$6*100&amp;"%",$EE$17:$EY$17,0))))</f>
        <v>0</v>
      </c>
      <c r="ED97" s="335">
        <f>IF(EC97="N/A","N/A",RANK(EC97,$EC$18:$EC$117,0)+COUNTIF($EC$18:EC97,EC97)-1)</f>
        <v>80</v>
      </c>
      <c r="EE97" s="334">
        <f>IF(BQ97/SUM(BQ:BQ)*'I-Project Contingency'!$F$61=0,0,BQ97/SUM(BQ:BQ)*'I-Project Contingency'!$F$61)</f>
        <v>0</v>
      </c>
      <c r="EF97" s="334">
        <f>IF(BR97/SUM(BR:BR)*'I-Project Contingency'!$F$62=0,0,BR97/SUM(BR:BR)*'I-Project Contingency'!$F$62)</f>
        <v>0</v>
      </c>
      <c r="EG97" s="334">
        <f>IF(BS97/SUM(BS:BS)*'I-Project Contingency'!$F$63=0,0,BS97/SUM(BS:BS)*'I-Project Contingency'!$F$63)</f>
        <v>0</v>
      </c>
      <c r="EH97" s="334">
        <f>IF(BT97/SUM(BT:BT)*'I-Project Contingency'!$F$64=0,0,BT97/SUM(BT:BT)*'I-Project Contingency'!$F$64)</f>
        <v>0</v>
      </c>
      <c r="EI97" s="334">
        <f>IF(BU97/SUM(BU:BU)*'I-Project Contingency'!$F$65=0,0,BU97/SUM(BU:BU)*'I-Project Contingency'!$F$65)</f>
        <v>0</v>
      </c>
      <c r="EJ97" s="334">
        <f>IF(BV97/SUM(BV:BV)*'I-Project Contingency'!$F$66=0,0,BV97/SUM(BV:BV)*'I-Project Contingency'!$F$66)</f>
        <v>0</v>
      </c>
      <c r="EK97" s="334">
        <f>IF(BW97/SUM(BW:BW)*'I-Project Contingency'!$F$67=0,0,BW97/SUM(BW:BW)*'I-Project Contingency'!$F$67)</f>
        <v>0</v>
      </c>
      <c r="EL97" s="334">
        <f>IF(BX97/SUM(BX:BX)*'I-Project Contingency'!$F$68=0,0,BX97/SUM(BX:BX)*'I-Project Contingency'!$F$68)</f>
        <v>0</v>
      </c>
      <c r="EM97" s="334">
        <f>IF(BY97/SUM(BY:BY)*'I-Project Contingency'!$F$69=0,0,BY97/SUM(BY:BY)*'I-Project Contingency'!$F$69)</f>
        <v>0</v>
      </c>
      <c r="EN97" s="334">
        <f>IF(BZ97/SUM(BZ:BZ)*'I-Project Contingency'!$F$70=0,0,BZ97/SUM(BZ:BZ)*'I-Project Contingency'!$F$70)</f>
        <v>0</v>
      </c>
      <c r="EO97" s="334">
        <f>IF(CA97/SUM(CA:CA)*'I-Project Contingency'!$F$71=0,0,CA97/SUM(CA:CA)*'I-Project Contingency'!$F$71)</f>
        <v>0</v>
      </c>
      <c r="EP97" s="334">
        <f>IF(CB97/SUM(CB:CB)*'I-Project Contingency'!$F$72=0,0,CB97/SUM(CB:CB)*'I-Project Contingency'!$F$72)</f>
        <v>0</v>
      </c>
      <c r="EQ97" s="334">
        <f>IF(CC97/SUM(CC:CC)*'I-Project Contingency'!$F$73=0,0,CC97/SUM(CC:CC)*'I-Project Contingency'!$F$73)</f>
        <v>0</v>
      </c>
      <c r="ER97" s="334">
        <f>IF(CD97/SUM(CD:CD)*'I-Project Contingency'!$F$74=0,0,CD97/SUM(CD:CD)*'I-Project Contingency'!$F$74)</f>
        <v>0</v>
      </c>
      <c r="ES97" s="334">
        <f>IF(CE97/SUM(CE:CE)*'I-Project Contingency'!$F$75=0,0,CE97/SUM(CE:CE)*'I-Project Contingency'!$F$75)</f>
        <v>0</v>
      </c>
      <c r="ET97" s="334">
        <f>IF(CF97/SUM(CF:CF)*'I-Project Contingency'!$F$76=0,0,CF97/SUM(CF:CF)*'I-Project Contingency'!$F$76)</f>
        <v>0</v>
      </c>
      <c r="EU97" s="334">
        <f>IF(CG97/SUM(CG:CG)*'I-Project Contingency'!$F$77=0,0,CG97/SUM(CG:CG)*'I-Project Contingency'!$F$77)</f>
        <v>0</v>
      </c>
      <c r="EV97" s="787">
        <f>IF(CH97/SUM(CH:CH)*'I-Project Contingency'!$F$78=0,0,CH97/SUM(CH:CH)*'I-Project Contingency'!$F$78)</f>
        <v>0</v>
      </c>
      <c r="EW97" s="787">
        <f>IF(CI97/SUM(CI:CI)*'I-Project Contingency'!$F$79=0,0,CI97/SUM(CI:CI)*'I-Project Contingency'!$F$79)</f>
        <v>0</v>
      </c>
      <c r="EX97" s="787">
        <f>IF(CJ97/SUM(CJ:CJ)*'I-Project Contingency'!$F$80=0,0,CJ97/SUM(CJ:CJ)*'I-Project Contingency'!$F$80)</f>
        <v>0</v>
      </c>
      <c r="EY97" s="787">
        <f>IF(CK97/SUM(CK:CK)*'I-Project Contingency'!$F$81=0,0,CK97/SUM(CK:CK)*'I-Project Contingency'!$F$81)</f>
        <v>0</v>
      </c>
      <c r="EZ97" s="333">
        <f>IF(FB97="N/A","N/A",ABS(INDEX(FB97:FV97,1,MATCH("ROM Schedule Risk @ "&amp;'D-Project Data'!$C$6*100&amp;"%",$FB$17:$FV$17,0))))</f>
        <v>0</v>
      </c>
      <c r="FA97" s="335">
        <f>IF(EZ97="N/A","N/A",RANK(EZ97,$EZ$18:$EZ$117,0)+COUNTIF($FB$18:FB97,FB97)-1)</f>
        <v>80</v>
      </c>
      <c r="FB97" s="788">
        <f>IF(DH97/SUM(DH:DH)*'I-Project Contingency'!$F$86=0,0,DH97/SUM(DH:DH)*'I-Project Contingency'!$F$86)</f>
        <v>0</v>
      </c>
      <c r="FC97" s="788">
        <f>IF(DI97/SUM(DI:DI)*'I-Project Contingency'!$F$87=0,0,DI97/SUM(DI:DI)*'I-Project Contingency'!$F$87)</f>
        <v>0</v>
      </c>
      <c r="FD97" s="788">
        <f>IF(DJ97/SUM(DJ:DJ)*'I-Project Contingency'!$F$88=0,0,DJ97/SUM(DJ:DJ)*'I-Project Contingency'!$F$88)</f>
        <v>0</v>
      </c>
      <c r="FE97" s="788">
        <f>IF(DK97/SUM(DK:DK)*'I-Project Contingency'!$F$89=0,0,DK97/SUM(DK:DK)*'I-Project Contingency'!$F$89)</f>
        <v>0</v>
      </c>
      <c r="FF97" s="788">
        <f>IF(DL97/SUM(DL:DL)*'I-Project Contingency'!$F$90=0,0,DL97/SUM(DL:DL)*'I-Project Contingency'!$F$90)</f>
        <v>0</v>
      </c>
      <c r="FG97" s="788">
        <f>IF(DM97/SUM(DM:DM)*'I-Project Contingency'!$F$91=0,0,DM97/SUM(DM:DM)*'I-Project Contingency'!$F$91)</f>
        <v>0</v>
      </c>
      <c r="FH97" s="788">
        <f>IF(DN97/SUM(DN:DN)*'I-Project Contingency'!$F$92=0,0,DN97/SUM(DN:DN)*'I-Project Contingency'!$F$92)</f>
        <v>0</v>
      </c>
      <c r="FI97" s="788">
        <f>IF(DO97/SUM(DO:DO)*'I-Project Contingency'!$F$93=0,0,DO97/SUM(DO:DO)*'I-Project Contingency'!$F$93)</f>
        <v>0</v>
      </c>
      <c r="FJ97" s="788">
        <f>IF(DP97/SUM(DP:DP)*'I-Project Contingency'!$F$94=0,0,DP97/SUM(DP:DP)*'I-Project Contingency'!$F$94)</f>
        <v>0</v>
      </c>
      <c r="FK97" s="788">
        <f>IF(DQ97/SUM(DQ:DQ)*'I-Project Contingency'!$F$95=0,0,DQ97/SUM(DQ:DQ)*'I-Project Contingency'!$F$95)</f>
        <v>0</v>
      </c>
      <c r="FL97" s="788">
        <f>IF(DR97/SUM(DR:DR)*'I-Project Contingency'!$F$96=0,0,DR97/SUM(DR:DR)*'I-Project Contingency'!$F$96)</f>
        <v>0</v>
      </c>
      <c r="FM97" s="788">
        <f>IF(DS97/SUM(DS:DS)*'I-Project Contingency'!$F$97=0,0,DS97/SUM(DS:DS)*'I-Project Contingency'!$F$97)</f>
        <v>0</v>
      </c>
      <c r="FN97" s="788">
        <f>IF(DT97/SUM(DT:DT)*'I-Project Contingency'!$F$98=0,0,DT97/SUM(DT:DT)*'I-Project Contingency'!$F$98)</f>
        <v>0</v>
      </c>
      <c r="FO97" s="788">
        <f>IF(DU97/SUM(DU:DU)*'I-Project Contingency'!$F$99=0,0,DU97/SUM(DU:DU)*'I-Project Contingency'!$F$99)</f>
        <v>0</v>
      </c>
      <c r="FP97" s="788">
        <f>IF(DV97/SUM(DV:DV)*'I-Project Contingency'!$F$100=0,0,DV97/SUM(DV:DV)*'I-Project Contingency'!$F$100)</f>
        <v>0</v>
      </c>
      <c r="FQ97" s="788">
        <f>IF(DW97/SUM(DW:DW)*'I-Project Contingency'!$F$101=0,0,DW97/SUM(DW:DW)*'I-Project Contingency'!$F$101)</f>
        <v>0</v>
      </c>
      <c r="FR97" s="788">
        <f>IF(DX97/SUM(DX:DX)*'I-Project Contingency'!$F$102=0,0,DX97/SUM(DX:DX)*'I-Project Contingency'!$F$102)</f>
        <v>0</v>
      </c>
      <c r="FS97" s="788">
        <f>IF(DY97/SUM(DY:DY)*'I-Project Contingency'!$F$103=0,0,DY97/SUM(DY:DY)*'I-Project Contingency'!$F$103)</f>
        <v>0</v>
      </c>
      <c r="FT97" s="788">
        <f>IF(DZ97/SUM(DZ:DZ)*'I-Project Contingency'!$F$104=0,0,DZ97/SUM(DZ:DZ)*'I-Project Contingency'!$F$104)</f>
        <v>0</v>
      </c>
      <c r="FU97" s="788">
        <f>IF(EA97/SUM(EA:EA)*'I-Project Contingency'!$F$105=0,0,EA97/SUM(EA:EA)*'I-Project Contingency'!$F$105)</f>
        <v>0</v>
      </c>
      <c r="FV97" s="788">
        <f>IF(EB97/SUM(EB:EB)*'I-Project Contingency'!$F$106=0,0,EB97/SUM(EB:EB)*'I-Project Contingency'!$F$106)</f>
        <v>0</v>
      </c>
      <c r="FW97" s="335">
        <f t="shared" si="52"/>
        <v>80</v>
      </c>
      <c r="FX97" s="336" t="str">
        <f t="shared" si="53"/>
        <v xml:space="preserve">80 -  </v>
      </c>
      <c r="FY97" s="330">
        <f t="shared" si="43"/>
        <v>0</v>
      </c>
      <c r="FZ97" s="330">
        <f t="shared" si="44"/>
        <v>0</v>
      </c>
      <c r="GA97" s="332">
        <f t="shared" si="54"/>
        <v>0</v>
      </c>
      <c r="GB97" s="332">
        <f t="shared" si="55"/>
        <v>0</v>
      </c>
    </row>
    <row r="98" spans="1:184" ht="30" x14ac:dyDescent="0.25">
      <c r="A98" s="163">
        <f t="shared" si="23"/>
        <v>81</v>
      </c>
      <c r="B98" s="727" t="s">
        <v>728</v>
      </c>
      <c r="C98" s="729" t="s">
        <v>659</v>
      </c>
      <c r="D98" s="729" t="s">
        <v>659</v>
      </c>
      <c r="E98" s="729" t="s">
        <v>659</v>
      </c>
      <c r="F98" s="728" t="s">
        <v>728</v>
      </c>
      <c r="G98" s="728" t="s">
        <v>728</v>
      </c>
      <c r="H98" s="157" t="str">
        <f>IFERROR(IF('H-Risk Register-Model'!F98="Certain","Relook at Basis of Estimate",INDEX('G-Assumptions'!$F$8:$J$11,MATCH(F98,'G-Assumptions'!$D$8:$D$11,0),MATCH(G98,'G-Assumptions'!$F$6:$J$6,0))),"Unrated")</f>
        <v>Unrated</v>
      </c>
      <c r="I98" s="728" t="s">
        <v>728</v>
      </c>
      <c r="J98" s="157" t="str">
        <f>IFERROR(IF('H-Risk Register-Model'!F98="Certain","Relook at Basis of Estimate",INDEX('G-Assumptions'!$F$8:$J$11,MATCH(F98,'G-Assumptions'!$D$8:$D$11,0),MATCH(I98,'G-Assumptions'!$F$6:$J$6,0))),"Unrated")</f>
        <v>Unrated</v>
      </c>
      <c r="K98" s="728" t="s">
        <v>728</v>
      </c>
      <c r="L98" s="728" t="s">
        <v>728</v>
      </c>
      <c r="M98" s="728"/>
      <c r="N98" s="731" t="s">
        <v>728</v>
      </c>
      <c r="O98" s="731" t="s">
        <v>728</v>
      </c>
      <c r="P98" s="732"/>
      <c r="Q98" s="732"/>
      <c r="R98" s="732"/>
      <c r="S98" s="733"/>
      <c r="T98" s="733"/>
      <c r="U98" s="733"/>
      <c r="V98" s="734"/>
      <c r="W98" s="732"/>
      <c r="X98" s="732"/>
      <c r="Y98" s="735">
        <v>1</v>
      </c>
      <c r="Z98" s="736">
        <v>1</v>
      </c>
      <c r="AA98" s="166">
        <f t="shared" si="56"/>
        <v>0</v>
      </c>
      <c r="AB98" s="166">
        <f t="shared" si="57"/>
        <v>0</v>
      </c>
      <c r="AC98" s="166">
        <f t="shared" si="58"/>
        <v>0</v>
      </c>
      <c r="AD98" s="166"/>
      <c r="AE98" s="164">
        <f t="shared" si="41"/>
        <v>0</v>
      </c>
      <c r="AF98" s="167"/>
      <c r="AG98" s="165">
        <f t="shared" si="42"/>
        <v>0</v>
      </c>
      <c r="AH98" s="729"/>
      <c r="AI98" s="729"/>
      <c r="AJ98" s="8"/>
      <c r="AK98" s="495" t="str">
        <f t="shared" si="45"/>
        <v>No</v>
      </c>
      <c r="AL98" s="496">
        <f>'I-Project Contingency'!$I$4</f>
        <v>9000000</v>
      </c>
      <c r="AM98" s="326">
        <f>'I-Project Contingency'!$I$11</f>
        <v>23.978102189781023</v>
      </c>
      <c r="AN98" s="325">
        <f t="shared" si="46"/>
        <v>0</v>
      </c>
      <c r="AO98" s="326">
        <f t="shared" si="47"/>
        <v>0</v>
      </c>
      <c r="AP98" s="641" t="str">
        <f t="shared" si="48"/>
        <v/>
      </c>
      <c r="AQ98" s="641" t="str">
        <f t="shared" si="49"/>
        <v/>
      </c>
      <c r="AR98" s="497" t="str">
        <f t="shared" si="50"/>
        <v/>
      </c>
      <c r="AS98" s="497" t="str">
        <f t="shared" si="51"/>
        <v/>
      </c>
      <c r="AT98" s="8"/>
      <c r="AU98" s="329">
        <f>'I-Project Contingency'!$O$4-AE98</f>
        <v>0</v>
      </c>
      <c r="AV98" s="330">
        <v>-240515.59579276721</v>
      </c>
      <c r="AW98" s="330">
        <v>28172.931401335634</v>
      </c>
      <c r="AX98" s="330">
        <v>193478.84467429668</v>
      </c>
      <c r="AY98" s="330">
        <v>361668.20104834624</v>
      </c>
      <c r="AZ98" s="330">
        <v>524446.91524262261</v>
      </c>
      <c r="BA98" s="330">
        <v>704023.56387635041</v>
      </c>
      <c r="BB98" s="330">
        <v>886394.06956240814</v>
      </c>
      <c r="BC98" s="330">
        <v>1079363.7165157665</v>
      </c>
      <c r="BD98" s="330">
        <v>1280180.1532065615</v>
      </c>
      <c r="BE98" s="330">
        <v>1485323.8019108465</v>
      </c>
      <c r="BF98" s="330">
        <v>1703758.8827524669</v>
      </c>
      <c r="BG98" s="330">
        <v>1949523.4346483489</v>
      </c>
      <c r="BH98" s="330">
        <v>2177897.1603371189</v>
      </c>
      <c r="BI98" s="330">
        <v>2429374.4260425912</v>
      </c>
      <c r="BJ98" s="330">
        <v>2717092.7449284913</v>
      </c>
      <c r="BK98" s="330">
        <v>3010093.6968918457</v>
      </c>
      <c r="BL98" s="330">
        <v>3325414.5894657462</v>
      </c>
      <c r="BM98" s="330">
        <v>3690425.9159493577</v>
      </c>
      <c r="BN98" s="330">
        <v>4143935.1706127762</v>
      </c>
      <c r="BO98" s="330">
        <v>4722651.1159141911</v>
      </c>
      <c r="BP98" s="330">
        <v>5992048.8629153483</v>
      </c>
      <c r="BQ98" s="330">
        <f>'I-Project Contingency'!$E$61-AV98</f>
        <v>0</v>
      </c>
      <c r="BR98" s="330">
        <f>'I-Project Contingency'!$E$62-AW98</f>
        <v>0</v>
      </c>
      <c r="BS98" s="330">
        <f>'I-Project Contingency'!$E$63-AX98</f>
        <v>0</v>
      </c>
      <c r="BT98" s="330">
        <f>'I-Project Contingency'!$E$64-AY98</f>
        <v>0</v>
      </c>
      <c r="BU98" s="330">
        <f>'I-Project Contingency'!$E$65-AZ98</f>
        <v>0</v>
      </c>
      <c r="BV98" s="330">
        <f>'I-Project Contingency'!$E$66-BA98</f>
        <v>0</v>
      </c>
      <c r="BW98" s="330">
        <f>'I-Project Contingency'!$E$67-BB98</f>
        <v>0</v>
      </c>
      <c r="BX98" s="330">
        <f>'I-Project Contingency'!$E$68-BC98</f>
        <v>0</v>
      </c>
      <c r="BY98" s="330">
        <f>'I-Project Contingency'!$E$69-BD98</f>
        <v>0</v>
      </c>
      <c r="BZ98" s="330">
        <f>'I-Project Contingency'!$E$70-BE98</f>
        <v>0</v>
      </c>
      <c r="CA98" s="330">
        <f>'I-Project Contingency'!$E$71-BF98</f>
        <v>0</v>
      </c>
      <c r="CB98" s="330">
        <f>'I-Project Contingency'!$E$72-BG98</f>
        <v>0</v>
      </c>
      <c r="CC98" s="330">
        <f>'I-Project Contingency'!$E$73-BH98</f>
        <v>0</v>
      </c>
      <c r="CD98" s="330">
        <f>'I-Project Contingency'!$E$74-BI98</f>
        <v>0</v>
      </c>
      <c r="CE98" s="330">
        <f>'I-Project Contingency'!$E$75-BJ98</f>
        <v>0</v>
      </c>
      <c r="CF98" s="330">
        <f>'I-Project Contingency'!$E$76-BK98</f>
        <v>0</v>
      </c>
      <c r="CG98" s="330">
        <f>'I-Project Contingency'!$E$77-BL98</f>
        <v>0</v>
      </c>
      <c r="CH98" s="784">
        <f>'I-Project Contingency'!$E$78-BM98</f>
        <v>0</v>
      </c>
      <c r="CI98" s="330">
        <f>'I-Project Contingency'!$E$79-BN98</f>
        <v>0</v>
      </c>
      <c r="CJ98" s="330">
        <f>'I-Project Contingency'!$E$80-BO98</f>
        <v>0</v>
      </c>
      <c r="CK98" s="330">
        <f>'I-Project Contingency'!$E$81-BP98</f>
        <v>0</v>
      </c>
      <c r="CL98" s="331">
        <f>'I-Project Contingency'!$O$5-AG98</f>
        <v>0</v>
      </c>
      <c r="CM98" s="332">
        <v>-0.98711802853447173</v>
      </c>
      <c r="CN98" s="332">
        <v>-0.19547704728364468</v>
      </c>
      <c r="CO98" s="332">
        <v>0.126462150308498</v>
      </c>
      <c r="CP98" s="332">
        <v>0.45967989154545902</v>
      </c>
      <c r="CQ98" s="332">
        <v>0.78297319902744</v>
      </c>
      <c r="CR98" s="332">
        <v>1.0957191966482109</v>
      </c>
      <c r="CS98" s="332">
        <v>1.4418405003536849</v>
      </c>
      <c r="CT98" s="332">
        <v>1.801002404194165</v>
      </c>
      <c r="CU98" s="332">
        <v>2.1797608166947349</v>
      </c>
      <c r="CV98" s="332">
        <v>2.5671680610072478</v>
      </c>
      <c r="CW98" s="332">
        <v>2.9690760644797152</v>
      </c>
      <c r="CX98" s="332">
        <v>3.3964145469774811</v>
      </c>
      <c r="CY98" s="332">
        <v>3.864536087769562</v>
      </c>
      <c r="CZ98" s="332">
        <v>4.3569836138896116</v>
      </c>
      <c r="DA98" s="332">
        <v>4.8862357851222598</v>
      </c>
      <c r="DB98" s="332">
        <v>5.438836997347547</v>
      </c>
      <c r="DC98" s="332">
        <v>6.047993455908566</v>
      </c>
      <c r="DD98" s="785">
        <v>6.720204953601761</v>
      </c>
      <c r="DE98" s="333">
        <v>7.55131678090412</v>
      </c>
      <c r="DF98" s="332">
        <v>8.661446370835737</v>
      </c>
      <c r="DG98" s="332">
        <v>11.206316207857133</v>
      </c>
      <c r="DH98" s="332">
        <f>'I-Project Contingency'!$E$86-CM98</f>
        <v>0</v>
      </c>
      <c r="DI98" s="332">
        <f>'I-Project Contingency'!$E$87-CN98</f>
        <v>0</v>
      </c>
      <c r="DJ98" s="332">
        <f>'I-Project Contingency'!$E$88-CO98</f>
        <v>0</v>
      </c>
      <c r="DK98" s="332">
        <f>'I-Project Contingency'!$E$89-CP98</f>
        <v>0</v>
      </c>
      <c r="DL98" s="332">
        <f>'I-Project Contingency'!$E$90-CQ98</f>
        <v>0</v>
      </c>
      <c r="DM98" s="332">
        <f>'I-Project Contingency'!$E$91-CR98</f>
        <v>0</v>
      </c>
      <c r="DN98" s="332">
        <f>'I-Project Contingency'!$E$92-CS98</f>
        <v>0</v>
      </c>
      <c r="DO98" s="332">
        <f>'I-Project Contingency'!$E$93-CT98</f>
        <v>0</v>
      </c>
      <c r="DP98" s="332">
        <f>'I-Project Contingency'!$E$94-CU98</f>
        <v>0</v>
      </c>
      <c r="DQ98" s="332">
        <f>'I-Project Contingency'!$E$95-CV98</f>
        <v>0</v>
      </c>
      <c r="DR98" s="332">
        <f>'I-Project Contingency'!$E$96-CW98</f>
        <v>0</v>
      </c>
      <c r="DS98" s="332">
        <f>'I-Project Contingency'!$E$97-CX98</f>
        <v>0</v>
      </c>
      <c r="DT98" s="332">
        <f>'I-Project Contingency'!$E$98-CY98</f>
        <v>0</v>
      </c>
      <c r="DU98" s="332">
        <f>'I-Project Contingency'!$E$99-CZ98</f>
        <v>0</v>
      </c>
      <c r="DV98" s="332">
        <f>'I-Project Contingency'!$E$100-DA98</f>
        <v>0</v>
      </c>
      <c r="DW98" s="332">
        <f>'I-Project Contingency'!$E$101-DB98</f>
        <v>0</v>
      </c>
      <c r="DX98" s="332">
        <f>'I-Project Contingency'!$E$102-DC98</f>
        <v>0</v>
      </c>
      <c r="DY98" s="332">
        <f>'I-Project Contingency'!$E$103-DD98</f>
        <v>0</v>
      </c>
      <c r="DZ98" s="332">
        <f>'I-Project Contingency'!$E$104-DE98</f>
        <v>0</v>
      </c>
      <c r="EA98" s="332">
        <f>'I-Project Contingency'!$E$105-DF98</f>
        <v>0</v>
      </c>
      <c r="EB98" s="332">
        <f>'I-Project Contingency'!$E$106-DG98</f>
        <v>0</v>
      </c>
      <c r="EC98" s="334">
        <f>IF(EE98="N/A","N/A",ABS(INDEX(EE98:EY98,1,MATCH("ROM Cost Risk @ "&amp;'D-Project Data'!$C$6*100&amp;"%",$EE$17:$EY$17,0))))</f>
        <v>0</v>
      </c>
      <c r="ED98" s="335">
        <f>IF(EC98="N/A","N/A",RANK(EC98,$EC$18:$EC$117,0)+COUNTIF($EC$18:EC98,EC98)-1)</f>
        <v>81</v>
      </c>
      <c r="EE98" s="334">
        <f>IF(BQ98/SUM(BQ:BQ)*'I-Project Contingency'!$F$61=0,0,BQ98/SUM(BQ:BQ)*'I-Project Contingency'!$F$61)</f>
        <v>0</v>
      </c>
      <c r="EF98" s="334">
        <f>IF(BR98/SUM(BR:BR)*'I-Project Contingency'!$F$62=0,0,BR98/SUM(BR:BR)*'I-Project Contingency'!$F$62)</f>
        <v>0</v>
      </c>
      <c r="EG98" s="334">
        <f>IF(BS98/SUM(BS:BS)*'I-Project Contingency'!$F$63=0,0,BS98/SUM(BS:BS)*'I-Project Contingency'!$F$63)</f>
        <v>0</v>
      </c>
      <c r="EH98" s="334">
        <f>IF(BT98/SUM(BT:BT)*'I-Project Contingency'!$F$64=0,0,BT98/SUM(BT:BT)*'I-Project Contingency'!$F$64)</f>
        <v>0</v>
      </c>
      <c r="EI98" s="334">
        <f>IF(BU98/SUM(BU:BU)*'I-Project Contingency'!$F$65=0,0,BU98/SUM(BU:BU)*'I-Project Contingency'!$F$65)</f>
        <v>0</v>
      </c>
      <c r="EJ98" s="334">
        <f>IF(BV98/SUM(BV:BV)*'I-Project Contingency'!$F$66=0,0,BV98/SUM(BV:BV)*'I-Project Contingency'!$F$66)</f>
        <v>0</v>
      </c>
      <c r="EK98" s="334">
        <f>IF(BW98/SUM(BW:BW)*'I-Project Contingency'!$F$67=0,0,BW98/SUM(BW:BW)*'I-Project Contingency'!$F$67)</f>
        <v>0</v>
      </c>
      <c r="EL98" s="334">
        <f>IF(BX98/SUM(BX:BX)*'I-Project Contingency'!$F$68=0,0,BX98/SUM(BX:BX)*'I-Project Contingency'!$F$68)</f>
        <v>0</v>
      </c>
      <c r="EM98" s="334">
        <f>IF(BY98/SUM(BY:BY)*'I-Project Contingency'!$F$69=0,0,BY98/SUM(BY:BY)*'I-Project Contingency'!$F$69)</f>
        <v>0</v>
      </c>
      <c r="EN98" s="334">
        <f>IF(BZ98/SUM(BZ:BZ)*'I-Project Contingency'!$F$70=0,0,BZ98/SUM(BZ:BZ)*'I-Project Contingency'!$F$70)</f>
        <v>0</v>
      </c>
      <c r="EO98" s="334">
        <f>IF(CA98/SUM(CA:CA)*'I-Project Contingency'!$F$71=0,0,CA98/SUM(CA:CA)*'I-Project Contingency'!$F$71)</f>
        <v>0</v>
      </c>
      <c r="EP98" s="334">
        <f>IF(CB98/SUM(CB:CB)*'I-Project Contingency'!$F$72=0,0,CB98/SUM(CB:CB)*'I-Project Contingency'!$F$72)</f>
        <v>0</v>
      </c>
      <c r="EQ98" s="334">
        <f>IF(CC98/SUM(CC:CC)*'I-Project Contingency'!$F$73=0,0,CC98/SUM(CC:CC)*'I-Project Contingency'!$F$73)</f>
        <v>0</v>
      </c>
      <c r="ER98" s="334">
        <f>IF(CD98/SUM(CD:CD)*'I-Project Contingency'!$F$74=0,0,CD98/SUM(CD:CD)*'I-Project Contingency'!$F$74)</f>
        <v>0</v>
      </c>
      <c r="ES98" s="334">
        <f>IF(CE98/SUM(CE:CE)*'I-Project Contingency'!$F$75=0,0,CE98/SUM(CE:CE)*'I-Project Contingency'!$F$75)</f>
        <v>0</v>
      </c>
      <c r="ET98" s="334">
        <f>IF(CF98/SUM(CF:CF)*'I-Project Contingency'!$F$76=0,0,CF98/SUM(CF:CF)*'I-Project Contingency'!$F$76)</f>
        <v>0</v>
      </c>
      <c r="EU98" s="334">
        <f>IF(CG98/SUM(CG:CG)*'I-Project Contingency'!$F$77=0,0,CG98/SUM(CG:CG)*'I-Project Contingency'!$F$77)</f>
        <v>0</v>
      </c>
      <c r="EV98" s="787">
        <f>IF(CH98/SUM(CH:CH)*'I-Project Contingency'!$F$78=0,0,CH98/SUM(CH:CH)*'I-Project Contingency'!$F$78)</f>
        <v>0</v>
      </c>
      <c r="EW98" s="787">
        <f>IF(CI98/SUM(CI:CI)*'I-Project Contingency'!$F$79=0,0,CI98/SUM(CI:CI)*'I-Project Contingency'!$F$79)</f>
        <v>0</v>
      </c>
      <c r="EX98" s="787">
        <f>IF(CJ98/SUM(CJ:CJ)*'I-Project Contingency'!$F$80=0,0,CJ98/SUM(CJ:CJ)*'I-Project Contingency'!$F$80)</f>
        <v>0</v>
      </c>
      <c r="EY98" s="787">
        <f>IF(CK98/SUM(CK:CK)*'I-Project Contingency'!$F$81=0,0,CK98/SUM(CK:CK)*'I-Project Contingency'!$F$81)</f>
        <v>0</v>
      </c>
      <c r="EZ98" s="333">
        <f>IF(FB98="N/A","N/A",ABS(INDEX(FB98:FV98,1,MATCH("ROM Schedule Risk @ "&amp;'D-Project Data'!$C$6*100&amp;"%",$FB$17:$FV$17,0))))</f>
        <v>0</v>
      </c>
      <c r="FA98" s="335">
        <f>IF(EZ98="N/A","N/A",RANK(EZ98,$EZ$18:$EZ$117,0)+COUNTIF($FB$18:FB98,FB98)-1)</f>
        <v>81</v>
      </c>
      <c r="FB98" s="788">
        <f>IF(DH98/SUM(DH:DH)*'I-Project Contingency'!$F$86=0,0,DH98/SUM(DH:DH)*'I-Project Contingency'!$F$86)</f>
        <v>0</v>
      </c>
      <c r="FC98" s="788">
        <f>IF(DI98/SUM(DI:DI)*'I-Project Contingency'!$F$87=0,0,DI98/SUM(DI:DI)*'I-Project Contingency'!$F$87)</f>
        <v>0</v>
      </c>
      <c r="FD98" s="788">
        <f>IF(DJ98/SUM(DJ:DJ)*'I-Project Contingency'!$F$88=0,0,DJ98/SUM(DJ:DJ)*'I-Project Contingency'!$F$88)</f>
        <v>0</v>
      </c>
      <c r="FE98" s="788">
        <f>IF(DK98/SUM(DK:DK)*'I-Project Contingency'!$F$89=0,0,DK98/SUM(DK:DK)*'I-Project Contingency'!$F$89)</f>
        <v>0</v>
      </c>
      <c r="FF98" s="788">
        <f>IF(DL98/SUM(DL:DL)*'I-Project Contingency'!$F$90=0,0,DL98/SUM(DL:DL)*'I-Project Contingency'!$F$90)</f>
        <v>0</v>
      </c>
      <c r="FG98" s="788">
        <f>IF(DM98/SUM(DM:DM)*'I-Project Contingency'!$F$91=0,0,DM98/SUM(DM:DM)*'I-Project Contingency'!$F$91)</f>
        <v>0</v>
      </c>
      <c r="FH98" s="788">
        <f>IF(DN98/SUM(DN:DN)*'I-Project Contingency'!$F$92=0,0,DN98/SUM(DN:DN)*'I-Project Contingency'!$F$92)</f>
        <v>0</v>
      </c>
      <c r="FI98" s="788">
        <f>IF(DO98/SUM(DO:DO)*'I-Project Contingency'!$F$93=0,0,DO98/SUM(DO:DO)*'I-Project Contingency'!$F$93)</f>
        <v>0</v>
      </c>
      <c r="FJ98" s="788">
        <f>IF(DP98/SUM(DP:DP)*'I-Project Contingency'!$F$94=0,0,DP98/SUM(DP:DP)*'I-Project Contingency'!$F$94)</f>
        <v>0</v>
      </c>
      <c r="FK98" s="788">
        <f>IF(DQ98/SUM(DQ:DQ)*'I-Project Contingency'!$F$95=0,0,DQ98/SUM(DQ:DQ)*'I-Project Contingency'!$F$95)</f>
        <v>0</v>
      </c>
      <c r="FL98" s="788">
        <f>IF(DR98/SUM(DR:DR)*'I-Project Contingency'!$F$96=0,0,DR98/SUM(DR:DR)*'I-Project Contingency'!$F$96)</f>
        <v>0</v>
      </c>
      <c r="FM98" s="788">
        <f>IF(DS98/SUM(DS:DS)*'I-Project Contingency'!$F$97=0,0,DS98/SUM(DS:DS)*'I-Project Contingency'!$F$97)</f>
        <v>0</v>
      </c>
      <c r="FN98" s="788">
        <f>IF(DT98/SUM(DT:DT)*'I-Project Contingency'!$F$98=0,0,DT98/SUM(DT:DT)*'I-Project Contingency'!$F$98)</f>
        <v>0</v>
      </c>
      <c r="FO98" s="788">
        <f>IF(DU98/SUM(DU:DU)*'I-Project Contingency'!$F$99=0,0,DU98/SUM(DU:DU)*'I-Project Contingency'!$F$99)</f>
        <v>0</v>
      </c>
      <c r="FP98" s="788">
        <f>IF(DV98/SUM(DV:DV)*'I-Project Contingency'!$F$100=0,0,DV98/SUM(DV:DV)*'I-Project Contingency'!$F$100)</f>
        <v>0</v>
      </c>
      <c r="FQ98" s="788">
        <f>IF(DW98/SUM(DW:DW)*'I-Project Contingency'!$F$101=0,0,DW98/SUM(DW:DW)*'I-Project Contingency'!$F$101)</f>
        <v>0</v>
      </c>
      <c r="FR98" s="788">
        <f>IF(DX98/SUM(DX:DX)*'I-Project Contingency'!$F$102=0,0,DX98/SUM(DX:DX)*'I-Project Contingency'!$F$102)</f>
        <v>0</v>
      </c>
      <c r="FS98" s="788">
        <f>IF(DY98/SUM(DY:DY)*'I-Project Contingency'!$F$103=0,0,DY98/SUM(DY:DY)*'I-Project Contingency'!$F$103)</f>
        <v>0</v>
      </c>
      <c r="FT98" s="788">
        <f>IF(DZ98/SUM(DZ:DZ)*'I-Project Contingency'!$F$104=0,0,DZ98/SUM(DZ:DZ)*'I-Project Contingency'!$F$104)</f>
        <v>0</v>
      </c>
      <c r="FU98" s="788">
        <f>IF(EA98/SUM(EA:EA)*'I-Project Contingency'!$F$105=0,0,EA98/SUM(EA:EA)*'I-Project Contingency'!$F$105)</f>
        <v>0</v>
      </c>
      <c r="FV98" s="788">
        <f>IF(EB98/SUM(EB:EB)*'I-Project Contingency'!$F$106=0,0,EB98/SUM(EB:EB)*'I-Project Contingency'!$F$106)</f>
        <v>0</v>
      </c>
      <c r="FW98" s="335">
        <f t="shared" si="52"/>
        <v>81</v>
      </c>
      <c r="FX98" s="336" t="str">
        <f t="shared" si="53"/>
        <v xml:space="preserve">81 -  </v>
      </c>
      <c r="FY98" s="330">
        <f t="shared" si="43"/>
        <v>0</v>
      </c>
      <c r="FZ98" s="330">
        <f t="shared" si="44"/>
        <v>0</v>
      </c>
      <c r="GA98" s="332">
        <f t="shared" si="54"/>
        <v>0</v>
      </c>
      <c r="GB98" s="332">
        <f t="shared" si="55"/>
        <v>0</v>
      </c>
    </row>
    <row r="99" spans="1:184" ht="30" x14ac:dyDescent="0.25">
      <c r="A99" s="163">
        <f t="shared" si="23"/>
        <v>82</v>
      </c>
      <c r="B99" s="727" t="s">
        <v>728</v>
      </c>
      <c r="C99" s="729" t="s">
        <v>659</v>
      </c>
      <c r="D99" s="729" t="s">
        <v>659</v>
      </c>
      <c r="E99" s="729" t="s">
        <v>659</v>
      </c>
      <c r="F99" s="728" t="s">
        <v>728</v>
      </c>
      <c r="G99" s="728" t="s">
        <v>728</v>
      </c>
      <c r="H99" s="157" t="str">
        <f>IFERROR(IF('H-Risk Register-Model'!F99="Certain","Relook at Basis of Estimate",INDEX('G-Assumptions'!$F$8:$J$11,MATCH(F99,'G-Assumptions'!$D$8:$D$11,0),MATCH(G99,'G-Assumptions'!$F$6:$J$6,0))),"Unrated")</f>
        <v>Unrated</v>
      </c>
      <c r="I99" s="728" t="s">
        <v>728</v>
      </c>
      <c r="J99" s="157" t="str">
        <f>IFERROR(IF('H-Risk Register-Model'!F99="Certain","Relook at Basis of Estimate",INDEX('G-Assumptions'!$F$8:$J$11,MATCH(F99,'G-Assumptions'!$D$8:$D$11,0),MATCH(I99,'G-Assumptions'!$F$6:$J$6,0))),"Unrated")</f>
        <v>Unrated</v>
      </c>
      <c r="K99" s="728" t="s">
        <v>728</v>
      </c>
      <c r="L99" s="728" t="s">
        <v>728</v>
      </c>
      <c r="M99" s="728"/>
      <c r="N99" s="731" t="s">
        <v>728</v>
      </c>
      <c r="O99" s="731" t="s">
        <v>728</v>
      </c>
      <c r="P99" s="732"/>
      <c r="Q99" s="732"/>
      <c r="R99" s="732"/>
      <c r="S99" s="733"/>
      <c r="T99" s="733"/>
      <c r="U99" s="733"/>
      <c r="V99" s="734"/>
      <c r="W99" s="732"/>
      <c r="X99" s="732"/>
      <c r="Y99" s="735">
        <v>1</v>
      </c>
      <c r="Z99" s="736">
        <v>1</v>
      </c>
      <c r="AA99" s="166">
        <f t="shared" si="56"/>
        <v>0</v>
      </c>
      <c r="AB99" s="166">
        <f t="shared" si="57"/>
        <v>0</v>
      </c>
      <c r="AC99" s="166">
        <f t="shared" si="58"/>
        <v>0</v>
      </c>
      <c r="AD99" s="166"/>
      <c r="AE99" s="164">
        <f t="shared" si="41"/>
        <v>0</v>
      </c>
      <c r="AF99" s="167"/>
      <c r="AG99" s="165">
        <f t="shared" si="42"/>
        <v>0</v>
      </c>
      <c r="AH99" s="729"/>
      <c r="AI99" s="729"/>
      <c r="AJ99" s="8"/>
      <c r="AK99" s="495" t="str">
        <f t="shared" si="45"/>
        <v>No</v>
      </c>
      <c r="AL99" s="496">
        <f>'I-Project Contingency'!$I$4</f>
        <v>9000000</v>
      </c>
      <c r="AM99" s="326">
        <f>'I-Project Contingency'!$I$11</f>
        <v>23.978102189781023</v>
      </c>
      <c r="AN99" s="325">
        <f t="shared" si="46"/>
        <v>0</v>
      </c>
      <c r="AO99" s="326">
        <f t="shared" si="47"/>
        <v>0</v>
      </c>
      <c r="AP99" s="641" t="str">
        <f t="shared" si="48"/>
        <v/>
      </c>
      <c r="AQ99" s="641" t="str">
        <f t="shared" si="49"/>
        <v/>
      </c>
      <c r="AR99" s="497" t="str">
        <f t="shared" si="50"/>
        <v/>
      </c>
      <c r="AS99" s="497" t="str">
        <f t="shared" si="51"/>
        <v/>
      </c>
      <c r="AT99" s="8"/>
      <c r="AU99" s="329">
        <f>'I-Project Contingency'!$O$4-AE99</f>
        <v>0</v>
      </c>
      <c r="AV99" s="330">
        <v>-240515.59579276721</v>
      </c>
      <c r="AW99" s="330">
        <v>28172.931401335634</v>
      </c>
      <c r="AX99" s="330">
        <v>193478.84467429668</v>
      </c>
      <c r="AY99" s="330">
        <v>361668.20104834624</v>
      </c>
      <c r="AZ99" s="330">
        <v>524446.91524262261</v>
      </c>
      <c r="BA99" s="330">
        <v>704023.56387635041</v>
      </c>
      <c r="BB99" s="330">
        <v>886394.06956240814</v>
      </c>
      <c r="BC99" s="330">
        <v>1079363.7165157665</v>
      </c>
      <c r="BD99" s="330">
        <v>1280180.1532065615</v>
      </c>
      <c r="BE99" s="330">
        <v>1485323.8019108465</v>
      </c>
      <c r="BF99" s="330">
        <v>1703758.8827524669</v>
      </c>
      <c r="BG99" s="330">
        <v>1949523.4346483489</v>
      </c>
      <c r="BH99" s="330">
        <v>2177897.1603371189</v>
      </c>
      <c r="BI99" s="330">
        <v>2429374.4260425912</v>
      </c>
      <c r="BJ99" s="330">
        <v>2717092.7449284913</v>
      </c>
      <c r="BK99" s="330">
        <v>3010093.6968918457</v>
      </c>
      <c r="BL99" s="330">
        <v>3325414.5894657462</v>
      </c>
      <c r="BM99" s="330">
        <v>3690425.9159493577</v>
      </c>
      <c r="BN99" s="330">
        <v>4143935.1706127762</v>
      </c>
      <c r="BO99" s="330">
        <v>4722651.1159141911</v>
      </c>
      <c r="BP99" s="330">
        <v>5992048.8629153483</v>
      </c>
      <c r="BQ99" s="330">
        <f>'I-Project Contingency'!$E$61-AV99</f>
        <v>0</v>
      </c>
      <c r="BR99" s="330">
        <f>'I-Project Contingency'!$E$62-AW99</f>
        <v>0</v>
      </c>
      <c r="BS99" s="330">
        <f>'I-Project Contingency'!$E$63-AX99</f>
        <v>0</v>
      </c>
      <c r="BT99" s="330">
        <f>'I-Project Contingency'!$E$64-AY99</f>
        <v>0</v>
      </c>
      <c r="BU99" s="330">
        <f>'I-Project Contingency'!$E$65-AZ99</f>
        <v>0</v>
      </c>
      <c r="BV99" s="330">
        <f>'I-Project Contingency'!$E$66-BA99</f>
        <v>0</v>
      </c>
      <c r="BW99" s="330">
        <f>'I-Project Contingency'!$E$67-BB99</f>
        <v>0</v>
      </c>
      <c r="BX99" s="330">
        <f>'I-Project Contingency'!$E$68-BC99</f>
        <v>0</v>
      </c>
      <c r="BY99" s="330">
        <f>'I-Project Contingency'!$E$69-BD99</f>
        <v>0</v>
      </c>
      <c r="BZ99" s="330">
        <f>'I-Project Contingency'!$E$70-BE99</f>
        <v>0</v>
      </c>
      <c r="CA99" s="330">
        <f>'I-Project Contingency'!$E$71-BF99</f>
        <v>0</v>
      </c>
      <c r="CB99" s="330">
        <f>'I-Project Contingency'!$E$72-BG99</f>
        <v>0</v>
      </c>
      <c r="CC99" s="330">
        <f>'I-Project Contingency'!$E$73-BH99</f>
        <v>0</v>
      </c>
      <c r="CD99" s="330">
        <f>'I-Project Contingency'!$E$74-BI99</f>
        <v>0</v>
      </c>
      <c r="CE99" s="330">
        <f>'I-Project Contingency'!$E$75-BJ99</f>
        <v>0</v>
      </c>
      <c r="CF99" s="330">
        <f>'I-Project Contingency'!$E$76-BK99</f>
        <v>0</v>
      </c>
      <c r="CG99" s="330">
        <f>'I-Project Contingency'!$E$77-BL99</f>
        <v>0</v>
      </c>
      <c r="CH99" s="784">
        <f>'I-Project Contingency'!$E$78-BM99</f>
        <v>0</v>
      </c>
      <c r="CI99" s="330">
        <f>'I-Project Contingency'!$E$79-BN99</f>
        <v>0</v>
      </c>
      <c r="CJ99" s="330">
        <f>'I-Project Contingency'!$E$80-BO99</f>
        <v>0</v>
      </c>
      <c r="CK99" s="330">
        <f>'I-Project Contingency'!$E$81-BP99</f>
        <v>0</v>
      </c>
      <c r="CL99" s="331">
        <f>'I-Project Contingency'!$O$5-AG99</f>
        <v>0</v>
      </c>
      <c r="CM99" s="332">
        <v>-0.98711802853447173</v>
      </c>
      <c r="CN99" s="332">
        <v>-0.19547704728364468</v>
      </c>
      <c r="CO99" s="332">
        <v>0.126462150308498</v>
      </c>
      <c r="CP99" s="332">
        <v>0.45967989154545902</v>
      </c>
      <c r="CQ99" s="332">
        <v>0.78297319902744</v>
      </c>
      <c r="CR99" s="332">
        <v>1.0957191966482109</v>
      </c>
      <c r="CS99" s="332">
        <v>1.4418405003536849</v>
      </c>
      <c r="CT99" s="332">
        <v>1.801002404194165</v>
      </c>
      <c r="CU99" s="332">
        <v>2.1797608166947349</v>
      </c>
      <c r="CV99" s="332">
        <v>2.5671680610072478</v>
      </c>
      <c r="CW99" s="332">
        <v>2.9690760644797152</v>
      </c>
      <c r="CX99" s="332">
        <v>3.3964145469774811</v>
      </c>
      <c r="CY99" s="332">
        <v>3.864536087769562</v>
      </c>
      <c r="CZ99" s="332">
        <v>4.3569836138896116</v>
      </c>
      <c r="DA99" s="332">
        <v>4.8862357851222598</v>
      </c>
      <c r="DB99" s="332">
        <v>5.438836997347547</v>
      </c>
      <c r="DC99" s="332">
        <v>6.047993455908566</v>
      </c>
      <c r="DD99" s="785">
        <v>6.720204953601761</v>
      </c>
      <c r="DE99" s="333">
        <v>7.55131678090412</v>
      </c>
      <c r="DF99" s="332">
        <v>8.661446370835737</v>
      </c>
      <c r="DG99" s="332">
        <v>11.206316207857133</v>
      </c>
      <c r="DH99" s="332">
        <f>'I-Project Contingency'!$E$86-CM99</f>
        <v>0</v>
      </c>
      <c r="DI99" s="332">
        <f>'I-Project Contingency'!$E$87-CN99</f>
        <v>0</v>
      </c>
      <c r="DJ99" s="332">
        <f>'I-Project Contingency'!$E$88-CO99</f>
        <v>0</v>
      </c>
      <c r="DK99" s="332">
        <f>'I-Project Contingency'!$E$89-CP99</f>
        <v>0</v>
      </c>
      <c r="DL99" s="332">
        <f>'I-Project Contingency'!$E$90-CQ99</f>
        <v>0</v>
      </c>
      <c r="DM99" s="332">
        <f>'I-Project Contingency'!$E$91-CR99</f>
        <v>0</v>
      </c>
      <c r="DN99" s="332">
        <f>'I-Project Contingency'!$E$92-CS99</f>
        <v>0</v>
      </c>
      <c r="DO99" s="332">
        <f>'I-Project Contingency'!$E$93-CT99</f>
        <v>0</v>
      </c>
      <c r="DP99" s="332">
        <f>'I-Project Contingency'!$E$94-CU99</f>
        <v>0</v>
      </c>
      <c r="DQ99" s="332">
        <f>'I-Project Contingency'!$E$95-CV99</f>
        <v>0</v>
      </c>
      <c r="DR99" s="332">
        <f>'I-Project Contingency'!$E$96-CW99</f>
        <v>0</v>
      </c>
      <c r="DS99" s="332">
        <f>'I-Project Contingency'!$E$97-CX99</f>
        <v>0</v>
      </c>
      <c r="DT99" s="332">
        <f>'I-Project Contingency'!$E$98-CY99</f>
        <v>0</v>
      </c>
      <c r="DU99" s="332">
        <f>'I-Project Contingency'!$E$99-CZ99</f>
        <v>0</v>
      </c>
      <c r="DV99" s="332">
        <f>'I-Project Contingency'!$E$100-DA99</f>
        <v>0</v>
      </c>
      <c r="DW99" s="332">
        <f>'I-Project Contingency'!$E$101-DB99</f>
        <v>0</v>
      </c>
      <c r="DX99" s="332">
        <f>'I-Project Contingency'!$E$102-DC99</f>
        <v>0</v>
      </c>
      <c r="DY99" s="332">
        <f>'I-Project Contingency'!$E$103-DD99</f>
        <v>0</v>
      </c>
      <c r="DZ99" s="332">
        <f>'I-Project Contingency'!$E$104-DE99</f>
        <v>0</v>
      </c>
      <c r="EA99" s="332">
        <f>'I-Project Contingency'!$E$105-DF99</f>
        <v>0</v>
      </c>
      <c r="EB99" s="332">
        <f>'I-Project Contingency'!$E$106-DG99</f>
        <v>0</v>
      </c>
      <c r="EC99" s="334">
        <f>IF(EE99="N/A","N/A",ABS(INDEX(EE99:EY99,1,MATCH("ROM Cost Risk @ "&amp;'D-Project Data'!$C$6*100&amp;"%",$EE$17:$EY$17,0))))</f>
        <v>0</v>
      </c>
      <c r="ED99" s="335">
        <f>IF(EC99="N/A","N/A",RANK(EC99,$EC$18:$EC$117,0)+COUNTIF($EC$18:EC99,EC99)-1)</f>
        <v>82</v>
      </c>
      <c r="EE99" s="334">
        <f>IF(BQ99/SUM(BQ:BQ)*'I-Project Contingency'!$F$61=0,0,BQ99/SUM(BQ:BQ)*'I-Project Contingency'!$F$61)</f>
        <v>0</v>
      </c>
      <c r="EF99" s="334">
        <f>IF(BR99/SUM(BR:BR)*'I-Project Contingency'!$F$62=0,0,BR99/SUM(BR:BR)*'I-Project Contingency'!$F$62)</f>
        <v>0</v>
      </c>
      <c r="EG99" s="334">
        <f>IF(BS99/SUM(BS:BS)*'I-Project Contingency'!$F$63=0,0,BS99/SUM(BS:BS)*'I-Project Contingency'!$F$63)</f>
        <v>0</v>
      </c>
      <c r="EH99" s="334">
        <f>IF(BT99/SUM(BT:BT)*'I-Project Contingency'!$F$64=0,0,BT99/SUM(BT:BT)*'I-Project Contingency'!$F$64)</f>
        <v>0</v>
      </c>
      <c r="EI99" s="334">
        <f>IF(BU99/SUM(BU:BU)*'I-Project Contingency'!$F$65=0,0,BU99/SUM(BU:BU)*'I-Project Contingency'!$F$65)</f>
        <v>0</v>
      </c>
      <c r="EJ99" s="334">
        <f>IF(BV99/SUM(BV:BV)*'I-Project Contingency'!$F$66=0,0,BV99/SUM(BV:BV)*'I-Project Contingency'!$F$66)</f>
        <v>0</v>
      </c>
      <c r="EK99" s="334">
        <f>IF(BW99/SUM(BW:BW)*'I-Project Contingency'!$F$67=0,0,BW99/SUM(BW:BW)*'I-Project Contingency'!$F$67)</f>
        <v>0</v>
      </c>
      <c r="EL99" s="334">
        <f>IF(BX99/SUM(BX:BX)*'I-Project Contingency'!$F$68=0,0,BX99/SUM(BX:BX)*'I-Project Contingency'!$F$68)</f>
        <v>0</v>
      </c>
      <c r="EM99" s="334">
        <f>IF(BY99/SUM(BY:BY)*'I-Project Contingency'!$F$69=0,0,BY99/SUM(BY:BY)*'I-Project Contingency'!$F$69)</f>
        <v>0</v>
      </c>
      <c r="EN99" s="334">
        <f>IF(BZ99/SUM(BZ:BZ)*'I-Project Contingency'!$F$70=0,0,BZ99/SUM(BZ:BZ)*'I-Project Contingency'!$F$70)</f>
        <v>0</v>
      </c>
      <c r="EO99" s="334">
        <f>IF(CA99/SUM(CA:CA)*'I-Project Contingency'!$F$71=0,0,CA99/SUM(CA:CA)*'I-Project Contingency'!$F$71)</f>
        <v>0</v>
      </c>
      <c r="EP99" s="334">
        <f>IF(CB99/SUM(CB:CB)*'I-Project Contingency'!$F$72=0,0,CB99/SUM(CB:CB)*'I-Project Contingency'!$F$72)</f>
        <v>0</v>
      </c>
      <c r="EQ99" s="334">
        <f>IF(CC99/SUM(CC:CC)*'I-Project Contingency'!$F$73=0,0,CC99/SUM(CC:CC)*'I-Project Contingency'!$F$73)</f>
        <v>0</v>
      </c>
      <c r="ER99" s="334">
        <f>IF(CD99/SUM(CD:CD)*'I-Project Contingency'!$F$74=0,0,CD99/SUM(CD:CD)*'I-Project Contingency'!$F$74)</f>
        <v>0</v>
      </c>
      <c r="ES99" s="334">
        <f>IF(CE99/SUM(CE:CE)*'I-Project Contingency'!$F$75=0,0,CE99/SUM(CE:CE)*'I-Project Contingency'!$F$75)</f>
        <v>0</v>
      </c>
      <c r="ET99" s="334">
        <f>IF(CF99/SUM(CF:CF)*'I-Project Contingency'!$F$76=0,0,CF99/SUM(CF:CF)*'I-Project Contingency'!$F$76)</f>
        <v>0</v>
      </c>
      <c r="EU99" s="334">
        <f>IF(CG99/SUM(CG:CG)*'I-Project Contingency'!$F$77=0,0,CG99/SUM(CG:CG)*'I-Project Contingency'!$F$77)</f>
        <v>0</v>
      </c>
      <c r="EV99" s="787">
        <f>IF(CH99/SUM(CH:CH)*'I-Project Contingency'!$F$78=0,0,CH99/SUM(CH:CH)*'I-Project Contingency'!$F$78)</f>
        <v>0</v>
      </c>
      <c r="EW99" s="787">
        <f>IF(CI99/SUM(CI:CI)*'I-Project Contingency'!$F$79=0,0,CI99/SUM(CI:CI)*'I-Project Contingency'!$F$79)</f>
        <v>0</v>
      </c>
      <c r="EX99" s="787">
        <f>IF(CJ99/SUM(CJ:CJ)*'I-Project Contingency'!$F$80=0,0,CJ99/SUM(CJ:CJ)*'I-Project Contingency'!$F$80)</f>
        <v>0</v>
      </c>
      <c r="EY99" s="787">
        <f>IF(CK99/SUM(CK:CK)*'I-Project Contingency'!$F$81=0,0,CK99/SUM(CK:CK)*'I-Project Contingency'!$F$81)</f>
        <v>0</v>
      </c>
      <c r="EZ99" s="333">
        <f>IF(FB99="N/A","N/A",ABS(INDEX(FB99:FV99,1,MATCH("ROM Schedule Risk @ "&amp;'D-Project Data'!$C$6*100&amp;"%",$FB$17:$FV$17,0))))</f>
        <v>0</v>
      </c>
      <c r="FA99" s="335">
        <f>IF(EZ99="N/A","N/A",RANK(EZ99,$EZ$18:$EZ$117,0)+COUNTIF($FB$18:FB99,FB99)-1)</f>
        <v>82</v>
      </c>
      <c r="FB99" s="788">
        <f>IF(DH99/SUM(DH:DH)*'I-Project Contingency'!$F$86=0,0,DH99/SUM(DH:DH)*'I-Project Contingency'!$F$86)</f>
        <v>0</v>
      </c>
      <c r="FC99" s="788">
        <f>IF(DI99/SUM(DI:DI)*'I-Project Contingency'!$F$87=0,0,DI99/SUM(DI:DI)*'I-Project Contingency'!$F$87)</f>
        <v>0</v>
      </c>
      <c r="FD99" s="788">
        <f>IF(DJ99/SUM(DJ:DJ)*'I-Project Contingency'!$F$88=0,0,DJ99/SUM(DJ:DJ)*'I-Project Contingency'!$F$88)</f>
        <v>0</v>
      </c>
      <c r="FE99" s="788">
        <f>IF(DK99/SUM(DK:DK)*'I-Project Contingency'!$F$89=0,0,DK99/SUM(DK:DK)*'I-Project Contingency'!$F$89)</f>
        <v>0</v>
      </c>
      <c r="FF99" s="788">
        <f>IF(DL99/SUM(DL:DL)*'I-Project Contingency'!$F$90=0,0,DL99/SUM(DL:DL)*'I-Project Contingency'!$F$90)</f>
        <v>0</v>
      </c>
      <c r="FG99" s="788">
        <f>IF(DM99/SUM(DM:DM)*'I-Project Contingency'!$F$91=0,0,DM99/SUM(DM:DM)*'I-Project Contingency'!$F$91)</f>
        <v>0</v>
      </c>
      <c r="FH99" s="788">
        <f>IF(DN99/SUM(DN:DN)*'I-Project Contingency'!$F$92=0,0,DN99/SUM(DN:DN)*'I-Project Contingency'!$F$92)</f>
        <v>0</v>
      </c>
      <c r="FI99" s="788">
        <f>IF(DO99/SUM(DO:DO)*'I-Project Contingency'!$F$93=0,0,DO99/SUM(DO:DO)*'I-Project Contingency'!$F$93)</f>
        <v>0</v>
      </c>
      <c r="FJ99" s="788">
        <f>IF(DP99/SUM(DP:DP)*'I-Project Contingency'!$F$94=0,0,DP99/SUM(DP:DP)*'I-Project Contingency'!$F$94)</f>
        <v>0</v>
      </c>
      <c r="FK99" s="788">
        <f>IF(DQ99/SUM(DQ:DQ)*'I-Project Contingency'!$F$95=0,0,DQ99/SUM(DQ:DQ)*'I-Project Contingency'!$F$95)</f>
        <v>0</v>
      </c>
      <c r="FL99" s="788">
        <f>IF(DR99/SUM(DR:DR)*'I-Project Contingency'!$F$96=0,0,DR99/SUM(DR:DR)*'I-Project Contingency'!$F$96)</f>
        <v>0</v>
      </c>
      <c r="FM99" s="788">
        <f>IF(DS99/SUM(DS:DS)*'I-Project Contingency'!$F$97=0,0,DS99/SUM(DS:DS)*'I-Project Contingency'!$F$97)</f>
        <v>0</v>
      </c>
      <c r="FN99" s="788">
        <f>IF(DT99/SUM(DT:DT)*'I-Project Contingency'!$F$98=0,0,DT99/SUM(DT:DT)*'I-Project Contingency'!$F$98)</f>
        <v>0</v>
      </c>
      <c r="FO99" s="788">
        <f>IF(DU99/SUM(DU:DU)*'I-Project Contingency'!$F$99=0,0,DU99/SUM(DU:DU)*'I-Project Contingency'!$F$99)</f>
        <v>0</v>
      </c>
      <c r="FP99" s="788">
        <f>IF(DV99/SUM(DV:DV)*'I-Project Contingency'!$F$100=0,0,DV99/SUM(DV:DV)*'I-Project Contingency'!$F$100)</f>
        <v>0</v>
      </c>
      <c r="FQ99" s="788">
        <f>IF(DW99/SUM(DW:DW)*'I-Project Contingency'!$F$101=0,0,DW99/SUM(DW:DW)*'I-Project Contingency'!$F$101)</f>
        <v>0</v>
      </c>
      <c r="FR99" s="788">
        <f>IF(DX99/SUM(DX:DX)*'I-Project Contingency'!$F$102=0,0,DX99/SUM(DX:DX)*'I-Project Contingency'!$F$102)</f>
        <v>0</v>
      </c>
      <c r="FS99" s="788">
        <f>IF(DY99/SUM(DY:DY)*'I-Project Contingency'!$F$103=0,0,DY99/SUM(DY:DY)*'I-Project Contingency'!$F$103)</f>
        <v>0</v>
      </c>
      <c r="FT99" s="788">
        <f>IF(DZ99/SUM(DZ:DZ)*'I-Project Contingency'!$F$104=0,0,DZ99/SUM(DZ:DZ)*'I-Project Contingency'!$F$104)</f>
        <v>0</v>
      </c>
      <c r="FU99" s="788">
        <f>IF(EA99/SUM(EA:EA)*'I-Project Contingency'!$F$105=0,0,EA99/SUM(EA:EA)*'I-Project Contingency'!$F$105)</f>
        <v>0</v>
      </c>
      <c r="FV99" s="788">
        <f>IF(EB99/SUM(EB:EB)*'I-Project Contingency'!$F$106=0,0,EB99/SUM(EB:EB)*'I-Project Contingency'!$F$106)</f>
        <v>0</v>
      </c>
      <c r="FW99" s="335">
        <f t="shared" si="52"/>
        <v>82</v>
      </c>
      <c r="FX99" s="336" t="str">
        <f t="shared" si="53"/>
        <v xml:space="preserve">82 -  </v>
      </c>
      <c r="FY99" s="330">
        <f t="shared" si="43"/>
        <v>0</v>
      </c>
      <c r="FZ99" s="330">
        <f t="shared" si="44"/>
        <v>0</v>
      </c>
      <c r="GA99" s="332">
        <f t="shared" si="54"/>
        <v>0</v>
      </c>
      <c r="GB99" s="332">
        <f t="shared" si="55"/>
        <v>0</v>
      </c>
    </row>
    <row r="100" spans="1:184" ht="30" x14ac:dyDescent="0.25">
      <c r="A100" s="163">
        <f t="shared" si="23"/>
        <v>83</v>
      </c>
      <c r="B100" s="727" t="s">
        <v>728</v>
      </c>
      <c r="C100" s="729" t="s">
        <v>659</v>
      </c>
      <c r="D100" s="729" t="s">
        <v>659</v>
      </c>
      <c r="E100" s="729" t="s">
        <v>659</v>
      </c>
      <c r="F100" s="728" t="s">
        <v>728</v>
      </c>
      <c r="G100" s="728" t="s">
        <v>728</v>
      </c>
      <c r="H100" s="157" t="str">
        <f>IFERROR(IF('H-Risk Register-Model'!F100="Certain","Relook at Basis of Estimate",INDEX('G-Assumptions'!$F$8:$J$11,MATCH(F100,'G-Assumptions'!$D$8:$D$11,0),MATCH(G100,'G-Assumptions'!$F$6:$J$6,0))),"Unrated")</f>
        <v>Unrated</v>
      </c>
      <c r="I100" s="728" t="s">
        <v>728</v>
      </c>
      <c r="J100" s="157" t="str">
        <f>IFERROR(IF('H-Risk Register-Model'!F100="Certain","Relook at Basis of Estimate",INDEX('G-Assumptions'!$F$8:$J$11,MATCH(F100,'G-Assumptions'!$D$8:$D$11,0),MATCH(I100,'G-Assumptions'!$F$6:$J$6,0))),"Unrated")</f>
        <v>Unrated</v>
      </c>
      <c r="K100" s="728" t="s">
        <v>728</v>
      </c>
      <c r="L100" s="728" t="s">
        <v>728</v>
      </c>
      <c r="M100" s="728"/>
      <c r="N100" s="731" t="s">
        <v>728</v>
      </c>
      <c r="O100" s="731" t="s">
        <v>728</v>
      </c>
      <c r="P100" s="732"/>
      <c r="Q100" s="732"/>
      <c r="R100" s="732"/>
      <c r="S100" s="733"/>
      <c r="T100" s="733"/>
      <c r="U100" s="733"/>
      <c r="V100" s="734"/>
      <c r="W100" s="732"/>
      <c r="X100" s="732"/>
      <c r="Y100" s="735">
        <v>1</v>
      </c>
      <c r="Z100" s="736">
        <v>1</v>
      </c>
      <c r="AA100" s="166">
        <f t="shared" si="56"/>
        <v>0</v>
      </c>
      <c r="AB100" s="166">
        <f t="shared" si="57"/>
        <v>0</v>
      </c>
      <c r="AC100" s="166">
        <f t="shared" si="58"/>
        <v>0</v>
      </c>
      <c r="AD100" s="166"/>
      <c r="AE100" s="164">
        <f t="shared" si="41"/>
        <v>0</v>
      </c>
      <c r="AF100" s="167"/>
      <c r="AG100" s="165">
        <f t="shared" si="42"/>
        <v>0</v>
      </c>
      <c r="AH100" s="729"/>
      <c r="AI100" s="729"/>
      <c r="AJ100" s="8"/>
      <c r="AK100" s="495" t="str">
        <f t="shared" si="45"/>
        <v>No</v>
      </c>
      <c r="AL100" s="496">
        <f>'I-Project Contingency'!$I$4</f>
        <v>9000000</v>
      </c>
      <c r="AM100" s="326">
        <f>'I-Project Contingency'!$I$11</f>
        <v>23.978102189781023</v>
      </c>
      <c r="AN100" s="325">
        <f t="shared" si="46"/>
        <v>0</v>
      </c>
      <c r="AO100" s="326">
        <f t="shared" si="47"/>
        <v>0</v>
      </c>
      <c r="AP100" s="641" t="str">
        <f t="shared" si="48"/>
        <v/>
      </c>
      <c r="AQ100" s="641" t="str">
        <f t="shared" si="49"/>
        <v/>
      </c>
      <c r="AR100" s="497" t="str">
        <f t="shared" si="50"/>
        <v/>
      </c>
      <c r="AS100" s="497" t="str">
        <f t="shared" si="51"/>
        <v/>
      </c>
      <c r="AT100" s="8"/>
      <c r="AU100" s="329">
        <f>'I-Project Contingency'!$O$4-AE100</f>
        <v>0</v>
      </c>
      <c r="AV100" s="330">
        <v>-240515.59579276721</v>
      </c>
      <c r="AW100" s="330">
        <v>28172.931401335634</v>
      </c>
      <c r="AX100" s="330">
        <v>193478.84467429668</v>
      </c>
      <c r="AY100" s="330">
        <v>361668.20104834624</v>
      </c>
      <c r="AZ100" s="330">
        <v>524446.91524262261</v>
      </c>
      <c r="BA100" s="330">
        <v>704023.56387635041</v>
      </c>
      <c r="BB100" s="330">
        <v>886394.06956240814</v>
      </c>
      <c r="BC100" s="330">
        <v>1079363.7165157665</v>
      </c>
      <c r="BD100" s="330">
        <v>1280180.1532065615</v>
      </c>
      <c r="BE100" s="330">
        <v>1485323.8019108465</v>
      </c>
      <c r="BF100" s="330">
        <v>1703758.8827524669</v>
      </c>
      <c r="BG100" s="330">
        <v>1949523.4346483489</v>
      </c>
      <c r="BH100" s="330">
        <v>2177897.1603371189</v>
      </c>
      <c r="BI100" s="330">
        <v>2429374.4260425912</v>
      </c>
      <c r="BJ100" s="330">
        <v>2717092.7449284913</v>
      </c>
      <c r="BK100" s="330">
        <v>3010093.6968918457</v>
      </c>
      <c r="BL100" s="330">
        <v>3325414.5894657462</v>
      </c>
      <c r="BM100" s="330">
        <v>3690425.9159493577</v>
      </c>
      <c r="BN100" s="330">
        <v>4143935.1706127762</v>
      </c>
      <c r="BO100" s="330">
        <v>4722651.1159141911</v>
      </c>
      <c r="BP100" s="330">
        <v>5992048.8629153483</v>
      </c>
      <c r="BQ100" s="330">
        <f>'I-Project Contingency'!$E$61-AV100</f>
        <v>0</v>
      </c>
      <c r="BR100" s="330">
        <f>'I-Project Contingency'!$E$62-AW100</f>
        <v>0</v>
      </c>
      <c r="BS100" s="330">
        <f>'I-Project Contingency'!$E$63-AX100</f>
        <v>0</v>
      </c>
      <c r="BT100" s="330">
        <f>'I-Project Contingency'!$E$64-AY100</f>
        <v>0</v>
      </c>
      <c r="BU100" s="330">
        <f>'I-Project Contingency'!$E$65-AZ100</f>
        <v>0</v>
      </c>
      <c r="BV100" s="330">
        <f>'I-Project Contingency'!$E$66-BA100</f>
        <v>0</v>
      </c>
      <c r="BW100" s="330">
        <f>'I-Project Contingency'!$E$67-BB100</f>
        <v>0</v>
      </c>
      <c r="BX100" s="330">
        <f>'I-Project Contingency'!$E$68-BC100</f>
        <v>0</v>
      </c>
      <c r="BY100" s="330">
        <f>'I-Project Contingency'!$E$69-BD100</f>
        <v>0</v>
      </c>
      <c r="BZ100" s="330">
        <f>'I-Project Contingency'!$E$70-BE100</f>
        <v>0</v>
      </c>
      <c r="CA100" s="330">
        <f>'I-Project Contingency'!$E$71-BF100</f>
        <v>0</v>
      </c>
      <c r="CB100" s="330">
        <f>'I-Project Contingency'!$E$72-BG100</f>
        <v>0</v>
      </c>
      <c r="CC100" s="330">
        <f>'I-Project Contingency'!$E$73-BH100</f>
        <v>0</v>
      </c>
      <c r="CD100" s="330">
        <f>'I-Project Contingency'!$E$74-BI100</f>
        <v>0</v>
      </c>
      <c r="CE100" s="330">
        <f>'I-Project Contingency'!$E$75-BJ100</f>
        <v>0</v>
      </c>
      <c r="CF100" s="330">
        <f>'I-Project Contingency'!$E$76-BK100</f>
        <v>0</v>
      </c>
      <c r="CG100" s="330">
        <f>'I-Project Contingency'!$E$77-BL100</f>
        <v>0</v>
      </c>
      <c r="CH100" s="784">
        <f>'I-Project Contingency'!$E$78-BM100</f>
        <v>0</v>
      </c>
      <c r="CI100" s="330">
        <f>'I-Project Contingency'!$E$79-BN100</f>
        <v>0</v>
      </c>
      <c r="CJ100" s="330">
        <f>'I-Project Contingency'!$E$80-BO100</f>
        <v>0</v>
      </c>
      <c r="CK100" s="330">
        <f>'I-Project Contingency'!$E$81-BP100</f>
        <v>0</v>
      </c>
      <c r="CL100" s="331">
        <f>'I-Project Contingency'!$O$5-AG100</f>
        <v>0</v>
      </c>
      <c r="CM100" s="332">
        <v>-0.98711802853447173</v>
      </c>
      <c r="CN100" s="332">
        <v>-0.19547704728364468</v>
      </c>
      <c r="CO100" s="332">
        <v>0.126462150308498</v>
      </c>
      <c r="CP100" s="332">
        <v>0.45967989154545902</v>
      </c>
      <c r="CQ100" s="332">
        <v>0.78297319902744</v>
      </c>
      <c r="CR100" s="332">
        <v>1.0957191966482109</v>
      </c>
      <c r="CS100" s="332">
        <v>1.4418405003536849</v>
      </c>
      <c r="CT100" s="332">
        <v>1.801002404194165</v>
      </c>
      <c r="CU100" s="332">
        <v>2.1797608166947349</v>
      </c>
      <c r="CV100" s="332">
        <v>2.5671680610072478</v>
      </c>
      <c r="CW100" s="332">
        <v>2.9690760644797152</v>
      </c>
      <c r="CX100" s="332">
        <v>3.3964145469774811</v>
      </c>
      <c r="CY100" s="332">
        <v>3.864536087769562</v>
      </c>
      <c r="CZ100" s="332">
        <v>4.3569836138896116</v>
      </c>
      <c r="DA100" s="332">
        <v>4.8862357851222598</v>
      </c>
      <c r="DB100" s="332">
        <v>5.438836997347547</v>
      </c>
      <c r="DC100" s="332">
        <v>6.047993455908566</v>
      </c>
      <c r="DD100" s="785">
        <v>6.720204953601761</v>
      </c>
      <c r="DE100" s="333">
        <v>7.55131678090412</v>
      </c>
      <c r="DF100" s="332">
        <v>8.661446370835737</v>
      </c>
      <c r="DG100" s="332">
        <v>11.206316207857133</v>
      </c>
      <c r="DH100" s="332">
        <f>'I-Project Contingency'!$E$86-CM100</f>
        <v>0</v>
      </c>
      <c r="DI100" s="332">
        <f>'I-Project Contingency'!$E$87-CN100</f>
        <v>0</v>
      </c>
      <c r="DJ100" s="332">
        <f>'I-Project Contingency'!$E$88-CO100</f>
        <v>0</v>
      </c>
      <c r="DK100" s="332">
        <f>'I-Project Contingency'!$E$89-CP100</f>
        <v>0</v>
      </c>
      <c r="DL100" s="332">
        <f>'I-Project Contingency'!$E$90-CQ100</f>
        <v>0</v>
      </c>
      <c r="DM100" s="332">
        <f>'I-Project Contingency'!$E$91-CR100</f>
        <v>0</v>
      </c>
      <c r="DN100" s="332">
        <f>'I-Project Contingency'!$E$92-CS100</f>
        <v>0</v>
      </c>
      <c r="DO100" s="332">
        <f>'I-Project Contingency'!$E$93-CT100</f>
        <v>0</v>
      </c>
      <c r="DP100" s="332">
        <f>'I-Project Contingency'!$E$94-CU100</f>
        <v>0</v>
      </c>
      <c r="DQ100" s="332">
        <f>'I-Project Contingency'!$E$95-CV100</f>
        <v>0</v>
      </c>
      <c r="DR100" s="332">
        <f>'I-Project Contingency'!$E$96-CW100</f>
        <v>0</v>
      </c>
      <c r="DS100" s="332">
        <f>'I-Project Contingency'!$E$97-CX100</f>
        <v>0</v>
      </c>
      <c r="DT100" s="332">
        <f>'I-Project Contingency'!$E$98-CY100</f>
        <v>0</v>
      </c>
      <c r="DU100" s="332">
        <f>'I-Project Contingency'!$E$99-CZ100</f>
        <v>0</v>
      </c>
      <c r="DV100" s="332">
        <f>'I-Project Contingency'!$E$100-DA100</f>
        <v>0</v>
      </c>
      <c r="DW100" s="332">
        <f>'I-Project Contingency'!$E$101-DB100</f>
        <v>0</v>
      </c>
      <c r="DX100" s="332">
        <f>'I-Project Contingency'!$E$102-DC100</f>
        <v>0</v>
      </c>
      <c r="DY100" s="332">
        <f>'I-Project Contingency'!$E$103-DD100</f>
        <v>0</v>
      </c>
      <c r="DZ100" s="332">
        <f>'I-Project Contingency'!$E$104-DE100</f>
        <v>0</v>
      </c>
      <c r="EA100" s="332">
        <f>'I-Project Contingency'!$E$105-DF100</f>
        <v>0</v>
      </c>
      <c r="EB100" s="332">
        <f>'I-Project Contingency'!$E$106-DG100</f>
        <v>0</v>
      </c>
      <c r="EC100" s="334">
        <f>IF(EE100="N/A","N/A",ABS(INDEX(EE100:EY100,1,MATCH("ROM Cost Risk @ "&amp;'D-Project Data'!$C$6*100&amp;"%",$EE$17:$EY$17,0))))</f>
        <v>0</v>
      </c>
      <c r="ED100" s="335">
        <f>IF(EC100="N/A","N/A",RANK(EC100,$EC$18:$EC$117,0)+COUNTIF($EC$18:EC100,EC100)-1)</f>
        <v>83</v>
      </c>
      <c r="EE100" s="334">
        <f>IF(BQ100/SUM(BQ:BQ)*'I-Project Contingency'!$F$61=0,0,BQ100/SUM(BQ:BQ)*'I-Project Contingency'!$F$61)</f>
        <v>0</v>
      </c>
      <c r="EF100" s="334">
        <f>IF(BR100/SUM(BR:BR)*'I-Project Contingency'!$F$62=0,0,BR100/SUM(BR:BR)*'I-Project Contingency'!$F$62)</f>
        <v>0</v>
      </c>
      <c r="EG100" s="334">
        <f>IF(BS100/SUM(BS:BS)*'I-Project Contingency'!$F$63=0,0,BS100/SUM(BS:BS)*'I-Project Contingency'!$F$63)</f>
        <v>0</v>
      </c>
      <c r="EH100" s="334">
        <f>IF(BT100/SUM(BT:BT)*'I-Project Contingency'!$F$64=0,0,BT100/SUM(BT:BT)*'I-Project Contingency'!$F$64)</f>
        <v>0</v>
      </c>
      <c r="EI100" s="334">
        <f>IF(BU100/SUM(BU:BU)*'I-Project Contingency'!$F$65=0,0,BU100/SUM(BU:BU)*'I-Project Contingency'!$F$65)</f>
        <v>0</v>
      </c>
      <c r="EJ100" s="334">
        <f>IF(BV100/SUM(BV:BV)*'I-Project Contingency'!$F$66=0,0,BV100/SUM(BV:BV)*'I-Project Contingency'!$F$66)</f>
        <v>0</v>
      </c>
      <c r="EK100" s="334">
        <f>IF(BW100/SUM(BW:BW)*'I-Project Contingency'!$F$67=0,0,BW100/SUM(BW:BW)*'I-Project Contingency'!$F$67)</f>
        <v>0</v>
      </c>
      <c r="EL100" s="334">
        <f>IF(BX100/SUM(BX:BX)*'I-Project Contingency'!$F$68=0,0,BX100/SUM(BX:BX)*'I-Project Contingency'!$F$68)</f>
        <v>0</v>
      </c>
      <c r="EM100" s="334">
        <f>IF(BY100/SUM(BY:BY)*'I-Project Contingency'!$F$69=0,0,BY100/SUM(BY:BY)*'I-Project Contingency'!$F$69)</f>
        <v>0</v>
      </c>
      <c r="EN100" s="334">
        <f>IF(BZ100/SUM(BZ:BZ)*'I-Project Contingency'!$F$70=0,0,BZ100/SUM(BZ:BZ)*'I-Project Contingency'!$F$70)</f>
        <v>0</v>
      </c>
      <c r="EO100" s="334">
        <f>IF(CA100/SUM(CA:CA)*'I-Project Contingency'!$F$71=0,0,CA100/SUM(CA:CA)*'I-Project Contingency'!$F$71)</f>
        <v>0</v>
      </c>
      <c r="EP100" s="334">
        <f>IF(CB100/SUM(CB:CB)*'I-Project Contingency'!$F$72=0,0,CB100/SUM(CB:CB)*'I-Project Contingency'!$F$72)</f>
        <v>0</v>
      </c>
      <c r="EQ100" s="334">
        <f>IF(CC100/SUM(CC:CC)*'I-Project Contingency'!$F$73=0,0,CC100/SUM(CC:CC)*'I-Project Contingency'!$F$73)</f>
        <v>0</v>
      </c>
      <c r="ER100" s="334">
        <f>IF(CD100/SUM(CD:CD)*'I-Project Contingency'!$F$74=0,0,CD100/SUM(CD:CD)*'I-Project Contingency'!$F$74)</f>
        <v>0</v>
      </c>
      <c r="ES100" s="334">
        <f>IF(CE100/SUM(CE:CE)*'I-Project Contingency'!$F$75=0,0,CE100/SUM(CE:CE)*'I-Project Contingency'!$F$75)</f>
        <v>0</v>
      </c>
      <c r="ET100" s="334">
        <f>IF(CF100/SUM(CF:CF)*'I-Project Contingency'!$F$76=0,0,CF100/SUM(CF:CF)*'I-Project Contingency'!$F$76)</f>
        <v>0</v>
      </c>
      <c r="EU100" s="334">
        <f>IF(CG100/SUM(CG:CG)*'I-Project Contingency'!$F$77=0,0,CG100/SUM(CG:CG)*'I-Project Contingency'!$F$77)</f>
        <v>0</v>
      </c>
      <c r="EV100" s="787">
        <f>IF(CH100/SUM(CH:CH)*'I-Project Contingency'!$F$78=0,0,CH100/SUM(CH:CH)*'I-Project Contingency'!$F$78)</f>
        <v>0</v>
      </c>
      <c r="EW100" s="787">
        <f>IF(CI100/SUM(CI:CI)*'I-Project Contingency'!$F$79=0,0,CI100/SUM(CI:CI)*'I-Project Contingency'!$F$79)</f>
        <v>0</v>
      </c>
      <c r="EX100" s="787">
        <f>IF(CJ100/SUM(CJ:CJ)*'I-Project Contingency'!$F$80=0,0,CJ100/SUM(CJ:CJ)*'I-Project Contingency'!$F$80)</f>
        <v>0</v>
      </c>
      <c r="EY100" s="787">
        <f>IF(CK100/SUM(CK:CK)*'I-Project Contingency'!$F$81=0,0,CK100/SUM(CK:CK)*'I-Project Contingency'!$F$81)</f>
        <v>0</v>
      </c>
      <c r="EZ100" s="333">
        <f>IF(FB100="N/A","N/A",ABS(INDEX(FB100:FV100,1,MATCH("ROM Schedule Risk @ "&amp;'D-Project Data'!$C$6*100&amp;"%",$FB$17:$FV$17,0))))</f>
        <v>0</v>
      </c>
      <c r="FA100" s="335">
        <f>IF(EZ100="N/A","N/A",RANK(EZ100,$EZ$18:$EZ$117,0)+COUNTIF($FB$18:FB100,FB100)-1)</f>
        <v>83</v>
      </c>
      <c r="FB100" s="788">
        <f>IF(DH100/SUM(DH:DH)*'I-Project Contingency'!$F$86=0,0,DH100/SUM(DH:DH)*'I-Project Contingency'!$F$86)</f>
        <v>0</v>
      </c>
      <c r="FC100" s="788">
        <f>IF(DI100/SUM(DI:DI)*'I-Project Contingency'!$F$87=0,0,DI100/SUM(DI:DI)*'I-Project Contingency'!$F$87)</f>
        <v>0</v>
      </c>
      <c r="FD100" s="788">
        <f>IF(DJ100/SUM(DJ:DJ)*'I-Project Contingency'!$F$88=0,0,DJ100/SUM(DJ:DJ)*'I-Project Contingency'!$F$88)</f>
        <v>0</v>
      </c>
      <c r="FE100" s="788">
        <f>IF(DK100/SUM(DK:DK)*'I-Project Contingency'!$F$89=0,0,DK100/SUM(DK:DK)*'I-Project Contingency'!$F$89)</f>
        <v>0</v>
      </c>
      <c r="FF100" s="788">
        <f>IF(DL100/SUM(DL:DL)*'I-Project Contingency'!$F$90=0,0,DL100/SUM(DL:DL)*'I-Project Contingency'!$F$90)</f>
        <v>0</v>
      </c>
      <c r="FG100" s="788">
        <f>IF(DM100/SUM(DM:DM)*'I-Project Contingency'!$F$91=0,0,DM100/SUM(DM:DM)*'I-Project Contingency'!$F$91)</f>
        <v>0</v>
      </c>
      <c r="FH100" s="788">
        <f>IF(DN100/SUM(DN:DN)*'I-Project Contingency'!$F$92=0,0,DN100/SUM(DN:DN)*'I-Project Contingency'!$F$92)</f>
        <v>0</v>
      </c>
      <c r="FI100" s="788">
        <f>IF(DO100/SUM(DO:DO)*'I-Project Contingency'!$F$93=0,0,DO100/SUM(DO:DO)*'I-Project Contingency'!$F$93)</f>
        <v>0</v>
      </c>
      <c r="FJ100" s="788">
        <f>IF(DP100/SUM(DP:DP)*'I-Project Contingency'!$F$94=0,0,DP100/SUM(DP:DP)*'I-Project Contingency'!$F$94)</f>
        <v>0</v>
      </c>
      <c r="FK100" s="788">
        <f>IF(DQ100/SUM(DQ:DQ)*'I-Project Contingency'!$F$95=0,0,DQ100/SUM(DQ:DQ)*'I-Project Contingency'!$F$95)</f>
        <v>0</v>
      </c>
      <c r="FL100" s="788">
        <f>IF(DR100/SUM(DR:DR)*'I-Project Contingency'!$F$96=0,0,DR100/SUM(DR:DR)*'I-Project Contingency'!$F$96)</f>
        <v>0</v>
      </c>
      <c r="FM100" s="788">
        <f>IF(DS100/SUM(DS:DS)*'I-Project Contingency'!$F$97=0,0,DS100/SUM(DS:DS)*'I-Project Contingency'!$F$97)</f>
        <v>0</v>
      </c>
      <c r="FN100" s="788">
        <f>IF(DT100/SUM(DT:DT)*'I-Project Contingency'!$F$98=0,0,DT100/SUM(DT:DT)*'I-Project Contingency'!$F$98)</f>
        <v>0</v>
      </c>
      <c r="FO100" s="788">
        <f>IF(DU100/SUM(DU:DU)*'I-Project Contingency'!$F$99=0,0,DU100/SUM(DU:DU)*'I-Project Contingency'!$F$99)</f>
        <v>0</v>
      </c>
      <c r="FP100" s="788">
        <f>IF(DV100/SUM(DV:DV)*'I-Project Contingency'!$F$100=0,0,DV100/SUM(DV:DV)*'I-Project Contingency'!$F$100)</f>
        <v>0</v>
      </c>
      <c r="FQ100" s="788">
        <f>IF(DW100/SUM(DW:DW)*'I-Project Contingency'!$F$101=0,0,DW100/SUM(DW:DW)*'I-Project Contingency'!$F$101)</f>
        <v>0</v>
      </c>
      <c r="FR100" s="788">
        <f>IF(DX100/SUM(DX:DX)*'I-Project Contingency'!$F$102=0,0,DX100/SUM(DX:DX)*'I-Project Contingency'!$F$102)</f>
        <v>0</v>
      </c>
      <c r="FS100" s="788">
        <f>IF(DY100/SUM(DY:DY)*'I-Project Contingency'!$F$103=0,0,DY100/SUM(DY:DY)*'I-Project Contingency'!$F$103)</f>
        <v>0</v>
      </c>
      <c r="FT100" s="788">
        <f>IF(DZ100/SUM(DZ:DZ)*'I-Project Contingency'!$F$104=0,0,DZ100/SUM(DZ:DZ)*'I-Project Contingency'!$F$104)</f>
        <v>0</v>
      </c>
      <c r="FU100" s="788">
        <f>IF(EA100/SUM(EA:EA)*'I-Project Contingency'!$F$105=0,0,EA100/SUM(EA:EA)*'I-Project Contingency'!$F$105)</f>
        <v>0</v>
      </c>
      <c r="FV100" s="788">
        <f>IF(EB100/SUM(EB:EB)*'I-Project Contingency'!$F$106=0,0,EB100/SUM(EB:EB)*'I-Project Contingency'!$F$106)</f>
        <v>0</v>
      </c>
      <c r="FW100" s="335">
        <f t="shared" si="52"/>
        <v>83</v>
      </c>
      <c r="FX100" s="336" t="str">
        <f t="shared" si="53"/>
        <v xml:space="preserve">83 -  </v>
      </c>
      <c r="FY100" s="330">
        <f t="shared" si="43"/>
        <v>0</v>
      </c>
      <c r="FZ100" s="330">
        <f t="shared" si="44"/>
        <v>0</v>
      </c>
      <c r="GA100" s="332">
        <f t="shared" si="54"/>
        <v>0</v>
      </c>
      <c r="GB100" s="332">
        <f t="shared" si="55"/>
        <v>0</v>
      </c>
    </row>
    <row r="101" spans="1:184" ht="30" x14ac:dyDescent="0.25">
      <c r="A101" s="163">
        <f t="shared" si="23"/>
        <v>84</v>
      </c>
      <c r="B101" s="727" t="s">
        <v>728</v>
      </c>
      <c r="C101" s="729" t="s">
        <v>659</v>
      </c>
      <c r="D101" s="729" t="s">
        <v>659</v>
      </c>
      <c r="E101" s="729" t="s">
        <v>659</v>
      </c>
      <c r="F101" s="728" t="s">
        <v>728</v>
      </c>
      <c r="G101" s="728" t="s">
        <v>728</v>
      </c>
      <c r="H101" s="157" t="str">
        <f>IFERROR(IF('H-Risk Register-Model'!F101="Certain","Relook at Basis of Estimate",INDEX('G-Assumptions'!$F$8:$J$11,MATCH(F101,'G-Assumptions'!$D$8:$D$11,0),MATCH(G101,'G-Assumptions'!$F$6:$J$6,0))),"Unrated")</f>
        <v>Unrated</v>
      </c>
      <c r="I101" s="728" t="s">
        <v>728</v>
      </c>
      <c r="J101" s="157" t="str">
        <f>IFERROR(IF('H-Risk Register-Model'!F101="Certain","Relook at Basis of Estimate",INDEX('G-Assumptions'!$F$8:$J$11,MATCH(F101,'G-Assumptions'!$D$8:$D$11,0),MATCH(I101,'G-Assumptions'!$F$6:$J$6,0))),"Unrated")</f>
        <v>Unrated</v>
      </c>
      <c r="K101" s="728" t="s">
        <v>728</v>
      </c>
      <c r="L101" s="728" t="s">
        <v>728</v>
      </c>
      <c r="M101" s="728"/>
      <c r="N101" s="731" t="s">
        <v>728</v>
      </c>
      <c r="O101" s="731" t="s">
        <v>728</v>
      </c>
      <c r="P101" s="732"/>
      <c r="Q101" s="732"/>
      <c r="R101" s="732"/>
      <c r="S101" s="733"/>
      <c r="T101" s="733"/>
      <c r="U101" s="733"/>
      <c r="V101" s="734"/>
      <c r="W101" s="732"/>
      <c r="X101" s="732"/>
      <c r="Y101" s="735">
        <v>1</v>
      </c>
      <c r="Z101" s="736">
        <v>1</v>
      </c>
      <c r="AA101" s="166">
        <f t="shared" si="56"/>
        <v>0</v>
      </c>
      <c r="AB101" s="166">
        <f t="shared" si="57"/>
        <v>0</v>
      </c>
      <c r="AC101" s="166">
        <f t="shared" si="58"/>
        <v>0</v>
      </c>
      <c r="AD101" s="166"/>
      <c r="AE101" s="164">
        <f t="shared" si="41"/>
        <v>0</v>
      </c>
      <c r="AF101" s="167"/>
      <c r="AG101" s="165">
        <f t="shared" si="42"/>
        <v>0</v>
      </c>
      <c r="AH101" s="729"/>
      <c r="AI101" s="729"/>
      <c r="AJ101" s="8"/>
      <c r="AK101" s="495" t="str">
        <f t="shared" si="45"/>
        <v>No</v>
      </c>
      <c r="AL101" s="496">
        <f>'I-Project Contingency'!$I$4</f>
        <v>9000000</v>
      </c>
      <c r="AM101" s="326">
        <f>'I-Project Contingency'!$I$11</f>
        <v>23.978102189781023</v>
      </c>
      <c r="AN101" s="325">
        <f t="shared" si="46"/>
        <v>0</v>
      </c>
      <c r="AO101" s="326">
        <f t="shared" si="47"/>
        <v>0</v>
      </c>
      <c r="AP101" s="641" t="str">
        <f t="shared" si="48"/>
        <v/>
      </c>
      <c r="AQ101" s="641" t="str">
        <f t="shared" si="49"/>
        <v/>
      </c>
      <c r="AR101" s="497" t="str">
        <f t="shared" si="50"/>
        <v/>
      </c>
      <c r="AS101" s="497" t="str">
        <f t="shared" si="51"/>
        <v/>
      </c>
      <c r="AT101" s="8"/>
      <c r="AU101" s="329">
        <f>'I-Project Contingency'!$O$4-AE101</f>
        <v>0</v>
      </c>
      <c r="AV101" s="330">
        <v>-240515.59579276721</v>
      </c>
      <c r="AW101" s="330">
        <v>28172.931401335634</v>
      </c>
      <c r="AX101" s="330">
        <v>193478.84467429668</v>
      </c>
      <c r="AY101" s="330">
        <v>361668.20104834624</v>
      </c>
      <c r="AZ101" s="330">
        <v>524446.91524262261</v>
      </c>
      <c r="BA101" s="330">
        <v>704023.56387635041</v>
      </c>
      <c r="BB101" s="330">
        <v>886394.06956240814</v>
      </c>
      <c r="BC101" s="330">
        <v>1079363.7165157665</v>
      </c>
      <c r="BD101" s="330">
        <v>1280180.1532065615</v>
      </c>
      <c r="BE101" s="330">
        <v>1485323.8019108465</v>
      </c>
      <c r="BF101" s="330">
        <v>1703758.8827524669</v>
      </c>
      <c r="BG101" s="330">
        <v>1949523.4346483489</v>
      </c>
      <c r="BH101" s="330">
        <v>2177897.1603371189</v>
      </c>
      <c r="BI101" s="330">
        <v>2429374.4260425912</v>
      </c>
      <c r="BJ101" s="330">
        <v>2717092.7449284913</v>
      </c>
      <c r="BK101" s="330">
        <v>3010093.6968918457</v>
      </c>
      <c r="BL101" s="330">
        <v>3325414.5894657462</v>
      </c>
      <c r="BM101" s="330">
        <v>3690425.9159493577</v>
      </c>
      <c r="BN101" s="330">
        <v>4143935.1706127762</v>
      </c>
      <c r="BO101" s="330">
        <v>4722651.1159141911</v>
      </c>
      <c r="BP101" s="330">
        <v>5992048.8629153483</v>
      </c>
      <c r="BQ101" s="330">
        <f>'I-Project Contingency'!$E$61-AV101</f>
        <v>0</v>
      </c>
      <c r="BR101" s="330">
        <f>'I-Project Contingency'!$E$62-AW101</f>
        <v>0</v>
      </c>
      <c r="BS101" s="330">
        <f>'I-Project Contingency'!$E$63-AX101</f>
        <v>0</v>
      </c>
      <c r="BT101" s="330">
        <f>'I-Project Contingency'!$E$64-AY101</f>
        <v>0</v>
      </c>
      <c r="BU101" s="330">
        <f>'I-Project Contingency'!$E$65-AZ101</f>
        <v>0</v>
      </c>
      <c r="BV101" s="330">
        <f>'I-Project Contingency'!$E$66-BA101</f>
        <v>0</v>
      </c>
      <c r="BW101" s="330">
        <f>'I-Project Contingency'!$E$67-BB101</f>
        <v>0</v>
      </c>
      <c r="BX101" s="330">
        <f>'I-Project Contingency'!$E$68-BC101</f>
        <v>0</v>
      </c>
      <c r="BY101" s="330">
        <f>'I-Project Contingency'!$E$69-BD101</f>
        <v>0</v>
      </c>
      <c r="BZ101" s="330">
        <f>'I-Project Contingency'!$E$70-BE101</f>
        <v>0</v>
      </c>
      <c r="CA101" s="330">
        <f>'I-Project Contingency'!$E$71-BF101</f>
        <v>0</v>
      </c>
      <c r="CB101" s="330">
        <f>'I-Project Contingency'!$E$72-BG101</f>
        <v>0</v>
      </c>
      <c r="CC101" s="330">
        <f>'I-Project Contingency'!$E$73-BH101</f>
        <v>0</v>
      </c>
      <c r="CD101" s="330">
        <f>'I-Project Contingency'!$E$74-BI101</f>
        <v>0</v>
      </c>
      <c r="CE101" s="330">
        <f>'I-Project Contingency'!$E$75-BJ101</f>
        <v>0</v>
      </c>
      <c r="CF101" s="330">
        <f>'I-Project Contingency'!$E$76-BK101</f>
        <v>0</v>
      </c>
      <c r="CG101" s="330">
        <f>'I-Project Contingency'!$E$77-BL101</f>
        <v>0</v>
      </c>
      <c r="CH101" s="784">
        <f>'I-Project Contingency'!$E$78-BM101</f>
        <v>0</v>
      </c>
      <c r="CI101" s="330">
        <f>'I-Project Contingency'!$E$79-BN101</f>
        <v>0</v>
      </c>
      <c r="CJ101" s="330">
        <f>'I-Project Contingency'!$E$80-BO101</f>
        <v>0</v>
      </c>
      <c r="CK101" s="330">
        <f>'I-Project Contingency'!$E$81-BP101</f>
        <v>0</v>
      </c>
      <c r="CL101" s="331">
        <f>'I-Project Contingency'!$O$5-AG101</f>
        <v>0</v>
      </c>
      <c r="CM101" s="332">
        <v>-0.98711802853447173</v>
      </c>
      <c r="CN101" s="332">
        <v>-0.19547704728364468</v>
      </c>
      <c r="CO101" s="332">
        <v>0.126462150308498</v>
      </c>
      <c r="CP101" s="332">
        <v>0.45967989154545902</v>
      </c>
      <c r="CQ101" s="332">
        <v>0.78297319902744</v>
      </c>
      <c r="CR101" s="332">
        <v>1.0957191966482109</v>
      </c>
      <c r="CS101" s="332">
        <v>1.4418405003536849</v>
      </c>
      <c r="CT101" s="332">
        <v>1.801002404194165</v>
      </c>
      <c r="CU101" s="332">
        <v>2.1797608166947349</v>
      </c>
      <c r="CV101" s="332">
        <v>2.5671680610072478</v>
      </c>
      <c r="CW101" s="332">
        <v>2.9690760644797152</v>
      </c>
      <c r="CX101" s="332">
        <v>3.3964145469774811</v>
      </c>
      <c r="CY101" s="332">
        <v>3.864536087769562</v>
      </c>
      <c r="CZ101" s="332">
        <v>4.3569836138896116</v>
      </c>
      <c r="DA101" s="332">
        <v>4.8862357851222598</v>
      </c>
      <c r="DB101" s="332">
        <v>5.438836997347547</v>
      </c>
      <c r="DC101" s="332">
        <v>6.047993455908566</v>
      </c>
      <c r="DD101" s="785">
        <v>6.720204953601761</v>
      </c>
      <c r="DE101" s="333">
        <v>7.55131678090412</v>
      </c>
      <c r="DF101" s="332">
        <v>8.661446370835737</v>
      </c>
      <c r="DG101" s="332">
        <v>11.206316207857133</v>
      </c>
      <c r="DH101" s="332">
        <f>'I-Project Contingency'!$E$86-CM101</f>
        <v>0</v>
      </c>
      <c r="DI101" s="332">
        <f>'I-Project Contingency'!$E$87-CN101</f>
        <v>0</v>
      </c>
      <c r="DJ101" s="332">
        <f>'I-Project Contingency'!$E$88-CO101</f>
        <v>0</v>
      </c>
      <c r="DK101" s="332">
        <f>'I-Project Contingency'!$E$89-CP101</f>
        <v>0</v>
      </c>
      <c r="DL101" s="332">
        <f>'I-Project Contingency'!$E$90-CQ101</f>
        <v>0</v>
      </c>
      <c r="DM101" s="332">
        <f>'I-Project Contingency'!$E$91-CR101</f>
        <v>0</v>
      </c>
      <c r="DN101" s="332">
        <f>'I-Project Contingency'!$E$92-CS101</f>
        <v>0</v>
      </c>
      <c r="DO101" s="332">
        <f>'I-Project Contingency'!$E$93-CT101</f>
        <v>0</v>
      </c>
      <c r="DP101" s="332">
        <f>'I-Project Contingency'!$E$94-CU101</f>
        <v>0</v>
      </c>
      <c r="DQ101" s="332">
        <f>'I-Project Contingency'!$E$95-CV101</f>
        <v>0</v>
      </c>
      <c r="DR101" s="332">
        <f>'I-Project Contingency'!$E$96-CW101</f>
        <v>0</v>
      </c>
      <c r="DS101" s="332">
        <f>'I-Project Contingency'!$E$97-CX101</f>
        <v>0</v>
      </c>
      <c r="DT101" s="332">
        <f>'I-Project Contingency'!$E$98-CY101</f>
        <v>0</v>
      </c>
      <c r="DU101" s="332">
        <f>'I-Project Contingency'!$E$99-CZ101</f>
        <v>0</v>
      </c>
      <c r="DV101" s="332">
        <f>'I-Project Contingency'!$E$100-DA101</f>
        <v>0</v>
      </c>
      <c r="DW101" s="332">
        <f>'I-Project Contingency'!$E$101-DB101</f>
        <v>0</v>
      </c>
      <c r="DX101" s="332">
        <f>'I-Project Contingency'!$E$102-DC101</f>
        <v>0</v>
      </c>
      <c r="DY101" s="332">
        <f>'I-Project Contingency'!$E$103-DD101</f>
        <v>0</v>
      </c>
      <c r="DZ101" s="332">
        <f>'I-Project Contingency'!$E$104-DE101</f>
        <v>0</v>
      </c>
      <c r="EA101" s="332">
        <f>'I-Project Contingency'!$E$105-DF101</f>
        <v>0</v>
      </c>
      <c r="EB101" s="332">
        <f>'I-Project Contingency'!$E$106-DG101</f>
        <v>0</v>
      </c>
      <c r="EC101" s="334">
        <f>IF(EE101="N/A","N/A",ABS(INDEX(EE101:EY101,1,MATCH("ROM Cost Risk @ "&amp;'D-Project Data'!$C$6*100&amp;"%",$EE$17:$EY$17,0))))</f>
        <v>0</v>
      </c>
      <c r="ED101" s="335">
        <f>IF(EC101="N/A","N/A",RANK(EC101,$EC$18:$EC$117,0)+COUNTIF($EC$18:EC101,EC101)-1)</f>
        <v>84</v>
      </c>
      <c r="EE101" s="334">
        <f>IF(BQ101/SUM(BQ:BQ)*'I-Project Contingency'!$F$61=0,0,BQ101/SUM(BQ:BQ)*'I-Project Contingency'!$F$61)</f>
        <v>0</v>
      </c>
      <c r="EF101" s="334">
        <f>IF(BR101/SUM(BR:BR)*'I-Project Contingency'!$F$62=0,0,BR101/SUM(BR:BR)*'I-Project Contingency'!$F$62)</f>
        <v>0</v>
      </c>
      <c r="EG101" s="334">
        <f>IF(BS101/SUM(BS:BS)*'I-Project Contingency'!$F$63=0,0,BS101/SUM(BS:BS)*'I-Project Contingency'!$F$63)</f>
        <v>0</v>
      </c>
      <c r="EH101" s="334">
        <f>IF(BT101/SUM(BT:BT)*'I-Project Contingency'!$F$64=0,0,BT101/SUM(BT:BT)*'I-Project Contingency'!$F$64)</f>
        <v>0</v>
      </c>
      <c r="EI101" s="334">
        <f>IF(BU101/SUM(BU:BU)*'I-Project Contingency'!$F$65=0,0,BU101/SUM(BU:BU)*'I-Project Contingency'!$F$65)</f>
        <v>0</v>
      </c>
      <c r="EJ101" s="334">
        <f>IF(BV101/SUM(BV:BV)*'I-Project Contingency'!$F$66=0,0,BV101/SUM(BV:BV)*'I-Project Contingency'!$F$66)</f>
        <v>0</v>
      </c>
      <c r="EK101" s="334">
        <f>IF(BW101/SUM(BW:BW)*'I-Project Contingency'!$F$67=0,0,BW101/SUM(BW:BW)*'I-Project Contingency'!$F$67)</f>
        <v>0</v>
      </c>
      <c r="EL101" s="334">
        <f>IF(BX101/SUM(BX:BX)*'I-Project Contingency'!$F$68=0,0,BX101/SUM(BX:BX)*'I-Project Contingency'!$F$68)</f>
        <v>0</v>
      </c>
      <c r="EM101" s="334">
        <f>IF(BY101/SUM(BY:BY)*'I-Project Contingency'!$F$69=0,0,BY101/SUM(BY:BY)*'I-Project Contingency'!$F$69)</f>
        <v>0</v>
      </c>
      <c r="EN101" s="334">
        <f>IF(BZ101/SUM(BZ:BZ)*'I-Project Contingency'!$F$70=0,0,BZ101/SUM(BZ:BZ)*'I-Project Contingency'!$F$70)</f>
        <v>0</v>
      </c>
      <c r="EO101" s="334">
        <f>IF(CA101/SUM(CA:CA)*'I-Project Contingency'!$F$71=0,0,CA101/SUM(CA:CA)*'I-Project Contingency'!$F$71)</f>
        <v>0</v>
      </c>
      <c r="EP101" s="334">
        <f>IF(CB101/SUM(CB:CB)*'I-Project Contingency'!$F$72=0,0,CB101/SUM(CB:CB)*'I-Project Contingency'!$F$72)</f>
        <v>0</v>
      </c>
      <c r="EQ101" s="334">
        <f>IF(CC101/SUM(CC:CC)*'I-Project Contingency'!$F$73=0,0,CC101/SUM(CC:CC)*'I-Project Contingency'!$F$73)</f>
        <v>0</v>
      </c>
      <c r="ER101" s="334">
        <f>IF(CD101/SUM(CD:CD)*'I-Project Contingency'!$F$74=0,0,CD101/SUM(CD:CD)*'I-Project Contingency'!$F$74)</f>
        <v>0</v>
      </c>
      <c r="ES101" s="334">
        <f>IF(CE101/SUM(CE:CE)*'I-Project Contingency'!$F$75=0,0,CE101/SUM(CE:CE)*'I-Project Contingency'!$F$75)</f>
        <v>0</v>
      </c>
      <c r="ET101" s="334">
        <f>IF(CF101/SUM(CF:CF)*'I-Project Contingency'!$F$76=0,0,CF101/SUM(CF:CF)*'I-Project Contingency'!$F$76)</f>
        <v>0</v>
      </c>
      <c r="EU101" s="334">
        <f>IF(CG101/SUM(CG:CG)*'I-Project Contingency'!$F$77=0,0,CG101/SUM(CG:CG)*'I-Project Contingency'!$F$77)</f>
        <v>0</v>
      </c>
      <c r="EV101" s="787">
        <f>IF(CH101/SUM(CH:CH)*'I-Project Contingency'!$F$78=0,0,CH101/SUM(CH:CH)*'I-Project Contingency'!$F$78)</f>
        <v>0</v>
      </c>
      <c r="EW101" s="787">
        <f>IF(CI101/SUM(CI:CI)*'I-Project Contingency'!$F$79=0,0,CI101/SUM(CI:CI)*'I-Project Contingency'!$F$79)</f>
        <v>0</v>
      </c>
      <c r="EX101" s="787">
        <f>IF(CJ101/SUM(CJ:CJ)*'I-Project Contingency'!$F$80=0,0,CJ101/SUM(CJ:CJ)*'I-Project Contingency'!$F$80)</f>
        <v>0</v>
      </c>
      <c r="EY101" s="787">
        <f>IF(CK101/SUM(CK:CK)*'I-Project Contingency'!$F$81=0,0,CK101/SUM(CK:CK)*'I-Project Contingency'!$F$81)</f>
        <v>0</v>
      </c>
      <c r="EZ101" s="333">
        <f>IF(FB101="N/A","N/A",ABS(INDEX(FB101:FV101,1,MATCH("ROM Schedule Risk @ "&amp;'D-Project Data'!$C$6*100&amp;"%",$FB$17:$FV$17,0))))</f>
        <v>0</v>
      </c>
      <c r="FA101" s="335">
        <f>IF(EZ101="N/A","N/A",RANK(EZ101,$EZ$18:$EZ$117,0)+COUNTIF($FB$18:FB101,FB101)-1)</f>
        <v>84</v>
      </c>
      <c r="FB101" s="788">
        <f>IF(DH101/SUM(DH:DH)*'I-Project Contingency'!$F$86=0,0,DH101/SUM(DH:DH)*'I-Project Contingency'!$F$86)</f>
        <v>0</v>
      </c>
      <c r="FC101" s="788">
        <f>IF(DI101/SUM(DI:DI)*'I-Project Contingency'!$F$87=0,0,DI101/SUM(DI:DI)*'I-Project Contingency'!$F$87)</f>
        <v>0</v>
      </c>
      <c r="FD101" s="788">
        <f>IF(DJ101/SUM(DJ:DJ)*'I-Project Contingency'!$F$88=0,0,DJ101/SUM(DJ:DJ)*'I-Project Contingency'!$F$88)</f>
        <v>0</v>
      </c>
      <c r="FE101" s="788">
        <f>IF(DK101/SUM(DK:DK)*'I-Project Contingency'!$F$89=0,0,DK101/SUM(DK:DK)*'I-Project Contingency'!$F$89)</f>
        <v>0</v>
      </c>
      <c r="FF101" s="788">
        <f>IF(DL101/SUM(DL:DL)*'I-Project Contingency'!$F$90=0,0,DL101/SUM(DL:DL)*'I-Project Contingency'!$F$90)</f>
        <v>0</v>
      </c>
      <c r="FG101" s="788">
        <f>IF(DM101/SUM(DM:DM)*'I-Project Contingency'!$F$91=0,0,DM101/SUM(DM:DM)*'I-Project Contingency'!$F$91)</f>
        <v>0</v>
      </c>
      <c r="FH101" s="788">
        <f>IF(DN101/SUM(DN:DN)*'I-Project Contingency'!$F$92=0,0,DN101/SUM(DN:DN)*'I-Project Contingency'!$F$92)</f>
        <v>0</v>
      </c>
      <c r="FI101" s="788">
        <f>IF(DO101/SUM(DO:DO)*'I-Project Contingency'!$F$93=0,0,DO101/SUM(DO:DO)*'I-Project Contingency'!$F$93)</f>
        <v>0</v>
      </c>
      <c r="FJ101" s="788">
        <f>IF(DP101/SUM(DP:DP)*'I-Project Contingency'!$F$94=0,0,DP101/SUM(DP:DP)*'I-Project Contingency'!$F$94)</f>
        <v>0</v>
      </c>
      <c r="FK101" s="788">
        <f>IF(DQ101/SUM(DQ:DQ)*'I-Project Contingency'!$F$95=0,0,DQ101/SUM(DQ:DQ)*'I-Project Contingency'!$F$95)</f>
        <v>0</v>
      </c>
      <c r="FL101" s="788">
        <f>IF(DR101/SUM(DR:DR)*'I-Project Contingency'!$F$96=0,0,DR101/SUM(DR:DR)*'I-Project Contingency'!$F$96)</f>
        <v>0</v>
      </c>
      <c r="FM101" s="788">
        <f>IF(DS101/SUM(DS:DS)*'I-Project Contingency'!$F$97=0,0,DS101/SUM(DS:DS)*'I-Project Contingency'!$F$97)</f>
        <v>0</v>
      </c>
      <c r="FN101" s="788">
        <f>IF(DT101/SUM(DT:DT)*'I-Project Contingency'!$F$98=0,0,DT101/SUM(DT:DT)*'I-Project Contingency'!$F$98)</f>
        <v>0</v>
      </c>
      <c r="FO101" s="788">
        <f>IF(DU101/SUM(DU:DU)*'I-Project Contingency'!$F$99=0,0,DU101/SUM(DU:DU)*'I-Project Contingency'!$F$99)</f>
        <v>0</v>
      </c>
      <c r="FP101" s="788">
        <f>IF(DV101/SUM(DV:DV)*'I-Project Contingency'!$F$100=0,0,DV101/SUM(DV:DV)*'I-Project Contingency'!$F$100)</f>
        <v>0</v>
      </c>
      <c r="FQ101" s="788">
        <f>IF(DW101/SUM(DW:DW)*'I-Project Contingency'!$F$101=0,0,DW101/SUM(DW:DW)*'I-Project Contingency'!$F$101)</f>
        <v>0</v>
      </c>
      <c r="FR101" s="788">
        <f>IF(DX101/SUM(DX:DX)*'I-Project Contingency'!$F$102=0,0,DX101/SUM(DX:DX)*'I-Project Contingency'!$F$102)</f>
        <v>0</v>
      </c>
      <c r="FS101" s="788">
        <f>IF(DY101/SUM(DY:DY)*'I-Project Contingency'!$F$103=0,0,DY101/SUM(DY:DY)*'I-Project Contingency'!$F$103)</f>
        <v>0</v>
      </c>
      <c r="FT101" s="788">
        <f>IF(DZ101/SUM(DZ:DZ)*'I-Project Contingency'!$F$104=0,0,DZ101/SUM(DZ:DZ)*'I-Project Contingency'!$F$104)</f>
        <v>0</v>
      </c>
      <c r="FU101" s="788">
        <f>IF(EA101/SUM(EA:EA)*'I-Project Contingency'!$F$105=0,0,EA101/SUM(EA:EA)*'I-Project Contingency'!$F$105)</f>
        <v>0</v>
      </c>
      <c r="FV101" s="788">
        <f>IF(EB101/SUM(EB:EB)*'I-Project Contingency'!$F$106=0,0,EB101/SUM(EB:EB)*'I-Project Contingency'!$F$106)</f>
        <v>0</v>
      </c>
      <c r="FW101" s="335">
        <f t="shared" si="52"/>
        <v>84</v>
      </c>
      <c r="FX101" s="336" t="str">
        <f t="shared" si="53"/>
        <v xml:space="preserve">84 -  </v>
      </c>
      <c r="FY101" s="330">
        <f t="shared" si="43"/>
        <v>0</v>
      </c>
      <c r="FZ101" s="330">
        <f t="shared" si="44"/>
        <v>0</v>
      </c>
      <c r="GA101" s="332">
        <f t="shared" si="54"/>
        <v>0</v>
      </c>
      <c r="GB101" s="332">
        <f t="shared" si="55"/>
        <v>0</v>
      </c>
    </row>
    <row r="102" spans="1:184" ht="30" x14ac:dyDescent="0.25">
      <c r="A102" s="163">
        <f t="shared" si="23"/>
        <v>85</v>
      </c>
      <c r="B102" s="727" t="s">
        <v>728</v>
      </c>
      <c r="C102" s="729" t="s">
        <v>659</v>
      </c>
      <c r="D102" s="729" t="s">
        <v>659</v>
      </c>
      <c r="E102" s="729" t="s">
        <v>659</v>
      </c>
      <c r="F102" s="728" t="s">
        <v>728</v>
      </c>
      <c r="G102" s="728" t="s">
        <v>728</v>
      </c>
      <c r="H102" s="157" t="str">
        <f>IFERROR(IF('H-Risk Register-Model'!F102="Certain","Relook at Basis of Estimate",INDEX('G-Assumptions'!$F$8:$J$11,MATCH(F102,'G-Assumptions'!$D$8:$D$11,0),MATCH(G102,'G-Assumptions'!$F$6:$J$6,0))),"Unrated")</f>
        <v>Unrated</v>
      </c>
      <c r="I102" s="728" t="s">
        <v>728</v>
      </c>
      <c r="J102" s="157" t="str">
        <f>IFERROR(IF('H-Risk Register-Model'!F102="Certain","Relook at Basis of Estimate",INDEX('G-Assumptions'!$F$8:$J$11,MATCH(F102,'G-Assumptions'!$D$8:$D$11,0),MATCH(I102,'G-Assumptions'!$F$6:$J$6,0))),"Unrated")</f>
        <v>Unrated</v>
      </c>
      <c r="K102" s="728" t="s">
        <v>728</v>
      </c>
      <c r="L102" s="728" t="s">
        <v>728</v>
      </c>
      <c r="M102" s="728"/>
      <c r="N102" s="731" t="s">
        <v>728</v>
      </c>
      <c r="O102" s="731" t="s">
        <v>728</v>
      </c>
      <c r="P102" s="732"/>
      <c r="Q102" s="732"/>
      <c r="R102" s="732"/>
      <c r="S102" s="733"/>
      <c r="T102" s="733"/>
      <c r="U102" s="733"/>
      <c r="V102" s="734"/>
      <c r="W102" s="732"/>
      <c r="X102" s="732"/>
      <c r="Y102" s="735">
        <v>1</v>
      </c>
      <c r="Z102" s="736">
        <v>1</v>
      </c>
      <c r="AA102" s="166">
        <f t="shared" si="56"/>
        <v>0</v>
      </c>
      <c r="AB102" s="166">
        <f t="shared" si="57"/>
        <v>0</v>
      </c>
      <c r="AC102" s="166">
        <f t="shared" si="58"/>
        <v>0</v>
      </c>
      <c r="AD102" s="166"/>
      <c r="AE102" s="164">
        <f t="shared" si="41"/>
        <v>0</v>
      </c>
      <c r="AF102" s="167"/>
      <c r="AG102" s="165">
        <f t="shared" si="42"/>
        <v>0</v>
      </c>
      <c r="AH102" s="729"/>
      <c r="AI102" s="729"/>
      <c r="AJ102" s="8"/>
      <c r="AK102" s="495" t="str">
        <f t="shared" si="45"/>
        <v>No</v>
      </c>
      <c r="AL102" s="496">
        <f>'I-Project Contingency'!$I$4</f>
        <v>9000000</v>
      </c>
      <c r="AM102" s="326">
        <f>'I-Project Contingency'!$I$11</f>
        <v>23.978102189781023</v>
      </c>
      <c r="AN102" s="325">
        <f t="shared" si="46"/>
        <v>0</v>
      </c>
      <c r="AO102" s="326">
        <f t="shared" si="47"/>
        <v>0</v>
      </c>
      <c r="AP102" s="641" t="str">
        <f t="shared" si="48"/>
        <v/>
      </c>
      <c r="AQ102" s="641" t="str">
        <f t="shared" si="49"/>
        <v/>
      </c>
      <c r="AR102" s="497" t="str">
        <f t="shared" si="50"/>
        <v/>
      </c>
      <c r="AS102" s="497" t="str">
        <f t="shared" si="51"/>
        <v/>
      </c>
      <c r="AT102" s="8"/>
      <c r="AU102" s="329">
        <f>'I-Project Contingency'!$O$4-AE102</f>
        <v>0</v>
      </c>
      <c r="AV102" s="330">
        <v>-240515.59579276721</v>
      </c>
      <c r="AW102" s="330">
        <v>28172.931401335634</v>
      </c>
      <c r="AX102" s="330">
        <v>193478.84467429668</v>
      </c>
      <c r="AY102" s="330">
        <v>361668.20104834624</v>
      </c>
      <c r="AZ102" s="330">
        <v>524446.91524262261</v>
      </c>
      <c r="BA102" s="330">
        <v>704023.56387635041</v>
      </c>
      <c r="BB102" s="330">
        <v>886394.06956240814</v>
      </c>
      <c r="BC102" s="330">
        <v>1079363.7165157665</v>
      </c>
      <c r="BD102" s="330">
        <v>1280180.1532065615</v>
      </c>
      <c r="BE102" s="330">
        <v>1485323.8019108465</v>
      </c>
      <c r="BF102" s="330">
        <v>1703758.8827524669</v>
      </c>
      <c r="BG102" s="330">
        <v>1949523.4346483489</v>
      </c>
      <c r="BH102" s="330">
        <v>2177897.1603371189</v>
      </c>
      <c r="BI102" s="330">
        <v>2429374.4260425912</v>
      </c>
      <c r="BJ102" s="330">
        <v>2717092.7449284913</v>
      </c>
      <c r="BK102" s="330">
        <v>3010093.6968918457</v>
      </c>
      <c r="BL102" s="330">
        <v>3325414.5894657462</v>
      </c>
      <c r="BM102" s="330">
        <v>3690425.9159493577</v>
      </c>
      <c r="BN102" s="330">
        <v>4143935.1706127762</v>
      </c>
      <c r="BO102" s="330">
        <v>4722651.1159141911</v>
      </c>
      <c r="BP102" s="330">
        <v>5992048.8629153483</v>
      </c>
      <c r="BQ102" s="330">
        <f>'I-Project Contingency'!$E$61-AV102</f>
        <v>0</v>
      </c>
      <c r="BR102" s="330">
        <f>'I-Project Contingency'!$E$62-AW102</f>
        <v>0</v>
      </c>
      <c r="BS102" s="330">
        <f>'I-Project Contingency'!$E$63-AX102</f>
        <v>0</v>
      </c>
      <c r="BT102" s="330">
        <f>'I-Project Contingency'!$E$64-AY102</f>
        <v>0</v>
      </c>
      <c r="BU102" s="330">
        <f>'I-Project Contingency'!$E$65-AZ102</f>
        <v>0</v>
      </c>
      <c r="BV102" s="330">
        <f>'I-Project Contingency'!$E$66-BA102</f>
        <v>0</v>
      </c>
      <c r="BW102" s="330">
        <f>'I-Project Contingency'!$E$67-BB102</f>
        <v>0</v>
      </c>
      <c r="BX102" s="330">
        <f>'I-Project Contingency'!$E$68-BC102</f>
        <v>0</v>
      </c>
      <c r="BY102" s="330">
        <f>'I-Project Contingency'!$E$69-BD102</f>
        <v>0</v>
      </c>
      <c r="BZ102" s="330">
        <f>'I-Project Contingency'!$E$70-BE102</f>
        <v>0</v>
      </c>
      <c r="CA102" s="330">
        <f>'I-Project Contingency'!$E$71-BF102</f>
        <v>0</v>
      </c>
      <c r="CB102" s="330">
        <f>'I-Project Contingency'!$E$72-BG102</f>
        <v>0</v>
      </c>
      <c r="CC102" s="330">
        <f>'I-Project Contingency'!$E$73-BH102</f>
        <v>0</v>
      </c>
      <c r="CD102" s="330">
        <f>'I-Project Contingency'!$E$74-BI102</f>
        <v>0</v>
      </c>
      <c r="CE102" s="330">
        <f>'I-Project Contingency'!$E$75-BJ102</f>
        <v>0</v>
      </c>
      <c r="CF102" s="330">
        <f>'I-Project Contingency'!$E$76-BK102</f>
        <v>0</v>
      </c>
      <c r="CG102" s="330">
        <f>'I-Project Contingency'!$E$77-BL102</f>
        <v>0</v>
      </c>
      <c r="CH102" s="784">
        <f>'I-Project Contingency'!$E$78-BM102</f>
        <v>0</v>
      </c>
      <c r="CI102" s="330">
        <f>'I-Project Contingency'!$E$79-BN102</f>
        <v>0</v>
      </c>
      <c r="CJ102" s="330">
        <f>'I-Project Contingency'!$E$80-BO102</f>
        <v>0</v>
      </c>
      <c r="CK102" s="330">
        <f>'I-Project Contingency'!$E$81-BP102</f>
        <v>0</v>
      </c>
      <c r="CL102" s="331">
        <f>'I-Project Contingency'!$O$5-AG102</f>
        <v>0</v>
      </c>
      <c r="CM102" s="332">
        <v>-0.98711802853447173</v>
      </c>
      <c r="CN102" s="332">
        <v>-0.19547704728364468</v>
      </c>
      <c r="CO102" s="332">
        <v>0.126462150308498</v>
      </c>
      <c r="CP102" s="332">
        <v>0.45967989154545902</v>
      </c>
      <c r="CQ102" s="332">
        <v>0.78297319902744</v>
      </c>
      <c r="CR102" s="332">
        <v>1.0957191966482109</v>
      </c>
      <c r="CS102" s="332">
        <v>1.4418405003536849</v>
      </c>
      <c r="CT102" s="332">
        <v>1.801002404194165</v>
      </c>
      <c r="CU102" s="332">
        <v>2.1797608166947349</v>
      </c>
      <c r="CV102" s="332">
        <v>2.5671680610072478</v>
      </c>
      <c r="CW102" s="332">
        <v>2.9690760644797152</v>
      </c>
      <c r="CX102" s="332">
        <v>3.3964145469774811</v>
      </c>
      <c r="CY102" s="332">
        <v>3.864536087769562</v>
      </c>
      <c r="CZ102" s="332">
        <v>4.3569836138896116</v>
      </c>
      <c r="DA102" s="332">
        <v>4.8862357851222598</v>
      </c>
      <c r="DB102" s="332">
        <v>5.438836997347547</v>
      </c>
      <c r="DC102" s="332">
        <v>6.047993455908566</v>
      </c>
      <c r="DD102" s="785">
        <v>6.720204953601761</v>
      </c>
      <c r="DE102" s="333">
        <v>7.55131678090412</v>
      </c>
      <c r="DF102" s="332">
        <v>8.661446370835737</v>
      </c>
      <c r="DG102" s="332">
        <v>11.206316207857133</v>
      </c>
      <c r="DH102" s="332">
        <f>'I-Project Contingency'!$E$86-CM102</f>
        <v>0</v>
      </c>
      <c r="DI102" s="332">
        <f>'I-Project Contingency'!$E$87-CN102</f>
        <v>0</v>
      </c>
      <c r="DJ102" s="332">
        <f>'I-Project Contingency'!$E$88-CO102</f>
        <v>0</v>
      </c>
      <c r="DK102" s="332">
        <f>'I-Project Contingency'!$E$89-CP102</f>
        <v>0</v>
      </c>
      <c r="DL102" s="332">
        <f>'I-Project Contingency'!$E$90-CQ102</f>
        <v>0</v>
      </c>
      <c r="DM102" s="332">
        <f>'I-Project Contingency'!$E$91-CR102</f>
        <v>0</v>
      </c>
      <c r="DN102" s="332">
        <f>'I-Project Contingency'!$E$92-CS102</f>
        <v>0</v>
      </c>
      <c r="DO102" s="332">
        <f>'I-Project Contingency'!$E$93-CT102</f>
        <v>0</v>
      </c>
      <c r="DP102" s="332">
        <f>'I-Project Contingency'!$E$94-CU102</f>
        <v>0</v>
      </c>
      <c r="DQ102" s="332">
        <f>'I-Project Contingency'!$E$95-CV102</f>
        <v>0</v>
      </c>
      <c r="DR102" s="332">
        <f>'I-Project Contingency'!$E$96-CW102</f>
        <v>0</v>
      </c>
      <c r="DS102" s="332">
        <f>'I-Project Contingency'!$E$97-CX102</f>
        <v>0</v>
      </c>
      <c r="DT102" s="332">
        <f>'I-Project Contingency'!$E$98-CY102</f>
        <v>0</v>
      </c>
      <c r="DU102" s="332">
        <f>'I-Project Contingency'!$E$99-CZ102</f>
        <v>0</v>
      </c>
      <c r="DV102" s="332">
        <f>'I-Project Contingency'!$E$100-DA102</f>
        <v>0</v>
      </c>
      <c r="DW102" s="332">
        <f>'I-Project Contingency'!$E$101-DB102</f>
        <v>0</v>
      </c>
      <c r="DX102" s="332">
        <f>'I-Project Contingency'!$E$102-DC102</f>
        <v>0</v>
      </c>
      <c r="DY102" s="332">
        <f>'I-Project Contingency'!$E$103-DD102</f>
        <v>0</v>
      </c>
      <c r="DZ102" s="332">
        <f>'I-Project Contingency'!$E$104-DE102</f>
        <v>0</v>
      </c>
      <c r="EA102" s="332">
        <f>'I-Project Contingency'!$E$105-DF102</f>
        <v>0</v>
      </c>
      <c r="EB102" s="332">
        <f>'I-Project Contingency'!$E$106-DG102</f>
        <v>0</v>
      </c>
      <c r="EC102" s="334">
        <f>IF(EE102="N/A","N/A",ABS(INDEX(EE102:EY102,1,MATCH("ROM Cost Risk @ "&amp;'D-Project Data'!$C$6*100&amp;"%",$EE$17:$EY$17,0))))</f>
        <v>0</v>
      </c>
      <c r="ED102" s="335">
        <f>IF(EC102="N/A","N/A",RANK(EC102,$EC$18:$EC$117,0)+COUNTIF($EC$18:EC102,EC102)-1)</f>
        <v>85</v>
      </c>
      <c r="EE102" s="334">
        <f>IF(BQ102/SUM(BQ:BQ)*'I-Project Contingency'!$F$61=0,0,BQ102/SUM(BQ:BQ)*'I-Project Contingency'!$F$61)</f>
        <v>0</v>
      </c>
      <c r="EF102" s="334">
        <f>IF(BR102/SUM(BR:BR)*'I-Project Contingency'!$F$62=0,0,BR102/SUM(BR:BR)*'I-Project Contingency'!$F$62)</f>
        <v>0</v>
      </c>
      <c r="EG102" s="334">
        <f>IF(BS102/SUM(BS:BS)*'I-Project Contingency'!$F$63=0,0,BS102/SUM(BS:BS)*'I-Project Contingency'!$F$63)</f>
        <v>0</v>
      </c>
      <c r="EH102" s="334">
        <f>IF(BT102/SUM(BT:BT)*'I-Project Contingency'!$F$64=0,0,BT102/SUM(BT:BT)*'I-Project Contingency'!$F$64)</f>
        <v>0</v>
      </c>
      <c r="EI102" s="334">
        <f>IF(BU102/SUM(BU:BU)*'I-Project Contingency'!$F$65=0,0,BU102/SUM(BU:BU)*'I-Project Contingency'!$F$65)</f>
        <v>0</v>
      </c>
      <c r="EJ102" s="334">
        <f>IF(BV102/SUM(BV:BV)*'I-Project Contingency'!$F$66=0,0,BV102/SUM(BV:BV)*'I-Project Contingency'!$F$66)</f>
        <v>0</v>
      </c>
      <c r="EK102" s="334">
        <f>IF(BW102/SUM(BW:BW)*'I-Project Contingency'!$F$67=0,0,BW102/SUM(BW:BW)*'I-Project Contingency'!$F$67)</f>
        <v>0</v>
      </c>
      <c r="EL102" s="334">
        <f>IF(BX102/SUM(BX:BX)*'I-Project Contingency'!$F$68=0,0,BX102/SUM(BX:BX)*'I-Project Contingency'!$F$68)</f>
        <v>0</v>
      </c>
      <c r="EM102" s="334">
        <f>IF(BY102/SUM(BY:BY)*'I-Project Contingency'!$F$69=0,0,BY102/SUM(BY:BY)*'I-Project Contingency'!$F$69)</f>
        <v>0</v>
      </c>
      <c r="EN102" s="334">
        <f>IF(BZ102/SUM(BZ:BZ)*'I-Project Contingency'!$F$70=0,0,BZ102/SUM(BZ:BZ)*'I-Project Contingency'!$F$70)</f>
        <v>0</v>
      </c>
      <c r="EO102" s="334">
        <f>IF(CA102/SUM(CA:CA)*'I-Project Contingency'!$F$71=0,0,CA102/SUM(CA:CA)*'I-Project Contingency'!$F$71)</f>
        <v>0</v>
      </c>
      <c r="EP102" s="334">
        <f>IF(CB102/SUM(CB:CB)*'I-Project Contingency'!$F$72=0,0,CB102/SUM(CB:CB)*'I-Project Contingency'!$F$72)</f>
        <v>0</v>
      </c>
      <c r="EQ102" s="334">
        <f>IF(CC102/SUM(CC:CC)*'I-Project Contingency'!$F$73=0,0,CC102/SUM(CC:CC)*'I-Project Contingency'!$F$73)</f>
        <v>0</v>
      </c>
      <c r="ER102" s="334">
        <f>IF(CD102/SUM(CD:CD)*'I-Project Contingency'!$F$74=0,0,CD102/SUM(CD:CD)*'I-Project Contingency'!$F$74)</f>
        <v>0</v>
      </c>
      <c r="ES102" s="334">
        <f>IF(CE102/SUM(CE:CE)*'I-Project Contingency'!$F$75=0,0,CE102/SUM(CE:CE)*'I-Project Contingency'!$F$75)</f>
        <v>0</v>
      </c>
      <c r="ET102" s="334">
        <f>IF(CF102/SUM(CF:CF)*'I-Project Contingency'!$F$76=0,0,CF102/SUM(CF:CF)*'I-Project Contingency'!$F$76)</f>
        <v>0</v>
      </c>
      <c r="EU102" s="334">
        <f>IF(CG102/SUM(CG:CG)*'I-Project Contingency'!$F$77=0,0,CG102/SUM(CG:CG)*'I-Project Contingency'!$F$77)</f>
        <v>0</v>
      </c>
      <c r="EV102" s="787">
        <f>IF(CH102/SUM(CH:CH)*'I-Project Contingency'!$F$78=0,0,CH102/SUM(CH:CH)*'I-Project Contingency'!$F$78)</f>
        <v>0</v>
      </c>
      <c r="EW102" s="787">
        <f>IF(CI102/SUM(CI:CI)*'I-Project Contingency'!$F$79=0,0,CI102/SUM(CI:CI)*'I-Project Contingency'!$F$79)</f>
        <v>0</v>
      </c>
      <c r="EX102" s="787">
        <f>IF(CJ102/SUM(CJ:CJ)*'I-Project Contingency'!$F$80=0,0,CJ102/SUM(CJ:CJ)*'I-Project Contingency'!$F$80)</f>
        <v>0</v>
      </c>
      <c r="EY102" s="787">
        <f>IF(CK102/SUM(CK:CK)*'I-Project Contingency'!$F$81=0,0,CK102/SUM(CK:CK)*'I-Project Contingency'!$F$81)</f>
        <v>0</v>
      </c>
      <c r="EZ102" s="333">
        <f>IF(FB102="N/A","N/A",ABS(INDEX(FB102:FV102,1,MATCH("ROM Schedule Risk @ "&amp;'D-Project Data'!$C$6*100&amp;"%",$FB$17:$FV$17,0))))</f>
        <v>0</v>
      </c>
      <c r="FA102" s="335">
        <f>IF(EZ102="N/A","N/A",RANK(EZ102,$EZ$18:$EZ$117,0)+COUNTIF($FB$18:FB102,FB102)-1)</f>
        <v>85</v>
      </c>
      <c r="FB102" s="788">
        <f>IF(DH102/SUM(DH:DH)*'I-Project Contingency'!$F$86=0,0,DH102/SUM(DH:DH)*'I-Project Contingency'!$F$86)</f>
        <v>0</v>
      </c>
      <c r="FC102" s="788">
        <f>IF(DI102/SUM(DI:DI)*'I-Project Contingency'!$F$87=0,0,DI102/SUM(DI:DI)*'I-Project Contingency'!$F$87)</f>
        <v>0</v>
      </c>
      <c r="FD102" s="788">
        <f>IF(DJ102/SUM(DJ:DJ)*'I-Project Contingency'!$F$88=0,0,DJ102/SUM(DJ:DJ)*'I-Project Contingency'!$F$88)</f>
        <v>0</v>
      </c>
      <c r="FE102" s="788">
        <f>IF(DK102/SUM(DK:DK)*'I-Project Contingency'!$F$89=0,0,DK102/SUM(DK:DK)*'I-Project Contingency'!$F$89)</f>
        <v>0</v>
      </c>
      <c r="FF102" s="788">
        <f>IF(DL102/SUM(DL:DL)*'I-Project Contingency'!$F$90=0,0,DL102/SUM(DL:DL)*'I-Project Contingency'!$F$90)</f>
        <v>0</v>
      </c>
      <c r="FG102" s="788">
        <f>IF(DM102/SUM(DM:DM)*'I-Project Contingency'!$F$91=0,0,DM102/SUM(DM:DM)*'I-Project Contingency'!$F$91)</f>
        <v>0</v>
      </c>
      <c r="FH102" s="788">
        <f>IF(DN102/SUM(DN:DN)*'I-Project Contingency'!$F$92=0,0,DN102/SUM(DN:DN)*'I-Project Contingency'!$F$92)</f>
        <v>0</v>
      </c>
      <c r="FI102" s="788">
        <f>IF(DO102/SUM(DO:DO)*'I-Project Contingency'!$F$93=0,0,DO102/SUM(DO:DO)*'I-Project Contingency'!$F$93)</f>
        <v>0</v>
      </c>
      <c r="FJ102" s="788">
        <f>IF(DP102/SUM(DP:DP)*'I-Project Contingency'!$F$94=0,0,DP102/SUM(DP:DP)*'I-Project Contingency'!$F$94)</f>
        <v>0</v>
      </c>
      <c r="FK102" s="788">
        <f>IF(DQ102/SUM(DQ:DQ)*'I-Project Contingency'!$F$95=0,0,DQ102/SUM(DQ:DQ)*'I-Project Contingency'!$F$95)</f>
        <v>0</v>
      </c>
      <c r="FL102" s="788">
        <f>IF(DR102/SUM(DR:DR)*'I-Project Contingency'!$F$96=0,0,DR102/SUM(DR:DR)*'I-Project Contingency'!$F$96)</f>
        <v>0</v>
      </c>
      <c r="FM102" s="788">
        <f>IF(DS102/SUM(DS:DS)*'I-Project Contingency'!$F$97=0,0,DS102/SUM(DS:DS)*'I-Project Contingency'!$F$97)</f>
        <v>0</v>
      </c>
      <c r="FN102" s="788">
        <f>IF(DT102/SUM(DT:DT)*'I-Project Contingency'!$F$98=0,0,DT102/SUM(DT:DT)*'I-Project Contingency'!$F$98)</f>
        <v>0</v>
      </c>
      <c r="FO102" s="788">
        <f>IF(DU102/SUM(DU:DU)*'I-Project Contingency'!$F$99=0,0,DU102/SUM(DU:DU)*'I-Project Contingency'!$F$99)</f>
        <v>0</v>
      </c>
      <c r="FP102" s="788">
        <f>IF(DV102/SUM(DV:DV)*'I-Project Contingency'!$F$100=0,0,DV102/SUM(DV:DV)*'I-Project Contingency'!$F$100)</f>
        <v>0</v>
      </c>
      <c r="FQ102" s="788">
        <f>IF(DW102/SUM(DW:DW)*'I-Project Contingency'!$F$101=0,0,DW102/SUM(DW:DW)*'I-Project Contingency'!$F$101)</f>
        <v>0</v>
      </c>
      <c r="FR102" s="788">
        <f>IF(DX102/SUM(DX:DX)*'I-Project Contingency'!$F$102=0,0,DX102/SUM(DX:DX)*'I-Project Contingency'!$F$102)</f>
        <v>0</v>
      </c>
      <c r="FS102" s="788">
        <f>IF(DY102/SUM(DY:DY)*'I-Project Contingency'!$F$103=0,0,DY102/SUM(DY:DY)*'I-Project Contingency'!$F$103)</f>
        <v>0</v>
      </c>
      <c r="FT102" s="788">
        <f>IF(DZ102/SUM(DZ:DZ)*'I-Project Contingency'!$F$104=0,0,DZ102/SUM(DZ:DZ)*'I-Project Contingency'!$F$104)</f>
        <v>0</v>
      </c>
      <c r="FU102" s="788">
        <f>IF(EA102/SUM(EA:EA)*'I-Project Contingency'!$F$105=0,0,EA102/SUM(EA:EA)*'I-Project Contingency'!$F$105)</f>
        <v>0</v>
      </c>
      <c r="FV102" s="788">
        <f>IF(EB102/SUM(EB:EB)*'I-Project Contingency'!$F$106=0,0,EB102/SUM(EB:EB)*'I-Project Contingency'!$F$106)</f>
        <v>0</v>
      </c>
      <c r="FW102" s="335">
        <f t="shared" si="52"/>
        <v>85</v>
      </c>
      <c r="FX102" s="336" t="str">
        <f t="shared" si="53"/>
        <v xml:space="preserve">85 -  </v>
      </c>
      <c r="FY102" s="330">
        <f t="shared" si="43"/>
        <v>0</v>
      </c>
      <c r="FZ102" s="330">
        <f t="shared" si="44"/>
        <v>0</v>
      </c>
      <c r="GA102" s="332">
        <f t="shared" si="54"/>
        <v>0</v>
      </c>
      <c r="GB102" s="332">
        <f t="shared" si="55"/>
        <v>0</v>
      </c>
    </row>
    <row r="103" spans="1:184" ht="30" x14ac:dyDescent="0.25">
      <c r="A103" s="163">
        <f t="shared" si="23"/>
        <v>86</v>
      </c>
      <c r="B103" s="727" t="s">
        <v>728</v>
      </c>
      <c r="C103" s="729" t="s">
        <v>659</v>
      </c>
      <c r="D103" s="729" t="s">
        <v>659</v>
      </c>
      <c r="E103" s="729" t="s">
        <v>659</v>
      </c>
      <c r="F103" s="728" t="s">
        <v>728</v>
      </c>
      <c r="G103" s="728" t="s">
        <v>728</v>
      </c>
      <c r="H103" s="157" t="str">
        <f>IFERROR(IF('H-Risk Register-Model'!F103="Certain","Relook at Basis of Estimate",INDEX('G-Assumptions'!$F$8:$J$11,MATCH(F103,'G-Assumptions'!$D$8:$D$11,0),MATCH(G103,'G-Assumptions'!$F$6:$J$6,0))),"Unrated")</f>
        <v>Unrated</v>
      </c>
      <c r="I103" s="728" t="s">
        <v>728</v>
      </c>
      <c r="J103" s="157" t="str">
        <f>IFERROR(IF('H-Risk Register-Model'!F103="Certain","Relook at Basis of Estimate",INDEX('G-Assumptions'!$F$8:$J$11,MATCH(F103,'G-Assumptions'!$D$8:$D$11,0),MATCH(I103,'G-Assumptions'!$F$6:$J$6,0))),"Unrated")</f>
        <v>Unrated</v>
      </c>
      <c r="K103" s="728" t="s">
        <v>728</v>
      </c>
      <c r="L103" s="728" t="s">
        <v>728</v>
      </c>
      <c r="M103" s="728"/>
      <c r="N103" s="731" t="s">
        <v>728</v>
      </c>
      <c r="O103" s="731" t="s">
        <v>728</v>
      </c>
      <c r="P103" s="732"/>
      <c r="Q103" s="732"/>
      <c r="R103" s="732"/>
      <c r="S103" s="733"/>
      <c r="T103" s="733"/>
      <c r="U103" s="733"/>
      <c r="V103" s="734"/>
      <c r="W103" s="732"/>
      <c r="X103" s="732"/>
      <c r="Y103" s="735">
        <v>1</v>
      </c>
      <c r="Z103" s="736">
        <v>1</v>
      </c>
      <c r="AA103" s="166">
        <f t="shared" si="56"/>
        <v>0</v>
      </c>
      <c r="AB103" s="166">
        <f t="shared" si="57"/>
        <v>0</v>
      </c>
      <c r="AC103" s="166">
        <f t="shared" si="58"/>
        <v>0</v>
      </c>
      <c r="AD103" s="166"/>
      <c r="AE103" s="164">
        <f t="shared" si="41"/>
        <v>0</v>
      </c>
      <c r="AF103" s="167"/>
      <c r="AG103" s="165">
        <f t="shared" si="42"/>
        <v>0</v>
      </c>
      <c r="AH103" s="729"/>
      <c r="AI103" s="729"/>
      <c r="AJ103" s="8"/>
      <c r="AK103" s="495" t="str">
        <f t="shared" si="45"/>
        <v>No</v>
      </c>
      <c r="AL103" s="496">
        <f>'I-Project Contingency'!$I$4</f>
        <v>9000000</v>
      </c>
      <c r="AM103" s="326">
        <f>'I-Project Contingency'!$I$11</f>
        <v>23.978102189781023</v>
      </c>
      <c r="AN103" s="325">
        <f t="shared" si="46"/>
        <v>0</v>
      </c>
      <c r="AO103" s="326">
        <f t="shared" si="47"/>
        <v>0</v>
      </c>
      <c r="AP103" s="641" t="str">
        <f t="shared" si="48"/>
        <v/>
      </c>
      <c r="AQ103" s="641" t="str">
        <f t="shared" si="49"/>
        <v/>
      </c>
      <c r="AR103" s="497" t="str">
        <f t="shared" si="50"/>
        <v/>
      </c>
      <c r="AS103" s="497" t="str">
        <f t="shared" si="51"/>
        <v/>
      </c>
      <c r="AT103" s="8"/>
      <c r="AU103" s="329">
        <f>'I-Project Contingency'!$O$4-AE103</f>
        <v>0</v>
      </c>
      <c r="AV103" s="330">
        <v>-240515.59579276721</v>
      </c>
      <c r="AW103" s="330">
        <v>28172.931401335634</v>
      </c>
      <c r="AX103" s="330">
        <v>193478.84467429668</v>
      </c>
      <c r="AY103" s="330">
        <v>361668.20104834624</v>
      </c>
      <c r="AZ103" s="330">
        <v>524446.91524262261</v>
      </c>
      <c r="BA103" s="330">
        <v>704023.56387635041</v>
      </c>
      <c r="BB103" s="330">
        <v>886394.06956240814</v>
      </c>
      <c r="BC103" s="330">
        <v>1079363.7165157665</v>
      </c>
      <c r="BD103" s="330">
        <v>1280180.1532065615</v>
      </c>
      <c r="BE103" s="330">
        <v>1485323.8019108465</v>
      </c>
      <c r="BF103" s="330">
        <v>1703758.8827524669</v>
      </c>
      <c r="BG103" s="330">
        <v>1949523.4346483489</v>
      </c>
      <c r="BH103" s="330">
        <v>2177897.1603371189</v>
      </c>
      <c r="BI103" s="330">
        <v>2429374.4260425912</v>
      </c>
      <c r="BJ103" s="330">
        <v>2717092.7449284913</v>
      </c>
      <c r="BK103" s="330">
        <v>3010093.6968918457</v>
      </c>
      <c r="BL103" s="330">
        <v>3325414.5894657462</v>
      </c>
      <c r="BM103" s="330">
        <v>3690425.9159493577</v>
      </c>
      <c r="BN103" s="330">
        <v>4143935.1706127762</v>
      </c>
      <c r="BO103" s="330">
        <v>4722651.1159141911</v>
      </c>
      <c r="BP103" s="330">
        <v>5992048.8629153483</v>
      </c>
      <c r="BQ103" s="330">
        <f>'I-Project Contingency'!$E$61-AV103</f>
        <v>0</v>
      </c>
      <c r="BR103" s="330">
        <f>'I-Project Contingency'!$E$62-AW103</f>
        <v>0</v>
      </c>
      <c r="BS103" s="330">
        <f>'I-Project Contingency'!$E$63-AX103</f>
        <v>0</v>
      </c>
      <c r="BT103" s="330">
        <f>'I-Project Contingency'!$E$64-AY103</f>
        <v>0</v>
      </c>
      <c r="BU103" s="330">
        <f>'I-Project Contingency'!$E$65-AZ103</f>
        <v>0</v>
      </c>
      <c r="BV103" s="330">
        <f>'I-Project Contingency'!$E$66-BA103</f>
        <v>0</v>
      </c>
      <c r="BW103" s="330">
        <f>'I-Project Contingency'!$E$67-BB103</f>
        <v>0</v>
      </c>
      <c r="BX103" s="330">
        <f>'I-Project Contingency'!$E$68-BC103</f>
        <v>0</v>
      </c>
      <c r="BY103" s="330">
        <f>'I-Project Contingency'!$E$69-BD103</f>
        <v>0</v>
      </c>
      <c r="BZ103" s="330">
        <f>'I-Project Contingency'!$E$70-BE103</f>
        <v>0</v>
      </c>
      <c r="CA103" s="330">
        <f>'I-Project Contingency'!$E$71-BF103</f>
        <v>0</v>
      </c>
      <c r="CB103" s="330">
        <f>'I-Project Contingency'!$E$72-BG103</f>
        <v>0</v>
      </c>
      <c r="CC103" s="330">
        <f>'I-Project Contingency'!$E$73-BH103</f>
        <v>0</v>
      </c>
      <c r="CD103" s="330">
        <f>'I-Project Contingency'!$E$74-BI103</f>
        <v>0</v>
      </c>
      <c r="CE103" s="330">
        <f>'I-Project Contingency'!$E$75-BJ103</f>
        <v>0</v>
      </c>
      <c r="CF103" s="330">
        <f>'I-Project Contingency'!$E$76-BK103</f>
        <v>0</v>
      </c>
      <c r="CG103" s="330">
        <f>'I-Project Contingency'!$E$77-BL103</f>
        <v>0</v>
      </c>
      <c r="CH103" s="784">
        <f>'I-Project Contingency'!$E$78-BM103</f>
        <v>0</v>
      </c>
      <c r="CI103" s="330">
        <f>'I-Project Contingency'!$E$79-BN103</f>
        <v>0</v>
      </c>
      <c r="CJ103" s="330">
        <f>'I-Project Contingency'!$E$80-BO103</f>
        <v>0</v>
      </c>
      <c r="CK103" s="330">
        <f>'I-Project Contingency'!$E$81-BP103</f>
        <v>0</v>
      </c>
      <c r="CL103" s="331">
        <f>'I-Project Contingency'!$O$5-AG103</f>
        <v>0</v>
      </c>
      <c r="CM103" s="332">
        <v>-0.98711802853447173</v>
      </c>
      <c r="CN103" s="332">
        <v>-0.19547704728364468</v>
      </c>
      <c r="CO103" s="332">
        <v>0.126462150308498</v>
      </c>
      <c r="CP103" s="332">
        <v>0.45967989154545902</v>
      </c>
      <c r="CQ103" s="332">
        <v>0.78297319902744</v>
      </c>
      <c r="CR103" s="332">
        <v>1.0957191966482109</v>
      </c>
      <c r="CS103" s="332">
        <v>1.4418405003536849</v>
      </c>
      <c r="CT103" s="332">
        <v>1.801002404194165</v>
      </c>
      <c r="CU103" s="332">
        <v>2.1797608166947349</v>
      </c>
      <c r="CV103" s="332">
        <v>2.5671680610072478</v>
      </c>
      <c r="CW103" s="332">
        <v>2.9690760644797152</v>
      </c>
      <c r="CX103" s="332">
        <v>3.3964145469774811</v>
      </c>
      <c r="CY103" s="332">
        <v>3.864536087769562</v>
      </c>
      <c r="CZ103" s="332">
        <v>4.3569836138896116</v>
      </c>
      <c r="DA103" s="332">
        <v>4.8862357851222598</v>
      </c>
      <c r="DB103" s="332">
        <v>5.438836997347547</v>
      </c>
      <c r="DC103" s="332">
        <v>6.047993455908566</v>
      </c>
      <c r="DD103" s="785">
        <v>6.720204953601761</v>
      </c>
      <c r="DE103" s="333">
        <v>7.55131678090412</v>
      </c>
      <c r="DF103" s="332">
        <v>8.661446370835737</v>
      </c>
      <c r="DG103" s="332">
        <v>11.206316207857133</v>
      </c>
      <c r="DH103" s="332">
        <f>'I-Project Contingency'!$E$86-CM103</f>
        <v>0</v>
      </c>
      <c r="DI103" s="332">
        <f>'I-Project Contingency'!$E$87-CN103</f>
        <v>0</v>
      </c>
      <c r="DJ103" s="332">
        <f>'I-Project Contingency'!$E$88-CO103</f>
        <v>0</v>
      </c>
      <c r="DK103" s="332">
        <f>'I-Project Contingency'!$E$89-CP103</f>
        <v>0</v>
      </c>
      <c r="DL103" s="332">
        <f>'I-Project Contingency'!$E$90-CQ103</f>
        <v>0</v>
      </c>
      <c r="DM103" s="332">
        <f>'I-Project Contingency'!$E$91-CR103</f>
        <v>0</v>
      </c>
      <c r="DN103" s="332">
        <f>'I-Project Contingency'!$E$92-CS103</f>
        <v>0</v>
      </c>
      <c r="DO103" s="332">
        <f>'I-Project Contingency'!$E$93-CT103</f>
        <v>0</v>
      </c>
      <c r="DP103" s="332">
        <f>'I-Project Contingency'!$E$94-CU103</f>
        <v>0</v>
      </c>
      <c r="DQ103" s="332">
        <f>'I-Project Contingency'!$E$95-CV103</f>
        <v>0</v>
      </c>
      <c r="DR103" s="332">
        <f>'I-Project Contingency'!$E$96-CW103</f>
        <v>0</v>
      </c>
      <c r="DS103" s="332">
        <f>'I-Project Contingency'!$E$97-CX103</f>
        <v>0</v>
      </c>
      <c r="DT103" s="332">
        <f>'I-Project Contingency'!$E$98-CY103</f>
        <v>0</v>
      </c>
      <c r="DU103" s="332">
        <f>'I-Project Contingency'!$E$99-CZ103</f>
        <v>0</v>
      </c>
      <c r="DV103" s="332">
        <f>'I-Project Contingency'!$E$100-DA103</f>
        <v>0</v>
      </c>
      <c r="DW103" s="332">
        <f>'I-Project Contingency'!$E$101-DB103</f>
        <v>0</v>
      </c>
      <c r="DX103" s="332">
        <f>'I-Project Contingency'!$E$102-DC103</f>
        <v>0</v>
      </c>
      <c r="DY103" s="332">
        <f>'I-Project Contingency'!$E$103-DD103</f>
        <v>0</v>
      </c>
      <c r="DZ103" s="332">
        <f>'I-Project Contingency'!$E$104-DE103</f>
        <v>0</v>
      </c>
      <c r="EA103" s="332">
        <f>'I-Project Contingency'!$E$105-DF103</f>
        <v>0</v>
      </c>
      <c r="EB103" s="332">
        <f>'I-Project Contingency'!$E$106-DG103</f>
        <v>0</v>
      </c>
      <c r="EC103" s="334">
        <f>IF(EE103="N/A","N/A",ABS(INDEX(EE103:EY103,1,MATCH("ROM Cost Risk @ "&amp;'D-Project Data'!$C$6*100&amp;"%",$EE$17:$EY$17,0))))</f>
        <v>0</v>
      </c>
      <c r="ED103" s="335">
        <f>IF(EC103="N/A","N/A",RANK(EC103,$EC$18:$EC$117,0)+COUNTIF($EC$18:EC103,EC103)-1)</f>
        <v>86</v>
      </c>
      <c r="EE103" s="334">
        <f>IF(BQ103/SUM(BQ:BQ)*'I-Project Contingency'!$F$61=0,0,BQ103/SUM(BQ:BQ)*'I-Project Contingency'!$F$61)</f>
        <v>0</v>
      </c>
      <c r="EF103" s="334">
        <f>IF(BR103/SUM(BR:BR)*'I-Project Contingency'!$F$62=0,0,BR103/SUM(BR:BR)*'I-Project Contingency'!$F$62)</f>
        <v>0</v>
      </c>
      <c r="EG103" s="334">
        <f>IF(BS103/SUM(BS:BS)*'I-Project Contingency'!$F$63=0,0,BS103/SUM(BS:BS)*'I-Project Contingency'!$F$63)</f>
        <v>0</v>
      </c>
      <c r="EH103" s="334">
        <f>IF(BT103/SUM(BT:BT)*'I-Project Contingency'!$F$64=0,0,BT103/SUM(BT:BT)*'I-Project Contingency'!$F$64)</f>
        <v>0</v>
      </c>
      <c r="EI103" s="334">
        <f>IF(BU103/SUM(BU:BU)*'I-Project Contingency'!$F$65=0,0,BU103/SUM(BU:BU)*'I-Project Contingency'!$F$65)</f>
        <v>0</v>
      </c>
      <c r="EJ103" s="334">
        <f>IF(BV103/SUM(BV:BV)*'I-Project Contingency'!$F$66=0,0,BV103/SUM(BV:BV)*'I-Project Contingency'!$F$66)</f>
        <v>0</v>
      </c>
      <c r="EK103" s="334">
        <f>IF(BW103/SUM(BW:BW)*'I-Project Contingency'!$F$67=0,0,BW103/SUM(BW:BW)*'I-Project Contingency'!$F$67)</f>
        <v>0</v>
      </c>
      <c r="EL103" s="334">
        <f>IF(BX103/SUM(BX:BX)*'I-Project Contingency'!$F$68=0,0,BX103/SUM(BX:BX)*'I-Project Contingency'!$F$68)</f>
        <v>0</v>
      </c>
      <c r="EM103" s="334">
        <f>IF(BY103/SUM(BY:BY)*'I-Project Contingency'!$F$69=0,0,BY103/SUM(BY:BY)*'I-Project Contingency'!$F$69)</f>
        <v>0</v>
      </c>
      <c r="EN103" s="334">
        <f>IF(BZ103/SUM(BZ:BZ)*'I-Project Contingency'!$F$70=0,0,BZ103/SUM(BZ:BZ)*'I-Project Contingency'!$F$70)</f>
        <v>0</v>
      </c>
      <c r="EO103" s="334">
        <f>IF(CA103/SUM(CA:CA)*'I-Project Contingency'!$F$71=0,0,CA103/SUM(CA:CA)*'I-Project Contingency'!$F$71)</f>
        <v>0</v>
      </c>
      <c r="EP103" s="334">
        <f>IF(CB103/SUM(CB:CB)*'I-Project Contingency'!$F$72=0,0,CB103/SUM(CB:CB)*'I-Project Contingency'!$F$72)</f>
        <v>0</v>
      </c>
      <c r="EQ103" s="334">
        <f>IF(CC103/SUM(CC:CC)*'I-Project Contingency'!$F$73=0,0,CC103/SUM(CC:CC)*'I-Project Contingency'!$F$73)</f>
        <v>0</v>
      </c>
      <c r="ER103" s="334">
        <f>IF(CD103/SUM(CD:CD)*'I-Project Contingency'!$F$74=0,0,CD103/SUM(CD:CD)*'I-Project Contingency'!$F$74)</f>
        <v>0</v>
      </c>
      <c r="ES103" s="334">
        <f>IF(CE103/SUM(CE:CE)*'I-Project Contingency'!$F$75=0,0,CE103/SUM(CE:CE)*'I-Project Contingency'!$F$75)</f>
        <v>0</v>
      </c>
      <c r="ET103" s="334">
        <f>IF(CF103/SUM(CF:CF)*'I-Project Contingency'!$F$76=0,0,CF103/SUM(CF:CF)*'I-Project Contingency'!$F$76)</f>
        <v>0</v>
      </c>
      <c r="EU103" s="334">
        <f>IF(CG103/SUM(CG:CG)*'I-Project Contingency'!$F$77=0,0,CG103/SUM(CG:CG)*'I-Project Contingency'!$F$77)</f>
        <v>0</v>
      </c>
      <c r="EV103" s="787">
        <f>IF(CH103/SUM(CH:CH)*'I-Project Contingency'!$F$78=0,0,CH103/SUM(CH:CH)*'I-Project Contingency'!$F$78)</f>
        <v>0</v>
      </c>
      <c r="EW103" s="787">
        <f>IF(CI103/SUM(CI:CI)*'I-Project Contingency'!$F$79=0,0,CI103/SUM(CI:CI)*'I-Project Contingency'!$F$79)</f>
        <v>0</v>
      </c>
      <c r="EX103" s="787">
        <f>IF(CJ103/SUM(CJ:CJ)*'I-Project Contingency'!$F$80=0,0,CJ103/SUM(CJ:CJ)*'I-Project Contingency'!$F$80)</f>
        <v>0</v>
      </c>
      <c r="EY103" s="787">
        <f>IF(CK103/SUM(CK:CK)*'I-Project Contingency'!$F$81=0,0,CK103/SUM(CK:CK)*'I-Project Contingency'!$F$81)</f>
        <v>0</v>
      </c>
      <c r="EZ103" s="333">
        <f>IF(FB103="N/A","N/A",ABS(INDEX(FB103:FV103,1,MATCH("ROM Schedule Risk @ "&amp;'D-Project Data'!$C$6*100&amp;"%",$FB$17:$FV$17,0))))</f>
        <v>0</v>
      </c>
      <c r="FA103" s="335">
        <f>IF(EZ103="N/A","N/A",RANK(EZ103,$EZ$18:$EZ$117,0)+COUNTIF($FB$18:FB103,FB103)-1)</f>
        <v>86</v>
      </c>
      <c r="FB103" s="788">
        <f>IF(DH103/SUM(DH:DH)*'I-Project Contingency'!$F$86=0,0,DH103/SUM(DH:DH)*'I-Project Contingency'!$F$86)</f>
        <v>0</v>
      </c>
      <c r="FC103" s="788">
        <f>IF(DI103/SUM(DI:DI)*'I-Project Contingency'!$F$87=0,0,DI103/SUM(DI:DI)*'I-Project Contingency'!$F$87)</f>
        <v>0</v>
      </c>
      <c r="FD103" s="788">
        <f>IF(DJ103/SUM(DJ:DJ)*'I-Project Contingency'!$F$88=0,0,DJ103/SUM(DJ:DJ)*'I-Project Contingency'!$F$88)</f>
        <v>0</v>
      </c>
      <c r="FE103" s="788">
        <f>IF(DK103/SUM(DK:DK)*'I-Project Contingency'!$F$89=0,0,DK103/SUM(DK:DK)*'I-Project Contingency'!$F$89)</f>
        <v>0</v>
      </c>
      <c r="FF103" s="788">
        <f>IF(DL103/SUM(DL:DL)*'I-Project Contingency'!$F$90=0,0,DL103/SUM(DL:DL)*'I-Project Contingency'!$F$90)</f>
        <v>0</v>
      </c>
      <c r="FG103" s="788">
        <f>IF(DM103/SUM(DM:DM)*'I-Project Contingency'!$F$91=0,0,DM103/SUM(DM:DM)*'I-Project Contingency'!$F$91)</f>
        <v>0</v>
      </c>
      <c r="FH103" s="788">
        <f>IF(DN103/SUM(DN:DN)*'I-Project Contingency'!$F$92=0,0,DN103/SUM(DN:DN)*'I-Project Contingency'!$F$92)</f>
        <v>0</v>
      </c>
      <c r="FI103" s="788">
        <f>IF(DO103/SUM(DO:DO)*'I-Project Contingency'!$F$93=0,0,DO103/SUM(DO:DO)*'I-Project Contingency'!$F$93)</f>
        <v>0</v>
      </c>
      <c r="FJ103" s="788">
        <f>IF(DP103/SUM(DP:DP)*'I-Project Contingency'!$F$94=0,0,DP103/SUM(DP:DP)*'I-Project Contingency'!$F$94)</f>
        <v>0</v>
      </c>
      <c r="FK103" s="788">
        <f>IF(DQ103/SUM(DQ:DQ)*'I-Project Contingency'!$F$95=0,0,DQ103/SUM(DQ:DQ)*'I-Project Contingency'!$F$95)</f>
        <v>0</v>
      </c>
      <c r="FL103" s="788">
        <f>IF(DR103/SUM(DR:DR)*'I-Project Contingency'!$F$96=0,0,DR103/SUM(DR:DR)*'I-Project Contingency'!$F$96)</f>
        <v>0</v>
      </c>
      <c r="FM103" s="788">
        <f>IF(DS103/SUM(DS:DS)*'I-Project Contingency'!$F$97=0,0,DS103/SUM(DS:DS)*'I-Project Contingency'!$F$97)</f>
        <v>0</v>
      </c>
      <c r="FN103" s="788">
        <f>IF(DT103/SUM(DT:DT)*'I-Project Contingency'!$F$98=0,0,DT103/SUM(DT:DT)*'I-Project Contingency'!$F$98)</f>
        <v>0</v>
      </c>
      <c r="FO103" s="788">
        <f>IF(DU103/SUM(DU:DU)*'I-Project Contingency'!$F$99=0,0,DU103/SUM(DU:DU)*'I-Project Contingency'!$F$99)</f>
        <v>0</v>
      </c>
      <c r="FP103" s="788">
        <f>IF(DV103/SUM(DV:DV)*'I-Project Contingency'!$F$100=0,0,DV103/SUM(DV:DV)*'I-Project Contingency'!$F$100)</f>
        <v>0</v>
      </c>
      <c r="FQ103" s="788">
        <f>IF(DW103/SUM(DW:DW)*'I-Project Contingency'!$F$101=0,0,DW103/SUM(DW:DW)*'I-Project Contingency'!$F$101)</f>
        <v>0</v>
      </c>
      <c r="FR103" s="788">
        <f>IF(DX103/SUM(DX:DX)*'I-Project Contingency'!$F$102=0,0,DX103/SUM(DX:DX)*'I-Project Contingency'!$F$102)</f>
        <v>0</v>
      </c>
      <c r="FS103" s="788">
        <f>IF(DY103/SUM(DY:DY)*'I-Project Contingency'!$F$103=0,0,DY103/SUM(DY:DY)*'I-Project Contingency'!$F$103)</f>
        <v>0</v>
      </c>
      <c r="FT103" s="788">
        <f>IF(DZ103/SUM(DZ:DZ)*'I-Project Contingency'!$F$104=0,0,DZ103/SUM(DZ:DZ)*'I-Project Contingency'!$F$104)</f>
        <v>0</v>
      </c>
      <c r="FU103" s="788">
        <f>IF(EA103/SUM(EA:EA)*'I-Project Contingency'!$F$105=0,0,EA103/SUM(EA:EA)*'I-Project Contingency'!$F$105)</f>
        <v>0</v>
      </c>
      <c r="FV103" s="788">
        <f>IF(EB103/SUM(EB:EB)*'I-Project Contingency'!$F$106=0,0,EB103/SUM(EB:EB)*'I-Project Contingency'!$F$106)</f>
        <v>0</v>
      </c>
      <c r="FW103" s="335">
        <f t="shared" si="52"/>
        <v>86</v>
      </c>
      <c r="FX103" s="336" t="str">
        <f t="shared" si="53"/>
        <v xml:space="preserve">86 -  </v>
      </c>
      <c r="FY103" s="330">
        <f t="shared" si="43"/>
        <v>0</v>
      </c>
      <c r="FZ103" s="330">
        <f t="shared" si="44"/>
        <v>0</v>
      </c>
      <c r="GA103" s="332">
        <f t="shared" si="54"/>
        <v>0</v>
      </c>
      <c r="GB103" s="332">
        <f t="shared" si="55"/>
        <v>0</v>
      </c>
    </row>
    <row r="104" spans="1:184" ht="30" x14ac:dyDescent="0.25">
      <c r="A104" s="163">
        <f t="shared" si="23"/>
        <v>87</v>
      </c>
      <c r="B104" s="727" t="s">
        <v>728</v>
      </c>
      <c r="C104" s="729" t="s">
        <v>659</v>
      </c>
      <c r="D104" s="729" t="s">
        <v>659</v>
      </c>
      <c r="E104" s="729" t="s">
        <v>659</v>
      </c>
      <c r="F104" s="728" t="s">
        <v>728</v>
      </c>
      <c r="G104" s="728" t="s">
        <v>728</v>
      </c>
      <c r="H104" s="157" t="str">
        <f>IFERROR(IF('H-Risk Register-Model'!F104="Certain","Relook at Basis of Estimate",INDEX('G-Assumptions'!$F$8:$J$11,MATCH(F104,'G-Assumptions'!$D$8:$D$11,0),MATCH(G104,'G-Assumptions'!$F$6:$J$6,0))),"Unrated")</f>
        <v>Unrated</v>
      </c>
      <c r="I104" s="728" t="s">
        <v>728</v>
      </c>
      <c r="J104" s="157" t="str">
        <f>IFERROR(IF('H-Risk Register-Model'!F104="Certain","Relook at Basis of Estimate",INDEX('G-Assumptions'!$F$8:$J$11,MATCH(F104,'G-Assumptions'!$D$8:$D$11,0),MATCH(I104,'G-Assumptions'!$F$6:$J$6,0))),"Unrated")</f>
        <v>Unrated</v>
      </c>
      <c r="K104" s="728" t="s">
        <v>728</v>
      </c>
      <c r="L104" s="728" t="s">
        <v>728</v>
      </c>
      <c r="M104" s="728"/>
      <c r="N104" s="731" t="s">
        <v>728</v>
      </c>
      <c r="O104" s="731" t="s">
        <v>728</v>
      </c>
      <c r="P104" s="732"/>
      <c r="Q104" s="732"/>
      <c r="R104" s="732"/>
      <c r="S104" s="733"/>
      <c r="T104" s="733"/>
      <c r="U104" s="733"/>
      <c r="V104" s="734"/>
      <c r="W104" s="732"/>
      <c r="X104" s="732"/>
      <c r="Y104" s="735">
        <v>1</v>
      </c>
      <c r="Z104" s="736">
        <v>1</v>
      </c>
      <c r="AA104" s="166">
        <f t="shared" si="56"/>
        <v>0</v>
      </c>
      <c r="AB104" s="166">
        <f t="shared" si="57"/>
        <v>0</v>
      </c>
      <c r="AC104" s="166">
        <f t="shared" si="58"/>
        <v>0</v>
      </c>
      <c r="AD104" s="166"/>
      <c r="AE104" s="164">
        <f t="shared" si="41"/>
        <v>0</v>
      </c>
      <c r="AF104" s="167"/>
      <c r="AG104" s="165">
        <f t="shared" si="42"/>
        <v>0</v>
      </c>
      <c r="AH104" s="729"/>
      <c r="AI104" s="729"/>
      <c r="AJ104" s="8"/>
      <c r="AK104" s="495" t="str">
        <f t="shared" si="45"/>
        <v>No</v>
      </c>
      <c r="AL104" s="496">
        <f>'I-Project Contingency'!$I$4</f>
        <v>9000000</v>
      </c>
      <c r="AM104" s="326">
        <f>'I-Project Contingency'!$I$11</f>
        <v>23.978102189781023</v>
      </c>
      <c r="AN104" s="325">
        <f t="shared" si="46"/>
        <v>0</v>
      </c>
      <c r="AO104" s="326">
        <f t="shared" si="47"/>
        <v>0</v>
      </c>
      <c r="AP104" s="641" t="str">
        <f t="shared" si="48"/>
        <v/>
      </c>
      <c r="AQ104" s="641" t="str">
        <f t="shared" si="49"/>
        <v/>
      </c>
      <c r="AR104" s="497" t="str">
        <f t="shared" si="50"/>
        <v/>
      </c>
      <c r="AS104" s="497" t="str">
        <f t="shared" si="51"/>
        <v/>
      </c>
      <c r="AT104" s="8"/>
      <c r="AU104" s="329">
        <f>'I-Project Contingency'!$O$4-AE104</f>
        <v>0</v>
      </c>
      <c r="AV104" s="330">
        <v>-240515.59579276721</v>
      </c>
      <c r="AW104" s="330">
        <v>28172.931401335634</v>
      </c>
      <c r="AX104" s="330">
        <v>193478.84467429668</v>
      </c>
      <c r="AY104" s="330">
        <v>361668.20104834624</v>
      </c>
      <c r="AZ104" s="330">
        <v>524446.91524262261</v>
      </c>
      <c r="BA104" s="330">
        <v>704023.56387635041</v>
      </c>
      <c r="BB104" s="330">
        <v>886394.06956240814</v>
      </c>
      <c r="BC104" s="330">
        <v>1079363.7165157665</v>
      </c>
      <c r="BD104" s="330">
        <v>1280180.1532065615</v>
      </c>
      <c r="BE104" s="330">
        <v>1485323.8019108465</v>
      </c>
      <c r="BF104" s="330">
        <v>1703758.8827524669</v>
      </c>
      <c r="BG104" s="330">
        <v>1949523.4346483489</v>
      </c>
      <c r="BH104" s="330">
        <v>2177897.1603371189</v>
      </c>
      <c r="BI104" s="330">
        <v>2429374.4260425912</v>
      </c>
      <c r="BJ104" s="330">
        <v>2717092.7449284913</v>
      </c>
      <c r="BK104" s="330">
        <v>3010093.6968918457</v>
      </c>
      <c r="BL104" s="330">
        <v>3325414.5894657462</v>
      </c>
      <c r="BM104" s="330">
        <v>3690425.9159493577</v>
      </c>
      <c r="BN104" s="330">
        <v>4143935.1706127762</v>
      </c>
      <c r="BO104" s="330">
        <v>4722651.1159141911</v>
      </c>
      <c r="BP104" s="330">
        <v>5992048.8629153483</v>
      </c>
      <c r="BQ104" s="330">
        <f>'I-Project Contingency'!$E$61-AV104</f>
        <v>0</v>
      </c>
      <c r="BR104" s="330">
        <f>'I-Project Contingency'!$E$62-AW104</f>
        <v>0</v>
      </c>
      <c r="BS104" s="330">
        <f>'I-Project Contingency'!$E$63-AX104</f>
        <v>0</v>
      </c>
      <c r="BT104" s="330">
        <f>'I-Project Contingency'!$E$64-AY104</f>
        <v>0</v>
      </c>
      <c r="BU104" s="330">
        <f>'I-Project Contingency'!$E$65-AZ104</f>
        <v>0</v>
      </c>
      <c r="BV104" s="330">
        <f>'I-Project Contingency'!$E$66-BA104</f>
        <v>0</v>
      </c>
      <c r="BW104" s="330">
        <f>'I-Project Contingency'!$E$67-BB104</f>
        <v>0</v>
      </c>
      <c r="BX104" s="330">
        <f>'I-Project Contingency'!$E$68-BC104</f>
        <v>0</v>
      </c>
      <c r="BY104" s="330">
        <f>'I-Project Contingency'!$E$69-BD104</f>
        <v>0</v>
      </c>
      <c r="BZ104" s="330">
        <f>'I-Project Contingency'!$E$70-BE104</f>
        <v>0</v>
      </c>
      <c r="CA104" s="330">
        <f>'I-Project Contingency'!$E$71-BF104</f>
        <v>0</v>
      </c>
      <c r="CB104" s="330">
        <f>'I-Project Contingency'!$E$72-BG104</f>
        <v>0</v>
      </c>
      <c r="CC104" s="330">
        <f>'I-Project Contingency'!$E$73-BH104</f>
        <v>0</v>
      </c>
      <c r="CD104" s="330">
        <f>'I-Project Contingency'!$E$74-BI104</f>
        <v>0</v>
      </c>
      <c r="CE104" s="330">
        <f>'I-Project Contingency'!$E$75-BJ104</f>
        <v>0</v>
      </c>
      <c r="CF104" s="330">
        <f>'I-Project Contingency'!$E$76-BK104</f>
        <v>0</v>
      </c>
      <c r="CG104" s="330">
        <f>'I-Project Contingency'!$E$77-BL104</f>
        <v>0</v>
      </c>
      <c r="CH104" s="784">
        <f>'I-Project Contingency'!$E$78-BM104</f>
        <v>0</v>
      </c>
      <c r="CI104" s="330">
        <f>'I-Project Contingency'!$E$79-BN104</f>
        <v>0</v>
      </c>
      <c r="CJ104" s="330">
        <f>'I-Project Contingency'!$E$80-BO104</f>
        <v>0</v>
      </c>
      <c r="CK104" s="330">
        <f>'I-Project Contingency'!$E$81-BP104</f>
        <v>0</v>
      </c>
      <c r="CL104" s="331">
        <f>'I-Project Contingency'!$O$5-AG104</f>
        <v>0</v>
      </c>
      <c r="CM104" s="332">
        <v>-0.98711802853447173</v>
      </c>
      <c r="CN104" s="332">
        <v>-0.19547704728364468</v>
      </c>
      <c r="CO104" s="332">
        <v>0.126462150308498</v>
      </c>
      <c r="CP104" s="332">
        <v>0.45967989154545902</v>
      </c>
      <c r="CQ104" s="332">
        <v>0.78297319902744</v>
      </c>
      <c r="CR104" s="332">
        <v>1.0957191966482109</v>
      </c>
      <c r="CS104" s="332">
        <v>1.4418405003536849</v>
      </c>
      <c r="CT104" s="332">
        <v>1.801002404194165</v>
      </c>
      <c r="CU104" s="332">
        <v>2.1797608166947349</v>
      </c>
      <c r="CV104" s="332">
        <v>2.5671680610072478</v>
      </c>
      <c r="CW104" s="332">
        <v>2.9690760644797152</v>
      </c>
      <c r="CX104" s="332">
        <v>3.3964145469774811</v>
      </c>
      <c r="CY104" s="332">
        <v>3.864536087769562</v>
      </c>
      <c r="CZ104" s="332">
        <v>4.3569836138896116</v>
      </c>
      <c r="DA104" s="332">
        <v>4.8862357851222598</v>
      </c>
      <c r="DB104" s="332">
        <v>5.438836997347547</v>
      </c>
      <c r="DC104" s="332">
        <v>6.047993455908566</v>
      </c>
      <c r="DD104" s="785">
        <v>6.720204953601761</v>
      </c>
      <c r="DE104" s="333">
        <v>7.55131678090412</v>
      </c>
      <c r="DF104" s="332">
        <v>8.661446370835737</v>
      </c>
      <c r="DG104" s="332">
        <v>11.206316207857133</v>
      </c>
      <c r="DH104" s="332">
        <f>'I-Project Contingency'!$E$86-CM104</f>
        <v>0</v>
      </c>
      <c r="DI104" s="332">
        <f>'I-Project Contingency'!$E$87-CN104</f>
        <v>0</v>
      </c>
      <c r="DJ104" s="332">
        <f>'I-Project Contingency'!$E$88-CO104</f>
        <v>0</v>
      </c>
      <c r="DK104" s="332">
        <f>'I-Project Contingency'!$E$89-CP104</f>
        <v>0</v>
      </c>
      <c r="DL104" s="332">
        <f>'I-Project Contingency'!$E$90-CQ104</f>
        <v>0</v>
      </c>
      <c r="DM104" s="332">
        <f>'I-Project Contingency'!$E$91-CR104</f>
        <v>0</v>
      </c>
      <c r="DN104" s="332">
        <f>'I-Project Contingency'!$E$92-CS104</f>
        <v>0</v>
      </c>
      <c r="DO104" s="332">
        <f>'I-Project Contingency'!$E$93-CT104</f>
        <v>0</v>
      </c>
      <c r="DP104" s="332">
        <f>'I-Project Contingency'!$E$94-CU104</f>
        <v>0</v>
      </c>
      <c r="DQ104" s="332">
        <f>'I-Project Contingency'!$E$95-CV104</f>
        <v>0</v>
      </c>
      <c r="DR104" s="332">
        <f>'I-Project Contingency'!$E$96-CW104</f>
        <v>0</v>
      </c>
      <c r="DS104" s="332">
        <f>'I-Project Contingency'!$E$97-CX104</f>
        <v>0</v>
      </c>
      <c r="DT104" s="332">
        <f>'I-Project Contingency'!$E$98-CY104</f>
        <v>0</v>
      </c>
      <c r="DU104" s="332">
        <f>'I-Project Contingency'!$E$99-CZ104</f>
        <v>0</v>
      </c>
      <c r="DV104" s="332">
        <f>'I-Project Contingency'!$E$100-DA104</f>
        <v>0</v>
      </c>
      <c r="DW104" s="332">
        <f>'I-Project Contingency'!$E$101-DB104</f>
        <v>0</v>
      </c>
      <c r="DX104" s="332">
        <f>'I-Project Contingency'!$E$102-DC104</f>
        <v>0</v>
      </c>
      <c r="DY104" s="332">
        <f>'I-Project Contingency'!$E$103-DD104</f>
        <v>0</v>
      </c>
      <c r="DZ104" s="332">
        <f>'I-Project Contingency'!$E$104-DE104</f>
        <v>0</v>
      </c>
      <c r="EA104" s="332">
        <f>'I-Project Contingency'!$E$105-DF104</f>
        <v>0</v>
      </c>
      <c r="EB104" s="332">
        <f>'I-Project Contingency'!$E$106-DG104</f>
        <v>0</v>
      </c>
      <c r="EC104" s="334">
        <f>IF(EE104="N/A","N/A",ABS(INDEX(EE104:EY104,1,MATCH("ROM Cost Risk @ "&amp;'D-Project Data'!$C$6*100&amp;"%",$EE$17:$EY$17,0))))</f>
        <v>0</v>
      </c>
      <c r="ED104" s="335">
        <f>IF(EC104="N/A","N/A",RANK(EC104,$EC$18:$EC$117,0)+COUNTIF($EC$18:EC104,EC104)-1)</f>
        <v>87</v>
      </c>
      <c r="EE104" s="334">
        <f>IF(BQ104/SUM(BQ:BQ)*'I-Project Contingency'!$F$61=0,0,BQ104/SUM(BQ:BQ)*'I-Project Contingency'!$F$61)</f>
        <v>0</v>
      </c>
      <c r="EF104" s="334">
        <f>IF(BR104/SUM(BR:BR)*'I-Project Contingency'!$F$62=0,0,BR104/SUM(BR:BR)*'I-Project Contingency'!$F$62)</f>
        <v>0</v>
      </c>
      <c r="EG104" s="334">
        <f>IF(BS104/SUM(BS:BS)*'I-Project Contingency'!$F$63=0,0,BS104/SUM(BS:BS)*'I-Project Contingency'!$F$63)</f>
        <v>0</v>
      </c>
      <c r="EH104" s="334">
        <f>IF(BT104/SUM(BT:BT)*'I-Project Contingency'!$F$64=0,0,BT104/SUM(BT:BT)*'I-Project Contingency'!$F$64)</f>
        <v>0</v>
      </c>
      <c r="EI104" s="334">
        <f>IF(BU104/SUM(BU:BU)*'I-Project Contingency'!$F$65=0,0,BU104/SUM(BU:BU)*'I-Project Contingency'!$F$65)</f>
        <v>0</v>
      </c>
      <c r="EJ104" s="334">
        <f>IF(BV104/SUM(BV:BV)*'I-Project Contingency'!$F$66=0,0,BV104/SUM(BV:BV)*'I-Project Contingency'!$F$66)</f>
        <v>0</v>
      </c>
      <c r="EK104" s="334">
        <f>IF(BW104/SUM(BW:BW)*'I-Project Contingency'!$F$67=0,0,BW104/SUM(BW:BW)*'I-Project Contingency'!$F$67)</f>
        <v>0</v>
      </c>
      <c r="EL104" s="334">
        <f>IF(BX104/SUM(BX:BX)*'I-Project Contingency'!$F$68=0,0,BX104/SUM(BX:BX)*'I-Project Contingency'!$F$68)</f>
        <v>0</v>
      </c>
      <c r="EM104" s="334">
        <f>IF(BY104/SUM(BY:BY)*'I-Project Contingency'!$F$69=0,0,BY104/SUM(BY:BY)*'I-Project Contingency'!$F$69)</f>
        <v>0</v>
      </c>
      <c r="EN104" s="334">
        <f>IF(BZ104/SUM(BZ:BZ)*'I-Project Contingency'!$F$70=0,0,BZ104/SUM(BZ:BZ)*'I-Project Contingency'!$F$70)</f>
        <v>0</v>
      </c>
      <c r="EO104" s="334">
        <f>IF(CA104/SUM(CA:CA)*'I-Project Contingency'!$F$71=0,0,CA104/SUM(CA:CA)*'I-Project Contingency'!$F$71)</f>
        <v>0</v>
      </c>
      <c r="EP104" s="334">
        <f>IF(CB104/SUM(CB:CB)*'I-Project Contingency'!$F$72=0,0,CB104/SUM(CB:CB)*'I-Project Contingency'!$F$72)</f>
        <v>0</v>
      </c>
      <c r="EQ104" s="334">
        <f>IF(CC104/SUM(CC:CC)*'I-Project Contingency'!$F$73=0,0,CC104/SUM(CC:CC)*'I-Project Contingency'!$F$73)</f>
        <v>0</v>
      </c>
      <c r="ER104" s="334">
        <f>IF(CD104/SUM(CD:CD)*'I-Project Contingency'!$F$74=0,0,CD104/SUM(CD:CD)*'I-Project Contingency'!$F$74)</f>
        <v>0</v>
      </c>
      <c r="ES104" s="334">
        <f>IF(CE104/SUM(CE:CE)*'I-Project Contingency'!$F$75=0,0,CE104/SUM(CE:CE)*'I-Project Contingency'!$F$75)</f>
        <v>0</v>
      </c>
      <c r="ET104" s="334">
        <f>IF(CF104/SUM(CF:CF)*'I-Project Contingency'!$F$76=0,0,CF104/SUM(CF:CF)*'I-Project Contingency'!$F$76)</f>
        <v>0</v>
      </c>
      <c r="EU104" s="334">
        <f>IF(CG104/SUM(CG:CG)*'I-Project Contingency'!$F$77=0,0,CG104/SUM(CG:CG)*'I-Project Contingency'!$F$77)</f>
        <v>0</v>
      </c>
      <c r="EV104" s="787">
        <f>IF(CH104/SUM(CH:CH)*'I-Project Contingency'!$F$78=0,0,CH104/SUM(CH:CH)*'I-Project Contingency'!$F$78)</f>
        <v>0</v>
      </c>
      <c r="EW104" s="787">
        <f>IF(CI104/SUM(CI:CI)*'I-Project Contingency'!$F$79=0,0,CI104/SUM(CI:CI)*'I-Project Contingency'!$F$79)</f>
        <v>0</v>
      </c>
      <c r="EX104" s="787">
        <f>IF(CJ104/SUM(CJ:CJ)*'I-Project Contingency'!$F$80=0,0,CJ104/SUM(CJ:CJ)*'I-Project Contingency'!$F$80)</f>
        <v>0</v>
      </c>
      <c r="EY104" s="787">
        <f>IF(CK104/SUM(CK:CK)*'I-Project Contingency'!$F$81=0,0,CK104/SUM(CK:CK)*'I-Project Contingency'!$F$81)</f>
        <v>0</v>
      </c>
      <c r="EZ104" s="333">
        <f>IF(FB104="N/A","N/A",ABS(INDEX(FB104:FV104,1,MATCH("ROM Schedule Risk @ "&amp;'D-Project Data'!$C$6*100&amp;"%",$FB$17:$FV$17,0))))</f>
        <v>0</v>
      </c>
      <c r="FA104" s="335">
        <f>IF(EZ104="N/A","N/A",RANK(EZ104,$EZ$18:$EZ$117,0)+COUNTIF($FB$18:FB104,FB104)-1)</f>
        <v>87</v>
      </c>
      <c r="FB104" s="788">
        <f>IF(DH104/SUM(DH:DH)*'I-Project Contingency'!$F$86=0,0,DH104/SUM(DH:DH)*'I-Project Contingency'!$F$86)</f>
        <v>0</v>
      </c>
      <c r="FC104" s="788">
        <f>IF(DI104/SUM(DI:DI)*'I-Project Contingency'!$F$87=0,0,DI104/SUM(DI:DI)*'I-Project Contingency'!$F$87)</f>
        <v>0</v>
      </c>
      <c r="FD104" s="788">
        <f>IF(DJ104/SUM(DJ:DJ)*'I-Project Contingency'!$F$88=0,0,DJ104/SUM(DJ:DJ)*'I-Project Contingency'!$F$88)</f>
        <v>0</v>
      </c>
      <c r="FE104" s="788">
        <f>IF(DK104/SUM(DK:DK)*'I-Project Contingency'!$F$89=0,0,DK104/SUM(DK:DK)*'I-Project Contingency'!$F$89)</f>
        <v>0</v>
      </c>
      <c r="FF104" s="788">
        <f>IF(DL104/SUM(DL:DL)*'I-Project Contingency'!$F$90=0,0,DL104/SUM(DL:DL)*'I-Project Contingency'!$F$90)</f>
        <v>0</v>
      </c>
      <c r="FG104" s="788">
        <f>IF(DM104/SUM(DM:DM)*'I-Project Contingency'!$F$91=0,0,DM104/SUM(DM:DM)*'I-Project Contingency'!$F$91)</f>
        <v>0</v>
      </c>
      <c r="FH104" s="788">
        <f>IF(DN104/SUM(DN:DN)*'I-Project Contingency'!$F$92=0,0,DN104/SUM(DN:DN)*'I-Project Contingency'!$F$92)</f>
        <v>0</v>
      </c>
      <c r="FI104" s="788">
        <f>IF(DO104/SUM(DO:DO)*'I-Project Contingency'!$F$93=0,0,DO104/SUM(DO:DO)*'I-Project Contingency'!$F$93)</f>
        <v>0</v>
      </c>
      <c r="FJ104" s="788">
        <f>IF(DP104/SUM(DP:DP)*'I-Project Contingency'!$F$94=0,0,DP104/SUM(DP:DP)*'I-Project Contingency'!$F$94)</f>
        <v>0</v>
      </c>
      <c r="FK104" s="788">
        <f>IF(DQ104/SUM(DQ:DQ)*'I-Project Contingency'!$F$95=0,0,DQ104/SUM(DQ:DQ)*'I-Project Contingency'!$F$95)</f>
        <v>0</v>
      </c>
      <c r="FL104" s="788">
        <f>IF(DR104/SUM(DR:DR)*'I-Project Contingency'!$F$96=0,0,DR104/SUM(DR:DR)*'I-Project Contingency'!$F$96)</f>
        <v>0</v>
      </c>
      <c r="FM104" s="788">
        <f>IF(DS104/SUM(DS:DS)*'I-Project Contingency'!$F$97=0,0,DS104/SUM(DS:DS)*'I-Project Contingency'!$F$97)</f>
        <v>0</v>
      </c>
      <c r="FN104" s="788">
        <f>IF(DT104/SUM(DT:DT)*'I-Project Contingency'!$F$98=0,0,DT104/SUM(DT:DT)*'I-Project Contingency'!$F$98)</f>
        <v>0</v>
      </c>
      <c r="FO104" s="788">
        <f>IF(DU104/SUM(DU:DU)*'I-Project Contingency'!$F$99=0,0,DU104/SUM(DU:DU)*'I-Project Contingency'!$F$99)</f>
        <v>0</v>
      </c>
      <c r="FP104" s="788">
        <f>IF(DV104/SUM(DV:DV)*'I-Project Contingency'!$F$100=0,0,DV104/SUM(DV:DV)*'I-Project Contingency'!$F$100)</f>
        <v>0</v>
      </c>
      <c r="FQ104" s="788">
        <f>IF(DW104/SUM(DW:DW)*'I-Project Contingency'!$F$101=0,0,DW104/SUM(DW:DW)*'I-Project Contingency'!$F$101)</f>
        <v>0</v>
      </c>
      <c r="FR104" s="788">
        <f>IF(DX104/SUM(DX:DX)*'I-Project Contingency'!$F$102=0,0,DX104/SUM(DX:DX)*'I-Project Contingency'!$F$102)</f>
        <v>0</v>
      </c>
      <c r="FS104" s="788">
        <f>IF(DY104/SUM(DY:DY)*'I-Project Contingency'!$F$103=0,0,DY104/SUM(DY:DY)*'I-Project Contingency'!$F$103)</f>
        <v>0</v>
      </c>
      <c r="FT104" s="788">
        <f>IF(DZ104/SUM(DZ:DZ)*'I-Project Contingency'!$F$104=0,0,DZ104/SUM(DZ:DZ)*'I-Project Contingency'!$F$104)</f>
        <v>0</v>
      </c>
      <c r="FU104" s="788">
        <f>IF(EA104/SUM(EA:EA)*'I-Project Contingency'!$F$105=0,0,EA104/SUM(EA:EA)*'I-Project Contingency'!$F$105)</f>
        <v>0</v>
      </c>
      <c r="FV104" s="788">
        <f>IF(EB104/SUM(EB:EB)*'I-Project Contingency'!$F$106=0,0,EB104/SUM(EB:EB)*'I-Project Contingency'!$F$106)</f>
        <v>0</v>
      </c>
      <c r="FW104" s="335">
        <f t="shared" si="52"/>
        <v>87</v>
      </c>
      <c r="FX104" s="336" t="str">
        <f t="shared" si="53"/>
        <v xml:space="preserve">87 -  </v>
      </c>
      <c r="FY104" s="330">
        <f t="shared" si="43"/>
        <v>0</v>
      </c>
      <c r="FZ104" s="330">
        <f t="shared" si="44"/>
        <v>0</v>
      </c>
      <c r="GA104" s="332">
        <f t="shared" si="54"/>
        <v>0</v>
      </c>
      <c r="GB104" s="332">
        <f t="shared" si="55"/>
        <v>0</v>
      </c>
    </row>
    <row r="105" spans="1:184" ht="30" x14ac:dyDescent="0.25">
      <c r="A105" s="163">
        <f t="shared" si="23"/>
        <v>88</v>
      </c>
      <c r="B105" s="727" t="s">
        <v>728</v>
      </c>
      <c r="C105" s="729" t="s">
        <v>659</v>
      </c>
      <c r="D105" s="729" t="s">
        <v>659</v>
      </c>
      <c r="E105" s="729" t="s">
        <v>659</v>
      </c>
      <c r="F105" s="728" t="s">
        <v>728</v>
      </c>
      <c r="G105" s="728" t="s">
        <v>728</v>
      </c>
      <c r="H105" s="157" t="str">
        <f>IFERROR(IF('H-Risk Register-Model'!F105="Certain","Relook at Basis of Estimate",INDEX('G-Assumptions'!$F$8:$J$11,MATCH(F105,'G-Assumptions'!$D$8:$D$11,0),MATCH(G105,'G-Assumptions'!$F$6:$J$6,0))),"Unrated")</f>
        <v>Unrated</v>
      </c>
      <c r="I105" s="728" t="s">
        <v>728</v>
      </c>
      <c r="J105" s="157" t="str">
        <f>IFERROR(IF('H-Risk Register-Model'!F105="Certain","Relook at Basis of Estimate",INDEX('G-Assumptions'!$F$8:$J$11,MATCH(F105,'G-Assumptions'!$D$8:$D$11,0),MATCH(I105,'G-Assumptions'!$F$6:$J$6,0))),"Unrated")</f>
        <v>Unrated</v>
      </c>
      <c r="K105" s="728" t="s">
        <v>728</v>
      </c>
      <c r="L105" s="728" t="s">
        <v>728</v>
      </c>
      <c r="M105" s="728"/>
      <c r="N105" s="731" t="s">
        <v>728</v>
      </c>
      <c r="O105" s="731" t="s">
        <v>728</v>
      </c>
      <c r="P105" s="732"/>
      <c r="Q105" s="732"/>
      <c r="R105" s="732"/>
      <c r="S105" s="733"/>
      <c r="T105" s="733"/>
      <c r="U105" s="733"/>
      <c r="V105" s="734"/>
      <c r="W105" s="732"/>
      <c r="X105" s="732"/>
      <c r="Y105" s="735">
        <v>1</v>
      </c>
      <c r="Z105" s="736">
        <v>1</v>
      </c>
      <c r="AA105" s="166">
        <f t="shared" si="56"/>
        <v>0</v>
      </c>
      <c r="AB105" s="166">
        <f t="shared" si="57"/>
        <v>0</v>
      </c>
      <c r="AC105" s="166">
        <f t="shared" si="58"/>
        <v>0</v>
      </c>
      <c r="AD105" s="166"/>
      <c r="AE105" s="164">
        <f t="shared" si="41"/>
        <v>0</v>
      </c>
      <c r="AF105" s="167"/>
      <c r="AG105" s="165">
        <f t="shared" si="42"/>
        <v>0</v>
      </c>
      <c r="AH105" s="729"/>
      <c r="AI105" s="729"/>
      <c r="AJ105" s="8"/>
      <c r="AK105" s="495" t="str">
        <f t="shared" si="45"/>
        <v>No</v>
      </c>
      <c r="AL105" s="496">
        <f>'I-Project Contingency'!$I$4</f>
        <v>9000000</v>
      </c>
      <c r="AM105" s="326">
        <f>'I-Project Contingency'!$I$11</f>
        <v>23.978102189781023</v>
      </c>
      <c r="AN105" s="325">
        <f t="shared" si="46"/>
        <v>0</v>
      </c>
      <c r="AO105" s="326">
        <f t="shared" si="47"/>
        <v>0</v>
      </c>
      <c r="AP105" s="641" t="str">
        <f t="shared" si="48"/>
        <v/>
      </c>
      <c r="AQ105" s="641" t="str">
        <f t="shared" si="49"/>
        <v/>
      </c>
      <c r="AR105" s="497" t="str">
        <f t="shared" si="50"/>
        <v/>
      </c>
      <c r="AS105" s="497" t="str">
        <f t="shared" si="51"/>
        <v/>
      </c>
      <c r="AT105" s="8"/>
      <c r="AU105" s="329">
        <f>'I-Project Contingency'!$O$4-AE105</f>
        <v>0</v>
      </c>
      <c r="AV105" s="330">
        <v>-240515.59579276721</v>
      </c>
      <c r="AW105" s="330">
        <v>28172.931401335634</v>
      </c>
      <c r="AX105" s="330">
        <v>193478.84467429668</v>
      </c>
      <c r="AY105" s="330">
        <v>361668.20104834624</v>
      </c>
      <c r="AZ105" s="330">
        <v>524446.91524262261</v>
      </c>
      <c r="BA105" s="330">
        <v>704023.56387635041</v>
      </c>
      <c r="BB105" s="330">
        <v>886394.06956240814</v>
      </c>
      <c r="BC105" s="330">
        <v>1079363.7165157665</v>
      </c>
      <c r="BD105" s="330">
        <v>1280180.1532065615</v>
      </c>
      <c r="BE105" s="330">
        <v>1485323.8019108465</v>
      </c>
      <c r="BF105" s="330">
        <v>1703758.8827524669</v>
      </c>
      <c r="BG105" s="330">
        <v>1949523.4346483489</v>
      </c>
      <c r="BH105" s="330">
        <v>2177897.1603371189</v>
      </c>
      <c r="BI105" s="330">
        <v>2429374.4260425912</v>
      </c>
      <c r="BJ105" s="330">
        <v>2717092.7449284913</v>
      </c>
      <c r="BK105" s="330">
        <v>3010093.6968918457</v>
      </c>
      <c r="BL105" s="330">
        <v>3325414.5894657462</v>
      </c>
      <c r="BM105" s="330">
        <v>3690425.9159493577</v>
      </c>
      <c r="BN105" s="330">
        <v>4143935.1706127762</v>
      </c>
      <c r="BO105" s="330">
        <v>4722651.1159141911</v>
      </c>
      <c r="BP105" s="330">
        <v>5992048.8629153483</v>
      </c>
      <c r="BQ105" s="330">
        <f>'I-Project Contingency'!$E$61-AV105</f>
        <v>0</v>
      </c>
      <c r="BR105" s="330">
        <f>'I-Project Contingency'!$E$62-AW105</f>
        <v>0</v>
      </c>
      <c r="BS105" s="330">
        <f>'I-Project Contingency'!$E$63-AX105</f>
        <v>0</v>
      </c>
      <c r="BT105" s="330">
        <f>'I-Project Contingency'!$E$64-AY105</f>
        <v>0</v>
      </c>
      <c r="BU105" s="330">
        <f>'I-Project Contingency'!$E$65-AZ105</f>
        <v>0</v>
      </c>
      <c r="BV105" s="330">
        <f>'I-Project Contingency'!$E$66-BA105</f>
        <v>0</v>
      </c>
      <c r="BW105" s="330">
        <f>'I-Project Contingency'!$E$67-BB105</f>
        <v>0</v>
      </c>
      <c r="BX105" s="330">
        <f>'I-Project Contingency'!$E$68-BC105</f>
        <v>0</v>
      </c>
      <c r="BY105" s="330">
        <f>'I-Project Contingency'!$E$69-BD105</f>
        <v>0</v>
      </c>
      <c r="BZ105" s="330">
        <f>'I-Project Contingency'!$E$70-BE105</f>
        <v>0</v>
      </c>
      <c r="CA105" s="330">
        <f>'I-Project Contingency'!$E$71-BF105</f>
        <v>0</v>
      </c>
      <c r="CB105" s="330">
        <f>'I-Project Contingency'!$E$72-BG105</f>
        <v>0</v>
      </c>
      <c r="CC105" s="330">
        <f>'I-Project Contingency'!$E$73-BH105</f>
        <v>0</v>
      </c>
      <c r="CD105" s="330">
        <f>'I-Project Contingency'!$E$74-BI105</f>
        <v>0</v>
      </c>
      <c r="CE105" s="330">
        <f>'I-Project Contingency'!$E$75-BJ105</f>
        <v>0</v>
      </c>
      <c r="CF105" s="330">
        <f>'I-Project Contingency'!$E$76-BK105</f>
        <v>0</v>
      </c>
      <c r="CG105" s="330">
        <f>'I-Project Contingency'!$E$77-BL105</f>
        <v>0</v>
      </c>
      <c r="CH105" s="784">
        <f>'I-Project Contingency'!$E$78-BM105</f>
        <v>0</v>
      </c>
      <c r="CI105" s="330">
        <f>'I-Project Contingency'!$E$79-BN105</f>
        <v>0</v>
      </c>
      <c r="CJ105" s="330">
        <f>'I-Project Contingency'!$E$80-BO105</f>
        <v>0</v>
      </c>
      <c r="CK105" s="330">
        <f>'I-Project Contingency'!$E$81-BP105</f>
        <v>0</v>
      </c>
      <c r="CL105" s="331">
        <f>'I-Project Contingency'!$O$5-AG105</f>
        <v>0</v>
      </c>
      <c r="CM105" s="332">
        <v>-0.98711802853447173</v>
      </c>
      <c r="CN105" s="332">
        <v>-0.19547704728364468</v>
      </c>
      <c r="CO105" s="332">
        <v>0.126462150308498</v>
      </c>
      <c r="CP105" s="332">
        <v>0.45967989154545902</v>
      </c>
      <c r="CQ105" s="332">
        <v>0.78297319902744</v>
      </c>
      <c r="CR105" s="332">
        <v>1.0957191966482109</v>
      </c>
      <c r="CS105" s="332">
        <v>1.4418405003536849</v>
      </c>
      <c r="CT105" s="332">
        <v>1.801002404194165</v>
      </c>
      <c r="CU105" s="332">
        <v>2.1797608166947349</v>
      </c>
      <c r="CV105" s="332">
        <v>2.5671680610072478</v>
      </c>
      <c r="CW105" s="332">
        <v>2.9690760644797152</v>
      </c>
      <c r="CX105" s="332">
        <v>3.3964145469774811</v>
      </c>
      <c r="CY105" s="332">
        <v>3.864536087769562</v>
      </c>
      <c r="CZ105" s="332">
        <v>4.3569836138896116</v>
      </c>
      <c r="DA105" s="332">
        <v>4.8862357851222598</v>
      </c>
      <c r="DB105" s="332">
        <v>5.438836997347547</v>
      </c>
      <c r="DC105" s="332">
        <v>6.047993455908566</v>
      </c>
      <c r="DD105" s="785">
        <v>6.720204953601761</v>
      </c>
      <c r="DE105" s="333">
        <v>7.55131678090412</v>
      </c>
      <c r="DF105" s="332">
        <v>8.661446370835737</v>
      </c>
      <c r="DG105" s="332">
        <v>11.206316207857133</v>
      </c>
      <c r="DH105" s="332">
        <f>'I-Project Contingency'!$E$86-CM105</f>
        <v>0</v>
      </c>
      <c r="DI105" s="332">
        <f>'I-Project Contingency'!$E$87-CN105</f>
        <v>0</v>
      </c>
      <c r="DJ105" s="332">
        <f>'I-Project Contingency'!$E$88-CO105</f>
        <v>0</v>
      </c>
      <c r="DK105" s="332">
        <f>'I-Project Contingency'!$E$89-CP105</f>
        <v>0</v>
      </c>
      <c r="DL105" s="332">
        <f>'I-Project Contingency'!$E$90-CQ105</f>
        <v>0</v>
      </c>
      <c r="DM105" s="332">
        <f>'I-Project Contingency'!$E$91-CR105</f>
        <v>0</v>
      </c>
      <c r="DN105" s="332">
        <f>'I-Project Contingency'!$E$92-CS105</f>
        <v>0</v>
      </c>
      <c r="DO105" s="332">
        <f>'I-Project Contingency'!$E$93-CT105</f>
        <v>0</v>
      </c>
      <c r="DP105" s="332">
        <f>'I-Project Contingency'!$E$94-CU105</f>
        <v>0</v>
      </c>
      <c r="DQ105" s="332">
        <f>'I-Project Contingency'!$E$95-CV105</f>
        <v>0</v>
      </c>
      <c r="DR105" s="332">
        <f>'I-Project Contingency'!$E$96-CW105</f>
        <v>0</v>
      </c>
      <c r="DS105" s="332">
        <f>'I-Project Contingency'!$E$97-CX105</f>
        <v>0</v>
      </c>
      <c r="DT105" s="332">
        <f>'I-Project Contingency'!$E$98-CY105</f>
        <v>0</v>
      </c>
      <c r="DU105" s="332">
        <f>'I-Project Contingency'!$E$99-CZ105</f>
        <v>0</v>
      </c>
      <c r="DV105" s="332">
        <f>'I-Project Contingency'!$E$100-DA105</f>
        <v>0</v>
      </c>
      <c r="DW105" s="332">
        <f>'I-Project Contingency'!$E$101-DB105</f>
        <v>0</v>
      </c>
      <c r="DX105" s="332">
        <f>'I-Project Contingency'!$E$102-DC105</f>
        <v>0</v>
      </c>
      <c r="DY105" s="332">
        <f>'I-Project Contingency'!$E$103-DD105</f>
        <v>0</v>
      </c>
      <c r="DZ105" s="332">
        <f>'I-Project Contingency'!$E$104-DE105</f>
        <v>0</v>
      </c>
      <c r="EA105" s="332">
        <f>'I-Project Contingency'!$E$105-DF105</f>
        <v>0</v>
      </c>
      <c r="EB105" s="332">
        <f>'I-Project Contingency'!$E$106-DG105</f>
        <v>0</v>
      </c>
      <c r="EC105" s="334">
        <f>IF(EE105="N/A","N/A",ABS(INDEX(EE105:EY105,1,MATCH("ROM Cost Risk @ "&amp;'D-Project Data'!$C$6*100&amp;"%",$EE$17:$EY$17,0))))</f>
        <v>0</v>
      </c>
      <c r="ED105" s="335">
        <f>IF(EC105="N/A","N/A",RANK(EC105,$EC$18:$EC$117,0)+COUNTIF($EC$18:EC105,EC105)-1)</f>
        <v>88</v>
      </c>
      <c r="EE105" s="334">
        <f>IF(BQ105/SUM(BQ:BQ)*'I-Project Contingency'!$F$61=0,0,BQ105/SUM(BQ:BQ)*'I-Project Contingency'!$F$61)</f>
        <v>0</v>
      </c>
      <c r="EF105" s="334">
        <f>IF(BR105/SUM(BR:BR)*'I-Project Contingency'!$F$62=0,0,BR105/SUM(BR:BR)*'I-Project Contingency'!$F$62)</f>
        <v>0</v>
      </c>
      <c r="EG105" s="334">
        <f>IF(BS105/SUM(BS:BS)*'I-Project Contingency'!$F$63=0,0,BS105/SUM(BS:BS)*'I-Project Contingency'!$F$63)</f>
        <v>0</v>
      </c>
      <c r="EH105" s="334">
        <f>IF(BT105/SUM(BT:BT)*'I-Project Contingency'!$F$64=0,0,BT105/SUM(BT:BT)*'I-Project Contingency'!$F$64)</f>
        <v>0</v>
      </c>
      <c r="EI105" s="334">
        <f>IF(BU105/SUM(BU:BU)*'I-Project Contingency'!$F$65=0,0,BU105/SUM(BU:BU)*'I-Project Contingency'!$F$65)</f>
        <v>0</v>
      </c>
      <c r="EJ105" s="334">
        <f>IF(BV105/SUM(BV:BV)*'I-Project Contingency'!$F$66=0,0,BV105/SUM(BV:BV)*'I-Project Contingency'!$F$66)</f>
        <v>0</v>
      </c>
      <c r="EK105" s="334">
        <f>IF(BW105/SUM(BW:BW)*'I-Project Contingency'!$F$67=0,0,BW105/SUM(BW:BW)*'I-Project Contingency'!$F$67)</f>
        <v>0</v>
      </c>
      <c r="EL105" s="334">
        <f>IF(BX105/SUM(BX:BX)*'I-Project Contingency'!$F$68=0,0,BX105/SUM(BX:BX)*'I-Project Contingency'!$F$68)</f>
        <v>0</v>
      </c>
      <c r="EM105" s="334">
        <f>IF(BY105/SUM(BY:BY)*'I-Project Contingency'!$F$69=0,0,BY105/SUM(BY:BY)*'I-Project Contingency'!$F$69)</f>
        <v>0</v>
      </c>
      <c r="EN105" s="334">
        <f>IF(BZ105/SUM(BZ:BZ)*'I-Project Contingency'!$F$70=0,0,BZ105/SUM(BZ:BZ)*'I-Project Contingency'!$F$70)</f>
        <v>0</v>
      </c>
      <c r="EO105" s="334">
        <f>IF(CA105/SUM(CA:CA)*'I-Project Contingency'!$F$71=0,0,CA105/SUM(CA:CA)*'I-Project Contingency'!$F$71)</f>
        <v>0</v>
      </c>
      <c r="EP105" s="334">
        <f>IF(CB105/SUM(CB:CB)*'I-Project Contingency'!$F$72=0,0,CB105/SUM(CB:CB)*'I-Project Contingency'!$F$72)</f>
        <v>0</v>
      </c>
      <c r="EQ105" s="334">
        <f>IF(CC105/SUM(CC:CC)*'I-Project Contingency'!$F$73=0,0,CC105/SUM(CC:CC)*'I-Project Contingency'!$F$73)</f>
        <v>0</v>
      </c>
      <c r="ER105" s="334">
        <f>IF(CD105/SUM(CD:CD)*'I-Project Contingency'!$F$74=0,0,CD105/SUM(CD:CD)*'I-Project Contingency'!$F$74)</f>
        <v>0</v>
      </c>
      <c r="ES105" s="334">
        <f>IF(CE105/SUM(CE:CE)*'I-Project Contingency'!$F$75=0,0,CE105/SUM(CE:CE)*'I-Project Contingency'!$F$75)</f>
        <v>0</v>
      </c>
      <c r="ET105" s="334">
        <f>IF(CF105/SUM(CF:CF)*'I-Project Contingency'!$F$76=0,0,CF105/SUM(CF:CF)*'I-Project Contingency'!$F$76)</f>
        <v>0</v>
      </c>
      <c r="EU105" s="334">
        <f>IF(CG105/SUM(CG:CG)*'I-Project Contingency'!$F$77=0,0,CG105/SUM(CG:CG)*'I-Project Contingency'!$F$77)</f>
        <v>0</v>
      </c>
      <c r="EV105" s="787">
        <f>IF(CH105/SUM(CH:CH)*'I-Project Contingency'!$F$78=0,0,CH105/SUM(CH:CH)*'I-Project Contingency'!$F$78)</f>
        <v>0</v>
      </c>
      <c r="EW105" s="787">
        <f>IF(CI105/SUM(CI:CI)*'I-Project Contingency'!$F$79=0,0,CI105/SUM(CI:CI)*'I-Project Contingency'!$F$79)</f>
        <v>0</v>
      </c>
      <c r="EX105" s="787">
        <f>IF(CJ105/SUM(CJ:CJ)*'I-Project Contingency'!$F$80=0,0,CJ105/SUM(CJ:CJ)*'I-Project Contingency'!$F$80)</f>
        <v>0</v>
      </c>
      <c r="EY105" s="787">
        <f>IF(CK105/SUM(CK:CK)*'I-Project Contingency'!$F$81=0,0,CK105/SUM(CK:CK)*'I-Project Contingency'!$F$81)</f>
        <v>0</v>
      </c>
      <c r="EZ105" s="333">
        <f>IF(FB105="N/A","N/A",ABS(INDEX(FB105:FV105,1,MATCH("ROM Schedule Risk @ "&amp;'D-Project Data'!$C$6*100&amp;"%",$FB$17:$FV$17,0))))</f>
        <v>0</v>
      </c>
      <c r="FA105" s="335">
        <f>IF(EZ105="N/A","N/A",RANK(EZ105,$EZ$18:$EZ$117,0)+COUNTIF($FB$18:FB105,FB105)-1)</f>
        <v>88</v>
      </c>
      <c r="FB105" s="788">
        <f>IF(DH105/SUM(DH:DH)*'I-Project Contingency'!$F$86=0,0,DH105/SUM(DH:DH)*'I-Project Contingency'!$F$86)</f>
        <v>0</v>
      </c>
      <c r="FC105" s="788">
        <f>IF(DI105/SUM(DI:DI)*'I-Project Contingency'!$F$87=0,0,DI105/SUM(DI:DI)*'I-Project Contingency'!$F$87)</f>
        <v>0</v>
      </c>
      <c r="FD105" s="788">
        <f>IF(DJ105/SUM(DJ:DJ)*'I-Project Contingency'!$F$88=0,0,DJ105/SUM(DJ:DJ)*'I-Project Contingency'!$F$88)</f>
        <v>0</v>
      </c>
      <c r="FE105" s="788">
        <f>IF(DK105/SUM(DK:DK)*'I-Project Contingency'!$F$89=0,0,DK105/SUM(DK:DK)*'I-Project Contingency'!$F$89)</f>
        <v>0</v>
      </c>
      <c r="FF105" s="788">
        <f>IF(DL105/SUM(DL:DL)*'I-Project Contingency'!$F$90=0,0,DL105/SUM(DL:DL)*'I-Project Contingency'!$F$90)</f>
        <v>0</v>
      </c>
      <c r="FG105" s="788">
        <f>IF(DM105/SUM(DM:DM)*'I-Project Contingency'!$F$91=0,0,DM105/SUM(DM:DM)*'I-Project Contingency'!$F$91)</f>
        <v>0</v>
      </c>
      <c r="FH105" s="788">
        <f>IF(DN105/SUM(DN:DN)*'I-Project Contingency'!$F$92=0,0,DN105/SUM(DN:DN)*'I-Project Contingency'!$F$92)</f>
        <v>0</v>
      </c>
      <c r="FI105" s="788">
        <f>IF(DO105/SUM(DO:DO)*'I-Project Contingency'!$F$93=0,0,DO105/SUM(DO:DO)*'I-Project Contingency'!$F$93)</f>
        <v>0</v>
      </c>
      <c r="FJ105" s="788">
        <f>IF(DP105/SUM(DP:DP)*'I-Project Contingency'!$F$94=0,0,DP105/SUM(DP:DP)*'I-Project Contingency'!$F$94)</f>
        <v>0</v>
      </c>
      <c r="FK105" s="788">
        <f>IF(DQ105/SUM(DQ:DQ)*'I-Project Contingency'!$F$95=0,0,DQ105/SUM(DQ:DQ)*'I-Project Contingency'!$F$95)</f>
        <v>0</v>
      </c>
      <c r="FL105" s="788">
        <f>IF(DR105/SUM(DR:DR)*'I-Project Contingency'!$F$96=0,0,DR105/SUM(DR:DR)*'I-Project Contingency'!$F$96)</f>
        <v>0</v>
      </c>
      <c r="FM105" s="788">
        <f>IF(DS105/SUM(DS:DS)*'I-Project Contingency'!$F$97=0,0,DS105/SUM(DS:DS)*'I-Project Contingency'!$F$97)</f>
        <v>0</v>
      </c>
      <c r="FN105" s="788">
        <f>IF(DT105/SUM(DT:DT)*'I-Project Contingency'!$F$98=0,0,DT105/SUM(DT:DT)*'I-Project Contingency'!$F$98)</f>
        <v>0</v>
      </c>
      <c r="FO105" s="788">
        <f>IF(DU105/SUM(DU:DU)*'I-Project Contingency'!$F$99=0,0,DU105/SUM(DU:DU)*'I-Project Contingency'!$F$99)</f>
        <v>0</v>
      </c>
      <c r="FP105" s="788">
        <f>IF(DV105/SUM(DV:DV)*'I-Project Contingency'!$F$100=0,0,DV105/SUM(DV:DV)*'I-Project Contingency'!$F$100)</f>
        <v>0</v>
      </c>
      <c r="FQ105" s="788">
        <f>IF(DW105/SUM(DW:DW)*'I-Project Contingency'!$F$101=0,0,DW105/SUM(DW:DW)*'I-Project Contingency'!$F$101)</f>
        <v>0</v>
      </c>
      <c r="FR105" s="788">
        <f>IF(DX105/SUM(DX:DX)*'I-Project Contingency'!$F$102=0,0,DX105/SUM(DX:DX)*'I-Project Contingency'!$F$102)</f>
        <v>0</v>
      </c>
      <c r="FS105" s="788">
        <f>IF(DY105/SUM(DY:DY)*'I-Project Contingency'!$F$103=0,0,DY105/SUM(DY:DY)*'I-Project Contingency'!$F$103)</f>
        <v>0</v>
      </c>
      <c r="FT105" s="788">
        <f>IF(DZ105/SUM(DZ:DZ)*'I-Project Contingency'!$F$104=0,0,DZ105/SUM(DZ:DZ)*'I-Project Contingency'!$F$104)</f>
        <v>0</v>
      </c>
      <c r="FU105" s="788">
        <f>IF(EA105/SUM(EA:EA)*'I-Project Contingency'!$F$105=0,0,EA105/SUM(EA:EA)*'I-Project Contingency'!$F$105)</f>
        <v>0</v>
      </c>
      <c r="FV105" s="788">
        <f>IF(EB105/SUM(EB:EB)*'I-Project Contingency'!$F$106=0,0,EB105/SUM(EB:EB)*'I-Project Contingency'!$F$106)</f>
        <v>0</v>
      </c>
      <c r="FW105" s="335">
        <f t="shared" si="52"/>
        <v>88</v>
      </c>
      <c r="FX105" s="336" t="str">
        <f t="shared" si="53"/>
        <v xml:space="preserve">88 -  </v>
      </c>
      <c r="FY105" s="330">
        <f t="shared" si="43"/>
        <v>0</v>
      </c>
      <c r="FZ105" s="330">
        <f t="shared" si="44"/>
        <v>0</v>
      </c>
      <c r="GA105" s="332">
        <f t="shared" si="54"/>
        <v>0</v>
      </c>
      <c r="GB105" s="332">
        <f t="shared" si="55"/>
        <v>0</v>
      </c>
    </row>
    <row r="106" spans="1:184" ht="30" x14ac:dyDescent="0.25">
      <c r="A106" s="163">
        <f t="shared" si="23"/>
        <v>89</v>
      </c>
      <c r="B106" s="727" t="s">
        <v>728</v>
      </c>
      <c r="C106" s="729" t="s">
        <v>659</v>
      </c>
      <c r="D106" s="729" t="s">
        <v>659</v>
      </c>
      <c r="E106" s="729" t="s">
        <v>659</v>
      </c>
      <c r="F106" s="728" t="s">
        <v>728</v>
      </c>
      <c r="G106" s="728" t="s">
        <v>728</v>
      </c>
      <c r="H106" s="157" t="str">
        <f>IFERROR(IF('H-Risk Register-Model'!F106="Certain","Relook at Basis of Estimate",INDEX('G-Assumptions'!$F$8:$J$11,MATCH(F106,'G-Assumptions'!$D$8:$D$11,0),MATCH(G106,'G-Assumptions'!$F$6:$J$6,0))),"Unrated")</f>
        <v>Unrated</v>
      </c>
      <c r="I106" s="728" t="s">
        <v>728</v>
      </c>
      <c r="J106" s="157" t="str">
        <f>IFERROR(IF('H-Risk Register-Model'!F106="Certain","Relook at Basis of Estimate",INDEX('G-Assumptions'!$F$8:$J$11,MATCH(F106,'G-Assumptions'!$D$8:$D$11,0),MATCH(I106,'G-Assumptions'!$F$6:$J$6,0))),"Unrated")</f>
        <v>Unrated</v>
      </c>
      <c r="K106" s="728" t="s">
        <v>728</v>
      </c>
      <c r="L106" s="728" t="s">
        <v>728</v>
      </c>
      <c r="M106" s="728"/>
      <c r="N106" s="731" t="s">
        <v>728</v>
      </c>
      <c r="O106" s="731" t="s">
        <v>728</v>
      </c>
      <c r="P106" s="732"/>
      <c r="Q106" s="732"/>
      <c r="R106" s="732"/>
      <c r="S106" s="733"/>
      <c r="T106" s="733"/>
      <c r="U106" s="733"/>
      <c r="V106" s="734"/>
      <c r="W106" s="732"/>
      <c r="X106" s="732"/>
      <c r="Y106" s="735">
        <v>1</v>
      </c>
      <c r="Z106" s="736">
        <v>1</v>
      </c>
      <c r="AA106" s="166">
        <f t="shared" si="56"/>
        <v>0</v>
      </c>
      <c r="AB106" s="166">
        <f t="shared" si="57"/>
        <v>0</v>
      </c>
      <c r="AC106" s="166">
        <f t="shared" si="58"/>
        <v>0</v>
      </c>
      <c r="AD106" s="166"/>
      <c r="AE106" s="164">
        <f t="shared" si="41"/>
        <v>0</v>
      </c>
      <c r="AF106" s="167"/>
      <c r="AG106" s="165">
        <f t="shared" si="42"/>
        <v>0</v>
      </c>
      <c r="AH106" s="729"/>
      <c r="AI106" s="729"/>
      <c r="AJ106" s="8"/>
      <c r="AK106" s="495" t="str">
        <f t="shared" si="45"/>
        <v>No</v>
      </c>
      <c r="AL106" s="496">
        <f>'I-Project Contingency'!$I$4</f>
        <v>9000000</v>
      </c>
      <c r="AM106" s="326">
        <f>'I-Project Contingency'!$I$11</f>
        <v>23.978102189781023</v>
      </c>
      <c r="AN106" s="325">
        <f t="shared" si="46"/>
        <v>0</v>
      </c>
      <c r="AO106" s="326">
        <f t="shared" si="47"/>
        <v>0</v>
      </c>
      <c r="AP106" s="641" t="str">
        <f t="shared" si="48"/>
        <v/>
      </c>
      <c r="AQ106" s="641" t="str">
        <f t="shared" si="49"/>
        <v/>
      </c>
      <c r="AR106" s="497" t="str">
        <f t="shared" si="50"/>
        <v/>
      </c>
      <c r="AS106" s="497" t="str">
        <f t="shared" si="51"/>
        <v/>
      </c>
      <c r="AT106" s="8"/>
      <c r="AU106" s="329">
        <f>'I-Project Contingency'!$O$4-AE106</f>
        <v>0</v>
      </c>
      <c r="AV106" s="330">
        <v>-240515.59579276721</v>
      </c>
      <c r="AW106" s="330">
        <v>28172.931401335634</v>
      </c>
      <c r="AX106" s="330">
        <v>193478.84467429668</v>
      </c>
      <c r="AY106" s="330">
        <v>361668.20104834624</v>
      </c>
      <c r="AZ106" s="330">
        <v>524446.91524262261</v>
      </c>
      <c r="BA106" s="330">
        <v>704023.56387635041</v>
      </c>
      <c r="BB106" s="330">
        <v>886394.06956240814</v>
      </c>
      <c r="BC106" s="330">
        <v>1079363.7165157665</v>
      </c>
      <c r="BD106" s="330">
        <v>1280180.1532065615</v>
      </c>
      <c r="BE106" s="330">
        <v>1485323.8019108465</v>
      </c>
      <c r="BF106" s="330">
        <v>1703758.8827524669</v>
      </c>
      <c r="BG106" s="330">
        <v>1949523.4346483489</v>
      </c>
      <c r="BH106" s="330">
        <v>2177897.1603371189</v>
      </c>
      <c r="BI106" s="330">
        <v>2429374.4260425912</v>
      </c>
      <c r="BJ106" s="330">
        <v>2717092.7449284913</v>
      </c>
      <c r="BK106" s="330">
        <v>3010093.6968918457</v>
      </c>
      <c r="BL106" s="330">
        <v>3325414.5894657462</v>
      </c>
      <c r="BM106" s="330">
        <v>3690425.9159493577</v>
      </c>
      <c r="BN106" s="330">
        <v>4143935.1706127762</v>
      </c>
      <c r="BO106" s="330">
        <v>4722651.1159141911</v>
      </c>
      <c r="BP106" s="330">
        <v>5992048.8629153483</v>
      </c>
      <c r="BQ106" s="330">
        <f>'I-Project Contingency'!$E$61-AV106</f>
        <v>0</v>
      </c>
      <c r="BR106" s="330">
        <f>'I-Project Contingency'!$E$62-AW106</f>
        <v>0</v>
      </c>
      <c r="BS106" s="330">
        <f>'I-Project Contingency'!$E$63-AX106</f>
        <v>0</v>
      </c>
      <c r="BT106" s="330">
        <f>'I-Project Contingency'!$E$64-AY106</f>
        <v>0</v>
      </c>
      <c r="BU106" s="330">
        <f>'I-Project Contingency'!$E$65-AZ106</f>
        <v>0</v>
      </c>
      <c r="BV106" s="330">
        <f>'I-Project Contingency'!$E$66-BA106</f>
        <v>0</v>
      </c>
      <c r="BW106" s="330">
        <f>'I-Project Contingency'!$E$67-BB106</f>
        <v>0</v>
      </c>
      <c r="BX106" s="330">
        <f>'I-Project Contingency'!$E$68-BC106</f>
        <v>0</v>
      </c>
      <c r="BY106" s="330">
        <f>'I-Project Contingency'!$E$69-BD106</f>
        <v>0</v>
      </c>
      <c r="BZ106" s="330">
        <f>'I-Project Contingency'!$E$70-BE106</f>
        <v>0</v>
      </c>
      <c r="CA106" s="330">
        <f>'I-Project Contingency'!$E$71-BF106</f>
        <v>0</v>
      </c>
      <c r="CB106" s="330">
        <f>'I-Project Contingency'!$E$72-BG106</f>
        <v>0</v>
      </c>
      <c r="CC106" s="330">
        <f>'I-Project Contingency'!$E$73-BH106</f>
        <v>0</v>
      </c>
      <c r="CD106" s="330">
        <f>'I-Project Contingency'!$E$74-BI106</f>
        <v>0</v>
      </c>
      <c r="CE106" s="330">
        <f>'I-Project Contingency'!$E$75-BJ106</f>
        <v>0</v>
      </c>
      <c r="CF106" s="330">
        <f>'I-Project Contingency'!$E$76-BK106</f>
        <v>0</v>
      </c>
      <c r="CG106" s="330">
        <f>'I-Project Contingency'!$E$77-BL106</f>
        <v>0</v>
      </c>
      <c r="CH106" s="784">
        <f>'I-Project Contingency'!$E$78-BM106</f>
        <v>0</v>
      </c>
      <c r="CI106" s="330">
        <f>'I-Project Contingency'!$E$79-BN106</f>
        <v>0</v>
      </c>
      <c r="CJ106" s="330">
        <f>'I-Project Contingency'!$E$80-BO106</f>
        <v>0</v>
      </c>
      <c r="CK106" s="330">
        <f>'I-Project Contingency'!$E$81-BP106</f>
        <v>0</v>
      </c>
      <c r="CL106" s="331">
        <f>'I-Project Contingency'!$O$5-AG106</f>
        <v>0</v>
      </c>
      <c r="CM106" s="332">
        <v>-0.98711802853447173</v>
      </c>
      <c r="CN106" s="332">
        <v>-0.19547704728364468</v>
      </c>
      <c r="CO106" s="332">
        <v>0.126462150308498</v>
      </c>
      <c r="CP106" s="332">
        <v>0.45967989154545902</v>
      </c>
      <c r="CQ106" s="332">
        <v>0.78297319902744</v>
      </c>
      <c r="CR106" s="332">
        <v>1.0957191966482109</v>
      </c>
      <c r="CS106" s="332">
        <v>1.4418405003536849</v>
      </c>
      <c r="CT106" s="332">
        <v>1.801002404194165</v>
      </c>
      <c r="CU106" s="332">
        <v>2.1797608166947349</v>
      </c>
      <c r="CV106" s="332">
        <v>2.5671680610072478</v>
      </c>
      <c r="CW106" s="332">
        <v>2.9690760644797152</v>
      </c>
      <c r="CX106" s="332">
        <v>3.3964145469774811</v>
      </c>
      <c r="CY106" s="332">
        <v>3.864536087769562</v>
      </c>
      <c r="CZ106" s="332">
        <v>4.3569836138896116</v>
      </c>
      <c r="DA106" s="332">
        <v>4.8862357851222598</v>
      </c>
      <c r="DB106" s="332">
        <v>5.438836997347547</v>
      </c>
      <c r="DC106" s="332">
        <v>6.047993455908566</v>
      </c>
      <c r="DD106" s="785">
        <v>6.720204953601761</v>
      </c>
      <c r="DE106" s="333">
        <v>7.55131678090412</v>
      </c>
      <c r="DF106" s="332">
        <v>8.661446370835737</v>
      </c>
      <c r="DG106" s="332">
        <v>11.206316207857133</v>
      </c>
      <c r="DH106" s="332">
        <f>'I-Project Contingency'!$E$86-CM106</f>
        <v>0</v>
      </c>
      <c r="DI106" s="332">
        <f>'I-Project Contingency'!$E$87-CN106</f>
        <v>0</v>
      </c>
      <c r="DJ106" s="332">
        <f>'I-Project Contingency'!$E$88-CO106</f>
        <v>0</v>
      </c>
      <c r="DK106" s="332">
        <f>'I-Project Contingency'!$E$89-CP106</f>
        <v>0</v>
      </c>
      <c r="DL106" s="332">
        <f>'I-Project Contingency'!$E$90-CQ106</f>
        <v>0</v>
      </c>
      <c r="DM106" s="332">
        <f>'I-Project Contingency'!$E$91-CR106</f>
        <v>0</v>
      </c>
      <c r="DN106" s="332">
        <f>'I-Project Contingency'!$E$92-CS106</f>
        <v>0</v>
      </c>
      <c r="DO106" s="332">
        <f>'I-Project Contingency'!$E$93-CT106</f>
        <v>0</v>
      </c>
      <c r="DP106" s="332">
        <f>'I-Project Contingency'!$E$94-CU106</f>
        <v>0</v>
      </c>
      <c r="DQ106" s="332">
        <f>'I-Project Contingency'!$E$95-CV106</f>
        <v>0</v>
      </c>
      <c r="DR106" s="332">
        <f>'I-Project Contingency'!$E$96-CW106</f>
        <v>0</v>
      </c>
      <c r="DS106" s="332">
        <f>'I-Project Contingency'!$E$97-CX106</f>
        <v>0</v>
      </c>
      <c r="DT106" s="332">
        <f>'I-Project Contingency'!$E$98-CY106</f>
        <v>0</v>
      </c>
      <c r="DU106" s="332">
        <f>'I-Project Contingency'!$E$99-CZ106</f>
        <v>0</v>
      </c>
      <c r="DV106" s="332">
        <f>'I-Project Contingency'!$E$100-DA106</f>
        <v>0</v>
      </c>
      <c r="DW106" s="332">
        <f>'I-Project Contingency'!$E$101-DB106</f>
        <v>0</v>
      </c>
      <c r="DX106" s="332">
        <f>'I-Project Contingency'!$E$102-DC106</f>
        <v>0</v>
      </c>
      <c r="DY106" s="332">
        <f>'I-Project Contingency'!$E$103-DD106</f>
        <v>0</v>
      </c>
      <c r="DZ106" s="332">
        <f>'I-Project Contingency'!$E$104-DE106</f>
        <v>0</v>
      </c>
      <c r="EA106" s="332">
        <f>'I-Project Contingency'!$E$105-DF106</f>
        <v>0</v>
      </c>
      <c r="EB106" s="332">
        <f>'I-Project Contingency'!$E$106-DG106</f>
        <v>0</v>
      </c>
      <c r="EC106" s="334">
        <f>IF(EE106="N/A","N/A",ABS(INDEX(EE106:EY106,1,MATCH("ROM Cost Risk @ "&amp;'D-Project Data'!$C$6*100&amp;"%",$EE$17:$EY$17,0))))</f>
        <v>0</v>
      </c>
      <c r="ED106" s="335">
        <f>IF(EC106="N/A","N/A",RANK(EC106,$EC$18:$EC$117,0)+COUNTIF($EC$18:EC106,EC106)-1)</f>
        <v>89</v>
      </c>
      <c r="EE106" s="334">
        <f>IF(BQ106/SUM(BQ:BQ)*'I-Project Contingency'!$F$61=0,0,BQ106/SUM(BQ:BQ)*'I-Project Contingency'!$F$61)</f>
        <v>0</v>
      </c>
      <c r="EF106" s="334">
        <f>IF(BR106/SUM(BR:BR)*'I-Project Contingency'!$F$62=0,0,BR106/SUM(BR:BR)*'I-Project Contingency'!$F$62)</f>
        <v>0</v>
      </c>
      <c r="EG106" s="334">
        <f>IF(BS106/SUM(BS:BS)*'I-Project Contingency'!$F$63=0,0,BS106/SUM(BS:BS)*'I-Project Contingency'!$F$63)</f>
        <v>0</v>
      </c>
      <c r="EH106" s="334">
        <f>IF(BT106/SUM(BT:BT)*'I-Project Contingency'!$F$64=0,0,BT106/SUM(BT:BT)*'I-Project Contingency'!$F$64)</f>
        <v>0</v>
      </c>
      <c r="EI106" s="334">
        <f>IF(BU106/SUM(BU:BU)*'I-Project Contingency'!$F$65=0,0,BU106/SUM(BU:BU)*'I-Project Contingency'!$F$65)</f>
        <v>0</v>
      </c>
      <c r="EJ106" s="334">
        <f>IF(BV106/SUM(BV:BV)*'I-Project Contingency'!$F$66=0,0,BV106/SUM(BV:BV)*'I-Project Contingency'!$F$66)</f>
        <v>0</v>
      </c>
      <c r="EK106" s="334">
        <f>IF(BW106/SUM(BW:BW)*'I-Project Contingency'!$F$67=0,0,BW106/SUM(BW:BW)*'I-Project Contingency'!$F$67)</f>
        <v>0</v>
      </c>
      <c r="EL106" s="334">
        <f>IF(BX106/SUM(BX:BX)*'I-Project Contingency'!$F$68=0,0,BX106/SUM(BX:BX)*'I-Project Contingency'!$F$68)</f>
        <v>0</v>
      </c>
      <c r="EM106" s="334">
        <f>IF(BY106/SUM(BY:BY)*'I-Project Contingency'!$F$69=0,0,BY106/SUM(BY:BY)*'I-Project Contingency'!$F$69)</f>
        <v>0</v>
      </c>
      <c r="EN106" s="334">
        <f>IF(BZ106/SUM(BZ:BZ)*'I-Project Contingency'!$F$70=0,0,BZ106/SUM(BZ:BZ)*'I-Project Contingency'!$F$70)</f>
        <v>0</v>
      </c>
      <c r="EO106" s="334">
        <f>IF(CA106/SUM(CA:CA)*'I-Project Contingency'!$F$71=0,0,CA106/SUM(CA:CA)*'I-Project Contingency'!$F$71)</f>
        <v>0</v>
      </c>
      <c r="EP106" s="334">
        <f>IF(CB106/SUM(CB:CB)*'I-Project Contingency'!$F$72=0,0,CB106/SUM(CB:CB)*'I-Project Contingency'!$F$72)</f>
        <v>0</v>
      </c>
      <c r="EQ106" s="334">
        <f>IF(CC106/SUM(CC:CC)*'I-Project Contingency'!$F$73=0,0,CC106/SUM(CC:CC)*'I-Project Contingency'!$F$73)</f>
        <v>0</v>
      </c>
      <c r="ER106" s="334">
        <f>IF(CD106/SUM(CD:CD)*'I-Project Contingency'!$F$74=0,0,CD106/SUM(CD:CD)*'I-Project Contingency'!$F$74)</f>
        <v>0</v>
      </c>
      <c r="ES106" s="334">
        <f>IF(CE106/SUM(CE:CE)*'I-Project Contingency'!$F$75=0,0,CE106/SUM(CE:CE)*'I-Project Contingency'!$F$75)</f>
        <v>0</v>
      </c>
      <c r="ET106" s="334">
        <f>IF(CF106/SUM(CF:CF)*'I-Project Contingency'!$F$76=0,0,CF106/SUM(CF:CF)*'I-Project Contingency'!$F$76)</f>
        <v>0</v>
      </c>
      <c r="EU106" s="334">
        <f>IF(CG106/SUM(CG:CG)*'I-Project Contingency'!$F$77=0,0,CG106/SUM(CG:CG)*'I-Project Contingency'!$F$77)</f>
        <v>0</v>
      </c>
      <c r="EV106" s="787">
        <f>IF(CH106/SUM(CH:CH)*'I-Project Contingency'!$F$78=0,0,CH106/SUM(CH:CH)*'I-Project Contingency'!$F$78)</f>
        <v>0</v>
      </c>
      <c r="EW106" s="787">
        <f>IF(CI106/SUM(CI:CI)*'I-Project Contingency'!$F$79=0,0,CI106/SUM(CI:CI)*'I-Project Contingency'!$F$79)</f>
        <v>0</v>
      </c>
      <c r="EX106" s="787">
        <f>IF(CJ106/SUM(CJ:CJ)*'I-Project Contingency'!$F$80=0,0,CJ106/SUM(CJ:CJ)*'I-Project Contingency'!$F$80)</f>
        <v>0</v>
      </c>
      <c r="EY106" s="787">
        <f>IF(CK106/SUM(CK:CK)*'I-Project Contingency'!$F$81=0,0,CK106/SUM(CK:CK)*'I-Project Contingency'!$F$81)</f>
        <v>0</v>
      </c>
      <c r="EZ106" s="333">
        <f>IF(FB106="N/A","N/A",ABS(INDEX(FB106:FV106,1,MATCH("ROM Schedule Risk @ "&amp;'D-Project Data'!$C$6*100&amp;"%",$FB$17:$FV$17,0))))</f>
        <v>0</v>
      </c>
      <c r="FA106" s="335">
        <f>IF(EZ106="N/A","N/A",RANK(EZ106,$EZ$18:$EZ$117,0)+COUNTIF($FB$18:FB106,FB106)-1)</f>
        <v>89</v>
      </c>
      <c r="FB106" s="788">
        <f>IF(DH106/SUM(DH:DH)*'I-Project Contingency'!$F$86=0,0,DH106/SUM(DH:DH)*'I-Project Contingency'!$F$86)</f>
        <v>0</v>
      </c>
      <c r="FC106" s="788">
        <f>IF(DI106/SUM(DI:DI)*'I-Project Contingency'!$F$87=0,0,DI106/SUM(DI:DI)*'I-Project Contingency'!$F$87)</f>
        <v>0</v>
      </c>
      <c r="FD106" s="788">
        <f>IF(DJ106/SUM(DJ:DJ)*'I-Project Contingency'!$F$88=0,0,DJ106/SUM(DJ:DJ)*'I-Project Contingency'!$F$88)</f>
        <v>0</v>
      </c>
      <c r="FE106" s="788">
        <f>IF(DK106/SUM(DK:DK)*'I-Project Contingency'!$F$89=0,0,DK106/SUM(DK:DK)*'I-Project Contingency'!$F$89)</f>
        <v>0</v>
      </c>
      <c r="FF106" s="788">
        <f>IF(DL106/SUM(DL:DL)*'I-Project Contingency'!$F$90=0,0,DL106/SUM(DL:DL)*'I-Project Contingency'!$F$90)</f>
        <v>0</v>
      </c>
      <c r="FG106" s="788">
        <f>IF(DM106/SUM(DM:DM)*'I-Project Contingency'!$F$91=0,0,DM106/SUM(DM:DM)*'I-Project Contingency'!$F$91)</f>
        <v>0</v>
      </c>
      <c r="FH106" s="788">
        <f>IF(DN106/SUM(DN:DN)*'I-Project Contingency'!$F$92=0,0,DN106/SUM(DN:DN)*'I-Project Contingency'!$F$92)</f>
        <v>0</v>
      </c>
      <c r="FI106" s="788">
        <f>IF(DO106/SUM(DO:DO)*'I-Project Contingency'!$F$93=0,0,DO106/SUM(DO:DO)*'I-Project Contingency'!$F$93)</f>
        <v>0</v>
      </c>
      <c r="FJ106" s="788">
        <f>IF(DP106/SUM(DP:DP)*'I-Project Contingency'!$F$94=0,0,DP106/SUM(DP:DP)*'I-Project Contingency'!$F$94)</f>
        <v>0</v>
      </c>
      <c r="FK106" s="788">
        <f>IF(DQ106/SUM(DQ:DQ)*'I-Project Contingency'!$F$95=0,0,DQ106/SUM(DQ:DQ)*'I-Project Contingency'!$F$95)</f>
        <v>0</v>
      </c>
      <c r="FL106" s="788">
        <f>IF(DR106/SUM(DR:DR)*'I-Project Contingency'!$F$96=0,0,DR106/SUM(DR:DR)*'I-Project Contingency'!$F$96)</f>
        <v>0</v>
      </c>
      <c r="FM106" s="788">
        <f>IF(DS106/SUM(DS:DS)*'I-Project Contingency'!$F$97=0,0,DS106/SUM(DS:DS)*'I-Project Contingency'!$F$97)</f>
        <v>0</v>
      </c>
      <c r="FN106" s="788">
        <f>IF(DT106/SUM(DT:DT)*'I-Project Contingency'!$F$98=0,0,DT106/SUM(DT:DT)*'I-Project Contingency'!$F$98)</f>
        <v>0</v>
      </c>
      <c r="FO106" s="788">
        <f>IF(DU106/SUM(DU:DU)*'I-Project Contingency'!$F$99=0,0,DU106/SUM(DU:DU)*'I-Project Contingency'!$F$99)</f>
        <v>0</v>
      </c>
      <c r="FP106" s="788">
        <f>IF(DV106/SUM(DV:DV)*'I-Project Contingency'!$F$100=0,0,DV106/SUM(DV:DV)*'I-Project Contingency'!$F$100)</f>
        <v>0</v>
      </c>
      <c r="FQ106" s="788">
        <f>IF(DW106/SUM(DW:DW)*'I-Project Contingency'!$F$101=0,0,DW106/SUM(DW:DW)*'I-Project Contingency'!$F$101)</f>
        <v>0</v>
      </c>
      <c r="FR106" s="788">
        <f>IF(DX106/SUM(DX:DX)*'I-Project Contingency'!$F$102=0,0,DX106/SUM(DX:DX)*'I-Project Contingency'!$F$102)</f>
        <v>0</v>
      </c>
      <c r="FS106" s="788">
        <f>IF(DY106/SUM(DY:DY)*'I-Project Contingency'!$F$103=0,0,DY106/SUM(DY:DY)*'I-Project Contingency'!$F$103)</f>
        <v>0</v>
      </c>
      <c r="FT106" s="788">
        <f>IF(DZ106/SUM(DZ:DZ)*'I-Project Contingency'!$F$104=0,0,DZ106/SUM(DZ:DZ)*'I-Project Contingency'!$F$104)</f>
        <v>0</v>
      </c>
      <c r="FU106" s="788">
        <f>IF(EA106/SUM(EA:EA)*'I-Project Contingency'!$F$105=0,0,EA106/SUM(EA:EA)*'I-Project Contingency'!$F$105)</f>
        <v>0</v>
      </c>
      <c r="FV106" s="788">
        <f>IF(EB106/SUM(EB:EB)*'I-Project Contingency'!$F$106=0,0,EB106/SUM(EB:EB)*'I-Project Contingency'!$F$106)</f>
        <v>0</v>
      </c>
      <c r="FW106" s="335">
        <f t="shared" si="52"/>
        <v>89</v>
      </c>
      <c r="FX106" s="336" t="str">
        <f t="shared" si="53"/>
        <v xml:space="preserve">89 -  </v>
      </c>
      <c r="FY106" s="330">
        <f t="shared" si="43"/>
        <v>0</v>
      </c>
      <c r="FZ106" s="330">
        <f t="shared" si="44"/>
        <v>0</v>
      </c>
      <c r="GA106" s="332">
        <f t="shared" si="54"/>
        <v>0</v>
      </c>
      <c r="GB106" s="332">
        <f t="shared" si="55"/>
        <v>0</v>
      </c>
    </row>
    <row r="107" spans="1:184" ht="30" x14ac:dyDescent="0.25">
      <c r="A107" s="163">
        <f t="shared" si="23"/>
        <v>90</v>
      </c>
      <c r="B107" s="727" t="s">
        <v>728</v>
      </c>
      <c r="C107" s="729" t="s">
        <v>659</v>
      </c>
      <c r="D107" s="729" t="s">
        <v>659</v>
      </c>
      <c r="E107" s="729" t="s">
        <v>659</v>
      </c>
      <c r="F107" s="728" t="s">
        <v>728</v>
      </c>
      <c r="G107" s="728" t="s">
        <v>728</v>
      </c>
      <c r="H107" s="157" t="str">
        <f>IFERROR(IF('H-Risk Register-Model'!F107="Certain","Relook at Basis of Estimate",INDEX('G-Assumptions'!$F$8:$J$11,MATCH(F107,'G-Assumptions'!$D$8:$D$11,0),MATCH(G107,'G-Assumptions'!$F$6:$J$6,0))),"Unrated")</f>
        <v>Unrated</v>
      </c>
      <c r="I107" s="728" t="s">
        <v>728</v>
      </c>
      <c r="J107" s="157" t="str">
        <f>IFERROR(IF('H-Risk Register-Model'!F107="Certain","Relook at Basis of Estimate",INDEX('G-Assumptions'!$F$8:$J$11,MATCH(F107,'G-Assumptions'!$D$8:$D$11,0),MATCH(I107,'G-Assumptions'!$F$6:$J$6,0))),"Unrated")</f>
        <v>Unrated</v>
      </c>
      <c r="K107" s="728" t="s">
        <v>728</v>
      </c>
      <c r="L107" s="728" t="s">
        <v>728</v>
      </c>
      <c r="M107" s="728"/>
      <c r="N107" s="731" t="s">
        <v>728</v>
      </c>
      <c r="O107" s="731" t="s">
        <v>728</v>
      </c>
      <c r="P107" s="732"/>
      <c r="Q107" s="732"/>
      <c r="R107" s="732"/>
      <c r="S107" s="733"/>
      <c r="T107" s="733"/>
      <c r="U107" s="733"/>
      <c r="V107" s="734"/>
      <c r="W107" s="732"/>
      <c r="X107" s="732"/>
      <c r="Y107" s="735">
        <v>1</v>
      </c>
      <c r="Z107" s="736">
        <v>1</v>
      </c>
      <c r="AA107" s="166">
        <f t="shared" si="56"/>
        <v>0</v>
      </c>
      <c r="AB107" s="166">
        <f t="shared" si="57"/>
        <v>0</v>
      </c>
      <c r="AC107" s="166">
        <f t="shared" si="58"/>
        <v>0</v>
      </c>
      <c r="AD107" s="166"/>
      <c r="AE107" s="164">
        <f t="shared" si="41"/>
        <v>0</v>
      </c>
      <c r="AF107" s="167"/>
      <c r="AG107" s="165">
        <f t="shared" si="42"/>
        <v>0</v>
      </c>
      <c r="AH107" s="729"/>
      <c r="AI107" s="729"/>
      <c r="AJ107" s="8"/>
      <c r="AK107" s="495" t="str">
        <f t="shared" si="45"/>
        <v>No</v>
      </c>
      <c r="AL107" s="496">
        <f>'I-Project Contingency'!$I$4</f>
        <v>9000000</v>
      </c>
      <c r="AM107" s="326">
        <f>'I-Project Contingency'!$I$11</f>
        <v>23.978102189781023</v>
      </c>
      <c r="AN107" s="325">
        <f t="shared" si="46"/>
        <v>0</v>
      </c>
      <c r="AO107" s="326">
        <f t="shared" si="47"/>
        <v>0</v>
      </c>
      <c r="AP107" s="641" t="str">
        <f t="shared" si="48"/>
        <v/>
      </c>
      <c r="AQ107" s="641" t="str">
        <f t="shared" si="49"/>
        <v/>
      </c>
      <c r="AR107" s="497" t="str">
        <f t="shared" si="50"/>
        <v/>
      </c>
      <c r="AS107" s="497" t="str">
        <f t="shared" si="51"/>
        <v/>
      </c>
      <c r="AT107" s="8"/>
      <c r="AU107" s="329">
        <f>'I-Project Contingency'!$O$4-AE107</f>
        <v>0</v>
      </c>
      <c r="AV107" s="330">
        <v>-240515.59579276721</v>
      </c>
      <c r="AW107" s="330">
        <v>28172.931401335634</v>
      </c>
      <c r="AX107" s="330">
        <v>193478.84467429668</v>
      </c>
      <c r="AY107" s="330">
        <v>361668.20104834624</v>
      </c>
      <c r="AZ107" s="330">
        <v>524446.91524262261</v>
      </c>
      <c r="BA107" s="330">
        <v>704023.56387635041</v>
      </c>
      <c r="BB107" s="330">
        <v>886394.06956240814</v>
      </c>
      <c r="BC107" s="330">
        <v>1079363.7165157665</v>
      </c>
      <c r="BD107" s="330">
        <v>1280180.1532065615</v>
      </c>
      <c r="BE107" s="330">
        <v>1485323.8019108465</v>
      </c>
      <c r="BF107" s="330">
        <v>1703758.8827524669</v>
      </c>
      <c r="BG107" s="330">
        <v>1949523.4346483489</v>
      </c>
      <c r="BH107" s="330">
        <v>2177897.1603371189</v>
      </c>
      <c r="BI107" s="330">
        <v>2429374.4260425912</v>
      </c>
      <c r="BJ107" s="330">
        <v>2717092.7449284913</v>
      </c>
      <c r="BK107" s="330">
        <v>3010093.6968918457</v>
      </c>
      <c r="BL107" s="330">
        <v>3325414.5894657462</v>
      </c>
      <c r="BM107" s="330">
        <v>3690425.9159493577</v>
      </c>
      <c r="BN107" s="330">
        <v>4143935.1706127762</v>
      </c>
      <c r="BO107" s="330">
        <v>4722651.1159141911</v>
      </c>
      <c r="BP107" s="330">
        <v>5992048.8629153483</v>
      </c>
      <c r="BQ107" s="330">
        <f>'I-Project Contingency'!$E$61-AV107</f>
        <v>0</v>
      </c>
      <c r="BR107" s="330">
        <f>'I-Project Contingency'!$E$62-AW107</f>
        <v>0</v>
      </c>
      <c r="BS107" s="330">
        <f>'I-Project Contingency'!$E$63-AX107</f>
        <v>0</v>
      </c>
      <c r="BT107" s="330">
        <f>'I-Project Contingency'!$E$64-AY107</f>
        <v>0</v>
      </c>
      <c r="BU107" s="330">
        <f>'I-Project Contingency'!$E$65-AZ107</f>
        <v>0</v>
      </c>
      <c r="BV107" s="330">
        <f>'I-Project Contingency'!$E$66-BA107</f>
        <v>0</v>
      </c>
      <c r="BW107" s="330">
        <f>'I-Project Contingency'!$E$67-BB107</f>
        <v>0</v>
      </c>
      <c r="BX107" s="330">
        <f>'I-Project Contingency'!$E$68-BC107</f>
        <v>0</v>
      </c>
      <c r="BY107" s="330">
        <f>'I-Project Contingency'!$E$69-BD107</f>
        <v>0</v>
      </c>
      <c r="BZ107" s="330">
        <f>'I-Project Contingency'!$E$70-BE107</f>
        <v>0</v>
      </c>
      <c r="CA107" s="330">
        <f>'I-Project Contingency'!$E$71-BF107</f>
        <v>0</v>
      </c>
      <c r="CB107" s="330">
        <f>'I-Project Contingency'!$E$72-BG107</f>
        <v>0</v>
      </c>
      <c r="CC107" s="330">
        <f>'I-Project Contingency'!$E$73-BH107</f>
        <v>0</v>
      </c>
      <c r="CD107" s="330">
        <f>'I-Project Contingency'!$E$74-BI107</f>
        <v>0</v>
      </c>
      <c r="CE107" s="330">
        <f>'I-Project Contingency'!$E$75-BJ107</f>
        <v>0</v>
      </c>
      <c r="CF107" s="330">
        <f>'I-Project Contingency'!$E$76-BK107</f>
        <v>0</v>
      </c>
      <c r="CG107" s="330">
        <f>'I-Project Contingency'!$E$77-BL107</f>
        <v>0</v>
      </c>
      <c r="CH107" s="784">
        <f>'I-Project Contingency'!$E$78-BM107</f>
        <v>0</v>
      </c>
      <c r="CI107" s="330">
        <f>'I-Project Contingency'!$E$79-BN107</f>
        <v>0</v>
      </c>
      <c r="CJ107" s="330">
        <f>'I-Project Contingency'!$E$80-BO107</f>
        <v>0</v>
      </c>
      <c r="CK107" s="330">
        <f>'I-Project Contingency'!$E$81-BP107</f>
        <v>0</v>
      </c>
      <c r="CL107" s="331">
        <f>'I-Project Contingency'!$O$5-AG107</f>
        <v>0</v>
      </c>
      <c r="CM107" s="332">
        <v>-0.98711802853447173</v>
      </c>
      <c r="CN107" s="332">
        <v>-0.19547704728364468</v>
      </c>
      <c r="CO107" s="332">
        <v>0.126462150308498</v>
      </c>
      <c r="CP107" s="332">
        <v>0.45967989154545902</v>
      </c>
      <c r="CQ107" s="332">
        <v>0.78297319902744</v>
      </c>
      <c r="CR107" s="332">
        <v>1.0957191966482109</v>
      </c>
      <c r="CS107" s="332">
        <v>1.4418405003536849</v>
      </c>
      <c r="CT107" s="332">
        <v>1.801002404194165</v>
      </c>
      <c r="CU107" s="332">
        <v>2.1797608166947349</v>
      </c>
      <c r="CV107" s="332">
        <v>2.5671680610072478</v>
      </c>
      <c r="CW107" s="332">
        <v>2.9690760644797152</v>
      </c>
      <c r="CX107" s="332">
        <v>3.3964145469774811</v>
      </c>
      <c r="CY107" s="332">
        <v>3.864536087769562</v>
      </c>
      <c r="CZ107" s="332">
        <v>4.3569836138896116</v>
      </c>
      <c r="DA107" s="332">
        <v>4.8862357851222598</v>
      </c>
      <c r="DB107" s="332">
        <v>5.438836997347547</v>
      </c>
      <c r="DC107" s="332">
        <v>6.047993455908566</v>
      </c>
      <c r="DD107" s="785">
        <v>6.720204953601761</v>
      </c>
      <c r="DE107" s="333">
        <v>7.55131678090412</v>
      </c>
      <c r="DF107" s="332">
        <v>8.661446370835737</v>
      </c>
      <c r="DG107" s="332">
        <v>11.206316207857133</v>
      </c>
      <c r="DH107" s="332">
        <f>'I-Project Contingency'!$E$86-CM107</f>
        <v>0</v>
      </c>
      <c r="DI107" s="332">
        <f>'I-Project Contingency'!$E$87-CN107</f>
        <v>0</v>
      </c>
      <c r="DJ107" s="332">
        <f>'I-Project Contingency'!$E$88-CO107</f>
        <v>0</v>
      </c>
      <c r="DK107" s="332">
        <f>'I-Project Contingency'!$E$89-CP107</f>
        <v>0</v>
      </c>
      <c r="DL107" s="332">
        <f>'I-Project Contingency'!$E$90-CQ107</f>
        <v>0</v>
      </c>
      <c r="DM107" s="332">
        <f>'I-Project Contingency'!$E$91-CR107</f>
        <v>0</v>
      </c>
      <c r="DN107" s="332">
        <f>'I-Project Contingency'!$E$92-CS107</f>
        <v>0</v>
      </c>
      <c r="DO107" s="332">
        <f>'I-Project Contingency'!$E$93-CT107</f>
        <v>0</v>
      </c>
      <c r="DP107" s="332">
        <f>'I-Project Contingency'!$E$94-CU107</f>
        <v>0</v>
      </c>
      <c r="DQ107" s="332">
        <f>'I-Project Contingency'!$E$95-CV107</f>
        <v>0</v>
      </c>
      <c r="DR107" s="332">
        <f>'I-Project Contingency'!$E$96-CW107</f>
        <v>0</v>
      </c>
      <c r="DS107" s="332">
        <f>'I-Project Contingency'!$E$97-CX107</f>
        <v>0</v>
      </c>
      <c r="DT107" s="332">
        <f>'I-Project Contingency'!$E$98-CY107</f>
        <v>0</v>
      </c>
      <c r="DU107" s="332">
        <f>'I-Project Contingency'!$E$99-CZ107</f>
        <v>0</v>
      </c>
      <c r="DV107" s="332">
        <f>'I-Project Contingency'!$E$100-DA107</f>
        <v>0</v>
      </c>
      <c r="DW107" s="332">
        <f>'I-Project Contingency'!$E$101-DB107</f>
        <v>0</v>
      </c>
      <c r="DX107" s="332">
        <f>'I-Project Contingency'!$E$102-DC107</f>
        <v>0</v>
      </c>
      <c r="DY107" s="332">
        <f>'I-Project Contingency'!$E$103-DD107</f>
        <v>0</v>
      </c>
      <c r="DZ107" s="332">
        <f>'I-Project Contingency'!$E$104-DE107</f>
        <v>0</v>
      </c>
      <c r="EA107" s="332">
        <f>'I-Project Contingency'!$E$105-DF107</f>
        <v>0</v>
      </c>
      <c r="EB107" s="332">
        <f>'I-Project Contingency'!$E$106-DG107</f>
        <v>0</v>
      </c>
      <c r="EC107" s="334">
        <f>IF(EE107="N/A","N/A",ABS(INDEX(EE107:EY107,1,MATCH("ROM Cost Risk @ "&amp;'D-Project Data'!$C$6*100&amp;"%",$EE$17:$EY$17,0))))</f>
        <v>0</v>
      </c>
      <c r="ED107" s="335">
        <f>IF(EC107="N/A","N/A",RANK(EC107,$EC$18:$EC$117,0)+COUNTIF($EC$18:EC107,EC107)-1)</f>
        <v>90</v>
      </c>
      <c r="EE107" s="334">
        <f>IF(BQ107/SUM(BQ:BQ)*'I-Project Contingency'!$F$61=0,0,BQ107/SUM(BQ:BQ)*'I-Project Contingency'!$F$61)</f>
        <v>0</v>
      </c>
      <c r="EF107" s="334">
        <f>IF(BR107/SUM(BR:BR)*'I-Project Contingency'!$F$62=0,0,BR107/SUM(BR:BR)*'I-Project Contingency'!$F$62)</f>
        <v>0</v>
      </c>
      <c r="EG107" s="334">
        <f>IF(BS107/SUM(BS:BS)*'I-Project Contingency'!$F$63=0,0,BS107/SUM(BS:BS)*'I-Project Contingency'!$F$63)</f>
        <v>0</v>
      </c>
      <c r="EH107" s="334">
        <f>IF(BT107/SUM(BT:BT)*'I-Project Contingency'!$F$64=0,0,BT107/SUM(BT:BT)*'I-Project Contingency'!$F$64)</f>
        <v>0</v>
      </c>
      <c r="EI107" s="334">
        <f>IF(BU107/SUM(BU:BU)*'I-Project Contingency'!$F$65=0,0,BU107/SUM(BU:BU)*'I-Project Contingency'!$F$65)</f>
        <v>0</v>
      </c>
      <c r="EJ107" s="334">
        <f>IF(BV107/SUM(BV:BV)*'I-Project Contingency'!$F$66=0,0,BV107/SUM(BV:BV)*'I-Project Contingency'!$F$66)</f>
        <v>0</v>
      </c>
      <c r="EK107" s="334">
        <f>IF(BW107/SUM(BW:BW)*'I-Project Contingency'!$F$67=0,0,BW107/SUM(BW:BW)*'I-Project Contingency'!$F$67)</f>
        <v>0</v>
      </c>
      <c r="EL107" s="334">
        <f>IF(BX107/SUM(BX:BX)*'I-Project Contingency'!$F$68=0,0,BX107/SUM(BX:BX)*'I-Project Contingency'!$F$68)</f>
        <v>0</v>
      </c>
      <c r="EM107" s="334">
        <f>IF(BY107/SUM(BY:BY)*'I-Project Contingency'!$F$69=0,0,BY107/SUM(BY:BY)*'I-Project Contingency'!$F$69)</f>
        <v>0</v>
      </c>
      <c r="EN107" s="334">
        <f>IF(BZ107/SUM(BZ:BZ)*'I-Project Contingency'!$F$70=0,0,BZ107/SUM(BZ:BZ)*'I-Project Contingency'!$F$70)</f>
        <v>0</v>
      </c>
      <c r="EO107" s="334">
        <f>IF(CA107/SUM(CA:CA)*'I-Project Contingency'!$F$71=0,0,CA107/SUM(CA:CA)*'I-Project Contingency'!$F$71)</f>
        <v>0</v>
      </c>
      <c r="EP107" s="334">
        <f>IF(CB107/SUM(CB:CB)*'I-Project Contingency'!$F$72=0,0,CB107/SUM(CB:CB)*'I-Project Contingency'!$F$72)</f>
        <v>0</v>
      </c>
      <c r="EQ107" s="334">
        <f>IF(CC107/SUM(CC:CC)*'I-Project Contingency'!$F$73=0,0,CC107/SUM(CC:CC)*'I-Project Contingency'!$F$73)</f>
        <v>0</v>
      </c>
      <c r="ER107" s="334">
        <f>IF(CD107/SUM(CD:CD)*'I-Project Contingency'!$F$74=0,0,CD107/SUM(CD:CD)*'I-Project Contingency'!$F$74)</f>
        <v>0</v>
      </c>
      <c r="ES107" s="334">
        <f>IF(CE107/SUM(CE:CE)*'I-Project Contingency'!$F$75=0,0,CE107/SUM(CE:CE)*'I-Project Contingency'!$F$75)</f>
        <v>0</v>
      </c>
      <c r="ET107" s="334">
        <f>IF(CF107/SUM(CF:CF)*'I-Project Contingency'!$F$76=0,0,CF107/SUM(CF:CF)*'I-Project Contingency'!$F$76)</f>
        <v>0</v>
      </c>
      <c r="EU107" s="334">
        <f>IF(CG107/SUM(CG:CG)*'I-Project Contingency'!$F$77=0,0,CG107/SUM(CG:CG)*'I-Project Contingency'!$F$77)</f>
        <v>0</v>
      </c>
      <c r="EV107" s="787">
        <f>IF(CH107/SUM(CH:CH)*'I-Project Contingency'!$F$78=0,0,CH107/SUM(CH:CH)*'I-Project Contingency'!$F$78)</f>
        <v>0</v>
      </c>
      <c r="EW107" s="787">
        <f>IF(CI107/SUM(CI:CI)*'I-Project Contingency'!$F$79=0,0,CI107/SUM(CI:CI)*'I-Project Contingency'!$F$79)</f>
        <v>0</v>
      </c>
      <c r="EX107" s="787">
        <f>IF(CJ107/SUM(CJ:CJ)*'I-Project Contingency'!$F$80=0,0,CJ107/SUM(CJ:CJ)*'I-Project Contingency'!$F$80)</f>
        <v>0</v>
      </c>
      <c r="EY107" s="787">
        <f>IF(CK107/SUM(CK:CK)*'I-Project Contingency'!$F$81=0,0,CK107/SUM(CK:CK)*'I-Project Contingency'!$F$81)</f>
        <v>0</v>
      </c>
      <c r="EZ107" s="333">
        <f>IF(FB107="N/A","N/A",ABS(INDEX(FB107:FV107,1,MATCH("ROM Schedule Risk @ "&amp;'D-Project Data'!$C$6*100&amp;"%",$FB$17:$FV$17,0))))</f>
        <v>0</v>
      </c>
      <c r="FA107" s="335">
        <f>IF(EZ107="N/A","N/A",RANK(EZ107,$EZ$18:$EZ$117,0)+COUNTIF($FB$18:FB107,FB107)-1)</f>
        <v>90</v>
      </c>
      <c r="FB107" s="788">
        <f>IF(DH107/SUM(DH:DH)*'I-Project Contingency'!$F$86=0,0,DH107/SUM(DH:DH)*'I-Project Contingency'!$F$86)</f>
        <v>0</v>
      </c>
      <c r="FC107" s="788">
        <f>IF(DI107/SUM(DI:DI)*'I-Project Contingency'!$F$87=0,0,DI107/SUM(DI:DI)*'I-Project Contingency'!$F$87)</f>
        <v>0</v>
      </c>
      <c r="FD107" s="788">
        <f>IF(DJ107/SUM(DJ:DJ)*'I-Project Contingency'!$F$88=0,0,DJ107/SUM(DJ:DJ)*'I-Project Contingency'!$F$88)</f>
        <v>0</v>
      </c>
      <c r="FE107" s="788">
        <f>IF(DK107/SUM(DK:DK)*'I-Project Contingency'!$F$89=0,0,DK107/SUM(DK:DK)*'I-Project Contingency'!$F$89)</f>
        <v>0</v>
      </c>
      <c r="FF107" s="788">
        <f>IF(DL107/SUM(DL:DL)*'I-Project Contingency'!$F$90=0,0,DL107/SUM(DL:DL)*'I-Project Contingency'!$F$90)</f>
        <v>0</v>
      </c>
      <c r="FG107" s="788">
        <f>IF(DM107/SUM(DM:DM)*'I-Project Contingency'!$F$91=0,0,DM107/SUM(DM:DM)*'I-Project Contingency'!$F$91)</f>
        <v>0</v>
      </c>
      <c r="FH107" s="788">
        <f>IF(DN107/SUM(DN:DN)*'I-Project Contingency'!$F$92=0,0,DN107/SUM(DN:DN)*'I-Project Contingency'!$F$92)</f>
        <v>0</v>
      </c>
      <c r="FI107" s="788">
        <f>IF(DO107/SUM(DO:DO)*'I-Project Contingency'!$F$93=0,0,DO107/SUM(DO:DO)*'I-Project Contingency'!$F$93)</f>
        <v>0</v>
      </c>
      <c r="FJ107" s="788">
        <f>IF(DP107/SUM(DP:DP)*'I-Project Contingency'!$F$94=0,0,DP107/SUM(DP:DP)*'I-Project Contingency'!$F$94)</f>
        <v>0</v>
      </c>
      <c r="FK107" s="788">
        <f>IF(DQ107/SUM(DQ:DQ)*'I-Project Contingency'!$F$95=0,0,DQ107/SUM(DQ:DQ)*'I-Project Contingency'!$F$95)</f>
        <v>0</v>
      </c>
      <c r="FL107" s="788">
        <f>IF(DR107/SUM(DR:DR)*'I-Project Contingency'!$F$96=0,0,DR107/SUM(DR:DR)*'I-Project Contingency'!$F$96)</f>
        <v>0</v>
      </c>
      <c r="FM107" s="788">
        <f>IF(DS107/SUM(DS:DS)*'I-Project Contingency'!$F$97=0,0,DS107/SUM(DS:DS)*'I-Project Contingency'!$F$97)</f>
        <v>0</v>
      </c>
      <c r="FN107" s="788">
        <f>IF(DT107/SUM(DT:DT)*'I-Project Contingency'!$F$98=0,0,DT107/SUM(DT:DT)*'I-Project Contingency'!$F$98)</f>
        <v>0</v>
      </c>
      <c r="FO107" s="788">
        <f>IF(DU107/SUM(DU:DU)*'I-Project Contingency'!$F$99=0,0,DU107/SUM(DU:DU)*'I-Project Contingency'!$F$99)</f>
        <v>0</v>
      </c>
      <c r="FP107" s="788">
        <f>IF(DV107/SUM(DV:DV)*'I-Project Contingency'!$F$100=0,0,DV107/SUM(DV:DV)*'I-Project Contingency'!$F$100)</f>
        <v>0</v>
      </c>
      <c r="FQ107" s="788">
        <f>IF(DW107/SUM(DW:DW)*'I-Project Contingency'!$F$101=0,0,DW107/SUM(DW:DW)*'I-Project Contingency'!$F$101)</f>
        <v>0</v>
      </c>
      <c r="FR107" s="788">
        <f>IF(DX107/SUM(DX:DX)*'I-Project Contingency'!$F$102=0,0,DX107/SUM(DX:DX)*'I-Project Contingency'!$F$102)</f>
        <v>0</v>
      </c>
      <c r="FS107" s="788">
        <f>IF(DY107/SUM(DY:DY)*'I-Project Contingency'!$F$103=0,0,DY107/SUM(DY:DY)*'I-Project Contingency'!$F$103)</f>
        <v>0</v>
      </c>
      <c r="FT107" s="788">
        <f>IF(DZ107/SUM(DZ:DZ)*'I-Project Contingency'!$F$104=0,0,DZ107/SUM(DZ:DZ)*'I-Project Contingency'!$F$104)</f>
        <v>0</v>
      </c>
      <c r="FU107" s="788">
        <f>IF(EA107/SUM(EA:EA)*'I-Project Contingency'!$F$105=0,0,EA107/SUM(EA:EA)*'I-Project Contingency'!$F$105)</f>
        <v>0</v>
      </c>
      <c r="FV107" s="788">
        <f>IF(EB107/SUM(EB:EB)*'I-Project Contingency'!$F$106=0,0,EB107/SUM(EB:EB)*'I-Project Contingency'!$F$106)</f>
        <v>0</v>
      </c>
      <c r="FW107" s="335">
        <f t="shared" si="52"/>
        <v>90</v>
      </c>
      <c r="FX107" s="336" t="str">
        <f t="shared" si="53"/>
        <v xml:space="preserve">90 -  </v>
      </c>
      <c r="FY107" s="330">
        <f t="shared" si="43"/>
        <v>0</v>
      </c>
      <c r="FZ107" s="330">
        <f t="shared" si="44"/>
        <v>0</v>
      </c>
      <c r="GA107" s="332">
        <f t="shared" si="54"/>
        <v>0</v>
      </c>
      <c r="GB107" s="332">
        <f t="shared" si="55"/>
        <v>0</v>
      </c>
    </row>
    <row r="108" spans="1:184" ht="30" x14ac:dyDescent="0.25">
      <c r="A108" s="163">
        <f t="shared" si="23"/>
        <v>91</v>
      </c>
      <c r="B108" s="727" t="s">
        <v>728</v>
      </c>
      <c r="C108" s="729" t="s">
        <v>659</v>
      </c>
      <c r="D108" s="729" t="s">
        <v>659</v>
      </c>
      <c r="E108" s="729" t="s">
        <v>659</v>
      </c>
      <c r="F108" s="728" t="s">
        <v>728</v>
      </c>
      <c r="G108" s="728" t="s">
        <v>728</v>
      </c>
      <c r="H108" s="157" t="str">
        <f>IFERROR(IF('H-Risk Register-Model'!F108="Certain","Relook at Basis of Estimate",INDEX('G-Assumptions'!$F$8:$J$11,MATCH(F108,'G-Assumptions'!$D$8:$D$11,0),MATCH(G108,'G-Assumptions'!$F$6:$J$6,0))),"Unrated")</f>
        <v>Unrated</v>
      </c>
      <c r="I108" s="728" t="s">
        <v>728</v>
      </c>
      <c r="J108" s="157" t="str">
        <f>IFERROR(IF('H-Risk Register-Model'!F108="Certain","Relook at Basis of Estimate",INDEX('G-Assumptions'!$F$8:$J$11,MATCH(F108,'G-Assumptions'!$D$8:$D$11,0),MATCH(I108,'G-Assumptions'!$F$6:$J$6,0))),"Unrated")</f>
        <v>Unrated</v>
      </c>
      <c r="K108" s="728" t="s">
        <v>728</v>
      </c>
      <c r="L108" s="728" t="s">
        <v>728</v>
      </c>
      <c r="M108" s="728"/>
      <c r="N108" s="731" t="s">
        <v>728</v>
      </c>
      <c r="O108" s="731" t="s">
        <v>728</v>
      </c>
      <c r="P108" s="732"/>
      <c r="Q108" s="732"/>
      <c r="R108" s="732"/>
      <c r="S108" s="733"/>
      <c r="T108" s="733"/>
      <c r="U108" s="733"/>
      <c r="V108" s="734"/>
      <c r="W108" s="732"/>
      <c r="X108" s="732"/>
      <c r="Y108" s="735">
        <v>1</v>
      </c>
      <c r="Z108" s="736">
        <v>1</v>
      </c>
      <c r="AA108" s="166">
        <f t="shared" si="56"/>
        <v>0</v>
      </c>
      <c r="AB108" s="166">
        <f t="shared" si="57"/>
        <v>0</v>
      </c>
      <c r="AC108" s="166">
        <f t="shared" si="58"/>
        <v>0</v>
      </c>
      <c r="AD108" s="166"/>
      <c r="AE108" s="164">
        <f t="shared" si="41"/>
        <v>0</v>
      </c>
      <c r="AF108" s="167"/>
      <c r="AG108" s="165">
        <f t="shared" si="42"/>
        <v>0</v>
      </c>
      <c r="AH108" s="729"/>
      <c r="AI108" s="729"/>
      <c r="AJ108" s="8"/>
      <c r="AK108" s="495" t="str">
        <f t="shared" si="45"/>
        <v>No</v>
      </c>
      <c r="AL108" s="496">
        <f>'I-Project Contingency'!$I$4</f>
        <v>9000000</v>
      </c>
      <c r="AM108" s="326">
        <f>'I-Project Contingency'!$I$11</f>
        <v>23.978102189781023</v>
      </c>
      <c r="AN108" s="325">
        <f t="shared" si="46"/>
        <v>0</v>
      </c>
      <c r="AO108" s="326">
        <f t="shared" si="47"/>
        <v>0</v>
      </c>
      <c r="AP108" s="641" t="str">
        <f t="shared" si="48"/>
        <v/>
      </c>
      <c r="AQ108" s="641" t="str">
        <f t="shared" si="49"/>
        <v/>
      </c>
      <c r="AR108" s="497" t="str">
        <f t="shared" si="50"/>
        <v/>
      </c>
      <c r="AS108" s="497" t="str">
        <f t="shared" si="51"/>
        <v/>
      </c>
      <c r="AT108" s="8"/>
      <c r="AU108" s="329">
        <f>'I-Project Contingency'!$O$4-AE108</f>
        <v>0</v>
      </c>
      <c r="AV108" s="330">
        <v>-240515.59579276721</v>
      </c>
      <c r="AW108" s="330">
        <v>28172.931401335634</v>
      </c>
      <c r="AX108" s="330">
        <v>193478.84467429668</v>
      </c>
      <c r="AY108" s="330">
        <v>361668.20104834624</v>
      </c>
      <c r="AZ108" s="330">
        <v>524446.91524262261</v>
      </c>
      <c r="BA108" s="330">
        <v>704023.56387635041</v>
      </c>
      <c r="BB108" s="330">
        <v>886394.06956240814</v>
      </c>
      <c r="BC108" s="330">
        <v>1079363.7165157665</v>
      </c>
      <c r="BD108" s="330">
        <v>1280180.1532065615</v>
      </c>
      <c r="BE108" s="330">
        <v>1485323.8019108465</v>
      </c>
      <c r="BF108" s="330">
        <v>1703758.8827524669</v>
      </c>
      <c r="BG108" s="330">
        <v>1949523.4346483489</v>
      </c>
      <c r="BH108" s="330">
        <v>2177897.1603371189</v>
      </c>
      <c r="BI108" s="330">
        <v>2429374.4260425912</v>
      </c>
      <c r="BJ108" s="330">
        <v>2717092.7449284913</v>
      </c>
      <c r="BK108" s="330">
        <v>3010093.6968918457</v>
      </c>
      <c r="BL108" s="330">
        <v>3325414.5894657462</v>
      </c>
      <c r="BM108" s="330">
        <v>3690425.9159493577</v>
      </c>
      <c r="BN108" s="330">
        <v>4143935.1706127762</v>
      </c>
      <c r="BO108" s="330">
        <v>4722651.1159141911</v>
      </c>
      <c r="BP108" s="330">
        <v>5992048.8629153483</v>
      </c>
      <c r="BQ108" s="330">
        <f>'I-Project Contingency'!$E$61-AV108</f>
        <v>0</v>
      </c>
      <c r="BR108" s="330">
        <f>'I-Project Contingency'!$E$62-AW108</f>
        <v>0</v>
      </c>
      <c r="BS108" s="330">
        <f>'I-Project Contingency'!$E$63-AX108</f>
        <v>0</v>
      </c>
      <c r="BT108" s="330">
        <f>'I-Project Contingency'!$E$64-AY108</f>
        <v>0</v>
      </c>
      <c r="BU108" s="330">
        <f>'I-Project Contingency'!$E$65-AZ108</f>
        <v>0</v>
      </c>
      <c r="BV108" s="330">
        <f>'I-Project Contingency'!$E$66-BA108</f>
        <v>0</v>
      </c>
      <c r="BW108" s="330">
        <f>'I-Project Contingency'!$E$67-BB108</f>
        <v>0</v>
      </c>
      <c r="BX108" s="330">
        <f>'I-Project Contingency'!$E$68-BC108</f>
        <v>0</v>
      </c>
      <c r="BY108" s="330">
        <f>'I-Project Contingency'!$E$69-BD108</f>
        <v>0</v>
      </c>
      <c r="BZ108" s="330">
        <f>'I-Project Contingency'!$E$70-BE108</f>
        <v>0</v>
      </c>
      <c r="CA108" s="330">
        <f>'I-Project Contingency'!$E$71-BF108</f>
        <v>0</v>
      </c>
      <c r="CB108" s="330">
        <f>'I-Project Contingency'!$E$72-BG108</f>
        <v>0</v>
      </c>
      <c r="CC108" s="330">
        <f>'I-Project Contingency'!$E$73-BH108</f>
        <v>0</v>
      </c>
      <c r="CD108" s="330">
        <f>'I-Project Contingency'!$E$74-BI108</f>
        <v>0</v>
      </c>
      <c r="CE108" s="330">
        <f>'I-Project Contingency'!$E$75-BJ108</f>
        <v>0</v>
      </c>
      <c r="CF108" s="330">
        <f>'I-Project Contingency'!$E$76-BK108</f>
        <v>0</v>
      </c>
      <c r="CG108" s="330">
        <f>'I-Project Contingency'!$E$77-BL108</f>
        <v>0</v>
      </c>
      <c r="CH108" s="784">
        <f>'I-Project Contingency'!$E$78-BM108</f>
        <v>0</v>
      </c>
      <c r="CI108" s="330">
        <f>'I-Project Contingency'!$E$79-BN108</f>
        <v>0</v>
      </c>
      <c r="CJ108" s="330">
        <f>'I-Project Contingency'!$E$80-BO108</f>
        <v>0</v>
      </c>
      <c r="CK108" s="330">
        <f>'I-Project Contingency'!$E$81-BP108</f>
        <v>0</v>
      </c>
      <c r="CL108" s="331">
        <f>'I-Project Contingency'!$O$5-AG108</f>
        <v>0</v>
      </c>
      <c r="CM108" s="332">
        <v>-0.98711802853447173</v>
      </c>
      <c r="CN108" s="332">
        <v>-0.19547704728364468</v>
      </c>
      <c r="CO108" s="332">
        <v>0.126462150308498</v>
      </c>
      <c r="CP108" s="332">
        <v>0.45967989154545902</v>
      </c>
      <c r="CQ108" s="332">
        <v>0.78297319902744</v>
      </c>
      <c r="CR108" s="332">
        <v>1.0957191966482109</v>
      </c>
      <c r="CS108" s="332">
        <v>1.4418405003536849</v>
      </c>
      <c r="CT108" s="332">
        <v>1.801002404194165</v>
      </c>
      <c r="CU108" s="332">
        <v>2.1797608166947349</v>
      </c>
      <c r="CV108" s="332">
        <v>2.5671680610072478</v>
      </c>
      <c r="CW108" s="332">
        <v>2.9690760644797152</v>
      </c>
      <c r="CX108" s="332">
        <v>3.3964145469774811</v>
      </c>
      <c r="CY108" s="332">
        <v>3.864536087769562</v>
      </c>
      <c r="CZ108" s="332">
        <v>4.3569836138896116</v>
      </c>
      <c r="DA108" s="332">
        <v>4.8862357851222598</v>
      </c>
      <c r="DB108" s="332">
        <v>5.438836997347547</v>
      </c>
      <c r="DC108" s="332">
        <v>6.047993455908566</v>
      </c>
      <c r="DD108" s="785">
        <v>6.720204953601761</v>
      </c>
      <c r="DE108" s="333">
        <v>7.55131678090412</v>
      </c>
      <c r="DF108" s="332">
        <v>8.661446370835737</v>
      </c>
      <c r="DG108" s="332">
        <v>11.206316207857133</v>
      </c>
      <c r="DH108" s="332">
        <f>'I-Project Contingency'!$E$86-CM108</f>
        <v>0</v>
      </c>
      <c r="DI108" s="332">
        <f>'I-Project Contingency'!$E$87-CN108</f>
        <v>0</v>
      </c>
      <c r="DJ108" s="332">
        <f>'I-Project Contingency'!$E$88-CO108</f>
        <v>0</v>
      </c>
      <c r="DK108" s="332">
        <f>'I-Project Contingency'!$E$89-CP108</f>
        <v>0</v>
      </c>
      <c r="DL108" s="332">
        <f>'I-Project Contingency'!$E$90-CQ108</f>
        <v>0</v>
      </c>
      <c r="DM108" s="332">
        <f>'I-Project Contingency'!$E$91-CR108</f>
        <v>0</v>
      </c>
      <c r="DN108" s="332">
        <f>'I-Project Contingency'!$E$92-CS108</f>
        <v>0</v>
      </c>
      <c r="DO108" s="332">
        <f>'I-Project Contingency'!$E$93-CT108</f>
        <v>0</v>
      </c>
      <c r="DP108" s="332">
        <f>'I-Project Contingency'!$E$94-CU108</f>
        <v>0</v>
      </c>
      <c r="DQ108" s="332">
        <f>'I-Project Contingency'!$E$95-CV108</f>
        <v>0</v>
      </c>
      <c r="DR108" s="332">
        <f>'I-Project Contingency'!$E$96-CW108</f>
        <v>0</v>
      </c>
      <c r="DS108" s="332">
        <f>'I-Project Contingency'!$E$97-CX108</f>
        <v>0</v>
      </c>
      <c r="DT108" s="332">
        <f>'I-Project Contingency'!$E$98-CY108</f>
        <v>0</v>
      </c>
      <c r="DU108" s="332">
        <f>'I-Project Contingency'!$E$99-CZ108</f>
        <v>0</v>
      </c>
      <c r="DV108" s="332">
        <f>'I-Project Contingency'!$E$100-DA108</f>
        <v>0</v>
      </c>
      <c r="DW108" s="332">
        <f>'I-Project Contingency'!$E$101-DB108</f>
        <v>0</v>
      </c>
      <c r="DX108" s="332">
        <f>'I-Project Contingency'!$E$102-DC108</f>
        <v>0</v>
      </c>
      <c r="DY108" s="332">
        <f>'I-Project Contingency'!$E$103-DD108</f>
        <v>0</v>
      </c>
      <c r="DZ108" s="332">
        <f>'I-Project Contingency'!$E$104-DE108</f>
        <v>0</v>
      </c>
      <c r="EA108" s="332">
        <f>'I-Project Contingency'!$E$105-DF108</f>
        <v>0</v>
      </c>
      <c r="EB108" s="332">
        <f>'I-Project Contingency'!$E$106-DG108</f>
        <v>0</v>
      </c>
      <c r="EC108" s="334">
        <f>IF(EE108="N/A","N/A",ABS(INDEX(EE108:EY108,1,MATCH("ROM Cost Risk @ "&amp;'D-Project Data'!$C$6*100&amp;"%",$EE$17:$EY$17,0))))</f>
        <v>0</v>
      </c>
      <c r="ED108" s="335">
        <f>IF(EC108="N/A","N/A",RANK(EC108,$EC$18:$EC$117,0)+COUNTIF($EC$18:EC108,EC108)-1)</f>
        <v>91</v>
      </c>
      <c r="EE108" s="334">
        <f>IF(BQ108/SUM(BQ:BQ)*'I-Project Contingency'!$F$61=0,0,BQ108/SUM(BQ:BQ)*'I-Project Contingency'!$F$61)</f>
        <v>0</v>
      </c>
      <c r="EF108" s="334">
        <f>IF(BR108/SUM(BR:BR)*'I-Project Contingency'!$F$62=0,0,BR108/SUM(BR:BR)*'I-Project Contingency'!$F$62)</f>
        <v>0</v>
      </c>
      <c r="EG108" s="334">
        <f>IF(BS108/SUM(BS:BS)*'I-Project Contingency'!$F$63=0,0,BS108/SUM(BS:BS)*'I-Project Contingency'!$F$63)</f>
        <v>0</v>
      </c>
      <c r="EH108" s="334">
        <f>IF(BT108/SUM(BT:BT)*'I-Project Contingency'!$F$64=0,0,BT108/SUM(BT:BT)*'I-Project Contingency'!$F$64)</f>
        <v>0</v>
      </c>
      <c r="EI108" s="334">
        <f>IF(BU108/SUM(BU:BU)*'I-Project Contingency'!$F$65=0,0,BU108/SUM(BU:BU)*'I-Project Contingency'!$F$65)</f>
        <v>0</v>
      </c>
      <c r="EJ108" s="334">
        <f>IF(BV108/SUM(BV:BV)*'I-Project Contingency'!$F$66=0,0,BV108/SUM(BV:BV)*'I-Project Contingency'!$F$66)</f>
        <v>0</v>
      </c>
      <c r="EK108" s="334">
        <f>IF(BW108/SUM(BW:BW)*'I-Project Contingency'!$F$67=0,0,BW108/SUM(BW:BW)*'I-Project Contingency'!$F$67)</f>
        <v>0</v>
      </c>
      <c r="EL108" s="334">
        <f>IF(BX108/SUM(BX:BX)*'I-Project Contingency'!$F$68=0,0,BX108/SUM(BX:BX)*'I-Project Contingency'!$F$68)</f>
        <v>0</v>
      </c>
      <c r="EM108" s="334">
        <f>IF(BY108/SUM(BY:BY)*'I-Project Contingency'!$F$69=0,0,BY108/SUM(BY:BY)*'I-Project Contingency'!$F$69)</f>
        <v>0</v>
      </c>
      <c r="EN108" s="334">
        <f>IF(BZ108/SUM(BZ:BZ)*'I-Project Contingency'!$F$70=0,0,BZ108/SUM(BZ:BZ)*'I-Project Contingency'!$F$70)</f>
        <v>0</v>
      </c>
      <c r="EO108" s="334">
        <f>IF(CA108/SUM(CA:CA)*'I-Project Contingency'!$F$71=0,0,CA108/SUM(CA:CA)*'I-Project Contingency'!$F$71)</f>
        <v>0</v>
      </c>
      <c r="EP108" s="334">
        <f>IF(CB108/SUM(CB:CB)*'I-Project Contingency'!$F$72=0,0,CB108/SUM(CB:CB)*'I-Project Contingency'!$F$72)</f>
        <v>0</v>
      </c>
      <c r="EQ108" s="334">
        <f>IF(CC108/SUM(CC:CC)*'I-Project Contingency'!$F$73=0,0,CC108/SUM(CC:CC)*'I-Project Contingency'!$F$73)</f>
        <v>0</v>
      </c>
      <c r="ER108" s="334">
        <f>IF(CD108/SUM(CD:CD)*'I-Project Contingency'!$F$74=0,0,CD108/SUM(CD:CD)*'I-Project Contingency'!$F$74)</f>
        <v>0</v>
      </c>
      <c r="ES108" s="334">
        <f>IF(CE108/SUM(CE:CE)*'I-Project Contingency'!$F$75=0,0,CE108/SUM(CE:CE)*'I-Project Contingency'!$F$75)</f>
        <v>0</v>
      </c>
      <c r="ET108" s="334">
        <f>IF(CF108/SUM(CF:CF)*'I-Project Contingency'!$F$76=0,0,CF108/SUM(CF:CF)*'I-Project Contingency'!$F$76)</f>
        <v>0</v>
      </c>
      <c r="EU108" s="334">
        <f>IF(CG108/SUM(CG:CG)*'I-Project Contingency'!$F$77=0,0,CG108/SUM(CG:CG)*'I-Project Contingency'!$F$77)</f>
        <v>0</v>
      </c>
      <c r="EV108" s="787">
        <f>IF(CH108/SUM(CH:CH)*'I-Project Contingency'!$F$78=0,0,CH108/SUM(CH:CH)*'I-Project Contingency'!$F$78)</f>
        <v>0</v>
      </c>
      <c r="EW108" s="787">
        <f>IF(CI108/SUM(CI:CI)*'I-Project Contingency'!$F$79=0,0,CI108/SUM(CI:CI)*'I-Project Contingency'!$F$79)</f>
        <v>0</v>
      </c>
      <c r="EX108" s="787">
        <f>IF(CJ108/SUM(CJ:CJ)*'I-Project Contingency'!$F$80=0,0,CJ108/SUM(CJ:CJ)*'I-Project Contingency'!$F$80)</f>
        <v>0</v>
      </c>
      <c r="EY108" s="787">
        <f>IF(CK108/SUM(CK:CK)*'I-Project Contingency'!$F$81=0,0,CK108/SUM(CK:CK)*'I-Project Contingency'!$F$81)</f>
        <v>0</v>
      </c>
      <c r="EZ108" s="333">
        <f>IF(FB108="N/A","N/A",ABS(INDEX(FB108:FV108,1,MATCH("ROM Schedule Risk @ "&amp;'D-Project Data'!$C$6*100&amp;"%",$FB$17:$FV$17,0))))</f>
        <v>0</v>
      </c>
      <c r="FA108" s="335">
        <f>IF(EZ108="N/A","N/A",RANK(EZ108,$EZ$18:$EZ$117,0)+COUNTIF($FB$18:FB108,FB108)-1)</f>
        <v>91</v>
      </c>
      <c r="FB108" s="788">
        <f>IF(DH108/SUM(DH:DH)*'I-Project Contingency'!$F$86=0,0,DH108/SUM(DH:DH)*'I-Project Contingency'!$F$86)</f>
        <v>0</v>
      </c>
      <c r="FC108" s="788">
        <f>IF(DI108/SUM(DI:DI)*'I-Project Contingency'!$F$87=0,0,DI108/SUM(DI:DI)*'I-Project Contingency'!$F$87)</f>
        <v>0</v>
      </c>
      <c r="FD108" s="788">
        <f>IF(DJ108/SUM(DJ:DJ)*'I-Project Contingency'!$F$88=0,0,DJ108/SUM(DJ:DJ)*'I-Project Contingency'!$F$88)</f>
        <v>0</v>
      </c>
      <c r="FE108" s="788">
        <f>IF(DK108/SUM(DK:DK)*'I-Project Contingency'!$F$89=0,0,DK108/SUM(DK:DK)*'I-Project Contingency'!$F$89)</f>
        <v>0</v>
      </c>
      <c r="FF108" s="788">
        <f>IF(DL108/SUM(DL:DL)*'I-Project Contingency'!$F$90=0,0,DL108/SUM(DL:DL)*'I-Project Contingency'!$F$90)</f>
        <v>0</v>
      </c>
      <c r="FG108" s="788">
        <f>IF(DM108/SUM(DM:DM)*'I-Project Contingency'!$F$91=0,0,DM108/SUM(DM:DM)*'I-Project Contingency'!$F$91)</f>
        <v>0</v>
      </c>
      <c r="FH108" s="788">
        <f>IF(DN108/SUM(DN:DN)*'I-Project Contingency'!$F$92=0,0,DN108/SUM(DN:DN)*'I-Project Contingency'!$F$92)</f>
        <v>0</v>
      </c>
      <c r="FI108" s="788">
        <f>IF(DO108/SUM(DO:DO)*'I-Project Contingency'!$F$93=0,0,DO108/SUM(DO:DO)*'I-Project Contingency'!$F$93)</f>
        <v>0</v>
      </c>
      <c r="FJ108" s="788">
        <f>IF(DP108/SUM(DP:DP)*'I-Project Contingency'!$F$94=0,0,DP108/SUM(DP:DP)*'I-Project Contingency'!$F$94)</f>
        <v>0</v>
      </c>
      <c r="FK108" s="788">
        <f>IF(DQ108/SUM(DQ:DQ)*'I-Project Contingency'!$F$95=0,0,DQ108/SUM(DQ:DQ)*'I-Project Contingency'!$F$95)</f>
        <v>0</v>
      </c>
      <c r="FL108" s="788">
        <f>IF(DR108/SUM(DR:DR)*'I-Project Contingency'!$F$96=0,0,DR108/SUM(DR:DR)*'I-Project Contingency'!$F$96)</f>
        <v>0</v>
      </c>
      <c r="FM108" s="788">
        <f>IF(DS108/SUM(DS:DS)*'I-Project Contingency'!$F$97=0,0,DS108/SUM(DS:DS)*'I-Project Contingency'!$F$97)</f>
        <v>0</v>
      </c>
      <c r="FN108" s="788">
        <f>IF(DT108/SUM(DT:DT)*'I-Project Contingency'!$F$98=0,0,DT108/SUM(DT:DT)*'I-Project Contingency'!$F$98)</f>
        <v>0</v>
      </c>
      <c r="FO108" s="788">
        <f>IF(DU108/SUM(DU:DU)*'I-Project Contingency'!$F$99=0,0,DU108/SUM(DU:DU)*'I-Project Contingency'!$F$99)</f>
        <v>0</v>
      </c>
      <c r="FP108" s="788">
        <f>IF(DV108/SUM(DV:DV)*'I-Project Contingency'!$F$100=0,0,DV108/SUM(DV:DV)*'I-Project Contingency'!$F$100)</f>
        <v>0</v>
      </c>
      <c r="FQ108" s="788">
        <f>IF(DW108/SUM(DW:DW)*'I-Project Contingency'!$F$101=0,0,DW108/SUM(DW:DW)*'I-Project Contingency'!$F$101)</f>
        <v>0</v>
      </c>
      <c r="FR108" s="788">
        <f>IF(DX108/SUM(DX:DX)*'I-Project Contingency'!$F$102=0,0,DX108/SUM(DX:DX)*'I-Project Contingency'!$F$102)</f>
        <v>0</v>
      </c>
      <c r="FS108" s="788">
        <f>IF(DY108/SUM(DY:DY)*'I-Project Contingency'!$F$103=0,0,DY108/SUM(DY:DY)*'I-Project Contingency'!$F$103)</f>
        <v>0</v>
      </c>
      <c r="FT108" s="788">
        <f>IF(DZ108/SUM(DZ:DZ)*'I-Project Contingency'!$F$104=0,0,DZ108/SUM(DZ:DZ)*'I-Project Contingency'!$F$104)</f>
        <v>0</v>
      </c>
      <c r="FU108" s="788">
        <f>IF(EA108/SUM(EA:EA)*'I-Project Contingency'!$F$105=0,0,EA108/SUM(EA:EA)*'I-Project Contingency'!$F$105)</f>
        <v>0</v>
      </c>
      <c r="FV108" s="788">
        <f>IF(EB108/SUM(EB:EB)*'I-Project Contingency'!$F$106=0,0,EB108/SUM(EB:EB)*'I-Project Contingency'!$F$106)</f>
        <v>0</v>
      </c>
      <c r="FW108" s="335">
        <f t="shared" si="52"/>
        <v>91</v>
      </c>
      <c r="FX108" s="336" t="str">
        <f t="shared" si="53"/>
        <v xml:space="preserve">91 -  </v>
      </c>
      <c r="FY108" s="330">
        <f t="shared" si="43"/>
        <v>0</v>
      </c>
      <c r="FZ108" s="330">
        <f t="shared" si="44"/>
        <v>0</v>
      </c>
      <c r="GA108" s="332">
        <f t="shared" si="54"/>
        <v>0</v>
      </c>
      <c r="GB108" s="332">
        <f t="shared" si="55"/>
        <v>0</v>
      </c>
    </row>
    <row r="109" spans="1:184" ht="30" x14ac:dyDescent="0.25">
      <c r="A109" s="163">
        <f t="shared" si="23"/>
        <v>92</v>
      </c>
      <c r="B109" s="727" t="s">
        <v>728</v>
      </c>
      <c r="C109" s="729" t="s">
        <v>659</v>
      </c>
      <c r="D109" s="729" t="s">
        <v>659</v>
      </c>
      <c r="E109" s="729" t="s">
        <v>659</v>
      </c>
      <c r="F109" s="728" t="s">
        <v>728</v>
      </c>
      <c r="G109" s="728" t="s">
        <v>728</v>
      </c>
      <c r="H109" s="157" t="str">
        <f>IFERROR(IF('H-Risk Register-Model'!F109="Certain","Relook at Basis of Estimate",INDEX('G-Assumptions'!$F$8:$J$11,MATCH(F109,'G-Assumptions'!$D$8:$D$11,0),MATCH(G109,'G-Assumptions'!$F$6:$J$6,0))),"Unrated")</f>
        <v>Unrated</v>
      </c>
      <c r="I109" s="728" t="s">
        <v>728</v>
      </c>
      <c r="J109" s="157" t="str">
        <f>IFERROR(IF('H-Risk Register-Model'!F109="Certain","Relook at Basis of Estimate",INDEX('G-Assumptions'!$F$8:$J$11,MATCH(F109,'G-Assumptions'!$D$8:$D$11,0),MATCH(I109,'G-Assumptions'!$F$6:$J$6,0))),"Unrated")</f>
        <v>Unrated</v>
      </c>
      <c r="K109" s="728" t="s">
        <v>728</v>
      </c>
      <c r="L109" s="728" t="s">
        <v>728</v>
      </c>
      <c r="M109" s="728"/>
      <c r="N109" s="731" t="s">
        <v>728</v>
      </c>
      <c r="O109" s="731" t="s">
        <v>728</v>
      </c>
      <c r="P109" s="732"/>
      <c r="Q109" s="732"/>
      <c r="R109" s="732"/>
      <c r="S109" s="733"/>
      <c r="T109" s="733"/>
      <c r="U109" s="733"/>
      <c r="V109" s="734"/>
      <c r="W109" s="732"/>
      <c r="X109" s="732"/>
      <c r="Y109" s="735">
        <v>1</v>
      </c>
      <c r="Z109" s="736">
        <v>1</v>
      </c>
      <c r="AA109" s="166">
        <f t="shared" si="56"/>
        <v>0</v>
      </c>
      <c r="AB109" s="166">
        <f t="shared" si="57"/>
        <v>0</v>
      </c>
      <c r="AC109" s="166">
        <f t="shared" si="58"/>
        <v>0</v>
      </c>
      <c r="AD109" s="166"/>
      <c r="AE109" s="164">
        <f t="shared" si="41"/>
        <v>0</v>
      </c>
      <c r="AF109" s="167"/>
      <c r="AG109" s="165">
        <f t="shared" si="42"/>
        <v>0</v>
      </c>
      <c r="AH109" s="729"/>
      <c r="AI109" s="729"/>
      <c r="AJ109" s="8"/>
      <c r="AK109" s="495" t="str">
        <f t="shared" si="45"/>
        <v>No</v>
      </c>
      <c r="AL109" s="496">
        <f>'I-Project Contingency'!$I$4</f>
        <v>9000000</v>
      </c>
      <c r="AM109" s="326">
        <f>'I-Project Contingency'!$I$11</f>
        <v>23.978102189781023</v>
      </c>
      <c r="AN109" s="325">
        <f t="shared" si="46"/>
        <v>0</v>
      </c>
      <c r="AO109" s="326">
        <f t="shared" si="47"/>
        <v>0</v>
      </c>
      <c r="AP109" s="641" t="str">
        <f t="shared" si="48"/>
        <v/>
      </c>
      <c r="AQ109" s="641" t="str">
        <f t="shared" si="49"/>
        <v/>
      </c>
      <c r="AR109" s="497" t="str">
        <f t="shared" si="50"/>
        <v/>
      </c>
      <c r="AS109" s="497" t="str">
        <f t="shared" si="51"/>
        <v/>
      </c>
      <c r="AT109" s="8"/>
      <c r="AU109" s="329">
        <f>'I-Project Contingency'!$O$4-AE109</f>
        <v>0</v>
      </c>
      <c r="AV109" s="330">
        <v>-240515.59579276721</v>
      </c>
      <c r="AW109" s="330">
        <v>28172.931401335634</v>
      </c>
      <c r="AX109" s="330">
        <v>193478.84467429668</v>
      </c>
      <c r="AY109" s="330">
        <v>361668.20104834624</v>
      </c>
      <c r="AZ109" s="330">
        <v>524446.91524262261</v>
      </c>
      <c r="BA109" s="330">
        <v>704023.56387635041</v>
      </c>
      <c r="BB109" s="330">
        <v>886394.06956240814</v>
      </c>
      <c r="BC109" s="330">
        <v>1079363.7165157665</v>
      </c>
      <c r="BD109" s="330">
        <v>1280180.1532065615</v>
      </c>
      <c r="BE109" s="330">
        <v>1485323.8019108465</v>
      </c>
      <c r="BF109" s="330">
        <v>1703758.8827524669</v>
      </c>
      <c r="BG109" s="330">
        <v>1949523.4346483489</v>
      </c>
      <c r="BH109" s="330">
        <v>2177897.1603371189</v>
      </c>
      <c r="BI109" s="330">
        <v>2429374.4260425912</v>
      </c>
      <c r="BJ109" s="330">
        <v>2717092.7449284913</v>
      </c>
      <c r="BK109" s="330">
        <v>3010093.6968918457</v>
      </c>
      <c r="BL109" s="330">
        <v>3325414.5894657462</v>
      </c>
      <c r="BM109" s="330">
        <v>3690425.9159493577</v>
      </c>
      <c r="BN109" s="330">
        <v>4143935.1706127762</v>
      </c>
      <c r="BO109" s="330">
        <v>4722651.1159141911</v>
      </c>
      <c r="BP109" s="330">
        <v>5992048.8629153483</v>
      </c>
      <c r="BQ109" s="330">
        <f>'I-Project Contingency'!$E$61-AV109</f>
        <v>0</v>
      </c>
      <c r="BR109" s="330">
        <f>'I-Project Contingency'!$E$62-AW109</f>
        <v>0</v>
      </c>
      <c r="BS109" s="330">
        <f>'I-Project Contingency'!$E$63-AX109</f>
        <v>0</v>
      </c>
      <c r="BT109" s="330">
        <f>'I-Project Contingency'!$E$64-AY109</f>
        <v>0</v>
      </c>
      <c r="BU109" s="330">
        <f>'I-Project Contingency'!$E$65-AZ109</f>
        <v>0</v>
      </c>
      <c r="BV109" s="330">
        <f>'I-Project Contingency'!$E$66-BA109</f>
        <v>0</v>
      </c>
      <c r="BW109" s="330">
        <f>'I-Project Contingency'!$E$67-BB109</f>
        <v>0</v>
      </c>
      <c r="BX109" s="330">
        <f>'I-Project Contingency'!$E$68-BC109</f>
        <v>0</v>
      </c>
      <c r="BY109" s="330">
        <f>'I-Project Contingency'!$E$69-BD109</f>
        <v>0</v>
      </c>
      <c r="BZ109" s="330">
        <f>'I-Project Contingency'!$E$70-BE109</f>
        <v>0</v>
      </c>
      <c r="CA109" s="330">
        <f>'I-Project Contingency'!$E$71-BF109</f>
        <v>0</v>
      </c>
      <c r="CB109" s="330">
        <f>'I-Project Contingency'!$E$72-BG109</f>
        <v>0</v>
      </c>
      <c r="CC109" s="330">
        <f>'I-Project Contingency'!$E$73-BH109</f>
        <v>0</v>
      </c>
      <c r="CD109" s="330">
        <f>'I-Project Contingency'!$E$74-BI109</f>
        <v>0</v>
      </c>
      <c r="CE109" s="330">
        <f>'I-Project Contingency'!$E$75-BJ109</f>
        <v>0</v>
      </c>
      <c r="CF109" s="330">
        <f>'I-Project Contingency'!$E$76-BK109</f>
        <v>0</v>
      </c>
      <c r="CG109" s="330">
        <f>'I-Project Contingency'!$E$77-BL109</f>
        <v>0</v>
      </c>
      <c r="CH109" s="784">
        <f>'I-Project Contingency'!$E$78-BM109</f>
        <v>0</v>
      </c>
      <c r="CI109" s="330">
        <f>'I-Project Contingency'!$E$79-BN109</f>
        <v>0</v>
      </c>
      <c r="CJ109" s="330">
        <f>'I-Project Contingency'!$E$80-BO109</f>
        <v>0</v>
      </c>
      <c r="CK109" s="330">
        <f>'I-Project Contingency'!$E$81-BP109</f>
        <v>0</v>
      </c>
      <c r="CL109" s="331">
        <f>'I-Project Contingency'!$O$5-AG109</f>
        <v>0</v>
      </c>
      <c r="CM109" s="332">
        <v>-0.98711802853447173</v>
      </c>
      <c r="CN109" s="332">
        <v>-0.19547704728364468</v>
      </c>
      <c r="CO109" s="332">
        <v>0.126462150308498</v>
      </c>
      <c r="CP109" s="332">
        <v>0.45967989154545902</v>
      </c>
      <c r="CQ109" s="332">
        <v>0.78297319902744</v>
      </c>
      <c r="CR109" s="332">
        <v>1.0957191966482109</v>
      </c>
      <c r="CS109" s="332">
        <v>1.4418405003536849</v>
      </c>
      <c r="CT109" s="332">
        <v>1.801002404194165</v>
      </c>
      <c r="CU109" s="332">
        <v>2.1797608166947349</v>
      </c>
      <c r="CV109" s="332">
        <v>2.5671680610072478</v>
      </c>
      <c r="CW109" s="332">
        <v>2.9690760644797152</v>
      </c>
      <c r="CX109" s="332">
        <v>3.3964145469774811</v>
      </c>
      <c r="CY109" s="332">
        <v>3.864536087769562</v>
      </c>
      <c r="CZ109" s="332">
        <v>4.3569836138896116</v>
      </c>
      <c r="DA109" s="332">
        <v>4.8862357851222598</v>
      </c>
      <c r="DB109" s="332">
        <v>5.438836997347547</v>
      </c>
      <c r="DC109" s="332">
        <v>6.047993455908566</v>
      </c>
      <c r="DD109" s="785">
        <v>6.720204953601761</v>
      </c>
      <c r="DE109" s="333">
        <v>7.55131678090412</v>
      </c>
      <c r="DF109" s="332">
        <v>8.661446370835737</v>
      </c>
      <c r="DG109" s="332">
        <v>11.206316207857133</v>
      </c>
      <c r="DH109" s="332">
        <f>'I-Project Contingency'!$E$86-CM109</f>
        <v>0</v>
      </c>
      <c r="DI109" s="332">
        <f>'I-Project Contingency'!$E$87-CN109</f>
        <v>0</v>
      </c>
      <c r="DJ109" s="332">
        <f>'I-Project Contingency'!$E$88-CO109</f>
        <v>0</v>
      </c>
      <c r="DK109" s="332">
        <f>'I-Project Contingency'!$E$89-CP109</f>
        <v>0</v>
      </c>
      <c r="DL109" s="332">
        <f>'I-Project Contingency'!$E$90-CQ109</f>
        <v>0</v>
      </c>
      <c r="DM109" s="332">
        <f>'I-Project Contingency'!$E$91-CR109</f>
        <v>0</v>
      </c>
      <c r="DN109" s="332">
        <f>'I-Project Contingency'!$E$92-CS109</f>
        <v>0</v>
      </c>
      <c r="DO109" s="332">
        <f>'I-Project Contingency'!$E$93-CT109</f>
        <v>0</v>
      </c>
      <c r="DP109" s="332">
        <f>'I-Project Contingency'!$E$94-CU109</f>
        <v>0</v>
      </c>
      <c r="DQ109" s="332">
        <f>'I-Project Contingency'!$E$95-CV109</f>
        <v>0</v>
      </c>
      <c r="DR109" s="332">
        <f>'I-Project Contingency'!$E$96-CW109</f>
        <v>0</v>
      </c>
      <c r="DS109" s="332">
        <f>'I-Project Contingency'!$E$97-CX109</f>
        <v>0</v>
      </c>
      <c r="DT109" s="332">
        <f>'I-Project Contingency'!$E$98-CY109</f>
        <v>0</v>
      </c>
      <c r="DU109" s="332">
        <f>'I-Project Contingency'!$E$99-CZ109</f>
        <v>0</v>
      </c>
      <c r="DV109" s="332">
        <f>'I-Project Contingency'!$E$100-DA109</f>
        <v>0</v>
      </c>
      <c r="DW109" s="332">
        <f>'I-Project Contingency'!$E$101-DB109</f>
        <v>0</v>
      </c>
      <c r="DX109" s="332">
        <f>'I-Project Contingency'!$E$102-DC109</f>
        <v>0</v>
      </c>
      <c r="DY109" s="332">
        <f>'I-Project Contingency'!$E$103-DD109</f>
        <v>0</v>
      </c>
      <c r="DZ109" s="332">
        <f>'I-Project Contingency'!$E$104-DE109</f>
        <v>0</v>
      </c>
      <c r="EA109" s="332">
        <f>'I-Project Contingency'!$E$105-DF109</f>
        <v>0</v>
      </c>
      <c r="EB109" s="332">
        <f>'I-Project Contingency'!$E$106-DG109</f>
        <v>0</v>
      </c>
      <c r="EC109" s="334">
        <f>IF(EE109="N/A","N/A",ABS(INDEX(EE109:EY109,1,MATCH("ROM Cost Risk @ "&amp;'D-Project Data'!$C$6*100&amp;"%",$EE$17:$EY$17,0))))</f>
        <v>0</v>
      </c>
      <c r="ED109" s="335">
        <f>IF(EC109="N/A","N/A",RANK(EC109,$EC$18:$EC$117,0)+COUNTIF($EC$18:EC109,EC109)-1)</f>
        <v>92</v>
      </c>
      <c r="EE109" s="334">
        <f>IF(BQ109/SUM(BQ:BQ)*'I-Project Contingency'!$F$61=0,0,BQ109/SUM(BQ:BQ)*'I-Project Contingency'!$F$61)</f>
        <v>0</v>
      </c>
      <c r="EF109" s="334">
        <f>IF(BR109/SUM(BR:BR)*'I-Project Contingency'!$F$62=0,0,BR109/SUM(BR:BR)*'I-Project Contingency'!$F$62)</f>
        <v>0</v>
      </c>
      <c r="EG109" s="334">
        <f>IF(BS109/SUM(BS:BS)*'I-Project Contingency'!$F$63=0,0,BS109/SUM(BS:BS)*'I-Project Contingency'!$F$63)</f>
        <v>0</v>
      </c>
      <c r="EH109" s="334">
        <f>IF(BT109/SUM(BT:BT)*'I-Project Contingency'!$F$64=0,0,BT109/SUM(BT:BT)*'I-Project Contingency'!$F$64)</f>
        <v>0</v>
      </c>
      <c r="EI109" s="334">
        <f>IF(BU109/SUM(BU:BU)*'I-Project Contingency'!$F$65=0,0,BU109/SUM(BU:BU)*'I-Project Contingency'!$F$65)</f>
        <v>0</v>
      </c>
      <c r="EJ109" s="334">
        <f>IF(BV109/SUM(BV:BV)*'I-Project Contingency'!$F$66=0,0,BV109/SUM(BV:BV)*'I-Project Contingency'!$F$66)</f>
        <v>0</v>
      </c>
      <c r="EK109" s="334">
        <f>IF(BW109/SUM(BW:BW)*'I-Project Contingency'!$F$67=0,0,BW109/SUM(BW:BW)*'I-Project Contingency'!$F$67)</f>
        <v>0</v>
      </c>
      <c r="EL109" s="334">
        <f>IF(BX109/SUM(BX:BX)*'I-Project Contingency'!$F$68=0,0,BX109/SUM(BX:BX)*'I-Project Contingency'!$F$68)</f>
        <v>0</v>
      </c>
      <c r="EM109" s="334">
        <f>IF(BY109/SUM(BY:BY)*'I-Project Contingency'!$F$69=0,0,BY109/SUM(BY:BY)*'I-Project Contingency'!$F$69)</f>
        <v>0</v>
      </c>
      <c r="EN109" s="334">
        <f>IF(BZ109/SUM(BZ:BZ)*'I-Project Contingency'!$F$70=0,0,BZ109/SUM(BZ:BZ)*'I-Project Contingency'!$F$70)</f>
        <v>0</v>
      </c>
      <c r="EO109" s="334">
        <f>IF(CA109/SUM(CA:CA)*'I-Project Contingency'!$F$71=0,0,CA109/SUM(CA:CA)*'I-Project Contingency'!$F$71)</f>
        <v>0</v>
      </c>
      <c r="EP109" s="334">
        <f>IF(CB109/SUM(CB:CB)*'I-Project Contingency'!$F$72=0,0,CB109/SUM(CB:CB)*'I-Project Contingency'!$F$72)</f>
        <v>0</v>
      </c>
      <c r="EQ109" s="334">
        <f>IF(CC109/SUM(CC:CC)*'I-Project Contingency'!$F$73=0,0,CC109/SUM(CC:CC)*'I-Project Contingency'!$F$73)</f>
        <v>0</v>
      </c>
      <c r="ER109" s="334">
        <f>IF(CD109/SUM(CD:CD)*'I-Project Contingency'!$F$74=0,0,CD109/SUM(CD:CD)*'I-Project Contingency'!$F$74)</f>
        <v>0</v>
      </c>
      <c r="ES109" s="334">
        <f>IF(CE109/SUM(CE:CE)*'I-Project Contingency'!$F$75=0,0,CE109/SUM(CE:CE)*'I-Project Contingency'!$F$75)</f>
        <v>0</v>
      </c>
      <c r="ET109" s="334">
        <f>IF(CF109/SUM(CF:CF)*'I-Project Contingency'!$F$76=0,0,CF109/SUM(CF:CF)*'I-Project Contingency'!$F$76)</f>
        <v>0</v>
      </c>
      <c r="EU109" s="334">
        <f>IF(CG109/SUM(CG:CG)*'I-Project Contingency'!$F$77=0,0,CG109/SUM(CG:CG)*'I-Project Contingency'!$F$77)</f>
        <v>0</v>
      </c>
      <c r="EV109" s="787">
        <f>IF(CH109/SUM(CH:CH)*'I-Project Contingency'!$F$78=0,0,CH109/SUM(CH:CH)*'I-Project Contingency'!$F$78)</f>
        <v>0</v>
      </c>
      <c r="EW109" s="787">
        <f>IF(CI109/SUM(CI:CI)*'I-Project Contingency'!$F$79=0,0,CI109/SUM(CI:CI)*'I-Project Contingency'!$F$79)</f>
        <v>0</v>
      </c>
      <c r="EX109" s="787">
        <f>IF(CJ109/SUM(CJ:CJ)*'I-Project Contingency'!$F$80=0,0,CJ109/SUM(CJ:CJ)*'I-Project Contingency'!$F$80)</f>
        <v>0</v>
      </c>
      <c r="EY109" s="787">
        <f>IF(CK109/SUM(CK:CK)*'I-Project Contingency'!$F$81=0,0,CK109/SUM(CK:CK)*'I-Project Contingency'!$F$81)</f>
        <v>0</v>
      </c>
      <c r="EZ109" s="333">
        <f>IF(FB109="N/A","N/A",ABS(INDEX(FB109:FV109,1,MATCH("ROM Schedule Risk @ "&amp;'D-Project Data'!$C$6*100&amp;"%",$FB$17:$FV$17,0))))</f>
        <v>0</v>
      </c>
      <c r="FA109" s="335">
        <f>IF(EZ109="N/A","N/A",RANK(EZ109,$EZ$18:$EZ$117,0)+COUNTIF($FB$18:FB109,FB109)-1)</f>
        <v>92</v>
      </c>
      <c r="FB109" s="788">
        <f>IF(DH109/SUM(DH:DH)*'I-Project Contingency'!$F$86=0,0,DH109/SUM(DH:DH)*'I-Project Contingency'!$F$86)</f>
        <v>0</v>
      </c>
      <c r="FC109" s="788">
        <f>IF(DI109/SUM(DI:DI)*'I-Project Contingency'!$F$87=0,0,DI109/SUM(DI:DI)*'I-Project Contingency'!$F$87)</f>
        <v>0</v>
      </c>
      <c r="FD109" s="788">
        <f>IF(DJ109/SUM(DJ:DJ)*'I-Project Contingency'!$F$88=0,0,DJ109/SUM(DJ:DJ)*'I-Project Contingency'!$F$88)</f>
        <v>0</v>
      </c>
      <c r="FE109" s="788">
        <f>IF(DK109/SUM(DK:DK)*'I-Project Contingency'!$F$89=0,0,DK109/SUM(DK:DK)*'I-Project Contingency'!$F$89)</f>
        <v>0</v>
      </c>
      <c r="FF109" s="788">
        <f>IF(DL109/SUM(DL:DL)*'I-Project Contingency'!$F$90=0,0,DL109/SUM(DL:DL)*'I-Project Contingency'!$F$90)</f>
        <v>0</v>
      </c>
      <c r="FG109" s="788">
        <f>IF(DM109/SUM(DM:DM)*'I-Project Contingency'!$F$91=0,0,DM109/SUM(DM:DM)*'I-Project Contingency'!$F$91)</f>
        <v>0</v>
      </c>
      <c r="FH109" s="788">
        <f>IF(DN109/SUM(DN:DN)*'I-Project Contingency'!$F$92=0,0,DN109/SUM(DN:DN)*'I-Project Contingency'!$F$92)</f>
        <v>0</v>
      </c>
      <c r="FI109" s="788">
        <f>IF(DO109/SUM(DO:DO)*'I-Project Contingency'!$F$93=0,0,DO109/SUM(DO:DO)*'I-Project Contingency'!$F$93)</f>
        <v>0</v>
      </c>
      <c r="FJ109" s="788">
        <f>IF(DP109/SUM(DP:DP)*'I-Project Contingency'!$F$94=0,0,DP109/SUM(DP:DP)*'I-Project Contingency'!$F$94)</f>
        <v>0</v>
      </c>
      <c r="FK109" s="788">
        <f>IF(DQ109/SUM(DQ:DQ)*'I-Project Contingency'!$F$95=0,0,DQ109/SUM(DQ:DQ)*'I-Project Contingency'!$F$95)</f>
        <v>0</v>
      </c>
      <c r="FL109" s="788">
        <f>IF(DR109/SUM(DR:DR)*'I-Project Contingency'!$F$96=0,0,DR109/SUM(DR:DR)*'I-Project Contingency'!$F$96)</f>
        <v>0</v>
      </c>
      <c r="FM109" s="788">
        <f>IF(DS109/SUM(DS:DS)*'I-Project Contingency'!$F$97=0,0,DS109/SUM(DS:DS)*'I-Project Contingency'!$F$97)</f>
        <v>0</v>
      </c>
      <c r="FN109" s="788">
        <f>IF(DT109/SUM(DT:DT)*'I-Project Contingency'!$F$98=0,0,DT109/SUM(DT:DT)*'I-Project Contingency'!$F$98)</f>
        <v>0</v>
      </c>
      <c r="FO109" s="788">
        <f>IF(DU109/SUM(DU:DU)*'I-Project Contingency'!$F$99=0,0,DU109/SUM(DU:DU)*'I-Project Contingency'!$F$99)</f>
        <v>0</v>
      </c>
      <c r="FP109" s="788">
        <f>IF(DV109/SUM(DV:DV)*'I-Project Contingency'!$F$100=0,0,DV109/SUM(DV:DV)*'I-Project Contingency'!$F$100)</f>
        <v>0</v>
      </c>
      <c r="FQ109" s="788">
        <f>IF(DW109/SUM(DW:DW)*'I-Project Contingency'!$F$101=0,0,DW109/SUM(DW:DW)*'I-Project Contingency'!$F$101)</f>
        <v>0</v>
      </c>
      <c r="FR109" s="788">
        <f>IF(DX109/SUM(DX:DX)*'I-Project Contingency'!$F$102=0,0,DX109/SUM(DX:DX)*'I-Project Contingency'!$F$102)</f>
        <v>0</v>
      </c>
      <c r="FS109" s="788">
        <f>IF(DY109/SUM(DY:DY)*'I-Project Contingency'!$F$103=0,0,DY109/SUM(DY:DY)*'I-Project Contingency'!$F$103)</f>
        <v>0</v>
      </c>
      <c r="FT109" s="788">
        <f>IF(DZ109/SUM(DZ:DZ)*'I-Project Contingency'!$F$104=0,0,DZ109/SUM(DZ:DZ)*'I-Project Contingency'!$F$104)</f>
        <v>0</v>
      </c>
      <c r="FU109" s="788">
        <f>IF(EA109/SUM(EA:EA)*'I-Project Contingency'!$F$105=0,0,EA109/SUM(EA:EA)*'I-Project Contingency'!$F$105)</f>
        <v>0</v>
      </c>
      <c r="FV109" s="788">
        <f>IF(EB109/SUM(EB:EB)*'I-Project Contingency'!$F$106=0,0,EB109/SUM(EB:EB)*'I-Project Contingency'!$F$106)</f>
        <v>0</v>
      </c>
      <c r="FW109" s="335">
        <f t="shared" si="52"/>
        <v>92</v>
      </c>
      <c r="FX109" s="336" t="str">
        <f t="shared" si="53"/>
        <v xml:space="preserve">92 -  </v>
      </c>
      <c r="FY109" s="330">
        <f t="shared" si="43"/>
        <v>0</v>
      </c>
      <c r="FZ109" s="330">
        <f t="shared" si="44"/>
        <v>0</v>
      </c>
      <c r="GA109" s="332">
        <f t="shared" si="54"/>
        <v>0</v>
      </c>
      <c r="GB109" s="332">
        <f t="shared" si="55"/>
        <v>0</v>
      </c>
    </row>
    <row r="110" spans="1:184" ht="30" x14ac:dyDescent="0.25">
      <c r="A110" s="163">
        <f t="shared" si="23"/>
        <v>93</v>
      </c>
      <c r="B110" s="727" t="s">
        <v>728</v>
      </c>
      <c r="C110" s="729" t="s">
        <v>659</v>
      </c>
      <c r="D110" s="729" t="s">
        <v>659</v>
      </c>
      <c r="E110" s="729" t="s">
        <v>659</v>
      </c>
      <c r="F110" s="728" t="s">
        <v>728</v>
      </c>
      <c r="G110" s="728" t="s">
        <v>728</v>
      </c>
      <c r="H110" s="157" t="str">
        <f>IFERROR(IF('H-Risk Register-Model'!F110="Certain","Relook at Basis of Estimate",INDEX('G-Assumptions'!$F$8:$J$11,MATCH(F110,'G-Assumptions'!$D$8:$D$11,0),MATCH(G110,'G-Assumptions'!$F$6:$J$6,0))),"Unrated")</f>
        <v>Unrated</v>
      </c>
      <c r="I110" s="728" t="s">
        <v>728</v>
      </c>
      <c r="J110" s="157" t="str">
        <f>IFERROR(IF('H-Risk Register-Model'!F110="Certain","Relook at Basis of Estimate",INDEX('G-Assumptions'!$F$8:$J$11,MATCH(F110,'G-Assumptions'!$D$8:$D$11,0),MATCH(I110,'G-Assumptions'!$F$6:$J$6,0))),"Unrated")</f>
        <v>Unrated</v>
      </c>
      <c r="K110" s="728" t="s">
        <v>728</v>
      </c>
      <c r="L110" s="728" t="s">
        <v>728</v>
      </c>
      <c r="M110" s="728"/>
      <c r="N110" s="731" t="s">
        <v>728</v>
      </c>
      <c r="O110" s="731" t="s">
        <v>728</v>
      </c>
      <c r="P110" s="732"/>
      <c r="Q110" s="732"/>
      <c r="R110" s="732"/>
      <c r="S110" s="733"/>
      <c r="T110" s="733"/>
      <c r="U110" s="733"/>
      <c r="V110" s="734"/>
      <c r="W110" s="732"/>
      <c r="X110" s="732"/>
      <c r="Y110" s="735">
        <v>1</v>
      </c>
      <c r="Z110" s="736">
        <v>1</v>
      </c>
      <c r="AA110" s="166">
        <f t="shared" si="56"/>
        <v>0</v>
      </c>
      <c r="AB110" s="166">
        <f t="shared" si="57"/>
        <v>0</v>
      </c>
      <c r="AC110" s="166">
        <f t="shared" si="58"/>
        <v>0</v>
      </c>
      <c r="AD110" s="166"/>
      <c r="AE110" s="164">
        <f t="shared" si="41"/>
        <v>0</v>
      </c>
      <c r="AF110" s="167"/>
      <c r="AG110" s="165">
        <f t="shared" si="42"/>
        <v>0</v>
      </c>
      <c r="AH110" s="729"/>
      <c r="AI110" s="729"/>
      <c r="AJ110" s="8"/>
      <c r="AK110" s="495" t="str">
        <f t="shared" si="45"/>
        <v>No</v>
      </c>
      <c r="AL110" s="496">
        <f>'I-Project Contingency'!$I$4</f>
        <v>9000000</v>
      </c>
      <c r="AM110" s="326">
        <f>'I-Project Contingency'!$I$11</f>
        <v>23.978102189781023</v>
      </c>
      <c r="AN110" s="325">
        <f t="shared" si="46"/>
        <v>0</v>
      </c>
      <c r="AO110" s="326">
        <f t="shared" si="47"/>
        <v>0</v>
      </c>
      <c r="AP110" s="641" t="str">
        <f t="shared" si="48"/>
        <v/>
      </c>
      <c r="AQ110" s="641" t="str">
        <f t="shared" si="49"/>
        <v/>
      </c>
      <c r="AR110" s="497" t="str">
        <f t="shared" si="50"/>
        <v/>
      </c>
      <c r="AS110" s="497" t="str">
        <f t="shared" si="51"/>
        <v/>
      </c>
      <c r="AT110" s="8"/>
      <c r="AU110" s="329">
        <f>'I-Project Contingency'!$O$4-AE110</f>
        <v>0</v>
      </c>
      <c r="AV110" s="330">
        <v>-240515.59579276721</v>
      </c>
      <c r="AW110" s="330">
        <v>28172.931401335634</v>
      </c>
      <c r="AX110" s="330">
        <v>193478.84467429668</v>
      </c>
      <c r="AY110" s="330">
        <v>361668.20104834624</v>
      </c>
      <c r="AZ110" s="330">
        <v>524446.91524262261</v>
      </c>
      <c r="BA110" s="330">
        <v>704023.56387635041</v>
      </c>
      <c r="BB110" s="330">
        <v>886394.06956240814</v>
      </c>
      <c r="BC110" s="330">
        <v>1079363.7165157665</v>
      </c>
      <c r="BD110" s="330">
        <v>1280180.1532065615</v>
      </c>
      <c r="BE110" s="330">
        <v>1485323.8019108465</v>
      </c>
      <c r="BF110" s="330">
        <v>1703758.8827524669</v>
      </c>
      <c r="BG110" s="330">
        <v>1949523.4346483489</v>
      </c>
      <c r="BH110" s="330">
        <v>2177897.1603371189</v>
      </c>
      <c r="BI110" s="330">
        <v>2429374.4260425912</v>
      </c>
      <c r="BJ110" s="330">
        <v>2717092.7449284913</v>
      </c>
      <c r="BK110" s="330">
        <v>3010093.6968918457</v>
      </c>
      <c r="BL110" s="330">
        <v>3325414.5894657462</v>
      </c>
      <c r="BM110" s="330">
        <v>3690425.9159493577</v>
      </c>
      <c r="BN110" s="330">
        <v>4143935.1706127762</v>
      </c>
      <c r="BO110" s="330">
        <v>4722651.1159141911</v>
      </c>
      <c r="BP110" s="330">
        <v>5992048.8629153483</v>
      </c>
      <c r="BQ110" s="330">
        <f>'I-Project Contingency'!$E$61-AV110</f>
        <v>0</v>
      </c>
      <c r="BR110" s="330">
        <f>'I-Project Contingency'!$E$62-AW110</f>
        <v>0</v>
      </c>
      <c r="BS110" s="330">
        <f>'I-Project Contingency'!$E$63-AX110</f>
        <v>0</v>
      </c>
      <c r="BT110" s="330">
        <f>'I-Project Contingency'!$E$64-AY110</f>
        <v>0</v>
      </c>
      <c r="BU110" s="330">
        <f>'I-Project Contingency'!$E$65-AZ110</f>
        <v>0</v>
      </c>
      <c r="BV110" s="330">
        <f>'I-Project Contingency'!$E$66-BA110</f>
        <v>0</v>
      </c>
      <c r="BW110" s="330">
        <f>'I-Project Contingency'!$E$67-BB110</f>
        <v>0</v>
      </c>
      <c r="BX110" s="330">
        <f>'I-Project Contingency'!$E$68-BC110</f>
        <v>0</v>
      </c>
      <c r="BY110" s="330">
        <f>'I-Project Contingency'!$E$69-BD110</f>
        <v>0</v>
      </c>
      <c r="BZ110" s="330">
        <f>'I-Project Contingency'!$E$70-BE110</f>
        <v>0</v>
      </c>
      <c r="CA110" s="330">
        <f>'I-Project Contingency'!$E$71-BF110</f>
        <v>0</v>
      </c>
      <c r="CB110" s="330">
        <f>'I-Project Contingency'!$E$72-BG110</f>
        <v>0</v>
      </c>
      <c r="CC110" s="330">
        <f>'I-Project Contingency'!$E$73-BH110</f>
        <v>0</v>
      </c>
      <c r="CD110" s="330">
        <f>'I-Project Contingency'!$E$74-BI110</f>
        <v>0</v>
      </c>
      <c r="CE110" s="330">
        <f>'I-Project Contingency'!$E$75-BJ110</f>
        <v>0</v>
      </c>
      <c r="CF110" s="330">
        <f>'I-Project Contingency'!$E$76-BK110</f>
        <v>0</v>
      </c>
      <c r="CG110" s="330">
        <f>'I-Project Contingency'!$E$77-BL110</f>
        <v>0</v>
      </c>
      <c r="CH110" s="784">
        <f>'I-Project Contingency'!$E$78-BM110</f>
        <v>0</v>
      </c>
      <c r="CI110" s="330">
        <f>'I-Project Contingency'!$E$79-BN110</f>
        <v>0</v>
      </c>
      <c r="CJ110" s="330">
        <f>'I-Project Contingency'!$E$80-BO110</f>
        <v>0</v>
      </c>
      <c r="CK110" s="330">
        <f>'I-Project Contingency'!$E$81-BP110</f>
        <v>0</v>
      </c>
      <c r="CL110" s="331">
        <f>'I-Project Contingency'!$O$5-AG110</f>
        <v>0</v>
      </c>
      <c r="CM110" s="332">
        <v>-0.98711802853447173</v>
      </c>
      <c r="CN110" s="332">
        <v>-0.19547704728364468</v>
      </c>
      <c r="CO110" s="332">
        <v>0.126462150308498</v>
      </c>
      <c r="CP110" s="332">
        <v>0.45967989154545902</v>
      </c>
      <c r="CQ110" s="332">
        <v>0.78297319902744</v>
      </c>
      <c r="CR110" s="332">
        <v>1.0957191966482109</v>
      </c>
      <c r="CS110" s="332">
        <v>1.4418405003536849</v>
      </c>
      <c r="CT110" s="332">
        <v>1.801002404194165</v>
      </c>
      <c r="CU110" s="332">
        <v>2.1797608166947349</v>
      </c>
      <c r="CV110" s="332">
        <v>2.5671680610072478</v>
      </c>
      <c r="CW110" s="332">
        <v>2.9690760644797152</v>
      </c>
      <c r="CX110" s="332">
        <v>3.3964145469774811</v>
      </c>
      <c r="CY110" s="332">
        <v>3.864536087769562</v>
      </c>
      <c r="CZ110" s="332">
        <v>4.3569836138896116</v>
      </c>
      <c r="DA110" s="332">
        <v>4.8862357851222598</v>
      </c>
      <c r="DB110" s="332">
        <v>5.438836997347547</v>
      </c>
      <c r="DC110" s="332">
        <v>6.047993455908566</v>
      </c>
      <c r="DD110" s="785">
        <v>6.720204953601761</v>
      </c>
      <c r="DE110" s="333">
        <v>7.55131678090412</v>
      </c>
      <c r="DF110" s="332">
        <v>8.661446370835737</v>
      </c>
      <c r="DG110" s="332">
        <v>11.206316207857133</v>
      </c>
      <c r="DH110" s="332">
        <f>'I-Project Contingency'!$E$86-CM110</f>
        <v>0</v>
      </c>
      <c r="DI110" s="332">
        <f>'I-Project Contingency'!$E$87-CN110</f>
        <v>0</v>
      </c>
      <c r="DJ110" s="332">
        <f>'I-Project Contingency'!$E$88-CO110</f>
        <v>0</v>
      </c>
      <c r="DK110" s="332">
        <f>'I-Project Contingency'!$E$89-CP110</f>
        <v>0</v>
      </c>
      <c r="DL110" s="332">
        <f>'I-Project Contingency'!$E$90-CQ110</f>
        <v>0</v>
      </c>
      <c r="DM110" s="332">
        <f>'I-Project Contingency'!$E$91-CR110</f>
        <v>0</v>
      </c>
      <c r="DN110" s="332">
        <f>'I-Project Contingency'!$E$92-CS110</f>
        <v>0</v>
      </c>
      <c r="DO110" s="332">
        <f>'I-Project Contingency'!$E$93-CT110</f>
        <v>0</v>
      </c>
      <c r="DP110" s="332">
        <f>'I-Project Contingency'!$E$94-CU110</f>
        <v>0</v>
      </c>
      <c r="DQ110" s="332">
        <f>'I-Project Contingency'!$E$95-CV110</f>
        <v>0</v>
      </c>
      <c r="DR110" s="332">
        <f>'I-Project Contingency'!$E$96-CW110</f>
        <v>0</v>
      </c>
      <c r="DS110" s="332">
        <f>'I-Project Contingency'!$E$97-CX110</f>
        <v>0</v>
      </c>
      <c r="DT110" s="332">
        <f>'I-Project Contingency'!$E$98-CY110</f>
        <v>0</v>
      </c>
      <c r="DU110" s="332">
        <f>'I-Project Contingency'!$E$99-CZ110</f>
        <v>0</v>
      </c>
      <c r="DV110" s="332">
        <f>'I-Project Contingency'!$E$100-DA110</f>
        <v>0</v>
      </c>
      <c r="DW110" s="332">
        <f>'I-Project Contingency'!$E$101-DB110</f>
        <v>0</v>
      </c>
      <c r="DX110" s="332">
        <f>'I-Project Contingency'!$E$102-DC110</f>
        <v>0</v>
      </c>
      <c r="DY110" s="332">
        <f>'I-Project Contingency'!$E$103-DD110</f>
        <v>0</v>
      </c>
      <c r="DZ110" s="332">
        <f>'I-Project Contingency'!$E$104-DE110</f>
        <v>0</v>
      </c>
      <c r="EA110" s="332">
        <f>'I-Project Contingency'!$E$105-DF110</f>
        <v>0</v>
      </c>
      <c r="EB110" s="332">
        <f>'I-Project Contingency'!$E$106-DG110</f>
        <v>0</v>
      </c>
      <c r="EC110" s="334">
        <f>IF(EE110="N/A","N/A",ABS(INDEX(EE110:EY110,1,MATCH("ROM Cost Risk @ "&amp;'D-Project Data'!$C$6*100&amp;"%",$EE$17:$EY$17,0))))</f>
        <v>0</v>
      </c>
      <c r="ED110" s="335">
        <f>IF(EC110="N/A","N/A",RANK(EC110,$EC$18:$EC$117,0)+COUNTIF($EC$18:EC110,EC110)-1)</f>
        <v>93</v>
      </c>
      <c r="EE110" s="334">
        <f>IF(BQ110/SUM(BQ:BQ)*'I-Project Contingency'!$F$61=0,0,BQ110/SUM(BQ:BQ)*'I-Project Contingency'!$F$61)</f>
        <v>0</v>
      </c>
      <c r="EF110" s="334">
        <f>IF(BR110/SUM(BR:BR)*'I-Project Contingency'!$F$62=0,0,BR110/SUM(BR:BR)*'I-Project Contingency'!$F$62)</f>
        <v>0</v>
      </c>
      <c r="EG110" s="334">
        <f>IF(BS110/SUM(BS:BS)*'I-Project Contingency'!$F$63=0,0,BS110/SUM(BS:BS)*'I-Project Contingency'!$F$63)</f>
        <v>0</v>
      </c>
      <c r="EH110" s="334">
        <f>IF(BT110/SUM(BT:BT)*'I-Project Contingency'!$F$64=0,0,BT110/SUM(BT:BT)*'I-Project Contingency'!$F$64)</f>
        <v>0</v>
      </c>
      <c r="EI110" s="334">
        <f>IF(BU110/SUM(BU:BU)*'I-Project Contingency'!$F$65=0,0,BU110/SUM(BU:BU)*'I-Project Contingency'!$F$65)</f>
        <v>0</v>
      </c>
      <c r="EJ110" s="334">
        <f>IF(BV110/SUM(BV:BV)*'I-Project Contingency'!$F$66=0,0,BV110/SUM(BV:BV)*'I-Project Contingency'!$F$66)</f>
        <v>0</v>
      </c>
      <c r="EK110" s="334">
        <f>IF(BW110/SUM(BW:BW)*'I-Project Contingency'!$F$67=0,0,BW110/SUM(BW:BW)*'I-Project Contingency'!$F$67)</f>
        <v>0</v>
      </c>
      <c r="EL110" s="334">
        <f>IF(BX110/SUM(BX:BX)*'I-Project Contingency'!$F$68=0,0,BX110/SUM(BX:BX)*'I-Project Contingency'!$F$68)</f>
        <v>0</v>
      </c>
      <c r="EM110" s="334">
        <f>IF(BY110/SUM(BY:BY)*'I-Project Contingency'!$F$69=0,0,BY110/SUM(BY:BY)*'I-Project Contingency'!$F$69)</f>
        <v>0</v>
      </c>
      <c r="EN110" s="334">
        <f>IF(BZ110/SUM(BZ:BZ)*'I-Project Contingency'!$F$70=0,0,BZ110/SUM(BZ:BZ)*'I-Project Contingency'!$F$70)</f>
        <v>0</v>
      </c>
      <c r="EO110" s="334">
        <f>IF(CA110/SUM(CA:CA)*'I-Project Contingency'!$F$71=0,0,CA110/SUM(CA:CA)*'I-Project Contingency'!$F$71)</f>
        <v>0</v>
      </c>
      <c r="EP110" s="334">
        <f>IF(CB110/SUM(CB:CB)*'I-Project Contingency'!$F$72=0,0,CB110/SUM(CB:CB)*'I-Project Contingency'!$F$72)</f>
        <v>0</v>
      </c>
      <c r="EQ110" s="334">
        <f>IF(CC110/SUM(CC:CC)*'I-Project Contingency'!$F$73=0,0,CC110/SUM(CC:CC)*'I-Project Contingency'!$F$73)</f>
        <v>0</v>
      </c>
      <c r="ER110" s="334">
        <f>IF(CD110/SUM(CD:CD)*'I-Project Contingency'!$F$74=0,0,CD110/SUM(CD:CD)*'I-Project Contingency'!$F$74)</f>
        <v>0</v>
      </c>
      <c r="ES110" s="334">
        <f>IF(CE110/SUM(CE:CE)*'I-Project Contingency'!$F$75=0,0,CE110/SUM(CE:CE)*'I-Project Contingency'!$F$75)</f>
        <v>0</v>
      </c>
      <c r="ET110" s="334">
        <f>IF(CF110/SUM(CF:CF)*'I-Project Contingency'!$F$76=0,0,CF110/SUM(CF:CF)*'I-Project Contingency'!$F$76)</f>
        <v>0</v>
      </c>
      <c r="EU110" s="334">
        <f>IF(CG110/SUM(CG:CG)*'I-Project Contingency'!$F$77=0,0,CG110/SUM(CG:CG)*'I-Project Contingency'!$F$77)</f>
        <v>0</v>
      </c>
      <c r="EV110" s="787">
        <f>IF(CH110/SUM(CH:CH)*'I-Project Contingency'!$F$78=0,0,CH110/SUM(CH:CH)*'I-Project Contingency'!$F$78)</f>
        <v>0</v>
      </c>
      <c r="EW110" s="787">
        <f>IF(CI110/SUM(CI:CI)*'I-Project Contingency'!$F$79=0,0,CI110/SUM(CI:CI)*'I-Project Contingency'!$F$79)</f>
        <v>0</v>
      </c>
      <c r="EX110" s="787">
        <f>IF(CJ110/SUM(CJ:CJ)*'I-Project Contingency'!$F$80=0,0,CJ110/SUM(CJ:CJ)*'I-Project Contingency'!$F$80)</f>
        <v>0</v>
      </c>
      <c r="EY110" s="787">
        <f>IF(CK110/SUM(CK:CK)*'I-Project Contingency'!$F$81=0,0,CK110/SUM(CK:CK)*'I-Project Contingency'!$F$81)</f>
        <v>0</v>
      </c>
      <c r="EZ110" s="333">
        <f>IF(FB110="N/A","N/A",ABS(INDEX(FB110:FV110,1,MATCH("ROM Schedule Risk @ "&amp;'D-Project Data'!$C$6*100&amp;"%",$FB$17:$FV$17,0))))</f>
        <v>0</v>
      </c>
      <c r="FA110" s="335">
        <f>IF(EZ110="N/A","N/A",RANK(EZ110,$EZ$18:$EZ$117,0)+COUNTIF($FB$18:FB110,FB110)-1)</f>
        <v>93</v>
      </c>
      <c r="FB110" s="788">
        <f>IF(DH110/SUM(DH:DH)*'I-Project Contingency'!$F$86=0,0,DH110/SUM(DH:DH)*'I-Project Contingency'!$F$86)</f>
        <v>0</v>
      </c>
      <c r="FC110" s="788">
        <f>IF(DI110/SUM(DI:DI)*'I-Project Contingency'!$F$87=0,0,DI110/SUM(DI:DI)*'I-Project Contingency'!$F$87)</f>
        <v>0</v>
      </c>
      <c r="FD110" s="788">
        <f>IF(DJ110/SUM(DJ:DJ)*'I-Project Contingency'!$F$88=0,0,DJ110/SUM(DJ:DJ)*'I-Project Contingency'!$F$88)</f>
        <v>0</v>
      </c>
      <c r="FE110" s="788">
        <f>IF(DK110/SUM(DK:DK)*'I-Project Contingency'!$F$89=0,0,DK110/SUM(DK:DK)*'I-Project Contingency'!$F$89)</f>
        <v>0</v>
      </c>
      <c r="FF110" s="788">
        <f>IF(DL110/SUM(DL:DL)*'I-Project Contingency'!$F$90=0,0,DL110/SUM(DL:DL)*'I-Project Contingency'!$F$90)</f>
        <v>0</v>
      </c>
      <c r="FG110" s="788">
        <f>IF(DM110/SUM(DM:DM)*'I-Project Contingency'!$F$91=0,0,DM110/SUM(DM:DM)*'I-Project Contingency'!$F$91)</f>
        <v>0</v>
      </c>
      <c r="FH110" s="788">
        <f>IF(DN110/SUM(DN:DN)*'I-Project Contingency'!$F$92=0,0,DN110/SUM(DN:DN)*'I-Project Contingency'!$F$92)</f>
        <v>0</v>
      </c>
      <c r="FI110" s="788">
        <f>IF(DO110/SUM(DO:DO)*'I-Project Contingency'!$F$93=0,0,DO110/SUM(DO:DO)*'I-Project Contingency'!$F$93)</f>
        <v>0</v>
      </c>
      <c r="FJ110" s="788">
        <f>IF(DP110/SUM(DP:DP)*'I-Project Contingency'!$F$94=0,0,DP110/SUM(DP:DP)*'I-Project Contingency'!$F$94)</f>
        <v>0</v>
      </c>
      <c r="FK110" s="788">
        <f>IF(DQ110/SUM(DQ:DQ)*'I-Project Contingency'!$F$95=0,0,DQ110/SUM(DQ:DQ)*'I-Project Contingency'!$F$95)</f>
        <v>0</v>
      </c>
      <c r="FL110" s="788">
        <f>IF(DR110/SUM(DR:DR)*'I-Project Contingency'!$F$96=0,0,DR110/SUM(DR:DR)*'I-Project Contingency'!$F$96)</f>
        <v>0</v>
      </c>
      <c r="FM110" s="788">
        <f>IF(DS110/SUM(DS:DS)*'I-Project Contingency'!$F$97=0,0,DS110/SUM(DS:DS)*'I-Project Contingency'!$F$97)</f>
        <v>0</v>
      </c>
      <c r="FN110" s="788">
        <f>IF(DT110/SUM(DT:DT)*'I-Project Contingency'!$F$98=0,0,DT110/SUM(DT:DT)*'I-Project Contingency'!$F$98)</f>
        <v>0</v>
      </c>
      <c r="FO110" s="788">
        <f>IF(DU110/SUM(DU:DU)*'I-Project Contingency'!$F$99=0,0,DU110/SUM(DU:DU)*'I-Project Contingency'!$F$99)</f>
        <v>0</v>
      </c>
      <c r="FP110" s="788">
        <f>IF(DV110/SUM(DV:DV)*'I-Project Contingency'!$F$100=0,0,DV110/SUM(DV:DV)*'I-Project Contingency'!$F$100)</f>
        <v>0</v>
      </c>
      <c r="FQ110" s="788">
        <f>IF(DW110/SUM(DW:DW)*'I-Project Contingency'!$F$101=0,0,DW110/SUM(DW:DW)*'I-Project Contingency'!$F$101)</f>
        <v>0</v>
      </c>
      <c r="FR110" s="788">
        <f>IF(DX110/SUM(DX:DX)*'I-Project Contingency'!$F$102=0,0,DX110/SUM(DX:DX)*'I-Project Contingency'!$F$102)</f>
        <v>0</v>
      </c>
      <c r="FS110" s="788">
        <f>IF(DY110/SUM(DY:DY)*'I-Project Contingency'!$F$103=0,0,DY110/SUM(DY:DY)*'I-Project Contingency'!$F$103)</f>
        <v>0</v>
      </c>
      <c r="FT110" s="788">
        <f>IF(DZ110/SUM(DZ:DZ)*'I-Project Contingency'!$F$104=0,0,DZ110/SUM(DZ:DZ)*'I-Project Contingency'!$F$104)</f>
        <v>0</v>
      </c>
      <c r="FU110" s="788">
        <f>IF(EA110/SUM(EA:EA)*'I-Project Contingency'!$F$105=0,0,EA110/SUM(EA:EA)*'I-Project Contingency'!$F$105)</f>
        <v>0</v>
      </c>
      <c r="FV110" s="788">
        <f>IF(EB110/SUM(EB:EB)*'I-Project Contingency'!$F$106=0,0,EB110/SUM(EB:EB)*'I-Project Contingency'!$F$106)</f>
        <v>0</v>
      </c>
      <c r="FW110" s="335">
        <f t="shared" si="52"/>
        <v>93</v>
      </c>
      <c r="FX110" s="336" t="str">
        <f t="shared" si="53"/>
        <v xml:space="preserve">93 -  </v>
      </c>
      <c r="FY110" s="330">
        <f t="shared" si="43"/>
        <v>0</v>
      </c>
      <c r="FZ110" s="330">
        <f t="shared" si="44"/>
        <v>0</v>
      </c>
      <c r="GA110" s="332">
        <f t="shared" si="54"/>
        <v>0</v>
      </c>
      <c r="GB110" s="332">
        <f t="shared" si="55"/>
        <v>0</v>
      </c>
    </row>
    <row r="111" spans="1:184" ht="30" x14ac:dyDescent="0.25">
      <c r="A111" s="163">
        <f t="shared" si="23"/>
        <v>94</v>
      </c>
      <c r="B111" s="727" t="s">
        <v>728</v>
      </c>
      <c r="C111" s="729" t="s">
        <v>659</v>
      </c>
      <c r="D111" s="729" t="s">
        <v>659</v>
      </c>
      <c r="E111" s="729" t="s">
        <v>659</v>
      </c>
      <c r="F111" s="728" t="s">
        <v>728</v>
      </c>
      <c r="G111" s="728" t="s">
        <v>728</v>
      </c>
      <c r="H111" s="157" t="str">
        <f>IFERROR(IF('H-Risk Register-Model'!F111="Certain","Relook at Basis of Estimate",INDEX('G-Assumptions'!$F$8:$J$11,MATCH(F111,'G-Assumptions'!$D$8:$D$11,0),MATCH(G111,'G-Assumptions'!$F$6:$J$6,0))),"Unrated")</f>
        <v>Unrated</v>
      </c>
      <c r="I111" s="728" t="s">
        <v>728</v>
      </c>
      <c r="J111" s="157" t="str">
        <f>IFERROR(IF('H-Risk Register-Model'!F111="Certain","Relook at Basis of Estimate",INDEX('G-Assumptions'!$F$8:$J$11,MATCH(F111,'G-Assumptions'!$D$8:$D$11,0),MATCH(I111,'G-Assumptions'!$F$6:$J$6,0))),"Unrated")</f>
        <v>Unrated</v>
      </c>
      <c r="K111" s="728" t="s">
        <v>728</v>
      </c>
      <c r="L111" s="728" t="s">
        <v>728</v>
      </c>
      <c r="M111" s="728"/>
      <c r="N111" s="731" t="s">
        <v>728</v>
      </c>
      <c r="O111" s="731" t="s">
        <v>728</v>
      </c>
      <c r="P111" s="732"/>
      <c r="Q111" s="732"/>
      <c r="R111" s="732"/>
      <c r="S111" s="733"/>
      <c r="T111" s="733"/>
      <c r="U111" s="733"/>
      <c r="V111" s="734"/>
      <c r="W111" s="732"/>
      <c r="X111" s="732"/>
      <c r="Y111" s="735">
        <v>1</v>
      </c>
      <c r="Z111" s="736">
        <v>1</v>
      </c>
      <c r="AA111" s="166">
        <f t="shared" si="56"/>
        <v>0</v>
      </c>
      <c r="AB111" s="166">
        <f t="shared" si="57"/>
        <v>0</v>
      </c>
      <c r="AC111" s="166">
        <f t="shared" si="58"/>
        <v>0</v>
      </c>
      <c r="AD111" s="166"/>
      <c r="AE111" s="164">
        <f t="shared" si="41"/>
        <v>0</v>
      </c>
      <c r="AF111" s="167"/>
      <c r="AG111" s="165">
        <f t="shared" si="42"/>
        <v>0</v>
      </c>
      <c r="AH111" s="729"/>
      <c r="AI111" s="729"/>
      <c r="AJ111" s="8"/>
      <c r="AK111" s="495" t="str">
        <f t="shared" si="45"/>
        <v>No</v>
      </c>
      <c r="AL111" s="496">
        <f>'I-Project Contingency'!$I$4</f>
        <v>9000000</v>
      </c>
      <c r="AM111" s="326">
        <f>'I-Project Contingency'!$I$11</f>
        <v>23.978102189781023</v>
      </c>
      <c r="AN111" s="325">
        <f t="shared" si="46"/>
        <v>0</v>
      </c>
      <c r="AO111" s="326">
        <f t="shared" si="47"/>
        <v>0</v>
      </c>
      <c r="AP111" s="641" t="str">
        <f t="shared" si="48"/>
        <v/>
      </c>
      <c r="AQ111" s="641" t="str">
        <f t="shared" si="49"/>
        <v/>
      </c>
      <c r="AR111" s="497" t="str">
        <f t="shared" si="50"/>
        <v/>
      </c>
      <c r="AS111" s="497" t="str">
        <f t="shared" si="51"/>
        <v/>
      </c>
      <c r="AT111" s="8"/>
      <c r="AU111" s="329">
        <f>'I-Project Contingency'!$O$4-AE111</f>
        <v>0</v>
      </c>
      <c r="AV111" s="330">
        <v>-240515.59579276721</v>
      </c>
      <c r="AW111" s="330">
        <v>28172.931401335634</v>
      </c>
      <c r="AX111" s="330">
        <v>193478.84467429668</v>
      </c>
      <c r="AY111" s="330">
        <v>361668.20104834624</v>
      </c>
      <c r="AZ111" s="330">
        <v>524446.91524262261</v>
      </c>
      <c r="BA111" s="330">
        <v>704023.56387635041</v>
      </c>
      <c r="BB111" s="330">
        <v>886394.06956240814</v>
      </c>
      <c r="BC111" s="330">
        <v>1079363.7165157665</v>
      </c>
      <c r="BD111" s="330">
        <v>1280180.1532065615</v>
      </c>
      <c r="BE111" s="330">
        <v>1485323.8019108465</v>
      </c>
      <c r="BF111" s="330">
        <v>1703758.8827524669</v>
      </c>
      <c r="BG111" s="330">
        <v>1949523.4346483489</v>
      </c>
      <c r="BH111" s="330">
        <v>2177897.1603371189</v>
      </c>
      <c r="BI111" s="330">
        <v>2429374.4260425912</v>
      </c>
      <c r="BJ111" s="330">
        <v>2717092.7449284913</v>
      </c>
      <c r="BK111" s="330">
        <v>3010093.6968918457</v>
      </c>
      <c r="BL111" s="330">
        <v>3325414.5894657462</v>
      </c>
      <c r="BM111" s="330">
        <v>3690425.9159493577</v>
      </c>
      <c r="BN111" s="330">
        <v>4143935.1706127762</v>
      </c>
      <c r="BO111" s="330">
        <v>4722651.1159141911</v>
      </c>
      <c r="BP111" s="330">
        <v>5992048.8629153483</v>
      </c>
      <c r="BQ111" s="330">
        <f>'I-Project Contingency'!$E$61-AV111</f>
        <v>0</v>
      </c>
      <c r="BR111" s="330">
        <f>'I-Project Contingency'!$E$62-AW111</f>
        <v>0</v>
      </c>
      <c r="BS111" s="330">
        <f>'I-Project Contingency'!$E$63-AX111</f>
        <v>0</v>
      </c>
      <c r="BT111" s="330">
        <f>'I-Project Contingency'!$E$64-AY111</f>
        <v>0</v>
      </c>
      <c r="BU111" s="330">
        <f>'I-Project Contingency'!$E$65-AZ111</f>
        <v>0</v>
      </c>
      <c r="BV111" s="330">
        <f>'I-Project Contingency'!$E$66-BA111</f>
        <v>0</v>
      </c>
      <c r="BW111" s="330">
        <f>'I-Project Contingency'!$E$67-BB111</f>
        <v>0</v>
      </c>
      <c r="BX111" s="330">
        <f>'I-Project Contingency'!$E$68-BC111</f>
        <v>0</v>
      </c>
      <c r="BY111" s="330">
        <f>'I-Project Contingency'!$E$69-BD111</f>
        <v>0</v>
      </c>
      <c r="BZ111" s="330">
        <f>'I-Project Contingency'!$E$70-BE111</f>
        <v>0</v>
      </c>
      <c r="CA111" s="330">
        <f>'I-Project Contingency'!$E$71-BF111</f>
        <v>0</v>
      </c>
      <c r="CB111" s="330">
        <f>'I-Project Contingency'!$E$72-BG111</f>
        <v>0</v>
      </c>
      <c r="CC111" s="330">
        <f>'I-Project Contingency'!$E$73-BH111</f>
        <v>0</v>
      </c>
      <c r="CD111" s="330">
        <f>'I-Project Contingency'!$E$74-BI111</f>
        <v>0</v>
      </c>
      <c r="CE111" s="330">
        <f>'I-Project Contingency'!$E$75-BJ111</f>
        <v>0</v>
      </c>
      <c r="CF111" s="330">
        <f>'I-Project Contingency'!$E$76-BK111</f>
        <v>0</v>
      </c>
      <c r="CG111" s="330">
        <f>'I-Project Contingency'!$E$77-BL111</f>
        <v>0</v>
      </c>
      <c r="CH111" s="784">
        <f>'I-Project Contingency'!$E$78-BM111</f>
        <v>0</v>
      </c>
      <c r="CI111" s="330">
        <f>'I-Project Contingency'!$E$79-BN111</f>
        <v>0</v>
      </c>
      <c r="CJ111" s="330">
        <f>'I-Project Contingency'!$E$80-BO111</f>
        <v>0</v>
      </c>
      <c r="CK111" s="330">
        <f>'I-Project Contingency'!$E$81-BP111</f>
        <v>0</v>
      </c>
      <c r="CL111" s="331">
        <f>'I-Project Contingency'!$O$5-AG111</f>
        <v>0</v>
      </c>
      <c r="CM111" s="332">
        <v>-0.98711802853447173</v>
      </c>
      <c r="CN111" s="332">
        <v>-0.19547704728364468</v>
      </c>
      <c r="CO111" s="332">
        <v>0.126462150308498</v>
      </c>
      <c r="CP111" s="332">
        <v>0.45967989154545902</v>
      </c>
      <c r="CQ111" s="332">
        <v>0.78297319902744</v>
      </c>
      <c r="CR111" s="332">
        <v>1.0957191966482109</v>
      </c>
      <c r="CS111" s="332">
        <v>1.4418405003536849</v>
      </c>
      <c r="CT111" s="332">
        <v>1.801002404194165</v>
      </c>
      <c r="CU111" s="332">
        <v>2.1797608166947349</v>
      </c>
      <c r="CV111" s="332">
        <v>2.5671680610072478</v>
      </c>
      <c r="CW111" s="332">
        <v>2.9690760644797152</v>
      </c>
      <c r="CX111" s="332">
        <v>3.3964145469774811</v>
      </c>
      <c r="CY111" s="332">
        <v>3.864536087769562</v>
      </c>
      <c r="CZ111" s="332">
        <v>4.3569836138896116</v>
      </c>
      <c r="DA111" s="332">
        <v>4.8862357851222598</v>
      </c>
      <c r="DB111" s="332">
        <v>5.438836997347547</v>
      </c>
      <c r="DC111" s="332">
        <v>6.047993455908566</v>
      </c>
      <c r="DD111" s="785">
        <v>6.720204953601761</v>
      </c>
      <c r="DE111" s="333">
        <v>7.55131678090412</v>
      </c>
      <c r="DF111" s="332">
        <v>8.661446370835737</v>
      </c>
      <c r="DG111" s="332">
        <v>11.206316207857133</v>
      </c>
      <c r="DH111" s="332">
        <f>'I-Project Contingency'!$E$86-CM111</f>
        <v>0</v>
      </c>
      <c r="DI111" s="332">
        <f>'I-Project Contingency'!$E$87-CN111</f>
        <v>0</v>
      </c>
      <c r="DJ111" s="332">
        <f>'I-Project Contingency'!$E$88-CO111</f>
        <v>0</v>
      </c>
      <c r="DK111" s="332">
        <f>'I-Project Contingency'!$E$89-CP111</f>
        <v>0</v>
      </c>
      <c r="DL111" s="332">
        <f>'I-Project Contingency'!$E$90-CQ111</f>
        <v>0</v>
      </c>
      <c r="DM111" s="332">
        <f>'I-Project Contingency'!$E$91-CR111</f>
        <v>0</v>
      </c>
      <c r="DN111" s="332">
        <f>'I-Project Contingency'!$E$92-CS111</f>
        <v>0</v>
      </c>
      <c r="DO111" s="332">
        <f>'I-Project Contingency'!$E$93-CT111</f>
        <v>0</v>
      </c>
      <c r="DP111" s="332">
        <f>'I-Project Contingency'!$E$94-CU111</f>
        <v>0</v>
      </c>
      <c r="DQ111" s="332">
        <f>'I-Project Contingency'!$E$95-CV111</f>
        <v>0</v>
      </c>
      <c r="DR111" s="332">
        <f>'I-Project Contingency'!$E$96-CW111</f>
        <v>0</v>
      </c>
      <c r="DS111" s="332">
        <f>'I-Project Contingency'!$E$97-CX111</f>
        <v>0</v>
      </c>
      <c r="DT111" s="332">
        <f>'I-Project Contingency'!$E$98-CY111</f>
        <v>0</v>
      </c>
      <c r="DU111" s="332">
        <f>'I-Project Contingency'!$E$99-CZ111</f>
        <v>0</v>
      </c>
      <c r="DV111" s="332">
        <f>'I-Project Contingency'!$E$100-DA111</f>
        <v>0</v>
      </c>
      <c r="DW111" s="332">
        <f>'I-Project Contingency'!$E$101-DB111</f>
        <v>0</v>
      </c>
      <c r="DX111" s="332">
        <f>'I-Project Contingency'!$E$102-DC111</f>
        <v>0</v>
      </c>
      <c r="DY111" s="332">
        <f>'I-Project Contingency'!$E$103-DD111</f>
        <v>0</v>
      </c>
      <c r="DZ111" s="332">
        <f>'I-Project Contingency'!$E$104-DE111</f>
        <v>0</v>
      </c>
      <c r="EA111" s="332">
        <f>'I-Project Contingency'!$E$105-DF111</f>
        <v>0</v>
      </c>
      <c r="EB111" s="332">
        <f>'I-Project Contingency'!$E$106-DG111</f>
        <v>0</v>
      </c>
      <c r="EC111" s="334">
        <f>IF(EE111="N/A","N/A",ABS(INDEX(EE111:EY111,1,MATCH("ROM Cost Risk @ "&amp;'D-Project Data'!$C$6*100&amp;"%",$EE$17:$EY$17,0))))</f>
        <v>0</v>
      </c>
      <c r="ED111" s="335">
        <f>IF(EC111="N/A","N/A",RANK(EC111,$EC$18:$EC$117,0)+COUNTIF($EC$18:EC111,EC111)-1)</f>
        <v>94</v>
      </c>
      <c r="EE111" s="334">
        <f>IF(BQ111/SUM(BQ:BQ)*'I-Project Contingency'!$F$61=0,0,BQ111/SUM(BQ:BQ)*'I-Project Contingency'!$F$61)</f>
        <v>0</v>
      </c>
      <c r="EF111" s="334">
        <f>IF(BR111/SUM(BR:BR)*'I-Project Contingency'!$F$62=0,0,BR111/SUM(BR:BR)*'I-Project Contingency'!$F$62)</f>
        <v>0</v>
      </c>
      <c r="EG111" s="334">
        <f>IF(BS111/SUM(BS:BS)*'I-Project Contingency'!$F$63=0,0,BS111/SUM(BS:BS)*'I-Project Contingency'!$F$63)</f>
        <v>0</v>
      </c>
      <c r="EH111" s="334">
        <f>IF(BT111/SUM(BT:BT)*'I-Project Contingency'!$F$64=0,0,BT111/SUM(BT:BT)*'I-Project Contingency'!$F$64)</f>
        <v>0</v>
      </c>
      <c r="EI111" s="334">
        <f>IF(BU111/SUM(BU:BU)*'I-Project Contingency'!$F$65=0,0,BU111/SUM(BU:BU)*'I-Project Contingency'!$F$65)</f>
        <v>0</v>
      </c>
      <c r="EJ111" s="334">
        <f>IF(BV111/SUM(BV:BV)*'I-Project Contingency'!$F$66=0,0,BV111/SUM(BV:BV)*'I-Project Contingency'!$F$66)</f>
        <v>0</v>
      </c>
      <c r="EK111" s="334">
        <f>IF(BW111/SUM(BW:BW)*'I-Project Contingency'!$F$67=0,0,BW111/SUM(BW:BW)*'I-Project Contingency'!$F$67)</f>
        <v>0</v>
      </c>
      <c r="EL111" s="334">
        <f>IF(BX111/SUM(BX:BX)*'I-Project Contingency'!$F$68=0,0,BX111/SUM(BX:BX)*'I-Project Contingency'!$F$68)</f>
        <v>0</v>
      </c>
      <c r="EM111" s="334">
        <f>IF(BY111/SUM(BY:BY)*'I-Project Contingency'!$F$69=0,0,BY111/SUM(BY:BY)*'I-Project Contingency'!$F$69)</f>
        <v>0</v>
      </c>
      <c r="EN111" s="334">
        <f>IF(BZ111/SUM(BZ:BZ)*'I-Project Contingency'!$F$70=0,0,BZ111/SUM(BZ:BZ)*'I-Project Contingency'!$F$70)</f>
        <v>0</v>
      </c>
      <c r="EO111" s="334">
        <f>IF(CA111/SUM(CA:CA)*'I-Project Contingency'!$F$71=0,0,CA111/SUM(CA:CA)*'I-Project Contingency'!$F$71)</f>
        <v>0</v>
      </c>
      <c r="EP111" s="334">
        <f>IF(CB111/SUM(CB:CB)*'I-Project Contingency'!$F$72=0,0,CB111/SUM(CB:CB)*'I-Project Contingency'!$F$72)</f>
        <v>0</v>
      </c>
      <c r="EQ111" s="334">
        <f>IF(CC111/SUM(CC:CC)*'I-Project Contingency'!$F$73=0,0,CC111/SUM(CC:CC)*'I-Project Contingency'!$F$73)</f>
        <v>0</v>
      </c>
      <c r="ER111" s="334">
        <f>IF(CD111/SUM(CD:CD)*'I-Project Contingency'!$F$74=0,0,CD111/SUM(CD:CD)*'I-Project Contingency'!$F$74)</f>
        <v>0</v>
      </c>
      <c r="ES111" s="334">
        <f>IF(CE111/SUM(CE:CE)*'I-Project Contingency'!$F$75=0,0,CE111/SUM(CE:CE)*'I-Project Contingency'!$F$75)</f>
        <v>0</v>
      </c>
      <c r="ET111" s="334">
        <f>IF(CF111/SUM(CF:CF)*'I-Project Contingency'!$F$76=0,0,CF111/SUM(CF:CF)*'I-Project Contingency'!$F$76)</f>
        <v>0</v>
      </c>
      <c r="EU111" s="334">
        <f>IF(CG111/SUM(CG:CG)*'I-Project Contingency'!$F$77=0,0,CG111/SUM(CG:CG)*'I-Project Contingency'!$F$77)</f>
        <v>0</v>
      </c>
      <c r="EV111" s="787">
        <f>IF(CH111/SUM(CH:CH)*'I-Project Contingency'!$F$78=0,0,CH111/SUM(CH:CH)*'I-Project Contingency'!$F$78)</f>
        <v>0</v>
      </c>
      <c r="EW111" s="787">
        <f>IF(CI111/SUM(CI:CI)*'I-Project Contingency'!$F$79=0,0,CI111/SUM(CI:CI)*'I-Project Contingency'!$F$79)</f>
        <v>0</v>
      </c>
      <c r="EX111" s="787">
        <f>IF(CJ111/SUM(CJ:CJ)*'I-Project Contingency'!$F$80=0,0,CJ111/SUM(CJ:CJ)*'I-Project Contingency'!$F$80)</f>
        <v>0</v>
      </c>
      <c r="EY111" s="787">
        <f>IF(CK111/SUM(CK:CK)*'I-Project Contingency'!$F$81=0,0,CK111/SUM(CK:CK)*'I-Project Contingency'!$F$81)</f>
        <v>0</v>
      </c>
      <c r="EZ111" s="333">
        <f>IF(FB111="N/A","N/A",ABS(INDEX(FB111:FV111,1,MATCH("ROM Schedule Risk @ "&amp;'D-Project Data'!$C$6*100&amp;"%",$FB$17:$FV$17,0))))</f>
        <v>0</v>
      </c>
      <c r="FA111" s="335">
        <f>IF(EZ111="N/A","N/A",RANK(EZ111,$EZ$18:$EZ$117,0)+COUNTIF($FB$18:FB111,FB111)-1)</f>
        <v>94</v>
      </c>
      <c r="FB111" s="788">
        <f>IF(DH111/SUM(DH:DH)*'I-Project Contingency'!$F$86=0,0,DH111/SUM(DH:DH)*'I-Project Contingency'!$F$86)</f>
        <v>0</v>
      </c>
      <c r="FC111" s="788">
        <f>IF(DI111/SUM(DI:DI)*'I-Project Contingency'!$F$87=0,0,DI111/SUM(DI:DI)*'I-Project Contingency'!$F$87)</f>
        <v>0</v>
      </c>
      <c r="FD111" s="788">
        <f>IF(DJ111/SUM(DJ:DJ)*'I-Project Contingency'!$F$88=0,0,DJ111/SUM(DJ:DJ)*'I-Project Contingency'!$F$88)</f>
        <v>0</v>
      </c>
      <c r="FE111" s="788">
        <f>IF(DK111/SUM(DK:DK)*'I-Project Contingency'!$F$89=0,0,DK111/SUM(DK:DK)*'I-Project Contingency'!$F$89)</f>
        <v>0</v>
      </c>
      <c r="FF111" s="788">
        <f>IF(DL111/SUM(DL:DL)*'I-Project Contingency'!$F$90=0,0,DL111/SUM(DL:DL)*'I-Project Contingency'!$F$90)</f>
        <v>0</v>
      </c>
      <c r="FG111" s="788">
        <f>IF(DM111/SUM(DM:DM)*'I-Project Contingency'!$F$91=0,0,DM111/SUM(DM:DM)*'I-Project Contingency'!$F$91)</f>
        <v>0</v>
      </c>
      <c r="FH111" s="788">
        <f>IF(DN111/SUM(DN:DN)*'I-Project Contingency'!$F$92=0,0,DN111/SUM(DN:DN)*'I-Project Contingency'!$F$92)</f>
        <v>0</v>
      </c>
      <c r="FI111" s="788">
        <f>IF(DO111/SUM(DO:DO)*'I-Project Contingency'!$F$93=0,0,DO111/SUM(DO:DO)*'I-Project Contingency'!$F$93)</f>
        <v>0</v>
      </c>
      <c r="FJ111" s="788">
        <f>IF(DP111/SUM(DP:DP)*'I-Project Contingency'!$F$94=0,0,DP111/SUM(DP:DP)*'I-Project Contingency'!$F$94)</f>
        <v>0</v>
      </c>
      <c r="FK111" s="788">
        <f>IF(DQ111/SUM(DQ:DQ)*'I-Project Contingency'!$F$95=0,0,DQ111/SUM(DQ:DQ)*'I-Project Contingency'!$F$95)</f>
        <v>0</v>
      </c>
      <c r="FL111" s="788">
        <f>IF(DR111/SUM(DR:DR)*'I-Project Contingency'!$F$96=0,0,DR111/SUM(DR:DR)*'I-Project Contingency'!$F$96)</f>
        <v>0</v>
      </c>
      <c r="FM111" s="788">
        <f>IF(DS111/SUM(DS:DS)*'I-Project Contingency'!$F$97=0,0,DS111/SUM(DS:DS)*'I-Project Contingency'!$F$97)</f>
        <v>0</v>
      </c>
      <c r="FN111" s="788">
        <f>IF(DT111/SUM(DT:DT)*'I-Project Contingency'!$F$98=0,0,DT111/SUM(DT:DT)*'I-Project Contingency'!$F$98)</f>
        <v>0</v>
      </c>
      <c r="FO111" s="788">
        <f>IF(DU111/SUM(DU:DU)*'I-Project Contingency'!$F$99=0,0,DU111/SUM(DU:DU)*'I-Project Contingency'!$F$99)</f>
        <v>0</v>
      </c>
      <c r="FP111" s="788">
        <f>IF(DV111/SUM(DV:DV)*'I-Project Contingency'!$F$100=0,0,DV111/SUM(DV:DV)*'I-Project Contingency'!$F$100)</f>
        <v>0</v>
      </c>
      <c r="FQ111" s="788">
        <f>IF(DW111/SUM(DW:DW)*'I-Project Contingency'!$F$101=0,0,DW111/SUM(DW:DW)*'I-Project Contingency'!$F$101)</f>
        <v>0</v>
      </c>
      <c r="FR111" s="788">
        <f>IF(DX111/SUM(DX:DX)*'I-Project Contingency'!$F$102=0,0,DX111/SUM(DX:DX)*'I-Project Contingency'!$F$102)</f>
        <v>0</v>
      </c>
      <c r="FS111" s="788">
        <f>IF(DY111/SUM(DY:DY)*'I-Project Contingency'!$F$103=0,0,DY111/SUM(DY:DY)*'I-Project Contingency'!$F$103)</f>
        <v>0</v>
      </c>
      <c r="FT111" s="788">
        <f>IF(DZ111/SUM(DZ:DZ)*'I-Project Contingency'!$F$104=0,0,DZ111/SUM(DZ:DZ)*'I-Project Contingency'!$F$104)</f>
        <v>0</v>
      </c>
      <c r="FU111" s="788">
        <f>IF(EA111/SUM(EA:EA)*'I-Project Contingency'!$F$105=0,0,EA111/SUM(EA:EA)*'I-Project Contingency'!$F$105)</f>
        <v>0</v>
      </c>
      <c r="FV111" s="788">
        <f>IF(EB111/SUM(EB:EB)*'I-Project Contingency'!$F$106=0,0,EB111/SUM(EB:EB)*'I-Project Contingency'!$F$106)</f>
        <v>0</v>
      </c>
      <c r="FW111" s="335">
        <f t="shared" si="52"/>
        <v>94</v>
      </c>
      <c r="FX111" s="336" t="str">
        <f t="shared" si="53"/>
        <v xml:space="preserve">94 -  </v>
      </c>
      <c r="FY111" s="330">
        <f t="shared" si="43"/>
        <v>0</v>
      </c>
      <c r="FZ111" s="330">
        <f t="shared" si="44"/>
        <v>0</v>
      </c>
      <c r="GA111" s="332">
        <f t="shared" si="54"/>
        <v>0</v>
      </c>
      <c r="GB111" s="332">
        <f t="shared" si="55"/>
        <v>0</v>
      </c>
    </row>
    <row r="112" spans="1:184" ht="30" x14ac:dyDescent="0.25">
      <c r="A112" s="163">
        <f t="shared" si="23"/>
        <v>95</v>
      </c>
      <c r="B112" s="727" t="s">
        <v>728</v>
      </c>
      <c r="C112" s="729" t="s">
        <v>659</v>
      </c>
      <c r="D112" s="729" t="s">
        <v>659</v>
      </c>
      <c r="E112" s="729" t="s">
        <v>659</v>
      </c>
      <c r="F112" s="728" t="s">
        <v>728</v>
      </c>
      <c r="G112" s="728" t="s">
        <v>728</v>
      </c>
      <c r="H112" s="157" t="str">
        <f>IFERROR(IF('H-Risk Register-Model'!F112="Certain","Relook at Basis of Estimate",INDEX('G-Assumptions'!$F$8:$J$11,MATCH(F112,'G-Assumptions'!$D$8:$D$11,0),MATCH(G112,'G-Assumptions'!$F$6:$J$6,0))),"Unrated")</f>
        <v>Unrated</v>
      </c>
      <c r="I112" s="728" t="s">
        <v>728</v>
      </c>
      <c r="J112" s="157" t="str">
        <f>IFERROR(IF('H-Risk Register-Model'!F112="Certain","Relook at Basis of Estimate",INDEX('G-Assumptions'!$F$8:$J$11,MATCH(F112,'G-Assumptions'!$D$8:$D$11,0),MATCH(I112,'G-Assumptions'!$F$6:$J$6,0))),"Unrated")</f>
        <v>Unrated</v>
      </c>
      <c r="K112" s="728" t="s">
        <v>728</v>
      </c>
      <c r="L112" s="728" t="s">
        <v>728</v>
      </c>
      <c r="M112" s="728"/>
      <c r="N112" s="731" t="s">
        <v>728</v>
      </c>
      <c r="O112" s="731" t="s">
        <v>728</v>
      </c>
      <c r="P112" s="732"/>
      <c r="Q112" s="732"/>
      <c r="R112" s="732"/>
      <c r="S112" s="733"/>
      <c r="T112" s="733"/>
      <c r="U112" s="733"/>
      <c r="V112" s="734"/>
      <c r="W112" s="732"/>
      <c r="X112" s="732"/>
      <c r="Y112" s="735">
        <v>1</v>
      </c>
      <c r="Z112" s="736">
        <v>1</v>
      </c>
      <c r="AA112" s="166">
        <f t="shared" si="56"/>
        <v>0</v>
      </c>
      <c r="AB112" s="166">
        <f t="shared" si="57"/>
        <v>0</v>
      </c>
      <c r="AC112" s="166">
        <f t="shared" si="58"/>
        <v>0</v>
      </c>
      <c r="AD112" s="166"/>
      <c r="AE112" s="164">
        <f t="shared" si="41"/>
        <v>0</v>
      </c>
      <c r="AF112" s="167"/>
      <c r="AG112" s="165">
        <f t="shared" si="42"/>
        <v>0</v>
      </c>
      <c r="AH112" s="729"/>
      <c r="AI112" s="729"/>
      <c r="AJ112" s="8"/>
      <c r="AK112" s="495" t="str">
        <f t="shared" si="45"/>
        <v>No</v>
      </c>
      <c r="AL112" s="496">
        <f>'I-Project Contingency'!$I$4</f>
        <v>9000000</v>
      </c>
      <c r="AM112" s="326">
        <f>'I-Project Contingency'!$I$11</f>
        <v>23.978102189781023</v>
      </c>
      <c r="AN112" s="325">
        <f t="shared" si="46"/>
        <v>0</v>
      </c>
      <c r="AO112" s="326">
        <f t="shared" si="47"/>
        <v>0</v>
      </c>
      <c r="AP112" s="641" t="str">
        <f t="shared" si="48"/>
        <v/>
      </c>
      <c r="AQ112" s="641" t="str">
        <f t="shared" si="49"/>
        <v/>
      </c>
      <c r="AR112" s="497" t="str">
        <f t="shared" si="50"/>
        <v/>
      </c>
      <c r="AS112" s="497" t="str">
        <f t="shared" si="51"/>
        <v/>
      </c>
      <c r="AT112" s="8"/>
      <c r="AU112" s="329">
        <f>'I-Project Contingency'!$O$4-AE112</f>
        <v>0</v>
      </c>
      <c r="AV112" s="330">
        <v>-240515.59579276721</v>
      </c>
      <c r="AW112" s="330">
        <v>28172.931401335634</v>
      </c>
      <c r="AX112" s="330">
        <v>193478.84467429668</v>
      </c>
      <c r="AY112" s="330">
        <v>361668.20104834624</v>
      </c>
      <c r="AZ112" s="330">
        <v>524446.91524262261</v>
      </c>
      <c r="BA112" s="330">
        <v>704023.56387635041</v>
      </c>
      <c r="BB112" s="330">
        <v>886394.06956240814</v>
      </c>
      <c r="BC112" s="330">
        <v>1079363.7165157665</v>
      </c>
      <c r="BD112" s="330">
        <v>1280180.1532065615</v>
      </c>
      <c r="BE112" s="330">
        <v>1485323.8019108465</v>
      </c>
      <c r="BF112" s="330">
        <v>1703758.8827524669</v>
      </c>
      <c r="BG112" s="330">
        <v>1949523.4346483489</v>
      </c>
      <c r="BH112" s="330">
        <v>2177897.1603371189</v>
      </c>
      <c r="BI112" s="330">
        <v>2429374.4260425912</v>
      </c>
      <c r="BJ112" s="330">
        <v>2717092.7449284913</v>
      </c>
      <c r="BK112" s="330">
        <v>3010093.6968918457</v>
      </c>
      <c r="BL112" s="330">
        <v>3325414.5894657462</v>
      </c>
      <c r="BM112" s="330">
        <v>3690425.9159493577</v>
      </c>
      <c r="BN112" s="330">
        <v>4143935.1706127762</v>
      </c>
      <c r="BO112" s="330">
        <v>4722651.1159141911</v>
      </c>
      <c r="BP112" s="330">
        <v>5992048.8629153483</v>
      </c>
      <c r="BQ112" s="330">
        <f>'I-Project Contingency'!$E$61-AV112</f>
        <v>0</v>
      </c>
      <c r="BR112" s="330">
        <f>'I-Project Contingency'!$E$62-AW112</f>
        <v>0</v>
      </c>
      <c r="BS112" s="330">
        <f>'I-Project Contingency'!$E$63-AX112</f>
        <v>0</v>
      </c>
      <c r="BT112" s="330">
        <f>'I-Project Contingency'!$E$64-AY112</f>
        <v>0</v>
      </c>
      <c r="BU112" s="330">
        <f>'I-Project Contingency'!$E$65-AZ112</f>
        <v>0</v>
      </c>
      <c r="BV112" s="330">
        <f>'I-Project Contingency'!$E$66-BA112</f>
        <v>0</v>
      </c>
      <c r="BW112" s="330">
        <f>'I-Project Contingency'!$E$67-BB112</f>
        <v>0</v>
      </c>
      <c r="BX112" s="330">
        <f>'I-Project Contingency'!$E$68-BC112</f>
        <v>0</v>
      </c>
      <c r="BY112" s="330">
        <f>'I-Project Contingency'!$E$69-BD112</f>
        <v>0</v>
      </c>
      <c r="BZ112" s="330">
        <f>'I-Project Contingency'!$E$70-BE112</f>
        <v>0</v>
      </c>
      <c r="CA112" s="330">
        <f>'I-Project Contingency'!$E$71-BF112</f>
        <v>0</v>
      </c>
      <c r="CB112" s="330">
        <f>'I-Project Contingency'!$E$72-BG112</f>
        <v>0</v>
      </c>
      <c r="CC112" s="330">
        <f>'I-Project Contingency'!$E$73-BH112</f>
        <v>0</v>
      </c>
      <c r="CD112" s="330">
        <f>'I-Project Contingency'!$E$74-BI112</f>
        <v>0</v>
      </c>
      <c r="CE112" s="330">
        <f>'I-Project Contingency'!$E$75-BJ112</f>
        <v>0</v>
      </c>
      <c r="CF112" s="330">
        <f>'I-Project Contingency'!$E$76-BK112</f>
        <v>0</v>
      </c>
      <c r="CG112" s="330">
        <f>'I-Project Contingency'!$E$77-BL112</f>
        <v>0</v>
      </c>
      <c r="CH112" s="784">
        <f>'I-Project Contingency'!$E$78-BM112</f>
        <v>0</v>
      </c>
      <c r="CI112" s="330">
        <f>'I-Project Contingency'!$E$79-BN112</f>
        <v>0</v>
      </c>
      <c r="CJ112" s="330">
        <f>'I-Project Contingency'!$E$80-BO112</f>
        <v>0</v>
      </c>
      <c r="CK112" s="330">
        <f>'I-Project Contingency'!$E$81-BP112</f>
        <v>0</v>
      </c>
      <c r="CL112" s="331">
        <f>'I-Project Contingency'!$O$5-AG112</f>
        <v>0</v>
      </c>
      <c r="CM112" s="332">
        <v>-0.98711802853447173</v>
      </c>
      <c r="CN112" s="332">
        <v>-0.19547704728364468</v>
      </c>
      <c r="CO112" s="332">
        <v>0.126462150308498</v>
      </c>
      <c r="CP112" s="332">
        <v>0.45967989154545902</v>
      </c>
      <c r="CQ112" s="332">
        <v>0.78297319902744</v>
      </c>
      <c r="CR112" s="332">
        <v>1.0957191966482109</v>
      </c>
      <c r="CS112" s="332">
        <v>1.4418405003536849</v>
      </c>
      <c r="CT112" s="332">
        <v>1.801002404194165</v>
      </c>
      <c r="CU112" s="332">
        <v>2.1797608166947349</v>
      </c>
      <c r="CV112" s="332">
        <v>2.5671680610072478</v>
      </c>
      <c r="CW112" s="332">
        <v>2.9690760644797152</v>
      </c>
      <c r="CX112" s="332">
        <v>3.3964145469774811</v>
      </c>
      <c r="CY112" s="332">
        <v>3.864536087769562</v>
      </c>
      <c r="CZ112" s="332">
        <v>4.3569836138896116</v>
      </c>
      <c r="DA112" s="332">
        <v>4.8862357851222598</v>
      </c>
      <c r="DB112" s="332">
        <v>5.438836997347547</v>
      </c>
      <c r="DC112" s="332">
        <v>6.047993455908566</v>
      </c>
      <c r="DD112" s="785">
        <v>6.720204953601761</v>
      </c>
      <c r="DE112" s="333">
        <v>7.55131678090412</v>
      </c>
      <c r="DF112" s="332">
        <v>8.661446370835737</v>
      </c>
      <c r="DG112" s="332">
        <v>11.206316207857133</v>
      </c>
      <c r="DH112" s="332">
        <f>'I-Project Contingency'!$E$86-CM112</f>
        <v>0</v>
      </c>
      <c r="DI112" s="332">
        <f>'I-Project Contingency'!$E$87-CN112</f>
        <v>0</v>
      </c>
      <c r="DJ112" s="332">
        <f>'I-Project Contingency'!$E$88-CO112</f>
        <v>0</v>
      </c>
      <c r="DK112" s="332">
        <f>'I-Project Contingency'!$E$89-CP112</f>
        <v>0</v>
      </c>
      <c r="DL112" s="332">
        <f>'I-Project Contingency'!$E$90-CQ112</f>
        <v>0</v>
      </c>
      <c r="DM112" s="332">
        <f>'I-Project Contingency'!$E$91-CR112</f>
        <v>0</v>
      </c>
      <c r="DN112" s="332">
        <f>'I-Project Contingency'!$E$92-CS112</f>
        <v>0</v>
      </c>
      <c r="DO112" s="332">
        <f>'I-Project Contingency'!$E$93-CT112</f>
        <v>0</v>
      </c>
      <c r="DP112" s="332">
        <f>'I-Project Contingency'!$E$94-CU112</f>
        <v>0</v>
      </c>
      <c r="DQ112" s="332">
        <f>'I-Project Contingency'!$E$95-CV112</f>
        <v>0</v>
      </c>
      <c r="DR112" s="332">
        <f>'I-Project Contingency'!$E$96-CW112</f>
        <v>0</v>
      </c>
      <c r="DS112" s="332">
        <f>'I-Project Contingency'!$E$97-CX112</f>
        <v>0</v>
      </c>
      <c r="DT112" s="332">
        <f>'I-Project Contingency'!$E$98-CY112</f>
        <v>0</v>
      </c>
      <c r="DU112" s="332">
        <f>'I-Project Contingency'!$E$99-CZ112</f>
        <v>0</v>
      </c>
      <c r="DV112" s="332">
        <f>'I-Project Contingency'!$E$100-DA112</f>
        <v>0</v>
      </c>
      <c r="DW112" s="332">
        <f>'I-Project Contingency'!$E$101-DB112</f>
        <v>0</v>
      </c>
      <c r="DX112" s="332">
        <f>'I-Project Contingency'!$E$102-DC112</f>
        <v>0</v>
      </c>
      <c r="DY112" s="332">
        <f>'I-Project Contingency'!$E$103-DD112</f>
        <v>0</v>
      </c>
      <c r="DZ112" s="332">
        <f>'I-Project Contingency'!$E$104-DE112</f>
        <v>0</v>
      </c>
      <c r="EA112" s="332">
        <f>'I-Project Contingency'!$E$105-DF112</f>
        <v>0</v>
      </c>
      <c r="EB112" s="332">
        <f>'I-Project Contingency'!$E$106-DG112</f>
        <v>0</v>
      </c>
      <c r="EC112" s="334">
        <f>IF(EE112="N/A","N/A",ABS(INDEX(EE112:EY112,1,MATCH("ROM Cost Risk @ "&amp;'D-Project Data'!$C$6*100&amp;"%",$EE$17:$EY$17,0))))</f>
        <v>0</v>
      </c>
      <c r="ED112" s="335">
        <f>IF(EC112="N/A","N/A",RANK(EC112,$EC$18:$EC$117,0)+COUNTIF($EC$18:EC112,EC112)-1)</f>
        <v>95</v>
      </c>
      <c r="EE112" s="334">
        <f>IF(BQ112/SUM(BQ:BQ)*'I-Project Contingency'!$F$61=0,0,BQ112/SUM(BQ:BQ)*'I-Project Contingency'!$F$61)</f>
        <v>0</v>
      </c>
      <c r="EF112" s="334">
        <f>IF(BR112/SUM(BR:BR)*'I-Project Contingency'!$F$62=0,0,BR112/SUM(BR:BR)*'I-Project Contingency'!$F$62)</f>
        <v>0</v>
      </c>
      <c r="EG112" s="334">
        <f>IF(BS112/SUM(BS:BS)*'I-Project Contingency'!$F$63=0,0,BS112/SUM(BS:BS)*'I-Project Contingency'!$F$63)</f>
        <v>0</v>
      </c>
      <c r="EH112" s="334">
        <f>IF(BT112/SUM(BT:BT)*'I-Project Contingency'!$F$64=0,0,BT112/SUM(BT:BT)*'I-Project Contingency'!$F$64)</f>
        <v>0</v>
      </c>
      <c r="EI112" s="334">
        <f>IF(BU112/SUM(BU:BU)*'I-Project Contingency'!$F$65=0,0,BU112/SUM(BU:BU)*'I-Project Contingency'!$F$65)</f>
        <v>0</v>
      </c>
      <c r="EJ112" s="334">
        <f>IF(BV112/SUM(BV:BV)*'I-Project Contingency'!$F$66=0,0,BV112/SUM(BV:BV)*'I-Project Contingency'!$F$66)</f>
        <v>0</v>
      </c>
      <c r="EK112" s="334">
        <f>IF(BW112/SUM(BW:BW)*'I-Project Contingency'!$F$67=0,0,BW112/SUM(BW:BW)*'I-Project Contingency'!$F$67)</f>
        <v>0</v>
      </c>
      <c r="EL112" s="334">
        <f>IF(BX112/SUM(BX:BX)*'I-Project Contingency'!$F$68=0,0,BX112/SUM(BX:BX)*'I-Project Contingency'!$F$68)</f>
        <v>0</v>
      </c>
      <c r="EM112" s="334">
        <f>IF(BY112/SUM(BY:BY)*'I-Project Contingency'!$F$69=0,0,BY112/SUM(BY:BY)*'I-Project Contingency'!$F$69)</f>
        <v>0</v>
      </c>
      <c r="EN112" s="334">
        <f>IF(BZ112/SUM(BZ:BZ)*'I-Project Contingency'!$F$70=0,0,BZ112/SUM(BZ:BZ)*'I-Project Contingency'!$F$70)</f>
        <v>0</v>
      </c>
      <c r="EO112" s="334">
        <f>IF(CA112/SUM(CA:CA)*'I-Project Contingency'!$F$71=0,0,CA112/SUM(CA:CA)*'I-Project Contingency'!$F$71)</f>
        <v>0</v>
      </c>
      <c r="EP112" s="334">
        <f>IF(CB112/SUM(CB:CB)*'I-Project Contingency'!$F$72=0,0,CB112/SUM(CB:CB)*'I-Project Contingency'!$F$72)</f>
        <v>0</v>
      </c>
      <c r="EQ112" s="334">
        <f>IF(CC112/SUM(CC:CC)*'I-Project Contingency'!$F$73=0,0,CC112/SUM(CC:CC)*'I-Project Contingency'!$F$73)</f>
        <v>0</v>
      </c>
      <c r="ER112" s="334">
        <f>IF(CD112/SUM(CD:CD)*'I-Project Contingency'!$F$74=0,0,CD112/SUM(CD:CD)*'I-Project Contingency'!$F$74)</f>
        <v>0</v>
      </c>
      <c r="ES112" s="334">
        <f>IF(CE112/SUM(CE:CE)*'I-Project Contingency'!$F$75=0,0,CE112/SUM(CE:CE)*'I-Project Contingency'!$F$75)</f>
        <v>0</v>
      </c>
      <c r="ET112" s="334">
        <f>IF(CF112/SUM(CF:CF)*'I-Project Contingency'!$F$76=0,0,CF112/SUM(CF:CF)*'I-Project Contingency'!$F$76)</f>
        <v>0</v>
      </c>
      <c r="EU112" s="334">
        <f>IF(CG112/SUM(CG:CG)*'I-Project Contingency'!$F$77=0,0,CG112/SUM(CG:CG)*'I-Project Contingency'!$F$77)</f>
        <v>0</v>
      </c>
      <c r="EV112" s="787">
        <f>IF(CH112/SUM(CH:CH)*'I-Project Contingency'!$F$78=0,0,CH112/SUM(CH:CH)*'I-Project Contingency'!$F$78)</f>
        <v>0</v>
      </c>
      <c r="EW112" s="787">
        <f>IF(CI112/SUM(CI:CI)*'I-Project Contingency'!$F$79=0,0,CI112/SUM(CI:CI)*'I-Project Contingency'!$F$79)</f>
        <v>0</v>
      </c>
      <c r="EX112" s="787">
        <f>IF(CJ112/SUM(CJ:CJ)*'I-Project Contingency'!$F$80=0,0,CJ112/SUM(CJ:CJ)*'I-Project Contingency'!$F$80)</f>
        <v>0</v>
      </c>
      <c r="EY112" s="787">
        <f>IF(CK112/SUM(CK:CK)*'I-Project Contingency'!$F$81=0,0,CK112/SUM(CK:CK)*'I-Project Contingency'!$F$81)</f>
        <v>0</v>
      </c>
      <c r="EZ112" s="333">
        <f>IF(FB112="N/A","N/A",ABS(INDEX(FB112:FV112,1,MATCH("ROM Schedule Risk @ "&amp;'D-Project Data'!$C$6*100&amp;"%",$FB$17:$FV$17,0))))</f>
        <v>0</v>
      </c>
      <c r="FA112" s="335">
        <f>IF(EZ112="N/A","N/A",RANK(EZ112,$EZ$18:$EZ$117,0)+COUNTIF($FB$18:FB112,FB112)-1)</f>
        <v>95</v>
      </c>
      <c r="FB112" s="788">
        <f>IF(DH112/SUM(DH:DH)*'I-Project Contingency'!$F$86=0,0,DH112/SUM(DH:DH)*'I-Project Contingency'!$F$86)</f>
        <v>0</v>
      </c>
      <c r="FC112" s="788">
        <f>IF(DI112/SUM(DI:DI)*'I-Project Contingency'!$F$87=0,0,DI112/SUM(DI:DI)*'I-Project Contingency'!$F$87)</f>
        <v>0</v>
      </c>
      <c r="FD112" s="788">
        <f>IF(DJ112/SUM(DJ:DJ)*'I-Project Contingency'!$F$88=0,0,DJ112/SUM(DJ:DJ)*'I-Project Contingency'!$F$88)</f>
        <v>0</v>
      </c>
      <c r="FE112" s="788">
        <f>IF(DK112/SUM(DK:DK)*'I-Project Contingency'!$F$89=0,0,DK112/SUM(DK:DK)*'I-Project Contingency'!$F$89)</f>
        <v>0</v>
      </c>
      <c r="FF112" s="788">
        <f>IF(DL112/SUM(DL:DL)*'I-Project Contingency'!$F$90=0,0,DL112/SUM(DL:DL)*'I-Project Contingency'!$F$90)</f>
        <v>0</v>
      </c>
      <c r="FG112" s="788">
        <f>IF(DM112/SUM(DM:DM)*'I-Project Contingency'!$F$91=0,0,DM112/SUM(DM:DM)*'I-Project Contingency'!$F$91)</f>
        <v>0</v>
      </c>
      <c r="FH112" s="788">
        <f>IF(DN112/SUM(DN:DN)*'I-Project Contingency'!$F$92=0,0,DN112/SUM(DN:DN)*'I-Project Contingency'!$F$92)</f>
        <v>0</v>
      </c>
      <c r="FI112" s="788">
        <f>IF(DO112/SUM(DO:DO)*'I-Project Contingency'!$F$93=0,0,DO112/SUM(DO:DO)*'I-Project Contingency'!$F$93)</f>
        <v>0</v>
      </c>
      <c r="FJ112" s="788">
        <f>IF(DP112/SUM(DP:DP)*'I-Project Contingency'!$F$94=0,0,DP112/SUM(DP:DP)*'I-Project Contingency'!$F$94)</f>
        <v>0</v>
      </c>
      <c r="FK112" s="788">
        <f>IF(DQ112/SUM(DQ:DQ)*'I-Project Contingency'!$F$95=0,0,DQ112/SUM(DQ:DQ)*'I-Project Contingency'!$F$95)</f>
        <v>0</v>
      </c>
      <c r="FL112" s="788">
        <f>IF(DR112/SUM(DR:DR)*'I-Project Contingency'!$F$96=0,0,DR112/SUM(DR:DR)*'I-Project Contingency'!$F$96)</f>
        <v>0</v>
      </c>
      <c r="FM112" s="788">
        <f>IF(DS112/SUM(DS:DS)*'I-Project Contingency'!$F$97=0,0,DS112/SUM(DS:DS)*'I-Project Contingency'!$F$97)</f>
        <v>0</v>
      </c>
      <c r="FN112" s="788">
        <f>IF(DT112/SUM(DT:DT)*'I-Project Contingency'!$F$98=0,0,DT112/SUM(DT:DT)*'I-Project Contingency'!$F$98)</f>
        <v>0</v>
      </c>
      <c r="FO112" s="788">
        <f>IF(DU112/SUM(DU:DU)*'I-Project Contingency'!$F$99=0,0,DU112/SUM(DU:DU)*'I-Project Contingency'!$F$99)</f>
        <v>0</v>
      </c>
      <c r="FP112" s="788">
        <f>IF(DV112/SUM(DV:DV)*'I-Project Contingency'!$F$100=0,0,DV112/SUM(DV:DV)*'I-Project Contingency'!$F$100)</f>
        <v>0</v>
      </c>
      <c r="FQ112" s="788">
        <f>IF(DW112/SUM(DW:DW)*'I-Project Contingency'!$F$101=0,0,DW112/SUM(DW:DW)*'I-Project Contingency'!$F$101)</f>
        <v>0</v>
      </c>
      <c r="FR112" s="788">
        <f>IF(DX112/SUM(DX:DX)*'I-Project Contingency'!$F$102=0,0,DX112/SUM(DX:DX)*'I-Project Contingency'!$F$102)</f>
        <v>0</v>
      </c>
      <c r="FS112" s="788">
        <f>IF(DY112/SUM(DY:DY)*'I-Project Contingency'!$F$103=0,0,DY112/SUM(DY:DY)*'I-Project Contingency'!$F$103)</f>
        <v>0</v>
      </c>
      <c r="FT112" s="788">
        <f>IF(DZ112/SUM(DZ:DZ)*'I-Project Contingency'!$F$104=0,0,DZ112/SUM(DZ:DZ)*'I-Project Contingency'!$F$104)</f>
        <v>0</v>
      </c>
      <c r="FU112" s="788">
        <f>IF(EA112/SUM(EA:EA)*'I-Project Contingency'!$F$105=0,0,EA112/SUM(EA:EA)*'I-Project Contingency'!$F$105)</f>
        <v>0</v>
      </c>
      <c r="FV112" s="788">
        <f>IF(EB112/SUM(EB:EB)*'I-Project Contingency'!$F$106=0,0,EB112/SUM(EB:EB)*'I-Project Contingency'!$F$106)</f>
        <v>0</v>
      </c>
      <c r="FW112" s="335">
        <f t="shared" si="52"/>
        <v>95</v>
      </c>
      <c r="FX112" s="336" t="str">
        <f t="shared" si="53"/>
        <v xml:space="preserve">95 -  </v>
      </c>
      <c r="FY112" s="330">
        <f t="shared" si="43"/>
        <v>0</v>
      </c>
      <c r="FZ112" s="330">
        <f t="shared" si="44"/>
        <v>0</v>
      </c>
      <c r="GA112" s="332">
        <f t="shared" si="54"/>
        <v>0</v>
      </c>
      <c r="GB112" s="332">
        <f t="shared" si="55"/>
        <v>0</v>
      </c>
    </row>
    <row r="113" spans="1:184" ht="30" x14ac:dyDescent="0.25">
      <c r="A113" s="163">
        <f t="shared" si="23"/>
        <v>96</v>
      </c>
      <c r="B113" s="727" t="s">
        <v>728</v>
      </c>
      <c r="C113" s="729" t="s">
        <v>659</v>
      </c>
      <c r="D113" s="729" t="s">
        <v>659</v>
      </c>
      <c r="E113" s="729" t="s">
        <v>659</v>
      </c>
      <c r="F113" s="728" t="s">
        <v>728</v>
      </c>
      <c r="G113" s="728" t="s">
        <v>728</v>
      </c>
      <c r="H113" s="157" t="str">
        <f>IFERROR(IF('H-Risk Register-Model'!F113="Certain","Relook at Basis of Estimate",INDEX('G-Assumptions'!$F$8:$J$11,MATCH(F113,'G-Assumptions'!$D$8:$D$11,0),MATCH(G113,'G-Assumptions'!$F$6:$J$6,0))),"Unrated")</f>
        <v>Unrated</v>
      </c>
      <c r="I113" s="728" t="s">
        <v>728</v>
      </c>
      <c r="J113" s="157" t="str">
        <f>IFERROR(IF('H-Risk Register-Model'!F113="Certain","Relook at Basis of Estimate",INDEX('G-Assumptions'!$F$8:$J$11,MATCH(F113,'G-Assumptions'!$D$8:$D$11,0),MATCH(I113,'G-Assumptions'!$F$6:$J$6,0))),"Unrated")</f>
        <v>Unrated</v>
      </c>
      <c r="K113" s="728" t="s">
        <v>728</v>
      </c>
      <c r="L113" s="728" t="s">
        <v>728</v>
      </c>
      <c r="M113" s="728"/>
      <c r="N113" s="731" t="s">
        <v>728</v>
      </c>
      <c r="O113" s="731" t="s">
        <v>728</v>
      </c>
      <c r="P113" s="732"/>
      <c r="Q113" s="732"/>
      <c r="R113" s="732"/>
      <c r="S113" s="733"/>
      <c r="T113" s="733"/>
      <c r="U113" s="733"/>
      <c r="V113" s="734"/>
      <c r="W113" s="732"/>
      <c r="X113" s="732"/>
      <c r="Y113" s="735">
        <v>1</v>
      </c>
      <c r="Z113" s="736">
        <v>1</v>
      </c>
      <c r="AA113" s="166">
        <f t="shared" si="56"/>
        <v>0</v>
      </c>
      <c r="AB113" s="166">
        <f t="shared" si="57"/>
        <v>0</v>
      </c>
      <c r="AC113" s="166">
        <f t="shared" si="58"/>
        <v>0</v>
      </c>
      <c r="AD113" s="166"/>
      <c r="AE113" s="164">
        <f t="shared" si="41"/>
        <v>0</v>
      </c>
      <c r="AF113" s="167"/>
      <c r="AG113" s="165">
        <f t="shared" si="42"/>
        <v>0</v>
      </c>
      <c r="AH113" s="729"/>
      <c r="AI113" s="729"/>
      <c r="AJ113" s="8"/>
      <c r="AK113" s="495" t="str">
        <f t="shared" si="45"/>
        <v>No</v>
      </c>
      <c r="AL113" s="496">
        <f>'I-Project Contingency'!$I$4</f>
        <v>9000000</v>
      </c>
      <c r="AM113" s="326">
        <f>'I-Project Contingency'!$I$11</f>
        <v>23.978102189781023</v>
      </c>
      <c r="AN113" s="325">
        <f t="shared" si="46"/>
        <v>0</v>
      </c>
      <c r="AO113" s="326">
        <f t="shared" si="47"/>
        <v>0</v>
      </c>
      <c r="AP113" s="641" t="str">
        <f t="shared" si="48"/>
        <v/>
      </c>
      <c r="AQ113" s="641" t="str">
        <f t="shared" si="49"/>
        <v/>
      </c>
      <c r="AR113" s="497" t="str">
        <f t="shared" si="50"/>
        <v/>
      </c>
      <c r="AS113" s="497" t="str">
        <f t="shared" si="51"/>
        <v/>
      </c>
      <c r="AT113" s="8"/>
      <c r="AU113" s="329">
        <f>'I-Project Contingency'!$O$4-AE113</f>
        <v>0</v>
      </c>
      <c r="AV113" s="330">
        <v>-240515.59579276721</v>
      </c>
      <c r="AW113" s="330">
        <v>28172.931401335634</v>
      </c>
      <c r="AX113" s="330">
        <v>193478.84467429668</v>
      </c>
      <c r="AY113" s="330">
        <v>361668.20104834624</v>
      </c>
      <c r="AZ113" s="330">
        <v>524446.91524262261</v>
      </c>
      <c r="BA113" s="330">
        <v>704023.56387635041</v>
      </c>
      <c r="BB113" s="330">
        <v>886394.06956240814</v>
      </c>
      <c r="BC113" s="330">
        <v>1079363.7165157665</v>
      </c>
      <c r="BD113" s="330">
        <v>1280180.1532065615</v>
      </c>
      <c r="BE113" s="330">
        <v>1485323.8019108465</v>
      </c>
      <c r="BF113" s="330">
        <v>1703758.8827524669</v>
      </c>
      <c r="BG113" s="330">
        <v>1949523.4346483489</v>
      </c>
      <c r="BH113" s="330">
        <v>2177897.1603371189</v>
      </c>
      <c r="BI113" s="330">
        <v>2429374.4260425912</v>
      </c>
      <c r="BJ113" s="330">
        <v>2717092.7449284913</v>
      </c>
      <c r="BK113" s="330">
        <v>3010093.6968918457</v>
      </c>
      <c r="BL113" s="330">
        <v>3325414.5894657462</v>
      </c>
      <c r="BM113" s="330">
        <v>3690425.9159493577</v>
      </c>
      <c r="BN113" s="330">
        <v>4143935.1706127762</v>
      </c>
      <c r="BO113" s="330">
        <v>4722651.1159141911</v>
      </c>
      <c r="BP113" s="330">
        <v>5992048.8629153483</v>
      </c>
      <c r="BQ113" s="330">
        <f>'I-Project Contingency'!$E$61-AV113</f>
        <v>0</v>
      </c>
      <c r="BR113" s="330">
        <f>'I-Project Contingency'!$E$62-AW113</f>
        <v>0</v>
      </c>
      <c r="BS113" s="330">
        <f>'I-Project Contingency'!$E$63-AX113</f>
        <v>0</v>
      </c>
      <c r="BT113" s="330">
        <f>'I-Project Contingency'!$E$64-AY113</f>
        <v>0</v>
      </c>
      <c r="BU113" s="330">
        <f>'I-Project Contingency'!$E$65-AZ113</f>
        <v>0</v>
      </c>
      <c r="BV113" s="330">
        <f>'I-Project Contingency'!$E$66-BA113</f>
        <v>0</v>
      </c>
      <c r="BW113" s="330">
        <f>'I-Project Contingency'!$E$67-BB113</f>
        <v>0</v>
      </c>
      <c r="BX113" s="330">
        <f>'I-Project Contingency'!$E$68-BC113</f>
        <v>0</v>
      </c>
      <c r="BY113" s="330">
        <f>'I-Project Contingency'!$E$69-BD113</f>
        <v>0</v>
      </c>
      <c r="BZ113" s="330">
        <f>'I-Project Contingency'!$E$70-BE113</f>
        <v>0</v>
      </c>
      <c r="CA113" s="330">
        <f>'I-Project Contingency'!$E$71-BF113</f>
        <v>0</v>
      </c>
      <c r="CB113" s="330">
        <f>'I-Project Contingency'!$E$72-BG113</f>
        <v>0</v>
      </c>
      <c r="CC113" s="330">
        <f>'I-Project Contingency'!$E$73-BH113</f>
        <v>0</v>
      </c>
      <c r="CD113" s="330">
        <f>'I-Project Contingency'!$E$74-BI113</f>
        <v>0</v>
      </c>
      <c r="CE113" s="330">
        <f>'I-Project Contingency'!$E$75-BJ113</f>
        <v>0</v>
      </c>
      <c r="CF113" s="330">
        <f>'I-Project Contingency'!$E$76-BK113</f>
        <v>0</v>
      </c>
      <c r="CG113" s="330">
        <f>'I-Project Contingency'!$E$77-BL113</f>
        <v>0</v>
      </c>
      <c r="CH113" s="784">
        <f>'I-Project Contingency'!$E$78-BM113</f>
        <v>0</v>
      </c>
      <c r="CI113" s="330">
        <f>'I-Project Contingency'!$E$79-BN113</f>
        <v>0</v>
      </c>
      <c r="CJ113" s="330">
        <f>'I-Project Contingency'!$E$80-BO113</f>
        <v>0</v>
      </c>
      <c r="CK113" s="330">
        <f>'I-Project Contingency'!$E$81-BP113</f>
        <v>0</v>
      </c>
      <c r="CL113" s="331">
        <f>'I-Project Contingency'!$O$5-AG113</f>
        <v>0</v>
      </c>
      <c r="CM113" s="332">
        <v>-0.98711802853447173</v>
      </c>
      <c r="CN113" s="332">
        <v>-0.19547704728364468</v>
      </c>
      <c r="CO113" s="332">
        <v>0.126462150308498</v>
      </c>
      <c r="CP113" s="332">
        <v>0.45967989154545902</v>
      </c>
      <c r="CQ113" s="332">
        <v>0.78297319902744</v>
      </c>
      <c r="CR113" s="332">
        <v>1.0957191966482109</v>
      </c>
      <c r="CS113" s="332">
        <v>1.4418405003536849</v>
      </c>
      <c r="CT113" s="332">
        <v>1.801002404194165</v>
      </c>
      <c r="CU113" s="332">
        <v>2.1797608166947349</v>
      </c>
      <c r="CV113" s="332">
        <v>2.5671680610072478</v>
      </c>
      <c r="CW113" s="332">
        <v>2.9690760644797152</v>
      </c>
      <c r="CX113" s="332">
        <v>3.3964145469774811</v>
      </c>
      <c r="CY113" s="332">
        <v>3.864536087769562</v>
      </c>
      <c r="CZ113" s="332">
        <v>4.3569836138896116</v>
      </c>
      <c r="DA113" s="332">
        <v>4.8862357851222598</v>
      </c>
      <c r="DB113" s="332">
        <v>5.438836997347547</v>
      </c>
      <c r="DC113" s="332">
        <v>6.047993455908566</v>
      </c>
      <c r="DD113" s="785">
        <v>6.720204953601761</v>
      </c>
      <c r="DE113" s="333">
        <v>7.55131678090412</v>
      </c>
      <c r="DF113" s="332">
        <v>8.661446370835737</v>
      </c>
      <c r="DG113" s="332">
        <v>11.206316207857133</v>
      </c>
      <c r="DH113" s="332">
        <f>'I-Project Contingency'!$E$86-CM113</f>
        <v>0</v>
      </c>
      <c r="DI113" s="332">
        <f>'I-Project Contingency'!$E$87-CN113</f>
        <v>0</v>
      </c>
      <c r="DJ113" s="332">
        <f>'I-Project Contingency'!$E$88-CO113</f>
        <v>0</v>
      </c>
      <c r="DK113" s="332">
        <f>'I-Project Contingency'!$E$89-CP113</f>
        <v>0</v>
      </c>
      <c r="DL113" s="332">
        <f>'I-Project Contingency'!$E$90-CQ113</f>
        <v>0</v>
      </c>
      <c r="DM113" s="332">
        <f>'I-Project Contingency'!$E$91-CR113</f>
        <v>0</v>
      </c>
      <c r="DN113" s="332">
        <f>'I-Project Contingency'!$E$92-CS113</f>
        <v>0</v>
      </c>
      <c r="DO113" s="332">
        <f>'I-Project Contingency'!$E$93-CT113</f>
        <v>0</v>
      </c>
      <c r="DP113" s="332">
        <f>'I-Project Contingency'!$E$94-CU113</f>
        <v>0</v>
      </c>
      <c r="DQ113" s="332">
        <f>'I-Project Contingency'!$E$95-CV113</f>
        <v>0</v>
      </c>
      <c r="DR113" s="332">
        <f>'I-Project Contingency'!$E$96-CW113</f>
        <v>0</v>
      </c>
      <c r="DS113" s="332">
        <f>'I-Project Contingency'!$E$97-CX113</f>
        <v>0</v>
      </c>
      <c r="DT113" s="332">
        <f>'I-Project Contingency'!$E$98-CY113</f>
        <v>0</v>
      </c>
      <c r="DU113" s="332">
        <f>'I-Project Contingency'!$E$99-CZ113</f>
        <v>0</v>
      </c>
      <c r="DV113" s="332">
        <f>'I-Project Contingency'!$E$100-DA113</f>
        <v>0</v>
      </c>
      <c r="DW113" s="332">
        <f>'I-Project Contingency'!$E$101-DB113</f>
        <v>0</v>
      </c>
      <c r="DX113" s="332">
        <f>'I-Project Contingency'!$E$102-DC113</f>
        <v>0</v>
      </c>
      <c r="DY113" s="332">
        <f>'I-Project Contingency'!$E$103-DD113</f>
        <v>0</v>
      </c>
      <c r="DZ113" s="332">
        <f>'I-Project Contingency'!$E$104-DE113</f>
        <v>0</v>
      </c>
      <c r="EA113" s="332">
        <f>'I-Project Contingency'!$E$105-DF113</f>
        <v>0</v>
      </c>
      <c r="EB113" s="332">
        <f>'I-Project Contingency'!$E$106-DG113</f>
        <v>0</v>
      </c>
      <c r="EC113" s="334">
        <f>IF(EE113="N/A","N/A",ABS(INDEX(EE113:EY113,1,MATCH("ROM Cost Risk @ "&amp;'D-Project Data'!$C$6*100&amp;"%",$EE$17:$EY$17,0))))</f>
        <v>0</v>
      </c>
      <c r="ED113" s="335">
        <f>IF(EC113="N/A","N/A",RANK(EC113,$EC$18:$EC$117,0)+COUNTIF($EC$18:EC113,EC113)-1)</f>
        <v>96</v>
      </c>
      <c r="EE113" s="334">
        <f>IF(BQ113/SUM(BQ:BQ)*'I-Project Contingency'!$F$61=0,0,BQ113/SUM(BQ:BQ)*'I-Project Contingency'!$F$61)</f>
        <v>0</v>
      </c>
      <c r="EF113" s="334">
        <f>IF(BR113/SUM(BR:BR)*'I-Project Contingency'!$F$62=0,0,BR113/SUM(BR:BR)*'I-Project Contingency'!$F$62)</f>
        <v>0</v>
      </c>
      <c r="EG113" s="334">
        <f>IF(BS113/SUM(BS:BS)*'I-Project Contingency'!$F$63=0,0,BS113/SUM(BS:BS)*'I-Project Contingency'!$F$63)</f>
        <v>0</v>
      </c>
      <c r="EH113" s="334">
        <f>IF(BT113/SUM(BT:BT)*'I-Project Contingency'!$F$64=0,0,BT113/SUM(BT:BT)*'I-Project Contingency'!$F$64)</f>
        <v>0</v>
      </c>
      <c r="EI113" s="334">
        <f>IF(BU113/SUM(BU:BU)*'I-Project Contingency'!$F$65=0,0,BU113/SUM(BU:BU)*'I-Project Contingency'!$F$65)</f>
        <v>0</v>
      </c>
      <c r="EJ113" s="334">
        <f>IF(BV113/SUM(BV:BV)*'I-Project Contingency'!$F$66=0,0,BV113/SUM(BV:BV)*'I-Project Contingency'!$F$66)</f>
        <v>0</v>
      </c>
      <c r="EK113" s="334">
        <f>IF(BW113/SUM(BW:BW)*'I-Project Contingency'!$F$67=0,0,BW113/SUM(BW:BW)*'I-Project Contingency'!$F$67)</f>
        <v>0</v>
      </c>
      <c r="EL113" s="334">
        <f>IF(BX113/SUM(BX:BX)*'I-Project Contingency'!$F$68=0,0,BX113/SUM(BX:BX)*'I-Project Contingency'!$F$68)</f>
        <v>0</v>
      </c>
      <c r="EM113" s="334">
        <f>IF(BY113/SUM(BY:BY)*'I-Project Contingency'!$F$69=0,0,BY113/SUM(BY:BY)*'I-Project Contingency'!$F$69)</f>
        <v>0</v>
      </c>
      <c r="EN113" s="334">
        <f>IF(BZ113/SUM(BZ:BZ)*'I-Project Contingency'!$F$70=0,0,BZ113/SUM(BZ:BZ)*'I-Project Contingency'!$F$70)</f>
        <v>0</v>
      </c>
      <c r="EO113" s="334">
        <f>IF(CA113/SUM(CA:CA)*'I-Project Contingency'!$F$71=0,0,CA113/SUM(CA:CA)*'I-Project Contingency'!$F$71)</f>
        <v>0</v>
      </c>
      <c r="EP113" s="334">
        <f>IF(CB113/SUM(CB:CB)*'I-Project Contingency'!$F$72=0,0,CB113/SUM(CB:CB)*'I-Project Contingency'!$F$72)</f>
        <v>0</v>
      </c>
      <c r="EQ113" s="334">
        <f>IF(CC113/SUM(CC:CC)*'I-Project Contingency'!$F$73=0,0,CC113/SUM(CC:CC)*'I-Project Contingency'!$F$73)</f>
        <v>0</v>
      </c>
      <c r="ER113" s="334">
        <f>IF(CD113/SUM(CD:CD)*'I-Project Contingency'!$F$74=0,0,CD113/SUM(CD:CD)*'I-Project Contingency'!$F$74)</f>
        <v>0</v>
      </c>
      <c r="ES113" s="334">
        <f>IF(CE113/SUM(CE:CE)*'I-Project Contingency'!$F$75=0,0,CE113/SUM(CE:CE)*'I-Project Contingency'!$F$75)</f>
        <v>0</v>
      </c>
      <c r="ET113" s="334">
        <f>IF(CF113/SUM(CF:CF)*'I-Project Contingency'!$F$76=0,0,CF113/SUM(CF:CF)*'I-Project Contingency'!$F$76)</f>
        <v>0</v>
      </c>
      <c r="EU113" s="334">
        <f>IF(CG113/SUM(CG:CG)*'I-Project Contingency'!$F$77=0,0,CG113/SUM(CG:CG)*'I-Project Contingency'!$F$77)</f>
        <v>0</v>
      </c>
      <c r="EV113" s="787">
        <f>IF(CH113/SUM(CH:CH)*'I-Project Contingency'!$F$78=0,0,CH113/SUM(CH:CH)*'I-Project Contingency'!$F$78)</f>
        <v>0</v>
      </c>
      <c r="EW113" s="787">
        <f>IF(CI113/SUM(CI:CI)*'I-Project Contingency'!$F$79=0,0,CI113/SUM(CI:CI)*'I-Project Contingency'!$F$79)</f>
        <v>0</v>
      </c>
      <c r="EX113" s="787">
        <f>IF(CJ113/SUM(CJ:CJ)*'I-Project Contingency'!$F$80=0,0,CJ113/SUM(CJ:CJ)*'I-Project Contingency'!$F$80)</f>
        <v>0</v>
      </c>
      <c r="EY113" s="787">
        <f>IF(CK113/SUM(CK:CK)*'I-Project Contingency'!$F$81=0,0,CK113/SUM(CK:CK)*'I-Project Contingency'!$F$81)</f>
        <v>0</v>
      </c>
      <c r="EZ113" s="333">
        <f>IF(FB113="N/A","N/A",ABS(INDEX(FB113:FV113,1,MATCH("ROM Schedule Risk @ "&amp;'D-Project Data'!$C$6*100&amp;"%",$FB$17:$FV$17,0))))</f>
        <v>0</v>
      </c>
      <c r="FA113" s="335">
        <f>IF(EZ113="N/A","N/A",RANK(EZ113,$EZ$18:$EZ$117,0)+COUNTIF($FB$18:FB113,FB113)-1)</f>
        <v>96</v>
      </c>
      <c r="FB113" s="788">
        <f>IF(DH113/SUM(DH:DH)*'I-Project Contingency'!$F$86=0,0,DH113/SUM(DH:DH)*'I-Project Contingency'!$F$86)</f>
        <v>0</v>
      </c>
      <c r="FC113" s="788">
        <f>IF(DI113/SUM(DI:DI)*'I-Project Contingency'!$F$87=0,0,DI113/SUM(DI:DI)*'I-Project Contingency'!$F$87)</f>
        <v>0</v>
      </c>
      <c r="FD113" s="788">
        <f>IF(DJ113/SUM(DJ:DJ)*'I-Project Contingency'!$F$88=0,0,DJ113/SUM(DJ:DJ)*'I-Project Contingency'!$F$88)</f>
        <v>0</v>
      </c>
      <c r="FE113" s="788">
        <f>IF(DK113/SUM(DK:DK)*'I-Project Contingency'!$F$89=0,0,DK113/SUM(DK:DK)*'I-Project Contingency'!$F$89)</f>
        <v>0</v>
      </c>
      <c r="FF113" s="788">
        <f>IF(DL113/SUM(DL:DL)*'I-Project Contingency'!$F$90=0,0,DL113/SUM(DL:DL)*'I-Project Contingency'!$F$90)</f>
        <v>0</v>
      </c>
      <c r="FG113" s="788">
        <f>IF(DM113/SUM(DM:DM)*'I-Project Contingency'!$F$91=0,0,DM113/SUM(DM:DM)*'I-Project Contingency'!$F$91)</f>
        <v>0</v>
      </c>
      <c r="FH113" s="788">
        <f>IF(DN113/SUM(DN:DN)*'I-Project Contingency'!$F$92=0,0,DN113/SUM(DN:DN)*'I-Project Contingency'!$F$92)</f>
        <v>0</v>
      </c>
      <c r="FI113" s="788">
        <f>IF(DO113/SUM(DO:DO)*'I-Project Contingency'!$F$93=0,0,DO113/SUM(DO:DO)*'I-Project Contingency'!$F$93)</f>
        <v>0</v>
      </c>
      <c r="FJ113" s="788">
        <f>IF(DP113/SUM(DP:DP)*'I-Project Contingency'!$F$94=0,0,DP113/SUM(DP:DP)*'I-Project Contingency'!$F$94)</f>
        <v>0</v>
      </c>
      <c r="FK113" s="788">
        <f>IF(DQ113/SUM(DQ:DQ)*'I-Project Contingency'!$F$95=0,0,DQ113/SUM(DQ:DQ)*'I-Project Contingency'!$F$95)</f>
        <v>0</v>
      </c>
      <c r="FL113" s="788">
        <f>IF(DR113/SUM(DR:DR)*'I-Project Contingency'!$F$96=0,0,DR113/SUM(DR:DR)*'I-Project Contingency'!$F$96)</f>
        <v>0</v>
      </c>
      <c r="FM113" s="788">
        <f>IF(DS113/SUM(DS:DS)*'I-Project Contingency'!$F$97=0,0,DS113/SUM(DS:DS)*'I-Project Contingency'!$F$97)</f>
        <v>0</v>
      </c>
      <c r="FN113" s="788">
        <f>IF(DT113/SUM(DT:DT)*'I-Project Contingency'!$F$98=0,0,DT113/SUM(DT:DT)*'I-Project Contingency'!$F$98)</f>
        <v>0</v>
      </c>
      <c r="FO113" s="788">
        <f>IF(DU113/SUM(DU:DU)*'I-Project Contingency'!$F$99=0,0,DU113/SUM(DU:DU)*'I-Project Contingency'!$F$99)</f>
        <v>0</v>
      </c>
      <c r="FP113" s="788">
        <f>IF(DV113/SUM(DV:DV)*'I-Project Contingency'!$F$100=0,0,DV113/SUM(DV:DV)*'I-Project Contingency'!$F$100)</f>
        <v>0</v>
      </c>
      <c r="FQ113" s="788">
        <f>IF(DW113/SUM(DW:DW)*'I-Project Contingency'!$F$101=0,0,DW113/SUM(DW:DW)*'I-Project Contingency'!$F$101)</f>
        <v>0</v>
      </c>
      <c r="FR113" s="788">
        <f>IF(DX113/SUM(DX:DX)*'I-Project Contingency'!$F$102=0,0,DX113/SUM(DX:DX)*'I-Project Contingency'!$F$102)</f>
        <v>0</v>
      </c>
      <c r="FS113" s="788">
        <f>IF(DY113/SUM(DY:DY)*'I-Project Contingency'!$F$103=0,0,DY113/SUM(DY:DY)*'I-Project Contingency'!$F$103)</f>
        <v>0</v>
      </c>
      <c r="FT113" s="788">
        <f>IF(DZ113/SUM(DZ:DZ)*'I-Project Contingency'!$F$104=0,0,DZ113/SUM(DZ:DZ)*'I-Project Contingency'!$F$104)</f>
        <v>0</v>
      </c>
      <c r="FU113" s="788">
        <f>IF(EA113/SUM(EA:EA)*'I-Project Contingency'!$F$105=0,0,EA113/SUM(EA:EA)*'I-Project Contingency'!$F$105)</f>
        <v>0</v>
      </c>
      <c r="FV113" s="788">
        <f>IF(EB113/SUM(EB:EB)*'I-Project Contingency'!$F$106=0,0,EB113/SUM(EB:EB)*'I-Project Contingency'!$F$106)</f>
        <v>0</v>
      </c>
      <c r="FW113" s="335">
        <f t="shared" si="52"/>
        <v>96</v>
      </c>
      <c r="FX113" s="336" t="str">
        <f t="shared" si="53"/>
        <v xml:space="preserve">96 -  </v>
      </c>
      <c r="FY113" s="330">
        <f t="shared" si="43"/>
        <v>0</v>
      </c>
      <c r="FZ113" s="330">
        <f t="shared" si="44"/>
        <v>0</v>
      </c>
      <c r="GA113" s="332">
        <f t="shared" si="54"/>
        <v>0</v>
      </c>
      <c r="GB113" s="332">
        <f t="shared" si="55"/>
        <v>0</v>
      </c>
    </row>
    <row r="114" spans="1:184" ht="30" x14ac:dyDescent="0.25">
      <c r="A114" s="163">
        <f>A113+1</f>
        <v>97</v>
      </c>
      <c r="B114" s="727" t="s">
        <v>728</v>
      </c>
      <c r="C114" s="729" t="s">
        <v>659</v>
      </c>
      <c r="D114" s="729" t="s">
        <v>659</v>
      </c>
      <c r="E114" s="729" t="s">
        <v>659</v>
      </c>
      <c r="F114" s="728" t="s">
        <v>728</v>
      </c>
      <c r="G114" s="728" t="s">
        <v>728</v>
      </c>
      <c r="H114" s="157" t="str">
        <f>IFERROR(IF('H-Risk Register-Model'!F114="Certain","Relook at Basis of Estimate",INDEX('G-Assumptions'!$F$8:$J$11,MATCH(F114,'G-Assumptions'!$D$8:$D$11,0),MATCH(G114,'G-Assumptions'!$F$6:$J$6,0))),"Unrated")</f>
        <v>Unrated</v>
      </c>
      <c r="I114" s="728" t="s">
        <v>728</v>
      </c>
      <c r="J114" s="157" t="str">
        <f>IFERROR(IF('H-Risk Register-Model'!F114="Certain","Relook at Basis of Estimate",INDEX('G-Assumptions'!$F$8:$J$11,MATCH(F114,'G-Assumptions'!$D$8:$D$11,0),MATCH(I114,'G-Assumptions'!$F$6:$J$6,0))),"Unrated")</f>
        <v>Unrated</v>
      </c>
      <c r="K114" s="728" t="s">
        <v>728</v>
      </c>
      <c r="L114" s="728" t="s">
        <v>728</v>
      </c>
      <c r="M114" s="728"/>
      <c r="N114" s="731" t="s">
        <v>728</v>
      </c>
      <c r="O114" s="731" t="s">
        <v>728</v>
      </c>
      <c r="P114" s="732"/>
      <c r="Q114" s="732"/>
      <c r="R114" s="732"/>
      <c r="S114" s="733"/>
      <c r="T114" s="733"/>
      <c r="U114" s="733"/>
      <c r="V114" s="734"/>
      <c r="W114" s="732"/>
      <c r="X114" s="732"/>
      <c r="Y114" s="735">
        <v>1</v>
      </c>
      <c r="Z114" s="736">
        <v>1</v>
      </c>
      <c r="AA114" s="166">
        <f t="shared" si="56"/>
        <v>0</v>
      </c>
      <c r="AB114" s="166">
        <f t="shared" si="57"/>
        <v>0</v>
      </c>
      <c r="AC114" s="166">
        <f t="shared" si="58"/>
        <v>0</v>
      </c>
      <c r="AD114" s="166"/>
      <c r="AE114" s="164">
        <f t="shared" si="41"/>
        <v>0</v>
      </c>
      <c r="AF114" s="167"/>
      <c r="AG114" s="165">
        <f t="shared" si="42"/>
        <v>0</v>
      </c>
      <c r="AH114" s="729"/>
      <c r="AI114" s="729"/>
      <c r="AJ114" s="8"/>
      <c r="AK114" s="495" t="str">
        <f t="shared" si="45"/>
        <v>No</v>
      </c>
      <c r="AL114" s="496">
        <f>'I-Project Contingency'!$I$4</f>
        <v>9000000</v>
      </c>
      <c r="AM114" s="326">
        <f>'I-Project Contingency'!$I$11</f>
        <v>23.978102189781023</v>
      </c>
      <c r="AN114" s="325">
        <f t="shared" si="46"/>
        <v>0</v>
      </c>
      <c r="AO114" s="326">
        <f t="shared" si="47"/>
        <v>0</v>
      </c>
      <c r="AP114" s="641" t="str">
        <f t="shared" si="48"/>
        <v/>
      </c>
      <c r="AQ114" s="641" t="str">
        <f t="shared" si="49"/>
        <v/>
      </c>
      <c r="AR114" s="497" t="str">
        <f t="shared" si="50"/>
        <v/>
      </c>
      <c r="AS114" s="497" t="str">
        <f t="shared" si="51"/>
        <v/>
      </c>
      <c r="AT114" s="8"/>
      <c r="AU114" s="329">
        <f>'I-Project Contingency'!$O$4-AE114</f>
        <v>0</v>
      </c>
      <c r="AV114" s="330">
        <v>-240515.59579276721</v>
      </c>
      <c r="AW114" s="330">
        <v>28172.931401335634</v>
      </c>
      <c r="AX114" s="330">
        <v>193478.84467429668</v>
      </c>
      <c r="AY114" s="330">
        <v>361668.20104834624</v>
      </c>
      <c r="AZ114" s="330">
        <v>524446.91524262261</v>
      </c>
      <c r="BA114" s="330">
        <v>704023.56387635041</v>
      </c>
      <c r="BB114" s="330">
        <v>886394.06956240814</v>
      </c>
      <c r="BC114" s="330">
        <v>1079363.7165157665</v>
      </c>
      <c r="BD114" s="330">
        <v>1280180.1532065615</v>
      </c>
      <c r="BE114" s="330">
        <v>1485323.8019108465</v>
      </c>
      <c r="BF114" s="330">
        <v>1703758.8827524669</v>
      </c>
      <c r="BG114" s="330">
        <v>1949523.4346483489</v>
      </c>
      <c r="BH114" s="330">
        <v>2177897.1603371189</v>
      </c>
      <c r="BI114" s="330">
        <v>2429374.4260425912</v>
      </c>
      <c r="BJ114" s="330">
        <v>2717092.7449284913</v>
      </c>
      <c r="BK114" s="330">
        <v>3010093.6968918457</v>
      </c>
      <c r="BL114" s="330">
        <v>3325414.5894657462</v>
      </c>
      <c r="BM114" s="330">
        <v>3690425.9159493577</v>
      </c>
      <c r="BN114" s="330">
        <v>4143935.1706127762</v>
      </c>
      <c r="BO114" s="330">
        <v>4722651.1159141911</v>
      </c>
      <c r="BP114" s="330">
        <v>5992048.8629153483</v>
      </c>
      <c r="BQ114" s="330">
        <f>'I-Project Contingency'!$E$61-AV114</f>
        <v>0</v>
      </c>
      <c r="BR114" s="330">
        <f>'I-Project Contingency'!$E$62-AW114</f>
        <v>0</v>
      </c>
      <c r="BS114" s="330">
        <f>'I-Project Contingency'!$E$63-AX114</f>
        <v>0</v>
      </c>
      <c r="BT114" s="330">
        <f>'I-Project Contingency'!$E$64-AY114</f>
        <v>0</v>
      </c>
      <c r="BU114" s="330">
        <f>'I-Project Contingency'!$E$65-AZ114</f>
        <v>0</v>
      </c>
      <c r="BV114" s="330">
        <f>'I-Project Contingency'!$E$66-BA114</f>
        <v>0</v>
      </c>
      <c r="BW114" s="330">
        <f>'I-Project Contingency'!$E$67-BB114</f>
        <v>0</v>
      </c>
      <c r="BX114" s="330">
        <f>'I-Project Contingency'!$E$68-BC114</f>
        <v>0</v>
      </c>
      <c r="BY114" s="330">
        <f>'I-Project Contingency'!$E$69-BD114</f>
        <v>0</v>
      </c>
      <c r="BZ114" s="330">
        <f>'I-Project Contingency'!$E$70-BE114</f>
        <v>0</v>
      </c>
      <c r="CA114" s="330">
        <f>'I-Project Contingency'!$E$71-BF114</f>
        <v>0</v>
      </c>
      <c r="CB114" s="330">
        <f>'I-Project Contingency'!$E$72-BG114</f>
        <v>0</v>
      </c>
      <c r="CC114" s="330">
        <f>'I-Project Contingency'!$E$73-BH114</f>
        <v>0</v>
      </c>
      <c r="CD114" s="330">
        <f>'I-Project Contingency'!$E$74-BI114</f>
        <v>0</v>
      </c>
      <c r="CE114" s="330">
        <f>'I-Project Contingency'!$E$75-BJ114</f>
        <v>0</v>
      </c>
      <c r="CF114" s="330">
        <f>'I-Project Contingency'!$E$76-BK114</f>
        <v>0</v>
      </c>
      <c r="CG114" s="330">
        <f>'I-Project Contingency'!$E$77-BL114</f>
        <v>0</v>
      </c>
      <c r="CH114" s="784">
        <f>'I-Project Contingency'!$E$78-BM114</f>
        <v>0</v>
      </c>
      <c r="CI114" s="330">
        <f>'I-Project Contingency'!$E$79-BN114</f>
        <v>0</v>
      </c>
      <c r="CJ114" s="330">
        <f>'I-Project Contingency'!$E$80-BO114</f>
        <v>0</v>
      </c>
      <c r="CK114" s="330">
        <f>'I-Project Contingency'!$E$81-BP114</f>
        <v>0</v>
      </c>
      <c r="CL114" s="331">
        <f>'I-Project Contingency'!$O$5-AG114</f>
        <v>0</v>
      </c>
      <c r="CM114" s="332">
        <v>-0.98711802853447173</v>
      </c>
      <c r="CN114" s="332">
        <v>-0.19547704728364468</v>
      </c>
      <c r="CO114" s="332">
        <v>0.126462150308498</v>
      </c>
      <c r="CP114" s="332">
        <v>0.45967989154545902</v>
      </c>
      <c r="CQ114" s="332">
        <v>0.78297319902744</v>
      </c>
      <c r="CR114" s="332">
        <v>1.0957191966482109</v>
      </c>
      <c r="CS114" s="332">
        <v>1.4418405003536849</v>
      </c>
      <c r="CT114" s="332">
        <v>1.801002404194165</v>
      </c>
      <c r="CU114" s="332">
        <v>2.1797608166947349</v>
      </c>
      <c r="CV114" s="332">
        <v>2.5671680610072478</v>
      </c>
      <c r="CW114" s="332">
        <v>2.9690760644797152</v>
      </c>
      <c r="CX114" s="332">
        <v>3.3964145469774811</v>
      </c>
      <c r="CY114" s="332">
        <v>3.864536087769562</v>
      </c>
      <c r="CZ114" s="332">
        <v>4.3569836138896116</v>
      </c>
      <c r="DA114" s="332">
        <v>4.8862357851222598</v>
      </c>
      <c r="DB114" s="332">
        <v>5.438836997347547</v>
      </c>
      <c r="DC114" s="332">
        <v>6.047993455908566</v>
      </c>
      <c r="DD114" s="785">
        <v>6.720204953601761</v>
      </c>
      <c r="DE114" s="333">
        <v>7.55131678090412</v>
      </c>
      <c r="DF114" s="332">
        <v>8.661446370835737</v>
      </c>
      <c r="DG114" s="332">
        <v>11.206316207857133</v>
      </c>
      <c r="DH114" s="332">
        <f>'I-Project Contingency'!$E$86-CM114</f>
        <v>0</v>
      </c>
      <c r="DI114" s="332">
        <f>'I-Project Contingency'!$E$87-CN114</f>
        <v>0</v>
      </c>
      <c r="DJ114" s="332">
        <f>'I-Project Contingency'!$E$88-CO114</f>
        <v>0</v>
      </c>
      <c r="DK114" s="332">
        <f>'I-Project Contingency'!$E$89-CP114</f>
        <v>0</v>
      </c>
      <c r="DL114" s="332">
        <f>'I-Project Contingency'!$E$90-CQ114</f>
        <v>0</v>
      </c>
      <c r="DM114" s="332">
        <f>'I-Project Contingency'!$E$91-CR114</f>
        <v>0</v>
      </c>
      <c r="DN114" s="332">
        <f>'I-Project Contingency'!$E$92-CS114</f>
        <v>0</v>
      </c>
      <c r="DO114" s="332">
        <f>'I-Project Contingency'!$E$93-CT114</f>
        <v>0</v>
      </c>
      <c r="DP114" s="332">
        <f>'I-Project Contingency'!$E$94-CU114</f>
        <v>0</v>
      </c>
      <c r="DQ114" s="332">
        <f>'I-Project Contingency'!$E$95-CV114</f>
        <v>0</v>
      </c>
      <c r="DR114" s="332">
        <f>'I-Project Contingency'!$E$96-CW114</f>
        <v>0</v>
      </c>
      <c r="DS114" s="332">
        <f>'I-Project Contingency'!$E$97-CX114</f>
        <v>0</v>
      </c>
      <c r="DT114" s="332">
        <f>'I-Project Contingency'!$E$98-CY114</f>
        <v>0</v>
      </c>
      <c r="DU114" s="332">
        <f>'I-Project Contingency'!$E$99-CZ114</f>
        <v>0</v>
      </c>
      <c r="DV114" s="332">
        <f>'I-Project Contingency'!$E$100-DA114</f>
        <v>0</v>
      </c>
      <c r="DW114" s="332">
        <f>'I-Project Contingency'!$E$101-DB114</f>
        <v>0</v>
      </c>
      <c r="DX114" s="332">
        <f>'I-Project Contingency'!$E$102-DC114</f>
        <v>0</v>
      </c>
      <c r="DY114" s="332">
        <f>'I-Project Contingency'!$E$103-DD114</f>
        <v>0</v>
      </c>
      <c r="DZ114" s="332">
        <f>'I-Project Contingency'!$E$104-DE114</f>
        <v>0</v>
      </c>
      <c r="EA114" s="332">
        <f>'I-Project Contingency'!$E$105-DF114</f>
        <v>0</v>
      </c>
      <c r="EB114" s="332">
        <f>'I-Project Contingency'!$E$106-DG114</f>
        <v>0</v>
      </c>
      <c r="EC114" s="334">
        <f>IF(EE114="N/A","N/A",ABS(INDEX(EE114:EY114,1,MATCH("ROM Cost Risk @ "&amp;'D-Project Data'!$C$6*100&amp;"%",$EE$17:$EY$17,0))))</f>
        <v>0</v>
      </c>
      <c r="ED114" s="335">
        <f>IF(EC114="N/A","N/A",RANK(EC114,$EC$18:$EC$117,0)+COUNTIF($EC$18:EC114,EC114)-1)</f>
        <v>97</v>
      </c>
      <c r="EE114" s="334">
        <f>IF(BQ114/SUM(BQ:BQ)*'I-Project Contingency'!$F$61=0,0,BQ114/SUM(BQ:BQ)*'I-Project Contingency'!$F$61)</f>
        <v>0</v>
      </c>
      <c r="EF114" s="334">
        <f>IF(BR114/SUM(BR:BR)*'I-Project Contingency'!$F$62=0,0,BR114/SUM(BR:BR)*'I-Project Contingency'!$F$62)</f>
        <v>0</v>
      </c>
      <c r="EG114" s="334">
        <f>IF(BS114/SUM(BS:BS)*'I-Project Contingency'!$F$63=0,0,BS114/SUM(BS:BS)*'I-Project Contingency'!$F$63)</f>
        <v>0</v>
      </c>
      <c r="EH114" s="334">
        <f>IF(BT114/SUM(BT:BT)*'I-Project Contingency'!$F$64=0,0,BT114/SUM(BT:BT)*'I-Project Contingency'!$F$64)</f>
        <v>0</v>
      </c>
      <c r="EI114" s="334">
        <f>IF(BU114/SUM(BU:BU)*'I-Project Contingency'!$F$65=0,0,BU114/SUM(BU:BU)*'I-Project Contingency'!$F$65)</f>
        <v>0</v>
      </c>
      <c r="EJ114" s="334">
        <f>IF(BV114/SUM(BV:BV)*'I-Project Contingency'!$F$66=0,0,BV114/SUM(BV:BV)*'I-Project Contingency'!$F$66)</f>
        <v>0</v>
      </c>
      <c r="EK114" s="334">
        <f>IF(BW114/SUM(BW:BW)*'I-Project Contingency'!$F$67=0,0,BW114/SUM(BW:BW)*'I-Project Contingency'!$F$67)</f>
        <v>0</v>
      </c>
      <c r="EL114" s="334">
        <f>IF(BX114/SUM(BX:BX)*'I-Project Contingency'!$F$68=0,0,BX114/SUM(BX:BX)*'I-Project Contingency'!$F$68)</f>
        <v>0</v>
      </c>
      <c r="EM114" s="334">
        <f>IF(BY114/SUM(BY:BY)*'I-Project Contingency'!$F$69=0,0,BY114/SUM(BY:BY)*'I-Project Contingency'!$F$69)</f>
        <v>0</v>
      </c>
      <c r="EN114" s="334">
        <f>IF(BZ114/SUM(BZ:BZ)*'I-Project Contingency'!$F$70=0,0,BZ114/SUM(BZ:BZ)*'I-Project Contingency'!$F$70)</f>
        <v>0</v>
      </c>
      <c r="EO114" s="334">
        <f>IF(CA114/SUM(CA:CA)*'I-Project Contingency'!$F$71=0,0,CA114/SUM(CA:CA)*'I-Project Contingency'!$F$71)</f>
        <v>0</v>
      </c>
      <c r="EP114" s="334">
        <f>IF(CB114/SUM(CB:CB)*'I-Project Contingency'!$F$72=0,0,CB114/SUM(CB:CB)*'I-Project Contingency'!$F$72)</f>
        <v>0</v>
      </c>
      <c r="EQ114" s="334">
        <f>IF(CC114/SUM(CC:CC)*'I-Project Contingency'!$F$73=0,0,CC114/SUM(CC:CC)*'I-Project Contingency'!$F$73)</f>
        <v>0</v>
      </c>
      <c r="ER114" s="334">
        <f>IF(CD114/SUM(CD:CD)*'I-Project Contingency'!$F$74=0,0,CD114/SUM(CD:CD)*'I-Project Contingency'!$F$74)</f>
        <v>0</v>
      </c>
      <c r="ES114" s="334">
        <f>IF(CE114/SUM(CE:CE)*'I-Project Contingency'!$F$75=0,0,CE114/SUM(CE:CE)*'I-Project Contingency'!$F$75)</f>
        <v>0</v>
      </c>
      <c r="ET114" s="334">
        <f>IF(CF114/SUM(CF:CF)*'I-Project Contingency'!$F$76=0,0,CF114/SUM(CF:CF)*'I-Project Contingency'!$F$76)</f>
        <v>0</v>
      </c>
      <c r="EU114" s="334">
        <f>IF(CG114/SUM(CG:CG)*'I-Project Contingency'!$F$77=0,0,CG114/SUM(CG:CG)*'I-Project Contingency'!$F$77)</f>
        <v>0</v>
      </c>
      <c r="EV114" s="787">
        <f>IF(CH114/SUM(CH:CH)*'I-Project Contingency'!$F$78=0,0,CH114/SUM(CH:CH)*'I-Project Contingency'!$F$78)</f>
        <v>0</v>
      </c>
      <c r="EW114" s="787">
        <f>IF(CI114/SUM(CI:CI)*'I-Project Contingency'!$F$79=0,0,CI114/SUM(CI:CI)*'I-Project Contingency'!$F$79)</f>
        <v>0</v>
      </c>
      <c r="EX114" s="787">
        <f>IF(CJ114/SUM(CJ:CJ)*'I-Project Contingency'!$F$80=0,0,CJ114/SUM(CJ:CJ)*'I-Project Contingency'!$F$80)</f>
        <v>0</v>
      </c>
      <c r="EY114" s="787">
        <f>IF(CK114/SUM(CK:CK)*'I-Project Contingency'!$F$81=0,0,CK114/SUM(CK:CK)*'I-Project Contingency'!$F$81)</f>
        <v>0</v>
      </c>
      <c r="EZ114" s="333">
        <f>IF(FB114="N/A","N/A",ABS(INDEX(FB114:FV114,1,MATCH("ROM Schedule Risk @ "&amp;'D-Project Data'!$C$6*100&amp;"%",$FB$17:$FV$17,0))))</f>
        <v>0</v>
      </c>
      <c r="FA114" s="335">
        <f>IF(EZ114="N/A","N/A",RANK(EZ114,$EZ$18:$EZ$117,0)+COUNTIF($FB$18:FB114,FB114)-1)</f>
        <v>97</v>
      </c>
      <c r="FB114" s="788">
        <f>IF(DH114/SUM(DH:DH)*'I-Project Contingency'!$F$86=0,0,DH114/SUM(DH:DH)*'I-Project Contingency'!$F$86)</f>
        <v>0</v>
      </c>
      <c r="FC114" s="788">
        <f>IF(DI114/SUM(DI:DI)*'I-Project Contingency'!$F$87=0,0,DI114/SUM(DI:DI)*'I-Project Contingency'!$F$87)</f>
        <v>0</v>
      </c>
      <c r="FD114" s="788">
        <f>IF(DJ114/SUM(DJ:DJ)*'I-Project Contingency'!$F$88=0,0,DJ114/SUM(DJ:DJ)*'I-Project Contingency'!$F$88)</f>
        <v>0</v>
      </c>
      <c r="FE114" s="788">
        <f>IF(DK114/SUM(DK:DK)*'I-Project Contingency'!$F$89=0,0,DK114/SUM(DK:DK)*'I-Project Contingency'!$F$89)</f>
        <v>0</v>
      </c>
      <c r="FF114" s="788">
        <f>IF(DL114/SUM(DL:DL)*'I-Project Contingency'!$F$90=0,0,DL114/SUM(DL:DL)*'I-Project Contingency'!$F$90)</f>
        <v>0</v>
      </c>
      <c r="FG114" s="788">
        <f>IF(DM114/SUM(DM:DM)*'I-Project Contingency'!$F$91=0,0,DM114/SUM(DM:DM)*'I-Project Contingency'!$F$91)</f>
        <v>0</v>
      </c>
      <c r="FH114" s="788">
        <f>IF(DN114/SUM(DN:DN)*'I-Project Contingency'!$F$92=0,0,DN114/SUM(DN:DN)*'I-Project Contingency'!$F$92)</f>
        <v>0</v>
      </c>
      <c r="FI114" s="788">
        <f>IF(DO114/SUM(DO:DO)*'I-Project Contingency'!$F$93=0,0,DO114/SUM(DO:DO)*'I-Project Contingency'!$F$93)</f>
        <v>0</v>
      </c>
      <c r="FJ114" s="788">
        <f>IF(DP114/SUM(DP:DP)*'I-Project Contingency'!$F$94=0,0,DP114/SUM(DP:DP)*'I-Project Contingency'!$F$94)</f>
        <v>0</v>
      </c>
      <c r="FK114" s="788">
        <f>IF(DQ114/SUM(DQ:DQ)*'I-Project Contingency'!$F$95=0,0,DQ114/SUM(DQ:DQ)*'I-Project Contingency'!$F$95)</f>
        <v>0</v>
      </c>
      <c r="FL114" s="788">
        <f>IF(DR114/SUM(DR:DR)*'I-Project Contingency'!$F$96=0,0,DR114/SUM(DR:DR)*'I-Project Contingency'!$F$96)</f>
        <v>0</v>
      </c>
      <c r="FM114" s="788">
        <f>IF(DS114/SUM(DS:DS)*'I-Project Contingency'!$F$97=0,0,DS114/SUM(DS:DS)*'I-Project Contingency'!$F$97)</f>
        <v>0</v>
      </c>
      <c r="FN114" s="788">
        <f>IF(DT114/SUM(DT:DT)*'I-Project Contingency'!$F$98=0,0,DT114/SUM(DT:DT)*'I-Project Contingency'!$F$98)</f>
        <v>0</v>
      </c>
      <c r="FO114" s="788">
        <f>IF(DU114/SUM(DU:DU)*'I-Project Contingency'!$F$99=0,0,DU114/SUM(DU:DU)*'I-Project Contingency'!$F$99)</f>
        <v>0</v>
      </c>
      <c r="FP114" s="788">
        <f>IF(DV114/SUM(DV:DV)*'I-Project Contingency'!$F$100=0,0,DV114/SUM(DV:DV)*'I-Project Contingency'!$F$100)</f>
        <v>0</v>
      </c>
      <c r="FQ114" s="788">
        <f>IF(DW114/SUM(DW:DW)*'I-Project Contingency'!$F$101=0,0,DW114/SUM(DW:DW)*'I-Project Contingency'!$F$101)</f>
        <v>0</v>
      </c>
      <c r="FR114" s="788">
        <f>IF(DX114/SUM(DX:DX)*'I-Project Contingency'!$F$102=0,0,DX114/SUM(DX:DX)*'I-Project Contingency'!$F$102)</f>
        <v>0</v>
      </c>
      <c r="FS114" s="788">
        <f>IF(DY114/SUM(DY:DY)*'I-Project Contingency'!$F$103=0,0,DY114/SUM(DY:DY)*'I-Project Contingency'!$F$103)</f>
        <v>0</v>
      </c>
      <c r="FT114" s="788">
        <f>IF(DZ114/SUM(DZ:DZ)*'I-Project Contingency'!$F$104=0,0,DZ114/SUM(DZ:DZ)*'I-Project Contingency'!$F$104)</f>
        <v>0</v>
      </c>
      <c r="FU114" s="788">
        <f>IF(EA114/SUM(EA:EA)*'I-Project Contingency'!$F$105=0,0,EA114/SUM(EA:EA)*'I-Project Contingency'!$F$105)</f>
        <v>0</v>
      </c>
      <c r="FV114" s="788">
        <f>IF(EB114/SUM(EB:EB)*'I-Project Contingency'!$F$106=0,0,EB114/SUM(EB:EB)*'I-Project Contingency'!$F$106)</f>
        <v>0</v>
      </c>
      <c r="FW114" s="335">
        <f t="shared" si="52"/>
        <v>97</v>
      </c>
      <c r="FX114" s="336" t="str">
        <f t="shared" si="53"/>
        <v xml:space="preserve">97 -  </v>
      </c>
      <c r="FY114" s="330">
        <f t="shared" si="43"/>
        <v>0</v>
      </c>
      <c r="FZ114" s="330">
        <f t="shared" si="44"/>
        <v>0</v>
      </c>
      <c r="GA114" s="332">
        <f t="shared" si="54"/>
        <v>0</v>
      </c>
      <c r="GB114" s="332">
        <f t="shared" si="55"/>
        <v>0</v>
      </c>
    </row>
    <row r="115" spans="1:184" ht="30" x14ac:dyDescent="0.25">
      <c r="A115" s="163">
        <f>A114+1</f>
        <v>98</v>
      </c>
      <c r="B115" s="727" t="s">
        <v>728</v>
      </c>
      <c r="C115" s="729" t="s">
        <v>659</v>
      </c>
      <c r="D115" s="729" t="s">
        <v>659</v>
      </c>
      <c r="E115" s="729" t="s">
        <v>659</v>
      </c>
      <c r="F115" s="728" t="s">
        <v>728</v>
      </c>
      <c r="G115" s="728" t="s">
        <v>728</v>
      </c>
      <c r="H115" s="157" t="str">
        <f>IFERROR(IF('H-Risk Register-Model'!F115="Certain","Relook at Basis of Estimate",INDEX('G-Assumptions'!$F$8:$J$11,MATCH(F115,'G-Assumptions'!$D$8:$D$11,0),MATCH(G115,'G-Assumptions'!$F$6:$J$6,0))),"Unrated")</f>
        <v>Unrated</v>
      </c>
      <c r="I115" s="728" t="s">
        <v>728</v>
      </c>
      <c r="J115" s="157" t="str">
        <f>IFERROR(IF('H-Risk Register-Model'!F115="Certain","Relook at Basis of Estimate",INDEX('G-Assumptions'!$F$8:$J$11,MATCH(F115,'G-Assumptions'!$D$8:$D$11,0),MATCH(I115,'G-Assumptions'!$F$6:$J$6,0))),"Unrated")</f>
        <v>Unrated</v>
      </c>
      <c r="K115" s="728" t="s">
        <v>728</v>
      </c>
      <c r="L115" s="728" t="s">
        <v>728</v>
      </c>
      <c r="M115" s="728"/>
      <c r="N115" s="731" t="s">
        <v>728</v>
      </c>
      <c r="O115" s="731" t="s">
        <v>728</v>
      </c>
      <c r="P115" s="732"/>
      <c r="Q115" s="732"/>
      <c r="R115" s="732"/>
      <c r="S115" s="733"/>
      <c r="T115" s="733"/>
      <c r="U115" s="733"/>
      <c r="V115" s="734"/>
      <c r="W115" s="732"/>
      <c r="X115" s="732"/>
      <c r="Y115" s="735">
        <v>1</v>
      </c>
      <c r="Z115" s="736">
        <v>1</v>
      </c>
      <c r="AA115" s="166">
        <f t="shared" si="56"/>
        <v>0</v>
      </c>
      <c r="AB115" s="166">
        <f t="shared" si="57"/>
        <v>0</v>
      </c>
      <c r="AC115" s="166">
        <f t="shared" si="58"/>
        <v>0</v>
      </c>
      <c r="AD115" s="166"/>
      <c r="AE115" s="164">
        <f t="shared" ref="AE115:AE116" si="59">AD115*Z115</f>
        <v>0</v>
      </c>
      <c r="AF115" s="167"/>
      <c r="AG115" s="165">
        <f t="shared" ref="AG115:AG116" si="60">AF115*Z115</f>
        <v>0</v>
      </c>
      <c r="AH115" s="729"/>
      <c r="AI115" s="729"/>
      <c r="AJ115" s="8"/>
      <c r="AK115" s="495" t="str">
        <f t="shared" si="45"/>
        <v>No</v>
      </c>
      <c r="AL115" s="496">
        <f>'I-Project Contingency'!$I$4</f>
        <v>9000000</v>
      </c>
      <c r="AM115" s="326">
        <f>'I-Project Contingency'!$I$11</f>
        <v>23.978102189781023</v>
      </c>
      <c r="AN115" s="325">
        <f t="shared" si="46"/>
        <v>0</v>
      </c>
      <c r="AO115" s="326">
        <f t="shared" si="47"/>
        <v>0</v>
      </c>
      <c r="AP115" s="641" t="str">
        <f t="shared" si="48"/>
        <v/>
      </c>
      <c r="AQ115" s="641" t="str">
        <f t="shared" si="49"/>
        <v/>
      </c>
      <c r="AR115" s="497" t="str">
        <f t="shared" si="50"/>
        <v/>
      </c>
      <c r="AS115" s="497" t="str">
        <f t="shared" si="51"/>
        <v/>
      </c>
      <c r="AT115" s="8"/>
      <c r="AU115" s="329">
        <f>'I-Project Contingency'!$O$4-AE115</f>
        <v>0</v>
      </c>
      <c r="AV115" s="330">
        <v>-240515.59579276721</v>
      </c>
      <c r="AW115" s="330">
        <v>28172.931401335634</v>
      </c>
      <c r="AX115" s="330">
        <v>193478.84467429668</v>
      </c>
      <c r="AY115" s="330">
        <v>361668.20104834624</v>
      </c>
      <c r="AZ115" s="330">
        <v>524446.91524262261</v>
      </c>
      <c r="BA115" s="330">
        <v>704023.56387635041</v>
      </c>
      <c r="BB115" s="330">
        <v>886394.06956240814</v>
      </c>
      <c r="BC115" s="330">
        <v>1079363.7165157665</v>
      </c>
      <c r="BD115" s="330">
        <v>1280180.1532065615</v>
      </c>
      <c r="BE115" s="330">
        <v>1485323.8019108465</v>
      </c>
      <c r="BF115" s="330">
        <v>1703758.8827524669</v>
      </c>
      <c r="BG115" s="330">
        <v>1949523.4346483489</v>
      </c>
      <c r="BH115" s="330">
        <v>2177897.1603371189</v>
      </c>
      <c r="BI115" s="330">
        <v>2429374.4260425912</v>
      </c>
      <c r="BJ115" s="330">
        <v>2717092.7449284913</v>
      </c>
      <c r="BK115" s="330">
        <v>3010093.6968918457</v>
      </c>
      <c r="BL115" s="330">
        <v>3325414.5894657462</v>
      </c>
      <c r="BM115" s="330">
        <v>3690425.9159493577</v>
      </c>
      <c r="BN115" s="330">
        <v>4143935.1706127762</v>
      </c>
      <c r="BO115" s="330">
        <v>4722651.1159141911</v>
      </c>
      <c r="BP115" s="330">
        <v>5992048.8629153483</v>
      </c>
      <c r="BQ115" s="330">
        <f>'I-Project Contingency'!$E$61-AV115</f>
        <v>0</v>
      </c>
      <c r="BR115" s="330">
        <f>'I-Project Contingency'!$E$62-AW115</f>
        <v>0</v>
      </c>
      <c r="BS115" s="330">
        <f>'I-Project Contingency'!$E$63-AX115</f>
        <v>0</v>
      </c>
      <c r="BT115" s="330">
        <f>'I-Project Contingency'!$E$64-AY115</f>
        <v>0</v>
      </c>
      <c r="BU115" s="330">
        <f>'I-Project Contingency'!$E$65-AZ115</f>
        <v>0</v>
      </c>
      <c r="BV115" s="330">
        <f>'I-Project Contingency'!$E$66-BA115</f>
        <v>0</v>
      </c>
      <c r="BW115" s="330">
        <f>'I-Project Contingency'!$E$67-BB115</f>
        <v>0</v>
      </c>
      <c r="BX115" s="330">
        <f>'I-Project Contingency'!$E$68-BC115</f>
        <v>0</v>
      </c>
      <c r="BY115" s="330">
        <f>'I-Project Contingency'!$E$69-BD115</f>
        <v>0</v>
      </c>
      <c r="BZ115" s="330">
        <f>'I-Project Contingency'!$E$70-BE115</f>
        <v>0</v>
      </c>
      <c r="CA115" s="330">
        <f>'I-Project Contingency'!$E$71-BF115</f>
        <v>0</v>
      </c>
      <c r="CB115" s="330">
        <f>'I-Project Contingency'!$E$72-BG115</f>
        <v>0</v>
      </c>
      <c r="CC115" s="330">
        <f>'I-Project Contingency'!$E$73-BH115</f>
        <v>0</v>
      </c>
      <c r="CD115" s="330">
        <f>'I-Project Contingency'!$E$74-BI115</f>
        <v>0</v>
      </c>
      <c r="CE115" s="330">
        <f>'I-Project Contingency'!$E$75-BJ115</f>
        <v>0</v>
      </c>
      <c r="CF115" s="330">
        <f>'I-Project Contingency'!$E$76-BK115</f>
        <v>0</v>
      </c>
      <c r="CG115" s="330">
        <f>'I-Project Contingency'!$E$77-BL115</f>
        <v>0</v>
      </c>
      <c r="CH115" s="784">
        <f>'I-Project Contingency'!$E$78-BM115</f>
        <v>0</v>
      </c>
      <c r="CI115" s="330">
        <f>'I-Project Contingency'!$E$79-BN115</f>
        <v>0</v>
      </c>
      <c r="CJ115" s="330">
        <f>'I-Project Contingency'!$E$80-BO115</f>
        <v>0</v>
      </c>
      <c r="CK115" s="330">
        <f>'I-Project Contingency'!$E$81-BP115</f>
        <v>0</v>
      </c>
      <c r="CL115" s="331">
        <f>'I-Project Contingency'!$O$5-AG115</f>
        <v>0</v>
      </c>
      <c r="CM115" s="332">
        <v>-0.98711802853447173</v>
      </c>
      <c r="CN115" s="332">
        <v>-0.19547704728364468</v>
      </c>
      <c r="CO115" s="332">
        <v>0.126462150308498</v>
      </c>
      <c r="CP115" s="332">
        <v>0.45967989154545902</v>
      </c>
      <c r="CQ115" s="332">
        <v>0.78297319902744</v>
      </c>
      <c r="CR115" s="332">
        <v>1.0957191966482109</v>
      </c>
      <c r="CS115" s="332">
        <v>1.4418405003536849</v>
      </c>
      <c r="CT115" s="332">
        <v>1.801002404194165</v>
      </c>
      <c r="CU115" s="332">
        <v>2.1797608166947349</v>
      </c>
      <c r="CV115" s="332">
        <v>2.5671680610072478</v>
      </c>
      <c r="CW115" s="332">
        <v>2.9690760644797152</v>
      </c>
      <c r="CX115" s="332">
        <v>3.3964145469774811</v>
      </c>
      <c r="CY115" s="332">
        <v>3.864536087769562</v>
      </c>
      <c r="CZ115" s="332">
        <v>4.3569836138896116</v>
      </c>
      <c r="DA115" s="332">
        <v>4.8862357851222598</v>
      </c>
      <c r="DB115" s="332">
        <v>5.438836997347547</v>
      </c>
      <c r="DC115" s="332">
        <v>6.047993455908566</v>
      </c>
      <c r="DD115" s="785">
        <v>6.720204953601761</v>
      </c>
      <c r="DE115" s="333">
        <v>7.55131678090412</v>
      </c>
      <c r="DF115" s="332">
        <v>8.661446370835737</v>
      </c>
      <c r="DG115" s="332">
        <v>11.206316207857133</v>
      </c>
      <c r="DH115" s="332">
        <f>'I-Project Contingency'!$E$86-CM115</f>
        <v>0</v>
      </c>
      <c r="DI115" s="332">
        <f>'I-Project Contingency'!$E$87-CN115</f>
        <v>0</v>
      </c>
      <c r="DJ115" s="332">
        <f>'I-Project Contingency'!$E$88-CO115</f>
        <v>0</v>
      </c>
      <c r="DK115" s="332">
        <f>'I-Project Contingency'!$E$89-CP115</f>
        <v>0</v>
      </c>
      <c r="DL115" s="332">
        <f>'I-Project Contingency'!$E$90-CQ115</f>
        <v>0</v>
      </c>
      <c r="DM115" s="332">
        <f>'I-Project Contingency'!$E$91-CR115</f>
        <v>0</v>
      </c>
      <c r="DN115" s="332">
        <f>'I-Project Contingency'!$E$92-CS115</f>
        <v>0</v>
      </c>
      <c r="DO115" s="332">
        <f>'I-Project Contingency'!$E$93-CT115</f>
        <v>0</v>
      </c>
      <c r="DP115" s="332">
        <f>'I-Project Contingency'!$E$94-CU115</f>
        <v>0</v>
      </c>
      <c r="DQ115" s="332">
        <f>'I-Project Contingency'!$E$95-CV115</f>
        <v>0</v>
      </c>
      <c r="DR115" s="332">
        <f>'I-Project Contingency'!$E$96-CW115</f>
        <v>0</v>
      </c>
      <c r="DS115" s="332">
        <f>'I-Project Contingency'!$E$97-CX115</f>
        <v>0</v>
      </c>
      <c r="DT115" s="332">
        <f>'I-Project Contingency'!$E$98-CY115</f>
        <v>0</v>
      </c>
      <c r="DU115" s="332">
        <f>'I-Project Contingency'!$E$99-CZ115</f>
        <v>0</v>
      </c>
      <c r="DV115" s="332">
        <f>'I-Project Contingency'!$E$100-DA115</f>
        <v>0</v>
      </c>
      <c r="DW115" s="332">
        <f>'I-Project Contingency'!$E$101-DB115</f>
        <v>0</v>
      </c>
      <c r="DX115" s="332">
        <f>'I-Project Contingency'!$E$102-DC115</f>
        <v>0</v>
      </c>
      <c r="DY115" s="332">
        <f>'I-Project Contingency'!$E$103-DD115</f>
        <v>0</v>
      </c>
      <c r="DZ115" s="332">
        <f>'I-Project Contingency'!$E$104-DE115</f>
        <v>0</v>
      </c>
      <c r="EA115" s="332">
        <f>'I-Project Contingency'!$E$105-DF115</f>
        <v>0</v>
      </c>
      <c r="EB115" s="332">
        <f>'I-Project Contingency'!$E$106-DG115</f>
        <v>0</v>
      </c>
      <c r="EC115" s="334">
        <f>IF(EE115="N/A","N/A",ABS(INDEX(EE115:EY115,1,MATCH("ROM Cost Risk @ "&amp;'D-Project Data'!$C$6*100&amp;"%",$EE$17:$EY$17,0))))</f>
        <v>0</v>
      </c>
      <c r="ED115" s="335">
        <f>IF(EC115="N/A","N/A",RANK(EC115,$EC$18:$EC$117,0)+COUNTIF($EC$18:EC115,EC115)-1)</f>
        <v>98</v>
      </c>
      <c r="EE115" s="334">
        <f>IF(BQ115/SUM(BQ:BQ)*'I-Project Contingency'!$F$61=0,0,BQ115/SUM(BQ:BQ)*'I-Project Contingency'!$F$61)</f>
        <v>0</v>
      </c>
      <c r="EF115" s="334">
        <f>IF(BR115/SUM(BR:BR)*'I-Project Contingency'!$F$62=0,0,BR115/SUM(BR:BR)*'I-Project Contingency'!$F$62)</f>
        <v>0</v>
      </c>
      <c r="EG115" s="334">
        <f>IF(BS115/SUM(BS:BS)*'I-Project Contingency'!$F$63=0,0,BS115/SUM(BS:BS)*'I-Project Contingency'!$F$63)</f>
        <v>0</v>
      </c>
      <c r="EH115" s="334">
        <f>IF(BT115/SUM(BT:BT)*'I-Project Contingency'!$F$64=0,0,BT115/SUM(BT:BT)*'I-Project Contingency'!$F$64)</f>
        <v>0</v>
      </c>
      <c r="EI115" s="334">
        <f>IF(BU115/SUM(BU:BU)*'I-Project Contingency'!$F$65=0,0,BU115/SUM(BU:BU)*'I-Project Contingency'!$F$65)</f>
        <v>0</v>
      </c>
      <c r="EJ115" s="334">
        <f>IF(BV115/SUM(BV:BV)*'I-Project Contingency'!$F$66=0,0,BV115/SUM(BV:BV)*'I-Project Contingency'!$F$66)</f>
        <v>0</v>
      </c>
      <c r="EK115" s="334">
        <f>IF(BW115/SUM(BW:BW)*'I-Project Contingency'!$F$67=0,0,BW115/SUM(BW:BW)*'I-Project Contingency'!$F$67)</f>
        <v>0</v>
      </c>
      <c r="EL115" s="334">
        <f>IF(BX115/SUM(BX:BX)*'I-Project Contingency'!$F$68=0,0,BX115/SUM(BX:BX)*'I-Project Contingency'!$F$68)</f>
        <v>0</v>
      </c>
      <c r="EM115" s="334">
        <f>IF(BY115/SUM(BY:BY)*'I-Project Contingency'!$F$69=0,0,BY115/SUM(BY:BY)*'I-Project Contingency'!$F$69)</f>
        <v>0</v>
      </c>
      <c r="EN115" s="334">
        <f>IF(BZ115/SUM(BZ:BZ)*'I-Project Contingency'!$F$70=0,0,BZ115/SUM(BZ:BZ)*'I-Project Contingency'!$F$70)</f>
        <v>0</v>
      </c>
      <c r="EO115" s="334">
        <f>IF(CA115/SUM(CA:CA)*'I-Project Contingency'!$F$71=0,0,CA115/SUM(CA:CA)*'I-Project Contingency'!$F$71)</f>
        <v>0</v>
      </c>
      <c r="EP115" s="334">
        <f>IF(CB115/SUM(CB:CB)*'I-Project Contingency'!$F$72=0,0,CB115/SUM(CB:CB)*'I-Project Contingency'!$F$72)</f>
        <v>0</v>
      </c>
      <c r="EQ115" s="334">
        <f>IF(CC115/SUM(CC:CC)*'I-Project Contingency'!$F$73=0,0,CC115/SUM(CC:CC)*'I-Project Contingency'!$F$73)</f>
        <v>0</v>
      </c>
      <c r="ER115" s="334">
        <f>IF(CD115/SUM(CD:CD)*'I-Project Contingency'!$F$74=0,0,CD115/SUM(CD:CD)*'I-Project Contingency'!$F$74)</f>
        <v>0</v>
      </c>
      <c r="ES115" s="334">
        <f>IF(CE115/SUM(CE:CE)*'I-Project Contingency'!$F$75=0,0,CE115/SUM(CE:CE)*'I-Project Contingency'!$F$75)</f>
        <v>0</v>
      </c>
      <c r="ET115" s="334">
        <f>IF(CF115/SUM(CF:CF)*'I-Project Contingency'!$F$76=0,0,CF115/SUM(CF:CF)*'I-Project Contingency'!$F$76)</f>
        <v>0</v>
      </c>
      <c r="EU115" s="334">
        <f>IF(CG115/SUM(CG:CG)*'I-Project Contingency'!$F$77=0,0,CG115/SUM(CG:CG)*'I-Project Contingency'!$F$77)</f>
        <v>0</v>
      </c>
      <c r="EV115" s="787">
        <f>IF(CH115/SUM(CH:CH)*'I-Project Contingency'!$F$78=0,0,CH115/SUM(CH:CH)*'I-Project Contingency'!$F$78)</f>
        <v>0</v>
      </c>
      <c r="EW115" s="787">
        <f>IF(CI115/SUM(CI:CI)*'I-Project Contingency'!$F$79=0,0,CI115/SUM(CI:CI)*'I-Project Contingency'!$F$79)</f>
        <v>0</v>
      </c>
      <c r="EX115" s="787">
        <f>IF(CJ115/SUM(CJ:CJ)*'I-Project Contingency'!$F$80=0,0,CJ115/SUM(CJ:CJ)*'I-Project Contingency'!$F$80)</f>
        <v>0</v>
      </c>
      <c r="EY115" s="787">
        <f>IF(CK115/SUM(CK:CK)*'I-Project Contingency'!$F$81=0,0,CK115/SUM(CK:CK)*'I-Project Contingency'!$F$81)</f>
        <v>0</v>
      </c>
      <c r="EZ115" s="333">
        <f>IF(FB115="N/A","N/A",ABS(INDEX(FB115:FV115,1,MATCH("ROM Schedule Risk @ "&amp;'D-Project Data'!$C$6*100&amp;"%",$FB$17:$FV$17,0))))</f>
        <v>0</v>
      </c>
      <c r="FA115" s="335">
        <f>IF(EZ115="N/A","N/A",RANK(EZ115,$EZ$18:$EZ$117,0)+COUNTIF($FB$18:FB115,FB115)-1)</f>
        <v>98</v>
      </c>
      <c r="FB115" s="788">
        <f>IF(DH115/SUM(DH:DH)*'I-Project Contingency'!$F$86=0,0,DH115/SUM(DH:DH)*'I-Project Contingency'!$F$86)</f>
        <v>0</v>
      </c>
      <c r="FC115" s="788">
        <f>IF(DI115/SUM(DI:DI)*'I-Project Contingency'!$F$87=0,0,DI115/SUM(DI:DI)*'I-Project Contingency'!$F$87)</f>
        <v>0</v>
      </c>
      <c r="FD115" s="788">
        <f>IF(DJ115/SUM(DJ:DJ)*'I-Project Contingency'!$F$88=0,0,DJ115/SUM(DJ:DJ)*'I-Project Contingency'!$F$88)</f>
        <v>0</v>
      </c>
      <c r="FE115" s="788">
        <f>IF(DK115/SUM(DK:DK)*'I-Project Contingency'!$F$89=0,0,DK115/SUM(DK:DK)*'I-Project Contingency'!$F$89)</f>
        <v>0</v>
      </c>
      <c r="FF115" s="788">
        <f>IF(DL115/SUM(DL:DL)*'I-Project Contingency'!$F$90=0,0,DL115/SUM(DL:DL)*'I-Project Contingency'!$F$90)</f>
        <v>0</v>
      </c>
      <c r="FG115" s="788">
        <f>IF(DM115/SUM(DM:DM)*'I-Project Contingency'!$F$91=0,0,DM115/SUM(DM:DM)*'I-Project Contingency'!$F$91)</f>
        <v>0</v>
      </c>
      <c r="FH115" s="788">
        <f>IF(DN115/SUM(DN:DN)*'I-Project Contingency'!$F$92=0,0,DN115/SUM(DN:DN)*'I-Project Contingency'!$F$92)</f>
        <v>0</v>
      </c>
      <c r="FI115" s="788">
        <f>IF(DO115/SUM(DO:DO)*'I-Project Contingency'!$F$93=0,0,DO115/SUM(DO:DO)*'I-Project Contingency'!$F$93)</f>
        <v>0</v>
      </c>
      <c r="FJ115" s="788">
        <f>IF(DP115/SUM(DP:DP)*'I-Project Contingency'!$F$94=0,0,DP115/SUM(DP:DP)*'I-Project Contingency'!$F$94)</f>
        <v>0</v>
      </c>
      <c r="FK115" s="788">
        <f>IF(DQ115/SUM(DQ:DQ)*'I-Project Contingency'!$F$95=0,0,DQ115/SUM(DQ:DQ)*'I-Project Contingency'!$F$95)</f>
        <v>0</v>
      </c>
      <c r="FL115" s="788">
        <f>IF(DR115/SUM(DR:DR)*'I-Project Contingency'!$F$96=0,0,DR115/SUM(DR:DR)*'I-Project Contingency'!$F$96)</f>
        <v>0</v>
      </c>
      <c r="FM115" s="788">
        <f>IF(DS115/SUM(DS:DS)*'I-Project Contingency'!$F$97=0,0,DS115/SUM(DS:DS)*'I-Project Contingency'!$F$97)</f>
        <v>0</v>
      </c>
      <c r="FN115" s="788">
        <f>IF(DT115/SUM(DT:DT)*'I-Project Contingency'!$F$98=0,0,DT115/SUM(DT:DT)*'I-Project Contingency'!$F$98)</f>
        <v>0</v>
      </c>
      <c r="FO115" s="788">
        <f>IF(DU115/SUM(DU:DU)*'I-Project Contingency'!$F$99=0,0,DU115/SUM(DU:DU)*'I-Project Contingency'!$F$99)</f>
        <v>0</v>
      </c>
      <c r="FP115" s="788">
        <f>IF(DV115/SUM(DV:DV)*'I-Project Contingency'!$F$100=0,0,DV115/SUM(DV:DV)*'I-Project Contingency'!$F$100)</f>
        <v>0</v>
      </c>
      <c r="FQ115" s="788">
        <f>IF(DW115/SUM(DW:DW)*'I-Project Contingency'!$F$101=0,0,DW115/SUM(DW:DW)*'I-Project Contingency'!$F$101)</f>
        <v>0</v>
      </c>
      <c r="FR115" s="788">
        <f>IF(DX115/SUM(DX:DX)*'I-Project Contingency'!$F$102=0,0,DX115/SUM(DX:DX)*'I-Project Contingency'!$F$102)</f>
        <v>0</v>
      </c>
      <c r="FS115" s="788">
        <f>IF(DY115/SUM(DY:DY)*'I-Project Contingency'!$F$103=0,0,DY115/SUM(DY:DY)*'I-Project Contingency'!$F$103)</f>
        <v>0</v>
      </c>
      <c r="FT115" s="788">
        <f>IF(DZ115/SUM(DZ:DZ)*'I-Project Contingency'!$F$104=0,0,DZ115/SUM(DZ:DZ)*'I-Project Contingency'!$F$104)</f>
        <v>0</v>
      </c>
      <c r="FU115" s="788">
        <f>IF(EA115/SUM(EA:EA)*'I-Project Contingency'!$F$105=0,0,EA115/SUM(EA:EA)*'I-Project Contingency'!$F$105)</f>
        <v>0</v>
      </c>
      <c r="FV115" s="788">
        <f>IF(EB115/SUM(EB:EB)*'I-Project Contingency'!$F$106=0,0,EB115/SUM(EB:EB)*'I-Project Contingency'!$F$106)</f>
        <v>0</v>
      </c>
      <c r="FW115" s="335">
        <f t="shared" si="52"/>
        <v>98</v>
      </c>
      <c r="FX115" s="336" t="str">
        <f t="shared" si="53"/>
        <v xml:space="preserve">98 -  </v>
      </c>
      <c r="FY115" s="330">
        <f t="shared" ref="FY115:FY116" si="61">AA115</f>
        <v>0</v>
      </c>
      <c r="FZ115" s="330">
        <f t="shared" ref="FZ115:FZ116" si="62">AC115</f>
        <v>0</v>
      </c>
      <c r="GA115" s="332">
        <f t="shared" si="54"/>
        <v>0</v>
      </c>
      <c r="GB115" s="332">
        <f t="shared" si="55"/>
        <v>0</v>
      </c>
    </row>
    <row r="116" spans="1:184" ht="30" x14ac:dyDescent="0.25">
      <c r="A116" s="163">
        <f>A114+1</f>
        <v>98</v>
      </c>
      <c r="B116" s="727" t="s">
        <v>728</v>
      </c>
      <c r="C116" s="729" t="s">
        <v>659</v>
      </c>
      <c r="D116" s="729" t="s">
        <v>659</v>
      </c>
      <c r="E116" s="729" t="s">
        <v>659</v>
      </c>
      <c r="F116" s="728" t="s">
        <v>728</v>
      </c>
      <c r="G116" s="728" t="s">
        <v>728</v>
      </c>
      <c r="H116" s="157" t="str">
        <f>IFERROR(IF('H-Risk Register-Model'!F116="Certain","Relook at Basis of Estimate",INDEX('G-Assumptions'!$F$8:$J$11,MATCH(F116,'G-Assumptions'!$D$8:$D$11,0),MATCH(G116,'G-Assumptions'!$F$6:$J$6,0))),"Unrated")</f>
        <v>Unrated</v>
      </c>
      <c r="I116" s="728" t="s">
        <v>728</v>
      </c>
      <c r="J116" s="157" t="str">
        <f>IFERROR(IF('H-Risk Register-Model'!F116="Certain","Relook at Basis of Estimate",INDEX('G-Assumptions'!$F$8:$J$11,MATCH(F116,'G-Assumptions'!$D$8:$D$11,0),MATCH(I116,'G-Assumptions'!$F$6:$J$6,0))),"Unrated")</f>
        <v>Unrated</v>
      </c>
      <c r="K116" s="728" t="s">
        <v>728</v>
      </c>
      <c r="L116" s="728" t="s">
        <v>728</v>
      </c>
      <c r="M116" s="728"/>
      <c r="N116" s="731" t="s">
        <v>728</v>
      </c>
      <c r="O116" s="731" t="s">
        <v>728</v>
      </c>
      <c r="P116" s="732"/>
      <c r="Q116" s="732"/>
      <c r="R116" s="732"/>
      <c r="S116" s="733"/>
      <c r="T116" s="733"/>
      <c r="U116" s="733"/>
      <c r="V116" s="734"/>
      <c r="W116" s="732"/>
      <c r="X116" s="732"/>
      <c r="Y116" s="735">
        <v>1</v>
      </c>
      <c r="Z116" s="736">
        <v>1</v>
      </c>
      <c r="AA116" s="166">
        <f t="shared" si="56"/>
        <v>0</v>
      </c>
      <c r="AB116" s="166">
        <f t="shared" si="57"/>
        <v>0</v>
      </c>
      <c r="AC116" s="166">
        <f t="shared" si="58"/>
        <v>0</v>
      </c>
      <c r="AD116" s="166"/>
      <c r="AE116" s="164">
        <f t="shared" si="59"/>
        <v>0</v>
      </c>
      <c r="AF116" s="167"/>
      <c r="AG116" s="165">
        <f t="shared" si="60"/>
        <v>0</v>
      </c>
      <c r="AH116" s="729"/>
      <c r="AI116" s="729"/>
      <c r="AJ116" s="8"/>
      <c r="AK116" s="495" t="str">
        <f t="shared" si="45"/>
        <v>No</v>
      </c>
      <c r="AL116" s="496">
        <f>'I-Project Contingency'!$I$4</f>
        <v>9000000</v>
      </c>
      <c r="AM116" s="326">
        <f>'I-Project Contingency'!$I$11</f>
        <v>23.978102189781023</v>
      </c>
      <c r="AN116" s="325">
        <f t="shared" si="46"/>
        <v>0</v>
      </c>
      <c r="AO116" s="326">
        <f t="shared" si="47"/>
        <v>0</v>
      </c>
      <c r="AP116" s="641" t="str">
        <f t="shared" si="48"/>
        <v/>
      </c>
      <c r="AQ116" s="641" t="str">
        <f t="shared" si="49"/>
        <v/>
      </c>
      <c r="AR116" s="497" t="str">
        <f t="shared" si="50"/>
        <v/>
      </c>
      <c r="AS116" s="497" t="str">
        <f t="shared" si="51"/>
        <v/>
      </c>
      <c r="AT116" s="8"/>
      <c r="AU116" s="329">
        <f>'I-Project Contingency'!$O$4-AE116</f>
        <v>0</v>
      </c>
      <c r="AV116" s="330">
        <v>-240515.59579276721</v>
      </c>
      <c r="AW116" s="330">
        <v>28172.931401335634</v>
      </c>
      <c r="AX116" s="330">
        <v>193478.84467429668</v>
      </c>
      <c r="AY116" s="330">
        <v>361668.20104834624</v>
      </c>
      <c r="AZ116" s="330">
        <v>524446.91524262261</v>
      </c>
      <c r="BA116" s="330">
        <v>704023.56387635041</v>
      </c>
      <c r="BB116" s="330">
        <v>886394.06956240814</v>
      </c>
      <c r="BC116" s="330">
        <v>1079363.7165157665</v>
      </c>
      <c r="BD116" s="330">
        <v>1280180.1532065615</v>
      </c>
      <c r="BE116" s="330">
        <v>1485323.8019108465</v>
      </c>
      <c r="BF116" s="330">
        <v>1703758.8827524669</v>
      </c>
      <c r="BG116" s="330">
        <v>1949523.4346483489</v>
      </c>
      <c r="BH116" s="330">
        <v>2177897.1603371189</v>
      </c>
      <c r="BI116" s="330">
        <v>2429374.4260425912</v>
      </c>
      <c r="BJ116" s="330">
        <v>2717092.7449284913</v>
      </c>
      <c r="BK116" s="330">
        <v>3010093.6968918457</v>
      </c>
      <c r="BL116" s="330">
        <v>3325414.5894657462</v>
      </c>
      <c r="BM116" s="330">
        <v>3690425.9159493577</v>
      </c>
      <c r="BN116" s="330">
        <v>4143935.1706127762</v>
      </c>
      <c r="BO116" s="330">
        <v>4722651.1159141911</v>
      </c>
      <c r="BP116" s="330">
        <v>5992048.8629153483</v>
      </c>
      <c r="BQ116" s="330">
        <f>'I-Project Contingency'!$E$61-AV116</f>
        <v>0</v>
      </c>
      <c r="BR116" s="330">
        <f>'I-Project Contingency'!$E$62-AW116</f>
        <v>0</v>
      </c>
      <c r="BS116" s="330">
        <f>'I-Project Contingency'!$E$63-AX116</f>
        <v>0</v>
      </c>
      <c r="BT116" s="330">
        <f>'I-Project Contingency'!$E$64-AY116</f>
        <v>0</v>
      </c>
      <c r="BU116" s="330">
        <f>'I-Project Contingency'!$E$65-AZ116</f>
        <v>0</v>
      </c>
      <c r="BV116" s="330">
        <f>'I-Project Contingency'!$E$66-BA116</f>
        <v>0</v>
      </c>
      <c r="BW116" s="330">
        <f>'I-Project Contingency'!$E$67-BB116</f>
        <v>0</v>
      </c>
      <c r="BX116" s="330">
        <f>'I-Project Contingency'!$E$68-BC116</f>
        <v>0</v>
      </c>
      <c r="BY116" s="330">
        <f>'I-Project Contingency'!$E$69-BD116</f>
        <v>0</v>
      </c>
      <c r="BZ116" s="330">
        <f>'I-Project Contingency'!$E$70-BE116</f>
        <v>0</v>
      </c>
      <c r="CA116" s="330">
        <f>'I-Project Contingency'!$E$71-BF116</f>
        <v>0</v>
      </c>
      <c r="CB116" s="330">
        <f>'I-Project Contingency'!$E$72-BG116</f>
        <v>0</v>
      </c>
      <c r="CC116" s="330">
        <f>'I-Project Contingency'!$E$73-BH116</f>
        <v>0</v>
      </c>
      <c r="CD116" s="330">
        <f>'I-Project Contingency'!$E$74-BI116</f>
        <v>0</v>
      </c>
      <c r="CE116" s="330">
        <f>'I-Project Contingency'!$E$75-BJ116</f>
        <v>0</v>
      </c>
      <c r="CF116" s="330">
        <f>'I-Project Contingency'!$E$76-BK116</f>
        <v>0</v>
      </c>
      <c r="CG116" s="330">
        <f>'I-Project Contingency'!$E$77-BL116</f>
        <v>0</v>
      </c>
      <c r="CH116" s="784">
        <f>'I-Project Contingency'!$E$78-BM116</f>
        <v>0</v>
      </c>
      <c r="CI116" s="330">
        <f>'I-Project Contingency'!$E$79-BN116</f>
        <v>0</v>
      </c>
      <c r="CJ116" s="330">
        <f>'I-Project Contingency'!$E$80-BO116</f>
        <v>0</v>
      </c>
      <c r="CK116" s="330">
        <f>'I-Project Contingency'!$E$81-BP116</f>
        <v>0</v>
      </c>
      <c r="CL116" s="331">
        <f>'I-Project Contingency'!$O$5-AG116</f>
        <v>0</v>
      </c>
      <c r="CM116" s="332">
        <v>-0.98711802853447173</v>
      </c>
      <c r="CN116" s="332">
        <v>-0.19547704728364468</v>
      </c>
      <c r="CO116" s="332">
        <v>0.126462150308498</v>
      </c>
      <c r="CP116" s="332">
        <v>0.45967989154545902</v>
      </c>
      <c r="CQ116" s="332">
        <v>0.78297319902744</v>
      </c>
      <c r="CR116" s="332">
        <v>1.0957191966482109</v>
      </c>
      <c r="CS116" s="332">
        <v>1.4418405003536849</v>
      </c>
      <c r="CT116" s="332">
        <v>1.801002404194165</v>
      </c>
      <c r="CU116" s="332">
        <v>2.1797608166947349</v>
      </c>
      <c r="CV116" s="332">
        <v>2.5671680610072478</v>
      </c>
      <c r="CW116" s="332">
        <v>2.9690760644797152</v>
      </c>
      <c r="CX116" s="332">
        <v>3.3964145469774811</v>
      </c>
      <c r="CY116" s="332">
        <v>3.864536087769562</v>
      </c>
      <c r="CZ116" s="332">
        <v>4.3569836138896116</v>
      </c>
      <c r="DA116" s="332">
        <v>4.8862357851222598</v>
      </c>
      <c r="DB116" s="332">
        <v>5.438836997347547</v>
      </c>
      <c r="DC116" s="332">
        <v>6.047993455908566</v>
      </c>
      <c r="DD116" s="785">
        <v>6.720204953601761</v>
      </c>
      <c r="DE116" s="333">
        <v>7.55131678090412</v>
      </c>
      <c r="DF116" s="332">
        <v>8.661446370835737</v>
      </c>
      <c r="DG116" s="332">
        <v>11.206316207857133</v>
      </c>
      <c r="DH116" s="332">
        <f>'I-Project Contingency'!$E$86-CM116</f>
        <v>0</v>
      </c>
      <c r="DI116" s="332">
        <f>'I-Project Contingency'!$E$87-CN116</f>
        <v>0</v>
      </c>
      <c r="DJ116" s="332">
        <f>'I-Project Contingency'!$E$88-CO116</f>
        <v>0</v>
      </c>
      <c r="DK116" s="332">
        <f>'I-Project Contingency'!$E$89-CP116</f>
        <v>0</v>
      </c>
      <c r="DL116" s="332">
        <f>'I-Project Contingency'!$E$90-CQ116</f>
        <v>0</v>
      </c>
      <c r="DM116" s="332">
        <f>'I-Project Contingency'!$E$91-CR116</f>
        <v>0</v>
      </c>
      <c r="DN116" s="332">
        <f>'I-Project Contingency'!$E$92-CS116</f>
        <v>0</v>
      </c>
      <c r="DO116" s="332">
        <f>'I-Project Contingency'!$E$93-CT116</f>
        <v>0</v>
      </c>
      <c r="DP116" s="332">
        <f>'I-Project Contingency'!$E$94-CU116</f>
        <v>0</v>
      </c>
      <c r="DQ116" s="332">
        <f>'I-Project Contingency'!$E$95-CV116</f>
        <v>0</v>
      </c>
      <c r="DR116" s="332">
        <f>'I-Project Contingency'!$E$96-CW116</f>
        <v>0</v>
      </c>
      <c r="DS116" s="332">
        <f>'I-Project Contingency'!$E$97-CX116</f>
        <v>0</v>
      </c>
      <c r="DT116" s="332">
        <f>'I-Project Contingency'!$E$98-CY116</f>
        <v>0</v>
      </c>
      <c r="DU116" s="332">
        <f>'I-Project Contingency'!$E$99-CZ116</f>
        <v>0</v>
      </c>
      <c r="DV116" s="332">
        <f>'I-Project Contingency'!$E$100-DA116</f>
        <v>0</v>
      </c>
      <c r="DW116" s="332">
        <f>'I-Project Contingency'!$E$101-DB116</f>
        <v>0</v>
      </c>
      <c r="DX116" s="332">
        <f>'I-Project Contingency'!$E$102-DC116</f>
        <v>0</v>
      </c>
      <c r="DY116" s="332">
        <f>'I-Project Contingency'!$E$103-DD116</f>
        <v>0</v>
      </c>
      <c r="DZ116" s="332">
        <f>'I-Project Contingency'!$E$104-DE116</f>
        <v>0</v>
      </c>
      <c r="EA116" s="332">
        <f>'I-Project Contingency'!$E$105-DF116</f>
        <v>0</v>
      </c>
      <c r="EB116" s="332">
        <f>'I-Project Contingency'!$E$106-DG116</f>
        <v>0</v>
      </c>
      <c r="EC116" s="334">
        <f>IF(EE116="N/A","N/A",ABS(INDEX(EE116:EY116,1,MATCH("ROM Cost Risk @ "&amp;'D-Project Data'!$C$6*100&amp;"%",$EE$17:$EY$17,0))))</f>
        <v>0</v>
      </c>
      <c r="ED116" s="335">
        <f>IF(EC116="N/A","N/A",RANK(EC116,$EC$18:$EC$117,0)+COUNTIF($EC$18:EC116,EC116)-1)</f>
        <v>99</v>
      </c>
      <c r="EE116" s="334">
        <f>IF(BQ116/SUM(BQ:BQ)*'I-Project Contingency'!$F$61=0,0,BQ116/SUM(BQ:BQ)*'I-Project Contingency'!$F$61)</f>
        <v>0</v>
      </c>
      <c r="EF116" s="334">
        <f>IF(BR116/SUM(BR:BR)*'I-Project Contingency'!$F$62=0,0,BR116/SUM(BR:BR)*'I-Project Contingency'!$F$62)</f>
        <v>0</v>
      </c>
      <c r="EG116" s="334">
        <f>IF(BS116/SUM(BS:BS)*'I-Project Contingency'!$F$63=0,0,BS116/SUM(BS:BS)*'I-Project Contingency'!$F$63)</f>
        <v>0</v>
      </c>
      <c r="EH116" s="334">
        <f>IF(BT116/SUM(BT:BT)*'I-Project Contingency'!$F$64=0,0,BT116/SUM(BT:BT)*'I-Project Contingency'!$F$64)</f>
        <v>0</v>
      </c>
      <c r="EI116" s="334">
        <f>IF(BU116/SUM(BU:BU)*'I-Project Contingency'!$F$65=0,0,BU116/SUM(BU:BU)*'I-Project Contingency'!$F$65)</f>
        <v>0</v>
      </c>
      <c r="EJ116" s="334">
        <f>IF(BV116/SUM(BV:BV)*'I-Project Contingency'!$F$66=0,0,BV116/SUM(BV:BV)*'I-Project Contingency'!$F$66)</f>
        <v>0</v>
      </c>
      <c r="EK116" s="334">
        <f>IF(BW116/SUM(BW:BW)*'I-Project Contingency'!$F$67=0,0,BW116/SUM(BW:BW)*'I-Project Contingency'!$F$67)</f>
        <v>0</v>
      </c>
      <c r="EL116" s="334">
        <f>IF(BX116/SUM(BX:BX)*'I-Project Contingency'!$F$68=0,0,BX116/SUM(BX:BX)*'I-Project Contingency'!$F$68)</f>
        <v>0</v>
      </c>
      <c r="EM116" s="334">
        <f>IF(BY116/SUM(BY:BY)*'I-Project Contingency'!$F$69=0,0,BY116/SUM(BY:BY)*'I-Project Contingency'!$F$69)</f>
        <v>0</v>
      </c>
      <c r="EN116" s="334">
        <f>IF(BZ116/SUM(BZ:BZ)*'I-Project Contingency'!$F$70=0,0,BZ116/SUM(BZ:BZ)*'I-Project Contingency'!$F$70)</f>
        <v>0</v>
      </c>
      <c r="EO116" s="334">
        <f>IF(CA116/SUM(CA:CA)*'I-Project Contingency'!$F$71=0,0,CA116/SUM(CA:CA)*'I-Project Contingency'!$F$71)</f>
        <v>0</v>
      </c>
      <c r="EP116" s="334">
        <f>IF(CB116/SUM(CB:CB)*'I-Project Contingency'!$F$72=0,0,CB116/SUM(CB:CB)*'I-Project Contingency'!$F$72)</f>
        <v>0</v>
      </c>
      <c r="EQ116" s="334">
        <f>IF(CC116/SUM(CC:CC)*'I-Project Contingency'!$F$73=0,0,CC116/SUM(CC:CC)*'I-Project Contingency'!$F$73)</f>
        <v>0</v>
      </c>
      <c r="ER116" s="334">
        <f>IF(CD116/SUM(CD:CD)*'I-Project Contingency'!$F$74=0,0,CD116/SUM(CD:CD)*'I-Project Contingency'!$F$74)</f>
        <v>0</v>
      </c>
      <c r="ES116" s="334">
        <f>IF(CE116/SUM(CE:CE)*'I-Project Contingency'!$F$75=0,0,CE116/SUM(CE:CE)*'I-Project Contingency'!$F$75)</f>
        <v>0</v>
      </c>
      <c r="ET116" s="334">
        <f>IF(CF116/SUM(CF:CF)*'I-Project Contingency'!$F$76=0,0,CF116/SUM(CF:CF)*'I-Project Contingency'!$F$76)</f>
        <v>0</v>
      </c>
      <c r="EU116" s="334">
        <f>IF(CG116/SUM(CG:CG)*'I-Project Contingency'!$F$77=0,0,CG116/SUM(CG:CG)*'I-Project Contingency'!$F$77)</f>
        <v>0</v>
      </c>
      <c r="EV116" s="787">
        <f>IF(CH116/SUM(CH:CH)*'I-Project Contingency'!$F$78=0,0,CH116/SUM(CH:CH)*'I-Project Contingency'!$F$78)</f>
        <v>0</v>
      </c>
      <c r="EW116" s="787">
        <f>IF(CI116/SUM(CI:CI)*'I-Project Contingency'!$F$79=0,0,CI116/SUM(CI:CI)*'I-Project Contingency'!$F$79)</f>
        <v>0</v>
      </c>
      <c r="EX116" s="787">
        <f>IF(CJ116/SUM(CJ:CJ)*'I-Project Contingency'!$F$80=0,0,CJ116/SUM(CJ:CJ)*'I-Project Contingency'!$F$80)</f>
        <v>0</v>
      </c>
      <c r="EY116" s="787">
        <f>IF(CK116/SUM(CK:CK)*'I-Project Contingency'!$F$81=0,0,CK116/SUM(CK:CK)*'I-Project Contingency'!$F$81)</f>
        <v>0</v>
      </c>
      <c r="EZ116" s="333">
        <f>IF(FB116="N/A","N/A",ABS(INDEX(FB116:FV116,1,MATCH("ROM Schedule Risk @ "&amp;'D-Project Data'!$C$6*100&amp;"%",$FB$17:$FV$17,0))))</f>
        <v>0</v>
      </c>
      <c r="FA116" s="335">
        <f>IF(EZ116="N/A","N/A",RANK(EZ116,$EZ$18:$EZ$117,0)+COUNTIF($FB$18:FB116,FB116)-1)</f>
        <v>99</v>
      </c>
      <c r="FB116" s="788">
        <f>IF(DH116/SUM(DH:DH)*'I-Project Contingency'!$F$86=0,0,DH116/SUM(DH:DH)*'I-Project Contingency'!$F$86)</f>
        <v>0</v>
      </c>
      <c r="FC116" s="788">
        <f>IF(DI116/SUM(DI:DI)*'I-Project Contingency'!$F$87=0,0,DI116/SUM(DI:DI)*'I-Project Contingency'!$F$87)</f>
        <v>0</v>
      </c>
      <c r="FD116" s="788">
        <f>IF(DJ116/SUM(DJ:DJ)*'I-Project Contingency'!$F$88=0,0,DJ116/SUM(DJ:DJ)*'I-Project Contingency'!$F$88)</f>
        <v>0</v>
      </c>
      <c r="FE116" s="788">
        <f>IF(DK116/SUM(DK:DK)*'I-Project Contingency'!$F$89=0,0,DK116/SUM(DK:DK)*'I-Project Contingency'!$F$89)</f>
        <v>0</v>
      </c>
      <c r="FF116" s="788">
        <f>IF(DL116/SUM(DL:DL)*'I-Project Contingency'!$F$90=0,0,DL116/SUM(DL:DL)*'I-Project Contingency'!$F$90)</f>
        <v>0</v>
      </c>
      <c r="FG116" s="788">
        <f>IF(DM116/SUM(DM:DM)*'I-Project Contingency'!$F$91=0,0,DM116/SUM(DM:DM)*'I-Project Contingency'!$F$91)</f>
        <v>0</v>
      </c>
      <c r="FH116" s="788">
        <f>IF(DN116/SUM(DN:DN)*'I-Project Contingency'!$F$92=0,0,DN116/SUM(DN:DN)*'I-Project Contingency'!$F$92)</f>
        <v>0</v>
      </c>
      <c r="FI116" s="788">
        <f>IF(DO116/SUM(DO:DO)*'I-Project Contingency'!$F$93=0,0,DO116/SUM(DO:DO)*'I-Project Contingency'!$F$93)</f>
        <v>0</v>
      </c>
      <c r="FJ116" s="788">
        <f>IF(DP116/SUM(DP:DP)*'I-Project Contingency'!$F$94=0,0,DP116/SUM(DP:DP)*'I-Project Contingency'!$F$94)</f>
        <v>0</v>
      </c>
      <c r="FK116" s="788">
        <f>IF(DQ116/SUM(DQ:DQ)*'I-Project Contingency'!$F$95=0,0,DQ116/SUM(DQ:DQ)*'I-Project Contingency'!$F$95)</f>
        <v>0</v>
      </c>
      <c r="FL116" s="788">
        <f>IF(DR116/SUM(DR:DR)*'I-Project Contingency'!$F$96=0,0,DR116/SUM(DR:DR)*'I-Project Contingency'!$F$96)</f>
        <v>0</v>
      </c>
      <c r="FM116" s="788">
        <f>IF(DS116/SUM(DS:DS)*'I-Project Contingency'!$F$97=0,0,DS116/SUM(DS:DS)*'I-Project Contingency'!$F$97)</f>
        <v>0</v>
      </c>
      <c r="FN116" s="788">
        <f>IF(DT116/SUM(DT:DT)*'I-Project Contingency'!$F$98=0,0,DT116/SUM(DT:DT)*'I-Project Contingency'!$F$98)</f>
        <v>0</v>
      </c>
      <c r="FO116" s="788">
        <f>IF(DU116/SUM(DU:DU)*'I-Project Contingency'!$F$99=0,0,DU116/SUM(DU:DU)*'I-Project Contingency'!$F$99)</f>
        <v>0</v>
      </c>
      <c r="FP116" s="788">
        <f>IF(DV116/SUM(DV:DV)*'I-Project Contingency'!$F$100=0,0,DV116/SUM(DV:DV)*'I-Project Contingency'!$F$100)</f>
        <v>0</v>
      </c>
      <c r="FQ116" s="788">
        <f>IF(DW116/SUM(DW:DW)*'I-Project Contingency'!$F$101=0,0,DW116/SUM(DW:DW)*'I-Project Contingency'!$F$101)</f>
        <v>0</v>
      </c>
      <c r="FR116" s="788">
        <f>IF(DX116/SUM(DX:DX)*'I-Project Contingency'!$F$102=0,0,DX116/SUM(DX:DX)*'I-Project Contingency'!$F$102)</f>
        <v>0</v>
      </c>
      <c r="FS116" s="788">
        <f>IF(DY116/SUM(DY:DY)*'I-Project Contingency'!$F$103=0,0,DY116/SUM(DY:DY)*'I-Project Contingency'!$F$103)</f>
        <v>0</v>
      </c>
      <c r="FT116" s="788">
        <f>IF(DZ116/SUM(DZ:DZ)*'I-Project Contingency'!$F$104=0,0,DZ116/SUM(DZ:DZ)*'I-Project Contingency'!$F$104)</f>
        <v>0</v>
      </c>
      <c r="FU116" s="788">
        <f>IF(EA116/SUM(EA:EA)*'I-Project Contingency'!$F$105=0,0,EA116/SUM(EA:EA)*'I-Project Contingency'!$F$105)</f>
        <v>0</v>
      </c>
      <c r="FV116" s="788">
        <f>IF(EB116/SUM(EB:EB)*'I-Project Contingency'!$F$106=0,0,EB116/SUM(EB:EB)*'I-Project Contingency'!$F$106)</f>
        <v>0</v>
      </c>
      <c r="FW116" s="335">
        <f t="shared" si="52"/>
        <v>98</v>
      </c>
      <c r="FX116" s="336" t="str">
        <f t="shared" si="53"/>
        <v xml:space="preserve">98 -  </v>
      </c>
      <c r="FY116" s="330">
        <f t="shared" si="61"/>
        <v>0</v>
      </c>
      <c r="FZ116" s="330">
        <f t="shared" si="62"/>
        <v>0</v>
      </c>
      <c r="GA116" s="332">
        <f t="shared" si="54"/>
        <v>0</v>
      </c>
      <c r="GB116" s="332">
        <f t="shared" si="55"/>
        <v>0</v>
      </c>
    </row>
    <row r="117" spans="1:184" ht="30" x14ac:dyDescent="0.25">
      <c r="A117" s="163">
        <f>A115+1</f>
        <v>99</v>
      </c>
      <c r="B117" s="727" t="s">
        <v>728</v>
      </c>
      <c r="C117" s="729" t="s">
        <v>659</v>
      </c>
      <c r="D117" s="729" t="s">
        <v>659</v>
      </c>
      <c r="E117" s="729" t="s">
        <v>659</v>
      </c>
      <c r="F117" s="728" t="s">
        <v>728</v>
      </c>
      <c r="G117" s="728" t="s">
        <v>728</v>
      </c>
      <c r="H117" s="157" t="str">
        <f>IFERROR(IF('H-Risk Register-Model'!F117="Certain","Relook at Basis of Estimate",INDEX('G-Assumptions'!$F$8:$J$11,MATCH(F117,'G-Assumptions'!$D$8:$D$11,0),MATCH(G117,'G-Assumptions'!$F$6:$J$6,0))),"Unrated")</f>
        <v>Unrated</v>
      </c>
      <c r="I117" s="728" t="s">
        <v>728</v>
      </c>
      <c r="J117" s="157" t="str">
        <f>IFERROR(IF('H-Risk Register-Model'!F117="Certain","Relook at Basis of Estimate",INDEX('G-Assumptions'!$F$8:$J$11,MATCH(F117,'G-Assumptions'!$D$8:$D$11,0),MATCH(I117,'G-Assumptions'!$F$6:$J$6,0))),"Unrated")</f>
        <v>Unrated</v>
      </c>
      <c r="K117" s="728" t="s">
        <v>728</v>
      </c>
      <c r="L117" s="728" t="s">
        <v>728</v>
      </c>
      <c r="M117" s="728"/>
      <c r="N117" s="731" t="s">
        <v>728</v>
      </c>
      <c r="O117" s="731" t="s">
        <v>728</v>
      </c>
      <c r="P117" s="732"/>
      <c r="Q117" s="732"/>
      <c r="R117" s="732"/>
      <c r="S117" s="733"/>
      <c r="T117" s="733"/>
      <c r="U117" s="733"/>
      <c r="V117" s="734"/>
      <c r="W117" s="732"/>
      <c r="X117" s="732"/>
      <c r="Y117" s="735">
        <v>1</v>
      </c>
      <c r="Z117" s="736">
        <v>1</v>
      </c>
      <c r="AA117" s="166">
        <f t="shared" si="56"/>
        <v>0</v>
      </c>
      <c r="AB117" s="166">
        <f t="shared" si="57"/>
        <v>0</v>
      </c>
      <c r="AC117" s="166">
        <f t="shared" si="58"/>
        <v>0</v>
      </c>
      <c r="AD117" s="166"/>
      <c r="AE117" s="164">
        <f t="shared" si="41"/>
        <v>0</v>
      </c>
      <c r="AF117" s="167"/>
      <c r="AG117" s="165">
        <f t="shared" si="42"/>
        <v>0</v>
      </c>
      <c r="AH117" s="729"/>
      <c r="AI117" s="729"/>
      <c r="AJ117" s="8"/>
      <c r="AK117" s="495" t="str">
        <f t="shared" si="45"/>
        <v>No</v>
      </c>
      <c r="AL117" s="496">
        <f>'I-Project Contingency'!$I$4</f>
        <v>9000000</v>
      </c>
      <c r="AM117" s="326">
        <f>'I-Project Contingency'!$I$11</f>
        <v>23.978102189781023</v>
      </c>
      <c r="AN117" s="325">
        <f t="shared" si="46"/>
        <v>0</v>
      </c>
      <c r="AO117" s="326">
        <f t="shared" si="47"/>
        <v>0</v>
      </c>
      <c r="AP117" s="641" t="str">
        <f t="shared" si="48"/>
        <v/>
      </c>
      <c r="AQ117" s="641" t="str">
        <f t="shared" si="49"/>
        <v/>
      </c>
      <c r="AR117" s="497" t="str">
        <f t="shared" si="50"/>
        <v/>
      </c>
      <c r="AS117" s="497" t="str">
        <f t="shared" si="51"/>
        <v/>
      </c>
      <c r="AT117" s="8"/>
      <c r="AU117" s="329">
        <f>'I-Project Contingency'!$O$4-AE117</f>
        <v>0</v>
      </c>
      <c r="AV117" s="330">
        <v>-240515.59579276721</v>
      </c>
      <c r="AW117" s="330">
        <v>28172.931401335634</v>
      </c>
      <c r="AX117" s="330">
        <v>193478.84467429668</v>
      </c>
      <c r="AY117" s="330">
        <v>361668.20104834624</v>
      </c>
      <c r="AZ117" s="330">
        <v>524446.91524262261</v>
      </c>
      <c r="BA117" s="330">
        <v>704023.56387635041</v>
      </c>
      <c r="BB117" s="330">
        <v>886394.06956240814</v>
      </c>
      <c r="BC117" s="330">
        <v>1079363.7165157665</v>
      </c>
      <c r="BD117" s="330">
        <v>1280180.1532065615</v>
      </c>
      <c r="BE117" s="330">
        <v>1485323.8019108465</v>
      </c>
      <c r="BF117" s="330">
        <v>1703758.8827524669</v>
      </c>
      <c r="BG117" s="330">
        <v>1949523.4346483489</v>
      </c>
      <c r="BH117" s="330">
        <v>2177897.1603371189</v>
      </c>
      <c r="BI117" s="330">
        <v>2429374.4260425912</v>
      </c>
      <c r="BJ117" s="330">
        <v>2717092.7449284913</v>
      </c>
      <c r="BK117" s="330">
        <v>3010093.6968918457</v>
      </c>
      <c r="BL117" s="330">
        <v>3325414.5894657462</v>
      </c>
      <c r="BM117" s="330">
        <v>3690425.9159493577</v>
      </c>
      <c r="BN117" s="330">
        <v>4143935.1706127762</v>
      </c>
      <c r="BO117" s="330">
        <v>4722651.1159141911</v>
      </c>
      <c r="BP117" s="330">
        <v>5992048.8629153483</v>
      </c>
      <c r="BQ117" s="330">
        <f>'I-Project Contingency'!$E$61-AV117</f>
        <v>0</v>
      </c>
      <c r="BR117" s="330">
        <f>'I-Project Contingency'!$E$62-AW117</f>
        <v>0</v>
      </c>
      <c r="BS117" s="330">
        <f>'I-Project Contingency'!$E$63-AX117</f>
        <v>0</v>
      </c>
      <c r="BT117" s="330">
        <f>'I-Project Contingency'!$E$64-AY117</f>
        <v>0</v>
      </c>
      <c r="BU117" s="330">
        <f>'I-Project Contingency'!$E$65-AZ117</f>
        <v>0</v>
      </c>
      <c r="BV117" s="330">
        <f>'I-Project Contingency'!$E$66-BA117</f>
        <v>0</v>
      </c>
      <c r="BW117" s="330">
        <f>'I-Project Contingency'!$E$67-BB117</f>
        <v>0</v>
      </c>
      <c r="BX117" s="330">
        <f>'I-Project Contingency'!$E$68-BC117</f>
        <v>0</v>
      </c>
      <c r="BY117" s="330">
        <f>'I-Project Contingency'!$E$69-BD117</f>
        <v>0</v>
      </c>
      <c r="BZ117" s="330">
        <f>'I-Project Contingency'!$E$70-BE117</f>
        <v>0</v>
      </c>
      <c r="CA117" s="330">
        <f>'I-Project Contingency'!$E$71-BF117</f>
        <v>0</v>
      </c>
      <c r="CB117" s="330">
        <f>'I-Project Contingency'!$E$72-BG117</f>
        <v>0</v>
      </c>
      <c r="CC117" s="330">
        <f>'I-Project Contingency'!$E$73-BH117</f>
        <v>0</v>
      </c>
      <c r="CD117" s="330">
        <f>'I-Project Contingency'!$E$74-BI117</f>
        <v>0</v>
      </c>
      <c r="CE117" s="330">
        <f>'I-Project Contingency'!$E$75-BJ117</f>
        <v>0</v>
      </c>
      <c r="CF117" s="330">
        <f>'I-Project Contingency'!$E$76-BK117</f>
        <v>0</v>
      </c>
      <c r="CG117" s="330">
        <f>'I-Project Contingency'!$E$77-BL117</f>
        <v>0</v>
      </c>
      <c r="CH117" s="784">
        <f>'I-Project Contingency'!$E$78-BM117</f>
        <v>0</v>
      </c>
      <c r="CI117" s="330">
        <f>'I-Project Contingency'!$E$79-BN117</f>
        <v>0</v>
      </c>
      <c r="CJ117" s="330">
        <f>'I-Project Contingency'!$E$80-BO117</f>
        <v>0</v>
      </c>
      <c r="CK117" s="330">
        <f>'I-Project Contingency'!$E$81-BP117</f>
        <v>0</v>
      </c>
      <c r="CL117" s="331">
        <f>'I-Project Contingency'!$O$5-AG117</f>
        <v>0</v>
      </c>
      <c r="CM117" s="332">
        <v>-0.98711802853447173</v>
      </c>
      <c r="CN117" s="332">
        <v>-0.19547704728364468</v>
      </c>
      <c r="CO117" s="332">
        <v>0.126462150308498</v>
      </c>
      <c r="CP117" s="332">
        <v>0.45967989154545902</v>
      </c>
      <c r="CQ117" s="332">
        <v>0.78297319902744</v>
      </c>
      <c r="CR117" s="332">
        <v>1.0957191966482109</v>
      </c>
      <c r="CS117" s="332">
        <v>1.4418405003536849</v>
      </c>
      <c r="CT117" s="332">
        <v>1.801002404194165</v>
      </c>
      <c r="CU117" s="332">
        <v>2.1797608166947349</v>
      </c>
      <c r="CV117" s="332">
        <v>2.5671680610072478</v>
      </c>
      <c r="CW117" s="332">
        <v>2.9690760644797152</v>
      </c>
      <c r="CX117" s="332">
        <v>3.3964145469774811</v>
      </c>
      <c r="CY117" s="332">
        <v>3.864536087769562</v>
      </c>
      <c r="CZ117" s="332">
        <v>4.3569836138896116</v>
      </c>
      <c r="DA117" s="332">
        <v>4.8862357851222598</v>
      </c>
      <c r="DB117" s="332">
        <v>5.438836997347547</v>
      </c>
      <c r="DC117" s="332">
        <v>6.047993455908566</v>
      </c>
      <c r="DD117" s="785">
        <v>6.720204953601761</v>
      </c>
      <c r="DE117" s="333">
        <v>7.55131678090412</v>
      </c>
      <c r="DF117" s="332">
        <v>8.661446370835737</v>
      </c>
      <c r="DG117" s="332">
        <v>11.206316207857133</v>
      </c>
      <c r="DH117" s="332">
        <f>'I-Project Contingency'!$E$86-CM117</f>
        <v>0</v>
      </c>
      <c r="DI117" s="332">
        <f>'I-Project Contingency'!$E$87-CN117</f>
        <v>0</v>
      </c>
      <c r="DJ117" s="332">
        <f>'I-Project Contingency'!$E$88-CO117</f>
        <v>0</v>
      </c>
      <c r="DK117" s="332">
        <f>'I-Project Contingency'!$E$89-CP117</f>
        <v>0</v>
      </c>
      <c r="DL117" s="332">
        <f>'I-Project Contingency'!$E$90-CQ117</f>
        <v>0</v>
      </c>
      <c r="DM117" s="332">
        <f>'I-Project Contingency'!$E$91-CR117</f>
        <v>0</v>
      </c>
      <c r="DN117" s="332">
        <f>'I-Project Contingency'!$E$92-CS117</f>
        <v>0</v>
      </c>
      <c r="DO117" s="332">
        <f>'I-Project Contingency'!$E$93-CT117</f>
        <v>0</v>
      </c>
      <c r="DP117" s="332">
        <f>'I-Project Contingency'!$E$94-CU117</f>
        <v>0</v>
      </c>
      <c r="DQ117" s="332">
        <f>'I-Project Contingency'!$E$95-CV117</f>
        <v>0</v>
      </c>
      <c r="DR117" s="332">
        <f>'I-Project Contingency'!$E$96-CW117</f>
        <v>0</v>
      </c>
      <c r="DS117" s="332">
        <f>'I-Project Contingency'!$E$97-CX117</f>
        <v>0</v>
      </c>
      <c r="DT117" s="332">
        <f>'I-Project Contingency'!$E$98-CY117</f>
        <v>0</v>
      </c>
      <c r="DU117" s="332">
        <f>'I-Project Contingency'!$E$99-CZ117</f>
        <v>0</v>
      </c>
      <c r="DV117" s="332">
        <f>'I-Project Contingency'!$E$100-DA117</f>
        <v>0</v>
      </c>
      <c r="DW117" s="332">
        <f>'I-Project Contingency'!$E$101-DB117</f>
        <v>0</v>
      </c>
      <c r="DX117" s="332">
        <f>'I-Project Contingency'!$E$102-DC117</f>
        <v>0</v>
      </c>
      <c r="DY117" s="332">
        <f>'I-Project Contingency'!$E$103-DD117</f>
        <v>0</v>
      </c>
      <c r="DZ117" s="332">
        <f>'I-Project Contingency'!$E$104-DE117</f>
        <v>0</v>
      </c>
      <c r="EA117" s="332">
        <f>'I-Project Contingency'!$E$105-DF117</f>
        <v>0</v>
      </c>
      <c r="EB117" s="332">
        <f>'I-Project Contingency'!$E$106-DG117</f>
        <v>0</v>
      </c>
      <c r="EC117" s="334">
        <f>IF(EE117="N/A","N/A",ABS(INDEX(EE117:EY117,1,MATCH("ROM Cost Risk @ "&amp;'D-Project Data'!$C$6*100&amp;"%",$EE$17:$EY$17,0))))</f>
        <v>0</v>
      </c>
      <c r="ED117" s="335">
        <f>IF(EC117="N/A","N/A",RANK(EC117,$EC$18:$EC$117,0)+COUNTIF($EC$18:EC117,EC117)-1)</f>
        <v>100</v>
      </c>
      <c r="EE117" s="334">
        <f>IF(BQ117/SUM(BQ:BQ)*'I-Project Contingency'!$F$61=0,0,BQ117/SUM(BQ:BQ)*'I-Project Contingency'!$F$61)</f>
        <v>0</v>
      </c>
      <c r="EF117" s="334">
        <f>IF(BR117/SUM(BR:BR)*'I-Project Contingency'!$F$62=0,0,BR117/SUM(BR:BR)*'I-Project Contingency'!$F$62)</f>
        <v>0</v>
      </c>
      <c r="EG117" s="334">
        <f>IF(BS117/SUM(BS:BS)*'I-Project Contingency'!$F$63=0,0,BS117/SUM(BS:BS)*'I-Project Contingency'!$F$63)</f>
        <v>0</v>
      </c>
      <c r="EH117" s="334">
        <f>IF(BT117/SUM(BT:BT)*'I-Project Contingency'!$F$64=0,0,BT117/SUM(BT:BT)*'I-Project Contingency'!$F$64)</f>
        <v>0</v>
      </c>
      <c r="EI117" s="334">
        <f>IF(BU117/SUM(BU:BU)*'I-Project Contingency'!$F$65=0,0,BU117/SUM(BU:BU)*'I-Project Contingency'!$F$65)</f>
        <v>0</v>
      </c>
      <c r="EJ117" s="334">
        <f>IF(BV117/SUM(BV:BV)*'I-Project Contingency'!$F$66=0,0,BV117/SUM(BV:BV)*'I-Project Contingency'!$F$66)</f>
        <v>0</v>
      </c>
      <c r="EK117" s="334">
        <f>IF(BW117/SUM(BW:BW)*'I-Project Contingency'!$F$67=0,0,BW117/SUM(BW:BW)*'I-Project Contingency'!$F$67)</f>
        <v>0</v>
      </c>
      <c r="EL117" s="334">
        <f>IF(BX117/SUM(BX:BX)*'I-Project Contingency'!$F$68=0,0,BX117/SUM(BX:BX)*'I-Project Contingency'!$F$68)</f>
        <v>0</v>
      </c>
      <c r="EM117" s="334">
        <f>IF(BY117/SUM(BY:BY)*'I-Project Contingency'!$F$69=0,0,BY117/SUM(BY:BY)*'I-Project Contingency'!$F$69)</f>
        <v>0</v>
      </c>
      <c r="EN117" s="334">
        <f>IF(BZ117/SUM(BZ:BZ)*'I-Project Contingency'!$F$70=0,0,BZ117/SUM(BZ:BZ)*'I-Project Contingency'!$F$70)</f>
        <v>0</v>
      </c>
      <c r="EO117" s="334">
        <f>IF(CA117/SUM(CA:CA)*'I-Project Contingency'!$F$71=0,0,CA117/SUM(CA:CA)*'I-Project Contingency'!$F$71)</f>
        <v>0</v>
      </c>
      <c r="EP117" s="334">
        <f>IF(CB117/SUM(CB:CB)*'I-Project Contingency'!$F$72=0,0,CB117/SUM(CB:CB)*'I-Project Contingency'!$F$72)</f>
        <v>0</v>
      </c>
      <c r="EQ117" s="334">
        <f>IF(CC117/SUM(CC:CC)*'I-Project Contingency'!$F$73=0,0,CC117/SUM(CC:CC)*'I-Project Contingency'!$F$73)</f>
        <v>0</v>
      </c>
      <c r="ER117" s="334">
        <f>IF(CD117/SUM(CD:CD)*'I-Project Contingency'!$F$74=0,0,CD117/SUM(CD:CD)*'I-Project Contingency'!$F$74)</f>
        <v>0</v>
      </c>
      <c r="ES117" s="334">
        <f>IF(CE117/SUM(CE:CE)*'I-Project Contingency'!$F$75=0,0,CE117/SUM(CE:CE)*'I-Project Contingency'!$F$75)</f>
        <v>0</v>
      </c>
      <c r="ET117" s="334">
        <f>IF(CF117/SUM(CF:CF)*'I-Project Contingency'!$F$76=0,0,CF117/SUM(CF:CF)*'I-Project Contingency'!$F$76)</f>
        <v>0</v>
      </c>
      <c r="EU117" s="334">
        <f>IF(CG117/SUM(CG:CG)*'I-Project Contingency'!$F$77=0,0,CG117/SUM(CG:CG)*'I-Project Contingency'!$F$77)</f>
        <v>0</v>
      </c>
      <c r="EV117" s="787">
        <f>IF(CH117/SUM(CH:CH)*'I-Project Contingency'!$F$78=0,0,CH117/SUM(CH:CH)*'I-Project Contingency'!$F$78)</f>
        <v>0</v>
      </c>
      <c r="EW117" s="787">
        <f>IF(CI117/SUM(CI:CI)*'I-Project Contingency'!$F$79=0,0,CI117/SUM(CI:CI)*'I-Project Contingency'!$F$79)</f>
        <v>0</v>
      </c>
      <c r="EX117" s="787">
        <f>IF(CJ117/SUM(CJ:CJ)*'I-Project Contingency'!$F$80=0,0,CJ117/SUM(CJ:CJ)*'I-Project Contingency'!$F$80)</f>
        <v>0</v>
      </c>
      <c r="EY117" s="787">
        <f>IF(CK117/SUM(CK:CK)*'I-Project Contingency'!$F$81=0,0,CK117/SUM(CK:CK)*'I-Project Contingency'!$F$81)</f>
        <v>0</v>
      </c>
      <c r="EZ117" s="333">
        <f>IF(FB117="N/A","N/A",ABS(INDEX(FB117:FV117,1,MATCH("ROM Schedule Risk @ "&amp;'D-Project Data'!$C$6*100&amp;"%",$FB$17:$FV$17,0))))</f>
        <v>0</v>
      </c>
      <c r="FA117" s="335">
        <f>IF(EZ117="N/A","N/A",RANK(EZ117,$EZ$18:$EZ$117,0)+COUNTIF($FB$18:FB117,FB117)-1)</f>
        <v>100</v>
      </c>
      <c r="FB117" s="788">
        <f>IF(DH117/SUM(DH:DH)*'I-Project Contingency'!$F$86=0,0,DH117/SUM(DH:DH)*'I-Project Contingency'!$F$86)</f>
        <v>0</v>
      </c>
      <c r="FC117" s="788">
        <f>IF(DI117/SUM(DI:DI)*'I-Project Contingency'!$F$87=0,0,DI117/SUM(DI:DI)*'I-Project Contingency'!$F$87)</f>
        <v>0</v>
      </c>
      <c r="FD117" s="788">
        <f>IF(DJ117/SUM(DJ:DJ)*'I-Project Contingency'!$F$88=0,0,DJ117/SUM(DJ:DJ)*'I-Project Contingency'!$F$88)</f>
        <v>0</v>
      </c>
      <c r="FE117" s="788">
        <f>IF(DK117/SUM(DK:DK)*'I-Project Contingency'!$F$89=0,0,DK117/SUM(DK:DK)*'I-Project Contingency'!$F$89)</f>
        <v>0</v>
      </c>
      <c r="FF117" s="788">
        <f>IF(DL117/SUM(DL:DL)*'I-Project Contingency'!$F$90=0,0,DL117/SUM(DL:DL)*'I-Project Contingency'!$F$90)</f>
        <v>0</v>
      </c>
      <c r="FG117" s="788">
        <f>IF(DM117/SUM(DM:DM)*'I-Project Contingency'!$F$91=0,0,DM117/SUM(DM:DM)*'I-Project Contingency'!$F$91)</f>
        <v>0</v>
      </c>
      <c r="FH117" s="788">
        <f>IF(DN117/SUM(DN:DN)*'I-Project Contingency'!$F$92=0,0,DN117/SUM(DN:DN)*'I-Project Contingency'!$F$92)</f>
        <v>0</v>
      </c>
      <c r="FI117" s="788">
        <f>IF(DO117/SUM(DO:DO)*'I-Project Contingency'!$F$93=0,0,DO117/SUM(DO:DO)*'I-Project Contingency'!$F$93)</f>
        <v>0</v>
      </c>
      <c r="FJ117" s="788">
        <f>IF(DP117/SUM(DP:DP)*'I-Project Contingency'!$F$94=0,0,DP117/SUM(DP:DP)*'I-Project Contingency'!$F$94)</f>
        <v>0</v>
      </c>
      <c r="FK117" s="788">
        <f>IF(DQ117/SUM(DQ:DQ)*'I-Project Contingency'!$F$95=0,0,DQ117/SUM(DQ:DQ)*'I-Project Contingency'!$F$95)</f>
        <v>0</v>
      </c>
      <c r="FL117" s="788">
        <f>IF(DR117/SUM(DR:DR)*'I-Project Contingency'!$F$96=0,0,DR117/SUM(DR:DR)*'I-Project Contingency'!$F$96)</f>
        <v>0</v>
      </c>
      <c r="FM117" s="788">
        <f>IF(DS117/SUM(DS:DS)*'I-Project Contingency'!$F$97=0,0,DS117/SUM(DS:DS)*'I-Project Contingency'!$F$97)</f>
        <v>0</v>
      </c>
      <c r="FN117" s="788">
        <f>IF(DT117/SUM(DT:DT)*'I-Project Contingency'!$F$98=0,0,DT117/SUM(DT:DT)*'I-Project Contingency'!$F$98)</f>
        <v>0</v>
      </c>
      <c r="FO117" s="788">
        <f>IF(DU117/SUM(DU:DU)*'I-Project Contingency'!$F$99=0,0,DU117/SUM(DU:DU)*'I-Project Contingency'!$F$99)</f>
        <v>0</v>
      </c>
      <c r="FP117" s="788">
        <f>IF(DV117/SUM(DV:DV)*'I-Project Contingency'!$F$100=0,0,DV117/SUM(DV:DV)*'I-Project Contingency'!$F$100)</f>
        <v>0</v>
      </c>
      <c r="FQ117" s="788">
        <f>IF(DW117/SUM(DW:DW)*'I-Project Contingency'!$F$101=0,0,DW117/SUM(DW:DW)*'I-Project Contingency'!$F$101)</f>
        <v>0</v>
      </c>
      <c r="FR117" s="788">
        <f>IF(DX117/SUM(DX:DX)*'I-Project Contingency'!$F$102=0,0,DX117/SUM(DX:DX)*'I-Project Contingency'!$F$102)</f>
        <v>0</v>
      </c>
      <c r="FS117" s="788">
        <f>IF(DY117/SUM(DY:DY)*'I-Project Contingency'!$F$103=0,0,DY117/SUM(DY:DY)*'I-Project Contingency'!$F$103)</f>
        <v>0</v>
      </c>
      <c r="FT117" s="788">
        <f>IF(DZ117/SUM(DZ:DZ)*'I-Project Contingency'!$F$104=0,0,DZ117/SUM(DZ:DZ)*'I-Project Contingency'!$F$104)</f>
        <v>0</v>
      </c>
      <c r="FU117" s="788">
        <f>IF(EA117/SUM(EA:EA)*'I-Project Contingency'!$F$105=0,0,EA117/SUM(EA:EA)*'I-Project Contingency'!$F$105)</f>
        <v>0</v>
      </c>
      <c r="FV117" s="788">
        <f>IF(EB117/SUM(EB:EB)*'I-Project Contingency'!$F$106=0,0,EB117/SUM(EB:EB)*'I-Project Contingency'!$F$106)</f>
        <v>0</v>
      </c>
      <c r="FW117" s="335">
        <f t="shared" si="52"/>
        <v>99</v>
      </c>
      <c r="FX117" s="336" t="str">
        <f t="shared" si="53"/>
        <v xml:space="preserve">99 -  </v>
      </c>
      <c r="FY117" s="330">
        <f t="shared" si="43"/>
        <v>0</v>
      </c>
      <c r="FZ117" s="330">
        <f t="shared" si="44"/>
        <v>0</v>
      </c>
      <c r="GA117" s="332">
        <f t="shared" si="54"/>
        <v>0</v>
      </c>
      <c r="GB117" s="332">
        <f t="shared" si="55"/>
        <v>0</v>
      </c>
    </row>
    <row r="118" spans="1:184" x14ac:dyDescent="0.25">
      <c r="A118"/>
      <c r="B118"/>
      <c r="C118"/>
      <c r="D118"/>
      <c r="E118"/>
      <c r="F118"/>
      <c r="G118"/>
      <c r="H118"/>
      <c r="I118"/>
      <c r="J118"/>
      <c r="K118"/>
      <c r="L118"/>
      <c r="M118"/>
      <c r="N118"/>
      <c r="O118"/>
      <c r="P118" s="168"/>
      <c r="Q118" s="168"/>
      <c r="R118" s="168"/>
      <c r="S118" s="169"/>
      <c r="T118" s="169"/>
      <c r="U118" s="169"/>
      <c r="V118" s="168"/>
      <c r="W118" s="168"/>
      <c r="X118" s="168"/>
      <c r="Y118" s="170"/>
      <c r="Z118" s="171"/>
      <c r="AA118" s="171"/>
      <c r="AB118" s="171"/>
      <c r="AC118" s="171"/>
      <c r="AD118" s="171"/>
      <c r="AE118" s="168"/>
      <c r="AF118" s="170"/>
      <c r="AG118" s="172"/>
      <c r="AH118"/>
      <c r="AI118"/>
    </row>
    <row r="119" spans="1:184" x14ac:dyDescent="0.25">
      <c r="A119"/>
      <c r="B119"/>
      <c r="C119"/>
      <c r="D119"/>
      <c r="E119"/>
      <c r="F119"/>
      <c r="G119"/>
      <c r="H119"/>
      <c r="I119"/>
      <c r="J119"/>
      <c r="K119"/>
      <c r="L119"/>
      <c r="M119"/>
      <c r="N119"/>
      <c r="O119"/>
      <c r="P119" s="168"/>
      <c r="Q119" s="168"/>
      <c r="R119" s="168"/>
      <c r="S119" s="169"/>
      <c r="T119" s="169"/>
      <c r="U119" s="169"/>
      <c r="V119" s="168"/>
      <c r="W119" s="168"/>
      <c r="X119" s="168"/>
      <c r="Y119" s="170"/>
      <c r="Z119" s="171"/>
      <c r="AA119" s="171"/>
      <c r="AB119" s="171"/>
      <c r="AC119" s="171"/>
      <c r="AD119" s="171"/>
      <c r="AE119" s="168"/>
      <c r="AF119" s="170"/>
      <c r="AG119" s="172"/>
      <c r="AH119"/>
      <c r="AI119"/>
    </row>
    <row r="120" spans="1:184" x14ac:dyDescent="0.25">
      <c r="A120"/>
      <c r="B120"/>
      <c r="C120"/>
      <c r="D120"/>
      <c r="E120"/>
      <c r="F120"/>
      <c r="G120"/>
      <c r="H120"/>
      <c r="I120"/>
      <c r="J120"/>
      <c r="K120"/>
      <c r="L120"/>
      <c r="M120"/>
      <c r="N120"/>
      <c r="O120"/>
      <c r="P120" s="168"/>
      <c r="Q120" s="168"/>
      <c r="R120" s="168"/>
      <c r="S120" s="169"/>
      <c r="T120" s="169"/>
      <c r="U120" s="169"/>
      <c r="V120" s="168"/>
      <c r="W120" s="168"/>
      <c r="X120" s="168"/>
      <c r="Y120" s="170"/>
      <c r="Z120" s="171"/>
      <c r="AA120" s="171"/>
      <c r="AB120" s="171"/>
      <c r="AC120" s="171"/>
      <c r="AD120" s="171"/>
      <c r="AE120" s="168"/>
      <c r="AF120" s="170"/>
      <c r="AG120" s="172"/>
      <c r="AH120"/>
      <c r="AI120"/>
    </row>
    <row r="121" spans="1:184" x14ac:dyDescent="0.25">
      <c r="A121"/>
      <c r="B121"/>
      <c r="C121"/>
      <c r="D121"/>
      <c r="E121"/>
      <c r="F121"/>
      <c r="G121"/>
      <c r="H121"/>
      <c r="I121"/>
      <c r="J121"/>
      <c r="K121"/>
      <c r="L121"/>
      <c r="M121"/>
      <c r="N121"/>
      <c r="O121"/>
      <c r="P121" s="168"/>
      <c r="Q121" s="168"/>
      <c r="R121" s="168"/>
      <c r="S121" s="169"/>
      <c r="T121" s="169"/>
      <c r="U121" s="169"/>
      <c r="V121" s="168"/>
      <c r="W121" s="168"/>
      <c r="X121" s="168"/>
      <c r="Y121" s="170"/>
      <c r="Z121" s="171"/>
      <c r="AA121" s="171"/>
      <c r="AB121" s="171"/>
      <c r="AC121" s="171"/>
      <c r="AD121" s="171"/>
      <c r="AE121" s="168"/>
      <c r="AF121" s="170"/>
      <c r="AG121" s="172"/>
      <c r="AH121"/>
      <c r="AI121"/>
    </row>
    <row r="122" spans="1:184" x14ac:dyDescent="0.25">
      <c r="A122"/>
      <c r="B122"/>
      <c r="C122"/>
      <c r="D122"/>
      <c r="E122"/>
      <c r="F122"/>
      <c r="G122"/>
      <c r="H122"/>
      <c r="I122"/>
      <c r="J122"/>
      <c r="K122"/>
      <c r="L122"/>
      <c r="M122"/>
      <c r="N122"/>
      <c r="O122"/>
      <c r="P122" s="168"/>
      <c r="Q122" s="168"/>
      <c r="R122" s="168"/>
      <c r="S122" s="169"/>
      <c r="T122" s="169"/>
      <c r="U122" s="169"/>
      <c r="V122" s="168"/>
      <c r="W122" s="168"/>
      <c r="X122" s="168"/>
      <c r="Y122" s="170"/>
      <c r="Z122" s="171"/>
      <c r="AA122" s="171"/>
      <c r="AB122" s="171"/>
      <c r="AC122" s="171"/>
      <c r="AD122" s="171"/>
      <c r="AE122" s="168"/>
      <c r="AF122" s="170"/>
      <c r="AG122" s="172"/>
      <c r="AH122"/>
      <c r="AI122"/>
    </row>
    <row r="123" spans="1:184" x14ac:dyDescent="0.25">
      <c r="A123"/>
      <c r="B123"/>
      <c r="C123"/>
      <c r="D123"/>
      <c r="E123"/>
      <c r="F123"/>
      <c r="G123"/>
      <c r="H123"/>
      <c r="I123"/>
      <c r="J123"/>
      <c r="K123"/>
      <c r="L123"/>
      <c r="M123"/>
      <c r="N123"/>
      <c r="O123"/>
      <c r="P123" s="168"/>
      <c r="Q123" s="168"/>
      <c r="R123" s="168"/>
      <c r="S123" s="169"/>
      <c r="T123" s="169"/>
      <c r="U123" s="169"/>
      <c r="V123" s="168"/>
      <c r="W123" s="168"/>
      <c r="X123" s="168"/>
      <c r="Y123" s="170"/>
      <c r="Z123" s="171"/>
      <c r="AA123" s="171"/>
      <c r="AB123" s="171"/>
      <c r="AC123" s="171"/>
      <c r="AD123" s="171"/>
      <c r="AE123" s="168"/>
      <c r="AF123" s="170"/>
      <c r="AG123" s="172"/>
      <c r="AH123"/>
      <c r="AI123"/>
    </row>
    <row r="124" spans="1:184" x14ac:dyDescent="0.25">
      <c r="A124"/>
      <c r="B124"/>
      <c r="C124"/>
      <c r="D124"/>
      <c r="E124"/>
      <c r="F124"/>
      <c r="G124"/>
      <c r="H124"/>
      <c r="I124"/>
      <c r="J124"/>
      <c r="K124"/>
      <c r="L124"/>
      <c r="M124"/>
      <c r="N124"/>
      <c r="O124"/>
      <c r="P124" s="168"/>
      <c r="Q124" s="168"/>
      <c r="R124" s="168"/>
      <c r="S124" s="169"/>
      <c r="T124" s="169"/>
      <c r="U124" s="169"/>
      <c r="V124" s="168"/>
      <c r="W124" s="168"/>
      <c r="X124" s="168"/>
      <c r="Y124" s="170"/>
      <c r="Z124" s="171"/>
      <c r="AA124" s="171"/>
      <c r="AB124" s="171"/>
      <c r="AC124" s="171"/>
      <c r="AD124" s="171"/>
      <c r="AE124" s="168"/>
      <c r="AF124" s="170"/>
      <c r="AG124" s="172"/>
      <c r="AH124"/>
      <c r="AI124"/>
    </row>
    <row r="125" spans="1:184" x14ac:dyDescent="0.25">
      <c r="A125"/>
      <c r="B125"/>
      <c r="C125"/>
      <c r="D125"/>
      <c r="E125"/>
      <c r="F125"/>
      <c r="G125"/>
      <c r="H125"/>
      <c r="I125"/>
      <c r="J125"/>
      <c r="K125"/>
      <c r="L125"/>
      <c r="M125"/>
      <c r="N125"/>
      <c r="O125"/>
      <c r="P125" s="168"/>
      <c r="Q125" s="168"/>
      <c r="R125" s="168"/>
      <c r="S125" s="169"/>
      <c r="T125" s="169"/>
      <c r="U125" s="169"/>
      <c r="V125" s="168"/>
      <c r="W125" s="168"/>
      <c r="X125" s="168"/>
      <c r="Y125" s="170"/>
      <c r="Z125" s="171"/>
      <c r="AA125" s="171"/>
      <c r="AB125" s="171"/>
      <c r="AC125" s="171"/>
      <c r="AD125" s="171"/>
      <c r="AE125" s="168"/>
      <c r="AF125" s="170"/>
      <c r="AG125" s="172"/>
      <c r="AH125"/>
      <c r="AI125"/>
    </row>
    <row r="126" spans="1:184" x14ac:dyDescent="0.25">
      <c r="A126"/>
      <c r="B126"/>
      <c r="C126"/>
      <c r="D126"/>
      <c r="E126"/>
      <c r="F126"/>
      <c r="G126"/>
      <c r="H126"/>
      <c r="I126"/>
      <c r="J126"/>
      <c r="K126"/>
      <c r="L126"/>
      <c r="M126"/>
      <c r="N126"/>
      <c r="O126"/>
      <c r="P126" s="168"/>
      <c r="Q126" s="168"/>
      <c r="R126" s="168"/>
      <c r="S126" s="169"/>
      <c r="T126" s="169"/>
      <c r="U126" s="169"/>
      <c r="V126" s="168"/>
      <c r="W126" s="168"/>
      <c r="X126" s="168"/>
      <c r="Y126" s="170"/>
      <c r="Z126" s="171"/>
      <c r="AA126" s="171"/>
      <c r="AB126" s="171"/>
      <c r="AC126" s="171"/>
      <c r="AD126" s="171"/>
      <c r="AE126" s="168"/>
      <c r="AF126" s="170"/>
      <c r="AG126" s="172"/>
      <c r="AH126"/>
      <c r="AI126"/>
    </row>
    <row r="127" spans="1:184" x14ac:dyDescent="0.25">
      <c r="A127"/>
      <c r="B127"/>
      <c r="C127"/>
      <c r="D127"/>
      <c r="E127"/>
      <c r="F127"/>
      <c r="G127"/>
      <c r="H127"/>
      <c r="I127"/>
      <c r="J127"/>
      <c r="K127"/>
      <c r="L127"/>
      <c r="M127"/>
      <c r="N127"/>
      <c r="O127"/>
      <c r="P127" s="168"/>
      <c r="Q127" s="168"/>
      <c r="R127" s="168"/>
      <c r="S127" s="169"/>
      <c r="T127" s="169"/>
      <c r="U127" s="169"/>
      <c r="V127" s="168"/>
      <c r="W127" s="168"/>
      <c r="X127" s="168"/>
      <c r="Y127" s="170"/>
      <c r="Z127" s="171"/>
      <c r="AA127" s="171"/>
      <c r="AB127" s="171"/>
      <c r="AC127" s="171"/>
      <c r="AD127" s="171"/>
      <c r="AE127" s="168"/>
      <c r="AF127" s="170"/>
      <c r="AG127" s="172"/>
      <c r="AH127"/>
      <c r="AI127"/>
    </row>
    <row r="128" spans="1:184" x14ac:dyDescent="0.25">
      <c r="A128"/>
      <c r="B128"/>
      <c r="C128"/>
      <c r="D128"/>
      <c r="E128"/>
      <c r="F128"/>
      <c r="G128"/>
      <c r="H128"/>
      <c r="I128"/>
      <c r="J128"/>
      <c r="K128"/>
      <c r="L128"/>
      <c r="M128"/>
      <c r="N128"/>
      <c r="O128"/>
      <c r="P128" s="168"/>
      <c r="Q128" s="168"/>
      <c r="R128" s="168"/>
      <c r="S128" s="169"/>
      <c r="T128" s="169"/>
      <c r="U128" s="169"/>
      <c r="V128" s="168"/>
      <c r="W128" s="168"/>
      <c r="X128" s="168"/>
      <c r="Y128" s="170"/>
      <c r="Z128" s="171"/>
      <c r="AA128" s="171"/>
      <c r="AB128" s="171"/>
      <c r="AC128" s="171"/>
      <c r="AD128" s="171"/>
      <c r="AE128" s="168"/>
      <c r="AF128" s="170"/>
      <c r="AG128" s="172"/>
      <c r="AH128"/>
      <c r="AI128"/>
    </row>
    <row r="129" spans="1:35" x14ac:dyDescent="0.25">
      <c r="A129"/>
      <c r="B129"/>
      <c r="C129"/>
      <c r="D129"/>
      <c r="E129"/>
      <c r="F129"/>
      <c r="G129"/>
      <c r="H129"/>
      <c r="I129"/>
      <c r="J129"/>
      <c r="K129"/>
      <c r="L129"/>
      <c r="M129"/>
      <c r="N129"/>
      <c r="O129"/>
      <c r="P129" s="168"/>
      <c r="Q129" s="168"/>
      <c r="R129" s="168"/>
      <c r="S129" s="169"/>
      <c r="T129" s="169"/>
      <c r="U129" s="169"/>
      <c r="V129" s="168"/>
      <c r="W129" s="168"/>
      <c r="X129" s="168"/>
      <c r="Y129" s="170"/>
      <c r="Z129" s="171"/>
      <c r="AA129" s="171"/>
      <c r="AB129" s="171"/>
      <c r="AC129" s="171"/>
      <c r="AD129" s="171"/>
      <c r="AE129" s="168"/>
      <c r="AF129" s="170"/>
      <c r="AG129" s="172"/>
      <c r="AH129"/>
      <c r="AI129"/>
    </row>
    <row r="130" spans="1:35" x14ac:dyDescent="0.25">
      <c r="A130"/>
      <c r="B130"/>
      <c r="C130"/>
      <c r="D130"/>
      <c r="E130"/>
      <c r="F130"/>
      <c r="G130"/>
      <c r="H130"/>
      <c r="I130"/>
      <c r="J130"/>
      <c r="K130"/>
      <c r="L130"/>
      <c r="M130"/>
      <c r="N130"/>
      <c r="O130"/>
      <c r="P130" s="168"/>
      <c r="Q130" s="168"/>
      <c r="R130" s="168"/>
      <c r="S130" s="169"/>
      <c r="T130" s="169"/>
      <c r="U130" s="169"/>
      <c r="V130" s="168"/>
      <c r="W130" s="168"/>
      <c r="X130" s="168"/>
      <c r="Y130" s="170"/>
      <c r="Z130" s="171"/>
      <c r="AA130" s="171"/>
      <c r="AB130" s="171"/>
      <c r="AC130" s="171"/>
      <c r="AD130" s="171"/>
      <c r="AE130" s="168"/>
      <c r="AF130" s="170"/>
      <c r="AG130" s="172"/>
      <c r="AH130"/>
      <c r="AI130"/>
    </row>
    <row r="131" spans="1:35" x14ac:dyDescent="0.25">
      <c r="A131"/>
      <c r="B131"/>
      <c r="C131"/>
      <c r="D131"/>
      <c r="E131"/>
      <c r="F131"/>
      <c r="G131"/>
      <c r="H131"/>
      <c r="I131"/>
      <c r="J131"/>
      <c r="K131"/>
      <c r="L131"/>
      <c r="M131"/>
      <c r="N131"/>
      <c r="O131"/>
      <c r="P131" s="168"/>
      <c r="Q131" s="168"/>
      <c r="R131" s="168"/>
      <c r="S131" s="169"/>
      <c r="T131" s="169"/>
      <c r="U131" s="169"/>
      <c r="V131" s="168"/>
      <c r="W131" s="168"/>
      <c r="X131" s="168"/>
      <c r="Y131" s="170"/>
      <c r="Z131" s="171"/>
      <c r="AA131" s="171"/>
      <c r="AB131" s="171"/>
      <c r="AC131" s="171"/>
      <c r="AD131" s="171"/>
      <c r="AE131" s="168"/>
      <c r="AF131" s="170"/>
      <c r="AG131" s="172"/>
      <c r="AH131"/>
      <c r="AI131"/>
    </row>
    <row r="132" spans="1:35" x14ac:dyDescent="0.25">
      <c r="A132"/>
      <c r="B132"/>
      <c r="C132"/>
      <c r="D132"/>
      <c r="E132"/>
      <c r="F132"/>
      <c r="G132"/>
      <c r="H132"/>
      <c r="I132"/>
      <c r="J132"/>
      <c r="K132"/>
      <c r="L132"/>
      <c r="M132"/>
      <c r="N132"/>
      <c r="O132"/>
      <c r="P132" s="168"/>
      <c r="Q132" s="168"/>
      <c r="R132" s="168"/>
      <c r="S132" s="169"/>
      <c r="T132" s="169"/>
      <c r="U132" s="169"/>
      <c r="V132" s="168"/>
      <c r="W132" s="168"/>
      <c r="X132" s="168"/>
      <c r="Y132" s="170"/>
      <c r="Z132" s="171"/>
      <c r="AA132" s="171"/>
      <c r="AB132" s="171"/>
      <c r="AC132" s="171"/>
      <c r="AD132" s="171"/>
      <c r="AE132" s="168"/>
      <c r="AF132" s="170"/>
      <c r="AG132" s="172"/>
      <c r="AH132"/>
      <c r="AI132"/>
    </row>
    <row r="133" spans="1:35" x14ac:dyDescent="0.25">
      <c r="A133"/>
      <c r="B133"/>
      <c r="C133"/>
      <c r="D133"/>
      <c r="E133"/>
      <c r="F133"/>
      <c r="G133"/>
      <c r="H133"/>
      <c r="I133"/>
      <c r="J133"/>
      <c r="K133"/>
      <c r="L133"/>
      <c r="M133"/>
      <c r="N133"/>
      <c r="O133"/>
      <c r="P133" s="168"/>
      <c r="Q133" s="168"/>
      <c r="R133" s="168"/>
      <c r="S133" s="169"/>
      <c r="T133" s="169"/>
      <c r="U133" s="169"/>
      <c r="V133" s="168"/>
      <c r="W133" s="168"/>
      <c r="X133" s="168"/>
      <c r="Y133" s="170"/>
      <c r="Z133" s="171"/>
      <c r="AA133" s="171"/>
      <c r="AB133" s="171"/>
      <c r="AC133" s="171"/>
      <c r="AD133" s="171"/>
      <c r="AE133" s="168"/>
      <c r="AF133" s="170"/>
      <c r="AG133" s="172"/>
      <c r="AH133"/>
      <c r="AI133"/>
    </row>
    <row r="134" spans="1:35" x14ac:dyDescent="0.25">
      <c r="A134"/>
      <c r="B134"/>
      <c r="C134"/>
      <c r="D134"/>
      <c r="E134"/>
      <c r="F134"/>
      <c r="G134"/>
      <c r="H134"/>
      <c r="I134"/>
      <c r="J134"/>
      <c r="K134"/>
      <c r="L134"/>
      <c r="M134"/>
      <c r="N134"/>
      <c r="O134"/>
      <c r="P134" s="168"/>
      <c r="Q134" s="168"/>
      <c r="R134" s="168"/>
      <c r="S134" s="169"/>
      <c r="T134" s="169"/>
      <c r="U134" s="169"/>
      <c r="V134" s="168"/>
      <c r="W134" s="168"/>
      <c r="X134" s="168"/>
      <c r="Y134" s="170"/>
      <c r="Z134" s="171"/>
      <c r="AA134" s="171"/>
      <c r="AB134" s="171"/>
      <c r="AC134" s="171"/>
      <c r="AD134" s="171"/>
      <c r="AE134" s="168"/>
      <c r="AF134" s="170"/>
      <c r="AG134" s="172"/>
      <c r="AH134"/>
      <c r="AI134"/>
    </row>
    <row r="135" spans="1:35" x14ac:dyDescent="0.25">
      <c r="A135"/>
      <c r="B135"/>
      <c r="C135"/>
      <c r="D135"/>
      <c r="E135"/>
      <c r="F135"/>
      <c r="G135"/>
      <c r="H135"/>
      <c r="I135"/>
      <c r="J135"/>
      <c r="K135"/>
      <c r="L135"/>
      <c r="M135"/>
      <c r="N135"/>
      <c r="O135"/>
      <c r="P135" s="168"/>
      <c r="Q135" s="168"/>
      <c r="R135" s="168"/>
      <c r="S135" s="169"/>
      <c r="T135" s="169"/>
      <c r="U135" s="169"/>
      <c r="V135" s="168"/>
      <c r="W135" s="168"/>
      <c r="X135" s="168"/>
      <c r="Y135" s="170"/>
      <c r="Z135" s="171"/>
      <c r="AA135" s="171"/>
      <c r="AB135" s="171"/>
      <c r="AC135" s="171"/>
      <c r="AD135" s="171"/>
      <c r="AE135" s="168"/>
      <c r="AF135" s="170"/>
      <c r="AG135" s="172"/>
      <c r="AH135"/>
      <c r="AI135"/>
    </row>
    <row r="136" spans="1:35" x14ac:dyDescent="0.25">
      <c r="A136"/>
      <c r="B136"/>
      <c r="C136"/>
      <c r="D136"/>
      <c r="E136"/>
      <c r="F136"/>
      <c r="G136"/>
      <c r="H136"/>
      <c r="I136"/>
      <c r="J136"/>
      <c r="K136"/>
      <c r="L136"/>
      <c r="M136"/>
      <c r="N136"/>
      <c r="O136"/>
      <c r="P136" s="168"/>
      <c r="Q136" s="168"/>
      <c r="R136" s="168"/>
      <c r="S136" s="169"/>
      <c r="T136" s="169"/>
      <c r="U136" s="169"/>
      <c r="V136" s="168"/>
      <c r="W136" s="168"/>
      <c r="X136" s="168"/>
      <c r="Y136" s="170"/>
      <c r="Z136" s="171"/>
      <c r="AA136" s="171"/>
      <c r="AB136" s="171"/>
      <c r="AC136" s="171"/>
      <c r="AD136" s="171"/>
      <c r="AE136" s="168"/>
      <c r="AF136" s="170"/>
      <c r="AG136" s="172"/>
      <c r="AH136"/>
      <c r="AI136"/>
    </row>
    <row r="137" spans="1:35" x14ac:dyDescent="0.25">
      <c r="A137"/>
      <c r="B137"/>
      <c r="C137"/>
      <c r="D137"/>
      <c r="E137"/>
      <c r="F137"/>
      <c r="G137"/>
      <c r="H137"/>
      <c r="I137"/>
      <c r="J137"/>
      <c r="K137"/>
      <c r="L137"/>
      <c r="M137"/>
      <c r="N137"/>
      <c r="O137"/>
      <c r="P137" s="168"/>
      <c r="Q137" s="168"/>
      <c r="R137" s="168"/>
      <c r="S137" s="169"/>
      <c r="T137" s="169"/>
      <c r="U137" s="169"/>
      <c r="V137" s="168"/>
      <c r="W137" s="168"/>
      <c r="X137" s="168"/>
      <c r="Y137" s="170"/>
      <c r="Z137" s="171"/>
      <c r="AA137" s="171"/>
      <c r="AB137" s="171"/>
      <c r="AC137" s="171"/>
      <c r="AD137" s="171"/>
      <c r="AE137" s="168"/>
      <c r="AF137" s="170"/>
      <c r="AG137" s="172"/>
      <c r="AH137"/>
      <c r="AI137"/>
    </row>
    <row r="138" spans="1:35" x14ac:dyDescent="0.25">
      <c r="A138"/>
      <c r="B138"/>
      <c r="C138"/>
      <c r="D138"/>
      <c r="E138"/>
      <c r="F138"/>
      <c r="G138"/>
      <c r="H138"/>
      <c r="I138"/>
      <c r="J138"/>
      <c r="K138"/>
      <c r="L138"/>
      <c r="M138"/>
      <c r="N138"/>
      <c r="O138"/>
      <c r="P138" s="168"/>
      <c r="Q138" s="168"/>
      <c r="R138" s="168"/>
      <c r="S138" s="169"/>
      <c r="T138" s="169"/>
      <c r="U138" s="169"/>
      <c r="V138" s="168"/>
      <c r="W138" s="168"/>
      <c r="X138" s="168"/>
      <c r="Y138" s="170"/>
      <c r="Z138" s="171"/>
      <c r="AA138" s="171"/>
      <c r="AB138" s="171"/>
      <c r="AC138" s="171"/>
      <c r="AD138" s="171"/>
      <c r="AE138" s="168"/>
      <c r="AF138" s="170"/>
      <c r="AG138" s="172"/>
      <c r="AH138"/>
      <c r="AI138"/>
    </row>
    <row r="139" spans="1:35" x14ac:dyDescent="0.25">
      <c r="A139"/>
      <c r="B139"/>
      <c r="C139"/>
      <c r="D139"/>
      <c r="E139"/>
      <c r="F139"/>
      <c r="G139"/>
      <c r="H139"/>
      <c r="I139"/>
      <c r="J139"/>
      <c r="K139"/>
      <c r="L139"/>
      <c r="M139"/>
      <c r="N139"/>
      <c r="O139"/>
      <c r="P139" s="168"/>
      <c r="Q139" s="168"/>
      <c r="R139" s="168"/>
      <c r="S139" s="169"/>
      <c r="T139" s="169"/>
      <c r="U139" s="169"/>
      <c r="V139" s="168"/>
      <c r="W139" s="168"/>
      <c r="X139" s="168"/>
      <c r="Y139" s="170"/>
      <c r="Z139" s="171"/>
      <c r="AA139" s="171"/>
      <c r="AB139" s="171"/>
      <c r="AC139" s="171"/>
      <c r="AD139" s="171"/>
      <c r="AE139" s="168"/>
      <c r="AF139" s="170"/>
      <c r="AG139" s="172"/>
      <c r="AH139"/>
      <c r="AI139"/>
    </row>
    <row r="140" spans="1:35" x14ac:dyDescent="0.25">
      <c r="A140"/>
      <c r="B140"/>
      <c r="C140"/>
      <c r="D140"/>
      <c r="E140"/>
      <c r="F140"/>
      <c r="G140"/>
      <c r="H140"/>
      <c r="I140"/>
      <c r="J140"/>
      <c r="K140"/>
      <c r="L140"/>
      <c r="M140"/>
      <c r="N140"/>
      <c r="O140"/>
      <c r="P140" s="168"/>
      <c r="Q140" s="168"/>
      <c r="R140" s="168"/>
      <c r="S140" s="169"/>
      <c r="T140" s="169"/>
      <c r="U140" s="169"/>
      <c r="V140" s="168"/>
      <c r="W140" s="168"/>
      <c r="X140" s="168"/>
      <c r="Y140" s="170"/>
      <c r="Z140" s="171"/>
      <c r="AA140" s="171"/>
      <c r="AB140" s="171"/>
      <c r="AC140" s="171"/>
      <c r="AD140" s="171"/>
      <c r="AE140" s="168"/>
      <c r="AF140" s="170"/>
      <c r="AG140" s="172"/>
      <c r="AH140"/>
      <c r="AI140"/>
    </row>
    <row r="141" spans="1:35" x14ac:dyDescent="0.25">
      <c r="A141"/>
      <c r="B141"/>
      <c r="C141"/>
      <c r="D141"/>
      <c r="E141"/>
      <c r="F141"/>
      <c r="G141"/>
      <c r="H141"/>
      <c r="I141"/>
      <c r="J141"/>
      <c r="K141"/>
      <c r="L141"/>
      <c r="M141"/>
      <c r="N141"/>
      <c r="O141"/>
      <c r="P141" s="168"/>
      <c r="Q141" s="168"/>
      <c r="R141" s="168"/>
      <c r="S141" s="169"/>
      <c r="T141" s="169"/>
      <c r="U141" s="169"/>
      <c r="V141" s="168"/>
      <c r="W141" s="168"/>
      <c r="X141" s="168"/>
      <c r="Y141" s="170"/>
      <c r="Z141" s="171"/>
      <c r="AA141" s="171"/>
      <c r="AB141" s="171"/>
      <c r="AC141" s="171"/>
      <c r="AD141" s="171"/>
      <c r="AE141" s="168"/>
      <c r="AF141" s="170"/>
      <c r="AG141" s="172"/>
      <c r="AH141"/>
      <c r="AI141"/>
    </row>
    <row r="142" spans="1:35" x14ac:dyDescent="0.25">
      <c r="A142"/>
      <c r="B142"/>
      <c r="C142"/>
      <c r="D142"/>
      <c r="E142"/>
      <c r="F142"/>
      <c r="G142"/>
      <c r="H142"/>
      <c r="I142"/>
      <c r="J142"/>
      <c r="K142"/>
      <c r="L142"/>
      <c r="M142"/>
      <c r="N142"/>
      <c r="O142"/>
      <c r="P142" s="168"/>
      <c r="Q142" s="168"/>
      <c r="R142" s="168"/>
      <c r="S142" s="169"/>
      <c r="T142" s="169"/>
      <c r="U142" s="169"/>
      <c r="V142" s="168"/>
      <c r="W142" s="168"/>
      <c r="X142" s="168"/>
      <c r="Y142" s="170"/>
      <c r="Z142" s="171"/>
      <c r="AA142" s="171"/>
      <c r="AB142" s="171"/>
      <c r="AC142" s="171"/>
      <c r="AD142" s="171"/>
      <c r="AE142" s="168"/>
      <c r="AF142" s="170"/>
      <c r="AG142" s="172"/>
      <c r="AH142"/>
      <c r="AI142"/>
    </row>
    <row r="143" spans="1:35" x14ac:dyDescent="0.25">
      <c r="A143"/>
      <c r="B143"/>
      <c r="C143"/>
      <c r="D143"/>
      <c r="E143"/>
      <c r="F143"/>
      <c r="G143"/>
      <c r="H143"/>
      <c r="I143"/>
      <c r="J143"/>
      <c r="K143"/>
      <c r="L143"/>
      <c r="M143"/>
      <c r="N143"/>
      <c r="O143"/>
      <c r="P143" s="168"/>
      <c r="Q143" s="168"/>
      <c r="R143" s="168"/>
      <c r="S143" s="169"/>
      <c r="T143" s="169"/>
      <c r="U143" s="169"/>
      <c r="V143" s="168"/>
      <c r="W143" s="168"/>
      <c r="X143" s="168"/>
      <c r="Y143" s="170"/>
      <c r="Z143" s="171"/>
      <c r="AA143" s="171"/>
      <c r="AB143" s="171"/>
      <c r="AC143" s="171"/>
      <c r="AD143" s="171"/>
      <c r="AE143" s="168"/>
      <c r="AF143" s="170"/>
      <c r="AG143" s="172"/>
      <c r="AH143"/>
      <c r="AI143"/>
    </row>
    <row r="144" spans="1:35" x14ac:dyDescent="0.25">
      <c r="A144"/>
      <c r="B144"/>
      <c r="C144"/>
      <c r="D144"/>
      <c r="E144"/>
      <c r="F144"/>
      <c r="G144"/>
      <c r="H144"/>
      <c r="I144"/>
      <c r="J144"/>
      <c r="K144"/>
      <c r="L144"/>
      <c r="M144"/>
      <c r="N144"/>
      <c r="O144"/>
      <c r="P144" s="168"/>
      <c r="Q144" s="168"/>
      <c r="R144" s="168"/>
      <c r="S144" s="169"/>
      <c r="T144" s="169"/>
      <c r="U144" s="169"/>
      <c r="V144" s="168"/>
      <c r="W144" s="168"/>
      <c r="X144" s="168"/>
      <c r="Y144" s="170"/>
      <c r="Z144" s="171"/>
      <c r="AA144" s="171"/>
      <c r="AB144" s="171"/>
      <c r="AC144" s="171"/>
      <c r="AD144" s="171"/>
      <c r="AE144" s="168"/>
      <c r="AF144" s="170"/>
      <c r="AG144" s="172"/>
      <c r="AH144"/>
      <c r="AI144"/>
    </row>
    <row r="145" spans="1:35" x14ac:dyDescent="0.25">
      <c r="A145"/>
      <c r="B145"/>
      <c r="C145"/>
      <c r="D145"/>
      <c r="E145"/>
      <c r="F145"/>
      <c r="G145"/>
      <c r="H145"/>
      <c r="I145"/>
      <c r="J145"/>
      <c r="K145"/>
      <c r="L145"/>
      <c r="M145"/>
      <c r="N145"/>
      <c r="O145"/>
      <c r="P145" s="168"/>
      <c r="Q145" s="168"/>
      <c r="R145" s="168"/>
      <c r="S145" s="169"/>
      <c r="T145" s="169"/>
      <c r="U145" s="169"/>
      <c r="V145" s="168"/>
      <c r="W145" s="168"/>
      <c r="X145" s="168"/>
      <c r="Y145" s="170"/>
      <c r="Z145" s="171"/>
      <c r="AA145" s="171"/>
      <c r="AB145" s="171"/>
      <c r="AC145" s="171"/>
      <c r="AD145" s="171"/>
      <c r="AE145" s="168"/>
      <c r="AF145" s="170"/>
      <c r="AG145" s="172"/>
      <c r="AH145"/>
      <c r="AI145"/>
    </row>
    <row r="146" spans="1:35" x14ac:dyDescent="0.25">
      <c r="A146"/>
      <c r="B146"/>
      <c r="C146"/>
      <c r="D146"/>
      <c r="E146"/>
      <c r="F146"/>
      <c r="G146"/>
      <c r="H146"/>
      <c r="I146"/>
      <c r="J146"/>
      <c r="K146"/>
      <c r="L146"/>
      <c r="M146"/>
      <c r="N146"/>
      <c r="O146"/>
      <c r="P146" s="168"/>
      <c r="Q146" s="168"/>
      <c r="R146" s="168"/>
      <c r="S146" s="169"/>
      <c r="T146" s="169"/>
      <c r="U146" s="169"/>
      <c r="V146" s="168"/>
      <c r="W146" s="168"/>
      <c r="X146" s="168"/>
      <c r="Y146" s="170"/>
      <c r="Z146" s="171"/>
      <c r="AA146" s="171"/>
      <c r="AB146" s="171"/>
      <c r="AC146" s="171"/>
      <c r="AD146" s="171"/>
      <c r="AE146" s="168"/>
      <c r="AF146" s="170"/>
      <c r="AG146" s="172"/>
      <c r="AH146"/>
      <c r="AI146"/>
    </row>
    <row r="147" spans="1:35" x14ac:dyDescent="0.25">
      <c r="A147"/>
      <c r="B147"/>
      <c r="C147"/>
      <c r="D147"/>
      <c r="E147"/>
      <c r="F147"/>
      <c r="G147"/>
      <c r="H147"/>
      <c r="I147"/>
      <c r="J147"/>
      <c r="K147"/>
      <c r="L147"/>
      <c r="M147"/>
      <c r="N147"/>
      <c r="O147"/>
      <c r="P147" s="168"/>
      <c r="Q147" s="168"/>
      <c r="R147" s="168"/>
      <c r="S147" s="169"/>
      <c r="T147" s="169"/>
      <c r="U147" s="169"/>
      <c r="V147" s="168"/>
      <c r="W147" s="168"/>
      <c r="X147" s="168"/>
      <c r="Y147" s="170"/>
      <c r="Z147" s="171"/>
      <c r="AA147" s="171"/>
      <c r="AB147" s="171"/>
      <c r="AC147" s="171"/>
      <c r="AD147" s="171"/>
      <c r="AE147" s="168"/>
      <c r="AF147" s="170"/>
      <c r="AG147" s="172"/>
      <c r="AH147"/>
      <c r="AI147"/>
    </row>
    <row r="148" spans="1:35" x14ac:dyDescent="0.25">
      <c r="A148"/>
      <c r="B148"/>
      <c r="C148"/>
      <c r="D148"/>
      <c r="E148"/>
      <c r="F148"/>
      <c r="G148"/>
      <c r="H148"/>
      <c r="I148"/>
      <c r="J148"/>
      <c r="K148"/>
      <c r="L148"/>
      <c r="M148"/>
      <c r="N148"/>
      <c r="O148"/>
      <c r="P148" s="168"/>
      <c r="Q148" s="168"/>
      <c r="R148" s="168"/>
      <c r="S148" s="169"/>
      <c r="T148" s="169"/>
      <c r="U148" s="169"/>
      <c r="V148" s="168"/>
      <c r="W148" s="168"/>
      <c r="X148" s="168"/>
      <c r="Y148" s="170"/>
      <c r="Z148" s="171"/>
      <c r="AA148" s="171"/>
      <c r="AB148" s="171"/>
      <c r="AC148" s="171"/>
      <c r="AD148" s="171"/>
      <c r="AE148" s="168"/>
      <c r="AF148" s="170"/>
      <c r="AG148" s="172"/>
      <c r="AH148"/>
      <c r="AI148"/>
    </row>
    <row r="149" spans="1:35" x14ac:dyDescent="0.25">
      <c r="A149"/>
      <c r="B149"/>
      <c r="C149"/>
      <c r="D149"/>
      <c r="E149"/>
      <c r="F149"/>
      <c r="G149"/>
      <c r="H149"/>
      <c r="I149"/>
      <c r="J149"/>
      <c r="K149"/>
      <c r="L149"/>
      <c r="M149"/>
      <c r="N149"/>
      <c r="O149"/>
      <c r="P149" s="168"/>
      <c r="Q149" s="168"/>
      <c r="R149" s="168"/>
      <c r="S149" s="169"/>
      <c r="T149" s="169"/>
      <c r="U149" s="169"/>
      <c r="V149" s="168"/>
      <c r="W149" s="168"/>
      <c r="X149" s="168"/>
      <c r="Y149" s="170"/>
      <c r="Z149" s="171"/>
      <c r="AA149" s="171"/>
      <c r="AB149" s="171"/>
      <c r="AC149" s="171"/>
      <c r="AD149" s="171"/>
      <c r="AE149" s="168"/>
      <c r="AF149" s="170"/>
      <c r="AG149" s="172"/>
      <c r="AH149"/>
      <c r="AI149"/>
    </row>
    <row r="150" spans="1:35" x14ac:dyDescent="0.25">
      <c r="A150"/>
      <c r="B150"/>
      <c r="C150"/>
      <c r="D150"/>
      <c r="E150"/>
      <c r="F150"/>
      <c r="G150"/>
      <c r="H150"/>
      <c r="I150"/>
      <c r="J150"/>
      <c r="K150"/>
      <c r="L150"/>
      <c r="M150"/>
      <c r="N150"/>
      <c r="O150"/>
      <c r="P150" s="168"/>
      <c r="Q150" s="168"/>
      <c r="R150" s="168"/>
      <c r="S150" s="169"/>
      <c r="T150" s="169"/>
      <c r="U150" s="169"/>
      <c r="V150" s="168"/>
      <c r="W150" s="168"/>
      <c r="X150" s="168"/>
      <c r="Y150" s="170"/>
      <c r="Z150" s="171"/>
      <c r="AA150" s="171"/>
      <c r="AB150" s="171"/>
      <c r="AC150" s="171"/>
      <c r="AD150" s="171"/>
      <c r="AE150" s="168"/>
      <c r="AF150" s="170"/>
      <c r="AG150" s="172"/>
      <c r="AH150"/>
      <c r="AI150"/>
    </row>
    <row r="151" spans="1:35" x14ac:dyDescent="0.25">
      <c r="A151"/>
      <c r="B151"/>
      <c r="C151"/>
      <c r="D151"/>
      <c r="E151"/>
      <c r="F151"/>
      <c r="G151"/>
      <c r="H151"/>
      <c r="I151"/>
      <c r="J151"/>
      <c r="K151"/>
      <c r="L151"/>
      <c r="M151"/>
      <c r="N151"/>
      <c r="O151"/>
      <c r="P151" s="168"/>
      <c r="Q151" s="168"/>
      <c r="R151" s="168"/>
      <c r="S151" s="169"/>
      <c r="T151" s="169"/>
      <c r="U151" s="169"/>
      <c r="V151" s="168"/>
      <c r="W151" s="168"/>
      <c r="X151" s="168"/>
      <c r="Y151" s="170"/>
      <c r="Z151" s="171"/>
      <c r="AA151" s="171"/>
      <c r="AB151" s="171"/>
      <c r="AC151" s="171"/>
      <c r="AD151" s="171"/>
      <c r="AE151" s="168"/>
      <c r="AF151" s="170"/>
      <c r="AG151" s="172"/>
      <c r="AH151"/>
      <c r="AI151"/>
    </row>
    <row r="152" spans="1:35" x14ac:dyDescent="0.25">
      <c r="A152"/>
      <c r="B152"/>
      <c r="C152"/>
      <c r="D152"/>
      <c r="E152"/>
      <c r="F152"/>
      <c r="G152"/>
      <c r="H152"/>
      <c r="I152"/>
      <c r="J152"/>
      <c r="K152"/>
      <c r="L152"/>
      <c r="M152"/>
      <c r="N152"/>
      <c r="O152"/>
      <c r="P152" s="168"/>
      <c r="Q152" s="168"/>
      <c r="R152" s="168"/>
      <c r="S152" s="169"/>
      <c r="T152" s="169"/>
      <c r="U152" s="169"/>
      <c r="V152" s="168"/>
      <c r="W152" s="168"/>
      <c r="X152" s="168"/>
      <c r="Y152" s="170"/>
      <c r="Z152" s="171"/>
      <c r="AA152" s="171"/>
      <c r="AB152" s="171"/>
      <c r="AC152" s="171"/>
      <c r="AD152" s="171"/>
      <c r="AE152" s="168"/>
      <c r="AF152" s="170"/>
      <c r="AG152" s="172"/>
      <c r="AH152"/>
      <c r="AI152"/>
    </row>
    <row r="153" spans="1:35" x14ac:dyDescent="0.25">
      <c r="A153"/>
      <c r="B153"/>
      <c r="C153"/>
      <c r="D153"/>
      <c r="E153"/>
      <c r="F153"/>
      <c r="G153"/>
      <c r="H153"/>
      <c r="I153"/>
      <c r="J153"/>
      <c r="K153"/>
      <c r="L153"/>
      <c r="M153"/>
      <c r="N153"/>
      <c r="O153"/>
      <c r="P153" s="168"/>
      <c r="Q153" s="168"/>
      <c r="R153" s="168"/>
      <c r="S153" s="169"/>
      <c r="T153" s="169"/>
      <c r="U153" s="169"/>
      <c r="V153" s="168"/>
      <c r="W153" s="168"/>
      <c r="X153" s="168"/>
      <c r="Y153" s="170"/>
      <c r="Z153" s="171"/>
      <c r="AA153" s="171"/>
      <c r="AB153" s="171"/>
      <c r="AC153" s="171"/>
      <c r="AD153" s="171"/>
      <c r="AE153" s="168"/>
      <c r="AF153" s="170"/>
      <c r="AG153" s="172"/>
      <c r="AH153"/>
      <c r="AI153"/>
    </row>
    <row r="154" spans="1:35" x14ac:dyDescent="0.25">
      <c r="A154"/>
      <c r="B154"/>
      <c r="C154"/>
      <c r="D154"/>
      <c r="E154"/>
      <c r="F154"/>
      <c r="G154"/>
      <c r="H154"/>
      <c r="I154"/>
      <c r="J154"/>
      <c r="K154"/>
      <c r="L154"/>
      <c r="M154"/>
      <c r="N154"/>
      <c r="O154"/>
      <c r="P154" s="168"/>
      <c r="Q154" s="168"/>
      <c r="R154" s="168"/>
      <c r="S154" s="169"/>
      <c r="T154" s="169"/>
      <c r="U154" s="169"/>
      <c r="V154" s="168"/>
      <c r="W154" s="168"/>
      <c r="X154" s="168"/>
      <c r="Y154" s="170"/>
      <c r="Z154" s="171"/>
      <c r="AA154" s="171"/>
      <c r="AB154" s="171"/>
      <c r="AC154" s="171"/>
      <c r="AD154" s="171"/>
      <c r="AE154" s="168"/>
      <c r="AF154" s="170"/>
      <c r="AG154" s="172"/>
      <c r="AH154"/>
      <c r="AI154"/>
    </row>
    <row r="155" spans="1:35" x14ac:dyDescent="0.25">
      <c r="A155"/>
      <c r="B155"/>
      <c r="C155"/>
      <c r="D155"/>
      <c r="E155"/>
      <c r="F155"/>
      <c r="G155"/>
      <c r="H155"/>
      <c r="I155"/>
      <c r="J155"/>
      <c r="K155"/>
      <c r="L155"/>
      <c r="M155"/>
      <c r="N155"/>
      <c r="O155"/>
      <c r="P155" s="168"/>
      <c r="Q155" s="168"/>
      <c r="R155" s="168"/>
      <c r="S155" s="169"/>
      <c r="T155" s="169"/>
      <c r="U155" s="169"/>
      <c r="V155" s="168"/>
      <c r="W155" s="168"/>
      <c r="X155" s="168"/>
      <c r="Y155" s="170"/>
      <c r="Z155" s="171"/>
      <c r="AA155" s="171"/>
      <c r="AB155" s="171"/>
      <c r="AC155" s="171"/>
      <c r="AD155" s="171"/>
      <c r="AE155" s="168"/>
      <c r="AF155" s="170"/>
      <c r="AG155" s="172"/>
      <c r="AH155"/>
      <c r="AI155"/>
    </row>
    <row r="156" spans="1:35" x14ac:dyDescent="0.25">
      <c r="A156"/>
      <c r="B156"/>
      <c r="C156"/>
      <c r="D156"/>
      <c r="E156"/>
      <c r="F156"/>
      <c r="G156"/>
      <c r="H156"/>
      <c r="I156"/>
      <c r="J156"/>
      <c r="K156"/>
      <c r="L156"/>
      <c r="M156"/>
      <c r="N156"/>
      <c r="O156"/>
      <c r="P156" s="168"/>
      <c r="Q156" s="168"/>
      <c r="R156" s="168"/>
      <c r="S156" s="169"/>
      <c r="T156" s="169"/>
      <c r="U156" s="169"/>
      <c r="V156" s="168"/>
      <c r="W156" s="168"/>
      <c r="X156" s="168"/>
      <c r="Y156" s="170"/>
      <c r="Z156" s="171"/>
      <c r="AA156" s="171"/>
      <c r="AB156" s="171"/>
      <c r="AC156" s="171"/>
      <c r="AD156" s="171"/>
      <c r="AE156" s="168"/>
      <c r="AF156" s="170"/>
      <c r="AG156" s="172"/>
      <c r="AH156"/>
      <c r="AI156"/>
    </row>
    <row r="157" spans="1:35" x14ac:dyDescent="0.25">
      <c r="A157"/>
      <c r="B157"/>
      <c r="C157"/>
      <c r="D157"/>
      <c r="E157"/>
      <c r="F157"/>
      <c r="G157"/>
      <c r="H157"/>
      <c r="I157"/>
      <c r="J157"/>
      <c r="K157"/>
      <c r="L157"/>
      <c r="M157"/>
      <c r="N157"/>
      <c r="O157"/>
      <c r="P157" s="168"/>
      <c r="Q157" s="168"/>
      <c r="R157" s="168"/>
      <c r="S157" s="169"/>
      <c r="T157" s="169"/>
      <c r="U157" s="169"/>
      <c r="V157" s="168"/>
      <c r="W157" s="168"/>
      <c r="X157" s="168"/>
      <c r="Y157" s="170"/>
      <c r="Z157" s="171"/>
      <c r="AA157" s="171"/>
      <c r="AB157" s="171"/>
      <c r="AC157" s="171"/>
      <c r="AD157" s="171"/>
      <c r="AE157" s="168"/>
      <c r="AF157" s="170"/>
      <c r="AG157" s="172"/>
      <c r="AH157"/>
      <c r="AI157"/>
    </row>
    <row r="158" spans="1:35" x14ac:dyDescent="0.25">
      <c r="A158"/>
      <c r="B158"/>
      <c r="C158"/>
      <c r="D158"/>
      <c r="E158"/>
      <c r="F158"/>
      <c r="G158"/>
      <c r="H158"/>
      <c r="I158"/>
      <c r="J158"/>
      <c r="K158"/>
      <c r="L158"/>
      <c r="M158"/>
      <c r="N158"/>
      <c r="O158"/>
      <c r="P158" s="168"/>
      <c r="Q158" s="168"/>
      <c r="R158" s="168"/>
      <c r="S158" s="169"/>
      <c r="T158" s="169"/>
      <c r="U158" s="169"/>
      <c r="V158" s="168"/>
      <c r="W158" s="168"/>
      <c r="X158" s="168"/>
      <c r="Y158" s="170"/>
      <c r="Z158" s="171"/>
      <c r="AA158" s="171"/>
      <c r="AB158" s="171"/>
      <c r="AC158" s="171"/>
      <c r="AD158" s="171"/>
      <c r="AE158" s="168"/>
      <c r="AF158" s="170"/>
      <c r="AG158" s="172"/>
      <c r="AH158"/>
      <c r="AI158"/>
    </row>
    <row r="159" spans="1:35" x14ac:dyDescent="0.25">
      <c r="A159"/>
      <c r="B159"/>
      <c r="C159"/>
      <c r="D159"/>
      <c r="E159"/>
      <c r="F159"/>
      <c r="G159"/>
      <c r="H159"/>
      <c r="I159"/>
      <c r="J159"/>
      <c r="K159"/>
      <c r="L159"/>
      <c r="M159"/>
      <c r="N159"/>
      <c r="O159"/>
      <c r="P159" s="168"/>
      <c r="Q159" s="168"/>
      <c r="R159" s="168"/>
      <c r="S159" s="169"/>
      <c r="T159" s="169"/>
      <c r="U159" s="169"/>
      <c r="V159" s="168"/>
      <c r="W159" s="168"/>
      <c r="X159" s="168"/>
      <c r="Y159" s="170"/>
      <c r="Z159" s="171"/>
      <c r="AA159" s="171"/>
      <c r="AB159" s="171"/>
      <c r="AC159" s="171"/>
      <c r="AD159" s="171"/>
      <c r="AE159" s="168"/>
      <c r="AF159" s="170"/>
      <c r="AG159" s="172"/>
      <c r="AH159"/>
      <c r="AI159"/>
    </row>
    <row r="160" spans="1:35" x14ac:dyDescent="0.25">
      <c r="A160"/>
      <c r="B160"/>
      <c r="C160"/>
      <c r="D160"/>
      <c r="E160"/>
      <c r="F160"/>
      <c r="G160"/>
      <c r="H160"/>
      <c r="I160"/>
      <c r="J160"/>
      <c r="K160"/>
      <c r="L160"/>
      <c r="M160"/>
      <c r="N160"/>
      <c r="O160"/>
      <c r="P160" s="168"/>
      <c r="Q160" s="168"/>
      <c r="R160" s="168"/>
      <c r="S160" s="169"/>
      <c r="T160" s="169"/>
      <c r="U160" s="169"/>
      <c r="V160" s="168"/>
      <c r="W160" s="168"/>
      <c r="X160" s="168"/>
      <c r="Y160" s="170"/>
      <c r="Z160" s="171"/>
      <c r="AA160" s="171"/>
      <c r="AB160" s="171"/>
      <c r="AC160" s="171"/>
      <c r="AD160" s="171"/>
      <c r="AE160" s="168"/>
      <c r="AF160" s="170"/>
      <c r="AG160" s="172"/>
      <c r="AH160"/>
      <c r="AI160"/>
    </row>
    <row r="161" spans="1:35" x14ac:dyDescent="0.25">
      <c r="A161"/>
      <c r="B161"/>
      <c r="C161"/>
      <c r="D161"/>
      <c r="E161"/>
      <c r="F161"/>
      <c r="G161"/>
      <c r="H161"/>
      <c r="I161"/>
      <c r="J161"/>
      <c r="K161"/>
      <c r="L161"/>
      <c r="M161"/>
      <c r="N161"/>
      <c r="O161"/>
      <c r="P161" s="168"/>
      <c r="Q161" s="168"/>
      <c r="R161" s="168"/>
      <c r="S161" s="169"/>
      <c r="T161" s="169"/>
      <c r="U161" s="169"/>
      <c r="V161" s="168"/>
      <c r="W161" s="168"/>
      <c r="X161" s="168"/>
      <c r="Y161" s="170"/>
      <c r="Z161" s="171"/>
      <c r="AA161" s="171"/>
      <c r="AB161" s="171"/>
      <c r="AC161" s="171"/>
      <c r="AD161" s="171"/>
      <c r="AE161" s="168"/>
      <c r="AF161" s="170"/>
      <c r="AG161" s="172"/>
      <c r="AH161"/>
      <c r="AI161"/>
    </row>
    <row r="162" spans="1:35" x14ac:dyDescent="0.25">
      <c r="A162"/>
      <c r="B162"/>
      <c r="C162"/>
      <c r="D162"/>
      <c r="E162"/>
      <c r="F162"/>
      <c r="G162"/>
      <c r="H162"/>
      <c r="I162"/>
      <c r="J162"/>
      <c r="K162"/>
      <c r="L162"/>
      <c r="M162"/>
      <c r="N162"/>
      <c r="O162"/>
      <c r="P162" s="168"/>
      <c r="Q162" s="168"/>
      <c r="R162" s="168"/>
      <c r="S162" s="169"/>
      <c r="T162" s="169"/>
      <c r="U162" s="169"/>
      <c r="V162" s="168"/>
      <c r="W162" s="168"/>
      <c r="X162" s="168"/>
      <c r="Y162" s="170"/>
      <c r="Z162" s="171"/>
      <c r="AA162" s="171"/>
      <c r="AB162" s="171"/>
      <c r="AC162" s="171"/>
      <c r="AD162" s="171"/>
      <c r="AE162" s="168"/>
      <c r="AF162" s="170"/>
      <c r="AG162" s="172"/>
      <c r="AH162"/>
      <c r="AI162"/>
    </row>
    <row r="163" spans="1:35" x14ac:dyDescent="0.25">
      <c r="A163"/>
      <c r="B163"/>
      <c r="C163"/>
      <c r="D163"/>
      <c r="E163"/>
      <c r="F163"/>
      <c r="G163"/>
      <c r="H163"/>
      <c r="I163"/>
      <c r="J163"/>
      <c r="K163"/>
      <c r="L163"/>
      <c r="M163"/>
      <c r="N163"/>
      <c r="O163"/>
      <c r="P163" s="168"/>
      <c r="Q163" s="168"/>
      <c r="R163" s="168"/>
      <c r="S163" s="169"/>
      <c r="T163" s="169"/>
      <c r="U163" s="169"/>
      <c r="V163" s="168"/>
      <c r="W163" s="168"/>
      <c r="X163" s="168"/>
      <c r="Y163" s="170"/>
      <c r="Z163" s="171"/>
      <c r="AA163" s="171"/>
      <c r="AB163" s="171"/>
      <c r="AC163" s="171"/>
      <c r="AD163" s="171"/>
      <c r="AE163" s="168"/>
      <c r="AF163" s="170"/>
      <c r="AG163" s="172"/>
      <c r="AH163"/>
      <c r="AI163"/>
    </row>
    <row r="164" spans="1:35" x14ac:dyDescent="0.25">
      <c r="A164"/>
      <c r="B164"/>
      <c r="C164"/>
      <c r="D164"/>
      <c r="E164"/>
      <c r="F164"/>
      <c r="G164"/>
      <c r="H164"/>
      <c r="I164"/>
      <c r="J164"/>
      <c r="K164"/>
      <c r="L164"/>
      <c r="M164"/>
      <c r="N164"/>
      <c r="O164"/>
      <c r="P164" s="168"/>
      <c r="Q164" s="168"/>
      <c r="R164" s="168"/>
      <c r="S164" s="169"/>
      <c r="T164" s="169"/>
      <c r="U164" s="169"/>
      <c r="V164" s="168"/>
      <c r="W164" s="168"/>
      <c r="X164" s="168"/>
      <c r="Y164" s="170"/>
      <c r="Z164" s="171"/>
      <c r="AA164" s="171"/>
      <c r="AB164" s="171"/>
      <c r="AC164" s="171"/>
      <c r="AD164" s="171"/>
      <c r="AE164" s="168"/>
      <c r="AF164" s="170"/>
      <c r="AG164" s="172"/>
      <c r="AH164"/>
      <c r="AI164"/>
    </row>
    <row r="165" spans="1:35" x14ac:dyDescent="0.25">
      <c r="A165"/>
      <c r="B165"/>
      <c r="C165"/>
      <c r="D165"/>
      <c r="E165"/>
      <c r="F165"/>
      <c r="G165"/>
      <c r="H165"/>
      <c r="I165"/>
      <c r="J165"/>
      <c r="K165"/>
      <c r="L165"/>
      <c r="M165"/>
      <c r="N165"/>
      <c r="O165"/>
      <c r="P165" s="168"/>
      <c r="Q165" s="168"/>
      <c r="R165" s="168"/>
      <c r="S165" s="169"/>
      <c r="T165" s="169"/>
      <c r="U165" s="169"/>
      <c r="V165" s="168"/>
      <c r="W165" s="168"/>
      <c r="X165" s="168"/>
      <c r="Y165" s="170"/>
      <c r="Z165" s="171"/>
      <c r="AA165" s="171"/>
      <c r="AB165" s="171"/>
      <c r="AC165" s="171"/>
      <c r="AD165" s="171"/>
      <c r="AE165" s="168"/>
      <c r="AF165" s="170"/>
      <c r="AG165" s="172"/>
      <c r="AH165"/>
      <c r="AI165"/>
    </row>
    <row r="166" spans="1:35" x14ac:dyDescent="0.25">
      <c r="A166"/>
      <c r="B166"/>
      <c r="C166"/>
      <c r="D166"/>
      <c r="E166"/>
      <c r="F166"/>
      <c r="G166"/>
      <c r="H166"/>
      <c r="I166"/>
      <c r="J166"/>
      <c r="K166"/>
      <c r="L166"/>
      <c r="M166"/>
      <c r="N166"/>
      <c r="O166"/>
      <c r="P166" s="168"/>
      <c r="Q166" s="168"/>
      <c r="R166" s="168"/>
      <c r="S166" s="169"/>
      <c r="T166" s="169"/>
      <c r="U166" s="169"/>
      <c r="V166" s="168"/>
      <c r="W166" s="168"/>
      <c r="X166" s="168"/>
      <c r="Y166" s="170"/>
      <c r="Z166" s="171"/>
      <c r="AA166" s="171"/>
      <c r="AB166" s="171"/>
      <c r="AC166" s="171"/>
      <c r="AD166" s="171"/>
      <c r="AE166" s="168"/>
      <c r="AF166" s="170"/>
      <c r="AG166" s="172"/>
      <c r="AH166"/>
      <c r="AI166"/>
    </row>
    <row r="167" spans="1:35" x14ac:dyDescent="0.25">
      <c r="A167"/>
      <c r="B167"/>
      <c r="C167"/>
      <c r="D167"/>
      <c r="E167"/>
      <c r="F167"/>
      <c r="G167"/>
      <c r="H167"/>
      <c r="I167"/>
      <c r="J167"/>
      <c r="K167"/>
      <c r="L167"/>
      <c r="M167"/>
      <c r="N167"/>
      <c r="O167"/>
      <c r="P167" s="168"/>
      <c r="Q167" s="168"/>
      <c r="R167" s="168"/>
      <c r="S167" s="169"/>
      <c r="T167" s="169"/>
      <c r="U167" s="169"/>
      <c r="V167" s="168"/>
      <c r="W167" s="168"/>
      <c r="X167" s="168"/>
      <c r="Y167" s="170"/>
      <c r="Z167" s="171"/>
      <c r="AA167" s="171"/>
      <c r="AB167" s="171"/>
      <c r="AC167" s="171"/>
      <c r="AD167" s="171"/>
      <c r="AE167" s="168"/>
      <c r="AF167" s="170"/>
      <c r="AG167" s="172"/>
      <c r="AH167"/>
      <c r="AI167"/>
    </row>
    <row r="168" spans="1:35" x14ac:dyDescent="0.25">
      <c r="A168"/>
      <c r="B168"/>
      <c r="C168"/>
      <c r="D168"/>
      <c r="E168"/>
      <c r="F168"/>
      <c r="G168"/>
      <c r="H168"/>
      <c r="I168"/>
      <c r="J168"/>
      <c r="K168"/>
      <c r="L168"/>
      <c r="M168"/>
      <c r="N168"/>
      <c r="O168"/>
      <c r="P168" s="168"/>
      <c r="Q168" s="168"/>
      <c r="R168" s="168"/>
      <c r="S168" s="169"/>
      <c r="T168" s="169"/>
      <c r="U168" s="169"/>
      <c r="V168" s="168"/>
      <c r="W168" s="168"/>
      <c r="X168" s="168"/>
      <c r="Y168" s="170"/>
      <c r="Z168" s="171"/>
      <c r="AA168" s="171"/>
      <c r="AB168" s="171"/>
      <c r="AC168" s="171"/>
      <c r="AD168" s="171"/>
      <c r="AE168" s="168"/>
      <c r="AF168" s="170"/>
      <c r="AG168" s="172"/>
      <c r="AH168"/>
      <c r="AI168"/>
    </row>
    <row r="169" spans="1:35" x14ac:dyDescent="0.25">
      <c r="A169"/>
      <c r="B169"/>
      <c r="C169"/>
      <c r="D169"/>
      <c r="E169"/>
      <c r="F169"/>
      <c r="G169"/>
      <c r="H169"/>
      <c r="I169"/>
      <c r="J169"/>
      <c r="K169"/>
      <c r="L169"/>
      <c r="M169"/>
      <c r="N169"/>
      <c r="O169"/>
      <c r="P169" s="168"/>
      <c r="Q169" s="168"/>
      <c r="R169" s="168"/>
      <c r="S169" s="169"/>
      <c r="T169" s="169"/>
      <c r="U169" s="169"/>
      <c r="V169" s="168"/>
      <c r="W169" s="168"/>
      <c r="X169" s="168"/>
      <c r="Y169" s="170"/>
      <c r="Z169" s="171"/>
      <c r="AA169" s="171"/>
      <c r="AB169" s="171"/>
      <c r="AC169" s="171"/>
      <c r="AD169" s="171"/>
      <c r="AE169" s="168"/>
      <c r="AF169" s="170"/>
      <c r="AG169" s="172"/>
      <c r="AH169"/>
      <c r="AI169"/>
    </row>
    <row r="170" spans="1:35" x14ac:dyDescent="0.25">
      <c r="A170"/>
      <c r="B170"/>
      <c r="C170"/>
      <c r="D170"/>
      <c r="E170"/>
      <c r="F170"/>
      <c r="G170"/>
      <c r="H170"/>
      <c r="I170"/>
      <c r="J170"/>
      <c r="K170"/>
      <c r="L170"/>
      <c r="M170"/>
      <c r="N170"/>
      <c r="O170"/>
      <c r="P170" s="168"/>
      <c r="Q170" s="168"/>
      <c r="R170" s="168"/>
      <c r="S170" s="169"/>
      <c r="T170" s="169"/>
      <c r="U170" s="169"/>
      <c r="V170" s="168"/>
      <c r="W170" s="168"/>
      <c r="X170" s="168"/>
      <c r="Y170" s="170"/>
      <c r="Z170" s="171"/>
      <c r="AA170" s="171"/>
      <c r="AB170" s="171"/>
      <c r="AC170" s="171"/>
      <c r="AD170" s="171"/>
      <c r="AE170" s="168"/>
      <c r="AF170" s="170"/>
      <c r="AG170" s="172"/>
      <c r="AH170"/>
      <c r="AI170"/>
    </row>
    <row r="171" spans="1:35" x14ac:dyDescent="0.25">
      <c r="A171"/>
      <c r="B171"/>
      <c r="C171"/>
      <c r="D171"/>
      <c r="E171"/>
      <c r="F171"/>
      <c r="G171"/>
      <c r="H171"/>
      <c r="I171"/>
      <c r="J171"/>
      <c r="K171"/>
      <c r="L171"/>
      <c r="M171"/>
      <c r="N171"/>
      <c r="O171"/>
      <c r="P171" s="168"/>
      <c r="Q171" s="168"/>
      <c r="R171" s="168"/>
      <c r="S171" s="169"/>
      <c r="T171" s="169"/>
      <c r="U171" s="169"/>
      <c r="V171" s="168"/>
      <c r="W171" s="168"/>
      <c r="X171" s="168"/>
      <c r="Y171" s="170"/>
      <c r="Z171" s="171"/>
      <c r="AA171" s="171"/>
      <c r="AB171" s="171"/>
      <c r="AC171" s="171"/>
      <c r="AD171" s="171"/>
      <c r="AE171" s="168"/>
      <c r="AF171" s="170"/>
      <c r="AG171" s="172"/>
      <c r="AH171"/>
      <c r="AI171"/>
    </row>
    <row r="172" spans="1:35" x14ac:dyDescent="0.25">
      <c r="A172"/>
      <c r="B172"/>
      <c r="C172"/>
      <c r="D172"/>
      <c r="E172"/>
      <c r="F172"/>
      <c r="G172"/>
      <c r="H172"/>
      <c r="I172"/>
      <c r="J172"/>
      <c r="K172"/>
      <c r="L172"/>
      <c r="M172"/>
      <c r="N172"/>
      <c r="O172"/>
      <c r="P172" s="168"/>
      <c r="Q172" s="168"/>
      <c r="R172" s="168"/>
      <c r="S172" s="169"/>
      <c r="T172" s="169"/>
      <c r="U172" s="169"/>
      <c r="V172" s="168"/>
      <c r="W172" s="168"/>
      <c r="X172" s="168"/>
      <c r="Y172" s="170"/>
      <c r="Z172" s="171"/>
      <c r="AA172" s="171"/>
      <c r="AB172" s="171"/>
      <c r="AC172" s="171"/>
      <c r="AD172" s="171"/>
      <c r="AE172" s="168"/>
      <c r="AF172" s="170"/>
      <c r="AG172" s="172"/>
      <c r="AH172"/>
      <c r="AI172"/>
    </row>
    <row r="173" spans="1:35" x14ac:dyDescent="0.25">
      <c r="A173"/>
      <c r="B173"/>
      <c r="C173"/>
      <c r="D173"/>
      <c r="E173"/>
      <c r="F173"/>
      <c r="G173"/>
      <c r="H173"/>
      <c r="I173"/>
      <c r="J173"/>
      <c r="K173"/>
      <c r="L173"/>
      <c r="M173"/>
      <c r="N173"/>
      <c r="O173"/>
      <c r="P173" s="168"/>
      <c r="Q173" s="168"/>
      <c r="R173" s="168"/>
      <c r="S173" s="169"/>
      <c r="T173" s="169"/>
      <c r="U173" s="169"/>
      <c r="V173" s="168"/>
      <c r="W173" s="168"/>
      <c r="X173" s="168"/>
      <c r="Y173" s="170"/>
      <c r="Z173" s="171"/>
      <c r="AA173" s="171"/>
      <c r="AB173" s="171"/>
      <c r="AC173" s="171"/>
      <c r="AD173" s="171"/>
      <c r="AE173" s="168"/>
      <c r="AF173" s="170"/>
      <c r="AG173" s="172"/>
      <c r="AH173"/>
      <c r="AI173"/>
    </row>
    <row r="174" spans="1:35" x14ac:dyDescent="0.25">
      <c r="A174"/>
      <c r="B174"/>
      <c r="C174"/>
      <c r="D174"/>
      <c r="E174"/>
      <c r="F174"/>
      <c r="G174"/>
      <c r="H174"/>
      <c r="I174"/>
      <c r="J174"/>
      <c r="K174"/>
      <c r="L174"/>
      <c r="M174"/>
      <c r="N174"/>
      <c r="O174"/>
      <c r="P174" s="168"/>
      <c r="Q174" s="168"/>
      <c r="R174" s="168"/>
      <c r="S174" s="169"/>
      <c r="T174" s="169"/>
      <c r="U174" s="169"/>
      <c r="V174" s="168"/>
      <c r="W174" s="168"/>
      <c r="X174" s="168"/>
      <c r="Y174" s="170"/>
      <c r="Z174" s="171"/>
      <c r="AA174" s="171"/>
      <c r="AB174" s="171"/>
      <c r="AC174" s="171"/>
      <c r="AD174" s="171"/>
      <c r="AE174" s="168"/>
      <c r="AF174" s="170"/>
      <c r="AG174" s="172"/>
      <c r="AH174"/>
      <c r="AI174"/>
    </row>
    <row r="175" spans="1:35" x14ac:dyDescent="0.25">
      <c r="A175"/>
      <c r="B175"/>
      <c r="C175"/>
      <c r="D175"/>
      <c r="E175"/>
      <c r="F175"/>
      <c r="G175"/>
      <c r="H175"/>
      <c r="I175"/>
      <c r="J175"/>
      <c r="K175"/>
      <c r="L175"/>
      <c r="M175"/>
      <c r="N175"/>
      <c r="O175"/>
      <c r="P175" s="168"/>
      <c r="Q175" s="168"/>
      <c r="R175" s="168"/>
      <c r="S175" s="169"/>
      <c r="T175" s="169"/>
      <c r="U175" s="169"/>
      <c r="V175" s="168"/>
      <c r="W175" s="168"/>
      <c r="X175" s="168"/>
      <c r="Y175" s="170"/>
      <c r="Z175" s="171"/>
      <c r="AA175" s="171"/>
      <c r="AB175" s="171"/>
      <c r="AC175" s="171"/>
      <c r="AD175" s="171"/>
      <c r="AE175" s="168"/>
      <c r="AF175" s="170"/>
      <c r="AG175" s="172"/>
      <c r="AH175"/>
      <c r="AI175"/>
    </row>
    <row r="176" spans="1:35" x14ac:dyDescent="0.25">
      <c r="A176"/>
      <c r="B176"/>
      <c r="C176"/>
      <c r="D176"/>
      <c r="E176"/>
      <c r="F176"/>
      <c r="G176"/>
      <c r="H176"/>
      <c r="I176"/>
      <c r="J176"/>
      <c r="K176"/>
      <c r="L176"/>
      <c r="M176"/>
      <c r="N176"/>
      <c r="O176"/>
      <c r="P176" s="168"/>
      <c r="Q176" s="168"/>
      <c r="R176" s="168"/>
      <c r="S176" s="169"/>
      <c r="T176" s="169"/>
      <c r="U176" s="169"/>
      <c r="V176" s="168"/>
      <c r="W176" s="168"/>
      <c r="X176" s="168"/>
      <c r="Y176" s="170"/>
      <c r="Z176" s="171"/>
      <c r="AA176" s="171"/>
      <c r="AB176" s="171"/>
      <c r="AC176" s="171"/>
      <c r="AD176" s="171"/>
      <c r="AE176" s="168"/>
      <c r="AF176" s="170"/>
      <c r="AG176" s="172"/>
      <c r="AH176"/>
      <c r="AI176"/>
    </row>
    <row r="177" spans="1:35" x14ac:dyDescent="0.25">
      <c r="A177"/>
      <c r="B177"/>
      <c r="C177"/>
      <c r="D177"/>
      <c r="E177"/>
      <c r="F177"/>
      <c r="G177"/>
      <c r="H177"/>
      <c r="I177"/>
      <c r="J177"/>
      <c r="K177"/>
      <c r="L177"/>
      <c r="M177"/>
      <c r="N177"/>
      <c r="O177"/>
      <c r="P177" s="168"/>
      <c r="Q177" s="168"/>
      <c r="R177" s="168"/>
      <c r="S177" s="169"/>
      <c r="T177" s="169"/>
      <c r="U177" s="169"/>
      <c r="V177" s="168"/>
      <c r="W177" s="168"/>
      <c r="X177" s="168"/>
      <c r="Y177" s="170"/>
      <c r="Z177" s="171"/>
      <c r="AA177" s="171"/>
      <c r="AB177" s="171"/>
      <c r="AC177" s="171"/>
      <c r="AD177" s="171"/>
      <c r="AE177" s="168"/>
      <c r="AF177" s="170"/>
      <c r="AG177" s="172"/>
      <c r="AH177"/>
      <c r="AI177"/>
    </row>
    <row r="178" spans="1:35" x14ac:dyDescent="0.25">
      <c r="A178"/>
      <c r="B178"/>
      <c r="C178"/>
      <c r="D178"/>
      <c r="E178"/>
      <c r="F178"/>
      <c r="G178"/>
      <c r="H178"/>
      <c r="I178"/>
      <c r="J178"/>
      <c r="K178"/>
      <c r="L178"/>
      <c r="M178"/>
      <c r="N178"/>
      <c r="O178"/>
      <c r="P178" s="168"/>
      <c r="Q178" s="168"/>
      <c r="R178" s="168"/>
      <c r="S178" s="169"/>
      <c r="T178" s="169"/>
      <c r="U178" s="169"/>
      <c r="V178" s="168"/>
      <c r="W178" s="168"/>
      <c r="X178" s="168"/>
      <c r="Y178" s="170"/>
      <c r="Z178" s="171"/>
      <c r="AA178" s="171"/>
      <c r="AB178" s="171"/>
      <c r="AC178" s="171"/>
      <c r="AD178" s="171"/>
      <c r="AE178" s="168"/>
      <c r="AF178" s="170"/>
      <c r="AG178" s="172"/>
      <c r="AH178"/>
      <c r="AI178"/>
    </row>
    <row r="179" spans="1:35" x14ac:dyDescent="0.25">
      <c r="A179"/>
      <c r="B179"/>
      <c r="C179"/>
      <c r="D179"/>
      <c r="E179"/>
      <c r="F179"/>
      <c r="G179"/>
      <c r="H179"/>
      <c r="I179"/>
      <c r="J179"/>
      <c r="K179"/>
      <c r="L179"/>
      <c r="M179"/>
      <c r="N179"/>
      <c r="O179"/>
      <c r="P179" s="168"/>
      <c r="Q179" s="168"/>
      <c r="R179" s="168"/>
      <c r="S179" s="169"/>
      <c r="T179" s="169"/>
      <c r="U179" s="169"/>
      <c r="V179" s="168"/>
      <c r="W179" s="168"/>
      <c r="X179" s="168"/>
      <c r="Y179" s="170"/>
      <c r="Z179" s="171"/>
      <c r="AA179" s="171"/>
      <c r="AB179" s="171"/>
      <c r="AC179" s="171"/>
      <c r="AD179" s="171"/>
      <c r="AE179" s="168"/>
      <c r="AF179" s="170"/>
      <c r="AG179" s="172"/>
      <c r="AH179"/>
      <c r="AI179"/>
    </row>
    <row r="180" spans="1:35" x14ac:dyDescent="0.25">
      <c r="A180"/>
      <c r="B180"/>
      <c r="C180"/>
      <c r="D180"/>
      <c r="E180"/>
      <c r="F180"/>
      <c r="G180"/>
      <c r="H180"/>
      <c r="I180"/>
      <c r="J180"/>
      <c r="K180"/>
      <c r="L180"/>
      <c r="M180"/>
      <c r="N180"/>
      <c r="O180"/>
      <c r="P180" s="168"/>
      <c r="Q180" s="168"/>
      <c r="R180" s="168"/>
      <c r="S180" s="169"/>
      <c r="T180" s="169"/>
      <c r="U180" s="169"/>
      <c r="V180" s="168"/>
      <c r="W180" s="168"/>
      <c r="X180" s="168"/>
      <c r="Y180" s="170"/>
      <c r="Z180" s="171"/>
      <c r="AA180" s="171"/>
      <c r="AB180" s="171"/>
      <c r="AC180" s="171"/>
      <c r="AD180" s="171"/>
      <c r="AE180" s="168"/>
      <c r="AF180" s="170"/>
      <c r="AG180" s="172"/>
      <c r="AH180"/>
      <c r="AI180"/>
    </row>
    <row r="181" spans="1:35" x14ac:dyDescent="0.25">
      <c r="A181"/>
      <c r="B181"/>
      <c r="C181"/>
      <c r="D181"/>
      <c r="E181"/>
      <c r="F181"/>
      <c r="G181"/>
      <c r="H181"/>
      <c r="I181"/>
      <c r="J181"/>
      <c r="K181"/>
      <c r="L181"/>
      <c r="M181"/>
      <c r="N181"/>
      <c r="O181"/>
      <c r="P181" s="168"/>
      <c r="Q181" s="168"/>
      <c r="R181" s="168"/>
      <c r="S181" s="169"/>
      <c r="T181" s="169"/>
      <c r="U181" s="169"/>
      <c r="V181" s="168"/>
      <c r="W181" s="168"/>
      <c r="X181" s="168"/>
      <c r="Y181" s="170"/>
      <c r="Z181" s="171"/>
      <c r="AA181" s="171"/>
      <c r="AB181" s="171"/>
      <c r="AC181" s="171"/>
      <c r="AD181" s="171"/>
      <c r="AE181" s="168"/>
      <c r="AF181" s="170"/>
      <c r="AG181" s="172"/>
      <c r="AH181"/>
      <c r="AI181"/>
    </row>
    <row r="182" spans="1:35" x14ac:dyDescent="0.25">
      <c r="A182"/>
      <c r="B182"/>
      <c r="C182"/>
      <c r="D182"/>
      <c r="E182"/>
      <c r="F182"/>
      <c r="G182"/>
      <c r="H182"/>
      <c r="I182"/>
      <c r="J182"/>
      <c r="K182"/>
      <c r="L182"/>
      <c r="M182"/>
      <c r="N182"/>
      <c r="O182"/>
      <c r="P182" s="168"/>
      <c r="Q182" s="168"/>
      <c r="R182" s="168"/>
      <c r="S182" s="169"/>
      <c r="T182" s="169"/>
      <c r="U182" s="169"/>
      <c r="V182" s="168"/>
      <c r="W182" s="168"/>
      <c r="X182" s="168"/>
      <c r="Y182" s="170"/>
      <c r="Z182" s="171"/>
      <c r="AA182" s="171"/>
      <c r="AB182" s="171"/>
      <c r="AC182" s="171"/>
      <c r="AD182" s="171"/>
      <c r="AE182" s="168"/>
      <c r="AF182" s="170"/>
      <c r="AG182" s="172"/>
      <c r="AH182"/>
      <c r="AI182"/>
    </row>
    <row r="183" spans="1:35" x14ac:dyDescent="0.25">
      <c r="A183"/>
      <c r="B183"/>
      <c r="C183"/>
      <c r="D183"/>
      <c r="E183"/>
      <c r="F183"/>
      <c r="G183"/>
      <c r="H183"/>
      <c r="I183"/>
      <c r="J183"/>
      <c r="K183"/>
      <c r="L183"/>
      <c r="M183"/>
      <c r="N183"/>
      <c r="O183"/>
      <c r="P183" s="168"/>
      <c r="Q183" s="168"/>
      <c r="R183" s="168"/>
      <c r="S183" s="169"/>
      <c r="T183" s="169"/>
      <c r="U183" s="169"/>
      <c r="V183" s="168"/>
      <c r="W183" s="168"/>
      <c r="X183" s="168"/>
      <c r="Y183" s="170"/>
      <c r="Z183" s="171"/>
      <c r="AA183" s="171"/>
      <c r="AB183" s="171"/>
      <c r="AC183" s="171"/>
      <c r="AD183" s="171"/>
      <c r="AE183" s="168"/>
      <c r="AF183" s="170"/>
      <c r="AG183" s="172"/>
      <c r="AH183"/>
      <c r="AI183"/>
    </row>
    <row r="184" spans="1:35" x14ac:dyDescent="0.25">
      <c r="A184"/>
      <c r="B184"/>
      <c r="C184"/>
      <c r="D184"/>
      <c r="E184"/>
      <c r="F184"/>
      <c r="G184"/>
      <c r="H184"/>
      <c r="I184"/>
      <c r="J184"/>
      <c r="K184"/>
      <c r="L184"/>
      <c r="M184"/>
      <c r="N184"/>
      <c r="O184"/>
      <c r="P184" s="168"/>
      <c r="Q184" s="168"/>
      <c r="R184" s="168"/>
      <c r="S184" s="169"/>
      <c r="T184" s="169"/>
      <c r="U184" s="169"/>
      <c r="V184" s="168"/>
      <c r="W184" s="168"/>
      <c r="X184" s="168"/>
      <c r="Y184" s="170"/>
      <c r="Z184" s="171"/>
      <c r="AA184" s="171"/>
      <c r="AB184" s="171"/>
      <c r="AC184" s="171"/>
      <c r="AD184" s="171"/>
      <c r="AE184" s="168"/>
      <c r="AF184" s="170"/>
      <c r="AG184" s="172"/>
      <c r="AH184"/>
      <c r="AI184"/>
    </row>
    <row r="185" spans="1:35" x14ac:dyDescent="0.25">
      <c r="A185"/>
      <c r="B185"/>
      <c r="C185"/>
      <c r="D185"/>
      <c r="E185"/>
      <c r="F185"/>
      <c r="G185"/>
      <c r="H185"/>
      <c r="I185"/>
      <c r="J185"/>
      <c r="K185"/>
      <c r="L185"/>
      <c r="M185"/>
      <c r="N185"/>
      <c r="O185"/>
      <c r="P185" s="168"/>
      <c r="Q185" s="168"/>
      <c r="R185" s="168"/>
      <c r="S185" s="169"/>
      <c r="T185" s="169"/>
      <c r="U185" s="169"/>
      <c r="V185" s="168"/>
      <c r="W185" s="168"/>
      <c r="X185" s="168"/>
      <c r="Y185" s="170"/>
      <c r="Z185" s="171"/>
      <c r="AA185" s="171"/>
      <c r="AB185" s="171"/>
      <c r="AC185" s="171"/>
      <c r="AD185" s="171"/>
      <c r="AE185" s="168"/>
      <c r="AF185" s="170"/>
      <c r="AG185" s="172"/>
      <c r="AH185"/>
      <c r="AI185"/>
    </row>
    <row r="186" spans="1:35" x14ac:dyDescent="0.25">
      <c r="A186"/>
      <c r="B186"/>
      <c r="C186"/>
      <c r="D186"/>
      <c r="E186"/>
      <c r="F186"/>
      <c r="G186"/>
      <c r="H186"/>
      <c r="I186"/>
      <c r="J186"/>
      <c r="K186"/>
      <c r="L186"/>
      <c r="M186"/>
      <c r="N186"/>
      <c r="O186"/>
      <c r="P186" s="168"/>
      <c r="Q186" s="168"/>
      <c r="R186" s="168"/>
      <c r="S186" s="169"/>
      <c r="T186" s="169"/>
      <c r="U186" s="169"/>
      <c r="V186" s="168"/>
      <c r="W186" s="168"/>
      <c r="X186" s="168"/>
      <c r="Y186" s="170"/>
      <c r="Z186" s="171"/>
      <c r="AA186" s="171"/>
      <c r="AB186" s="171"/>
      <c r="AC186" s="171"/>
      <c r="AD186" s="171"/>
      <c r="AE186" s="168"/>
      <c r="AF186" s="170"/>
      <c r="AG186" s="172"/>
      <c r="AH186"/>
      <c r="AI186"/>
    </row>
    <row r="187" spans="1:35" x14ac:dyDescent="0.25">
      <c r="A187"/>
      <c r="B187"/>
      <c r="C187"/>
      <c r="D187"/>
      <c r="E187"/>
      <c r="F187"/>
      <c r="G187"/>
      <c r="H187"/>
      <c r="I187"/>
      <c r="J187"/>
      <c r="K187"/>
      <c r="L187"/>
      <c r="M187"/>
      <c r="N187"/>
      <c r="O187"/>
      <c r="P187" s="168"/>
      <c r="Q187" s="168"/>
      <c r="R187" s="168"/>
      <c r="S187" s="169"/>
      <c r="T187" s="169"/>
      <c r="U187" s="169"/>
      <c r="V187" s="168"/>
      <c r="W187" s="168"/>
      <c r="X187" s="168"/>
      <c r="Y187" s="170"/>
      <c r="Z187" s="171"/>
      <c r="AA187" s="171"/>
      <c r="AB187" s="171"/>
      <c r="AC187" s="171"/>
      <c r="AD187" s="171"/>
      <c r="AE187" s="168"/>
      <c r="AF187" s="170"/>
      <c r="AG187" s="172"/>
      <c r="AH187"/>
      <c r="AI187"/>
    </row>
    <row r="188" spans="1:35" x14ac:dyDescent="0.25">
      <c r="A188"/>
      <c r="B188"/>
      <c r="C188"/>
      <c r="D188"/>
      <c r="E188"/>
      <c r="F188"/>
      <c r="G188"/>
      <c r="H188"/>
      <c r="I188"/>
      <c r="J188"/>
      <c r="K188"/>
      <c r="L188"/>
      <c r="M188"/>
      <c r="N188"/>
      <c r="O188"/>
      <c r="P188" s="168"/>
      <c r="Q188" s="168"/>
      <c r="R188" s="168"/>
      <c r="S188" s="169"/>
      <c r="T188" s="169"/>
      <c r="U188" s="169"/>
      <c r="V188" s="168"/>
      <c r="W188" s="168"/>
      <c r="X188" s="168"/>
      <c r="Y188" s="170"/>
      <c r="Z188" s="171"/>
      <c r="AA188" s="171"/>
      <c r="AB188" s="171"/>
      <c r="AC188" s="171"/>
      <c r="AD188" s="171"/>
      <c r="AE188" s="168"/>
      <c r="AF188" s="170"/>
      <c r="AG188" s="172"/>
      <c r="AH188"/>
      <c r="AI188"/>
    </row>
    <row r="189" spans="1:35" x14ac:dyDescent="0.25">
      <c r="A189"/>
      <c r="B189"/>
      <c r="C189"/>
      <c r="D189"/>
      <c r="E189"/>
      <c r="F189"/>
      <c r="G189"/>
      <c r="H189"/>
      <c r="I189"/>
      <c r="J189"/>
      <c r="K189"/>
      <c r="L189"/>
      <c r="M189"/>
      <c r="N189"/>
      <c r="O189"/>
      <c r="P189" s="168"/>
      <c r="Q189" s="168"/>
      <c r="R189" s="168"/>
      <c r="S189" s="169"/>
      <c r="T189" s="169"/>
      <c r="U189" s="169"/>
      <c r="V189" s="168"/>
      <c r="W189" s="168"/>
      <c r="X189" s="168"/>
      <c r="Y189" s="170"/>
      <c r="Z189" s="171"/>
      <c r="AA189" s="171"/>
      <c r="AB189" s="171"/>
      <c r="AC189" s="171"/>
      <c r="AD189" s="171"/>
      <c r="AE189" s="168"/>
      <c r="AF189" s="170"/>
      <c r="AG189" s="172"/>
      <c r="AH189"/>
      <c r="AI189"/>
    </row>
    <row r="190" spans="1:35" x14ac:dyDescent="0.25">
      <c r="A190"/>
      <c r="B190"/>
      <c r="C190"/>
      <c r="D190"/>
      <c r="E190"/>
      <c r="F190"/>
      <c r="G190"/>
      <c r="H190"/>
      <c r="I190"/>
      <c r="J190"/>
      <c r="K190"/>
      <c r="L190"/>
      <c r="M190"/>
      <c r="N190"/>
      <c r="O190"/>
      <c r="P190" s="168"/>
      <c r="Q190" s="168"/>
      <c r="R190" s="168"/>
      <c r="S190" s="169"/>
      <c r="T190" s="169"/>
      <c r="U190" s="169"/>
      <c r="V190" s="168"/>
      <c r="W190" s="168"/>
      <c r="X190" s="168"/>
      <c r="Y190" s="170"/>
      <c r="Z190" s="171"/>
      <c r="AA190" s="171"/>
      <c r="AB190" s="171"/>
      <c r="AC190" s="171"/>
      <c r="AD190" s="171"/>
      <c r="AE190" s="168"/>
      <c r="AF190" s="170"/>
      <c r="AG190" s="172"/>
      <c r="AH190"/>
      <c r="AI190"/>
    </row>
    <row r="191" spans="1:35" x14ac:dyDescent="0.25">
      <c r="A191"/>
      <c r="B191"/>
      <c r="C191"/>
      <c r="D191"/>
      <c r="E191"/>
      <c r="F191"/>
      <c r="G191"/>
      <c r="H191"/>
      <c r="I191"/>
      <c r="J191"/>
      <c r="K191"/>
      <c r="L191"/>
      <c r="M191"/>
      <c r="N191"/>
      <c r="O191"/>
      <c r="P191" s="168"/>
      <c r="Q191" s="168"/>
      <c r="R191" s="168"/>
      <c r="S191" s="169"/>
      <c r="T191" s="169"/>
      <c r="U191" s="169"/>
      <c r="V191" s="168"/>
      <c r="W191" s="168"/>
      <c r="X191" s="168"/>
      <c r="Y191" s="170"/>
      <c r="Z191" s="171"/>
      <c r="AA191" s="171"/>
      <c r="AB191" s="171"/>
      <c r="AC191" s="171"/>
      <c r="AD191" s="171"/>
      <c r="AE191" s="168"/>
      <c r="AF191" s="170"/>
      <c r="AG191" s="172"/>
      <c r="AH191"/>
      <c r="AI191"/>
    </row>
    <row r="192" spans="1:35" x14ac:dyDescent="0.25">
      <c r="A192"/>
      <c r="B192"/>
      <c r="C192"/>
      <c r="D192"/>
      <c r="E192"/>
      <c r="F192"/>
      <c r="G192"/>
      <c r="H192"/>
      <c r="I192"/>
      <c r="J192"/>
      <c r="K192"/>
      <c r="L192"/>
      <c r="M192"/>
      <c r="N192"/>
      <c r="O192"/>
      <c r="P192" s="168"/>
      <c r="Q192" s="168"/>
      <c r="R192" s="168"/>
      <c r="S192" s="169"/>
      <c r="T192" s="169"/>
      <c r="U192" s="169"/>
      <c r="V192" s="168"/>
      <c r="W192" s="168"/>
      <c r="X192" s="168"/>
      <c r="Y192" s="170"/>
      <c r="Z192" s="171"/>
      <c r="AA192" s="171"/>
      <c r="AB192" s="171"/>
      <c r="AC192" s="171"/>
      <c r="AD192" s="171"/>
      <c r="AE192" s="168"/>
      <c r="AF192" s="170"/>
      <c r="AG192" s="172"/>
      <c r="AH192"/>
      <c r="AI192"/>
    </row>
    <row r="193" spans="1:35" x14ac:dyDescent="0.25">
      <c r="A193"/>
      <c r="B193"/>
      <c r="C193"/>
      <c r="D193"/>
      <c r="E193"/>
      <c r="F193"/>
      <c r="G193"/>
      <c r="H193"/>
      <c r="I193"/>
      <c r="J193"/>
      <c r="K193"/>
      <c r="L193"/>
      <c r="M193"/>
      <c r="N193"/>
      <c r="O193"/>
      <c r="P193" s="168"/>
      <c r="Q193" s="168"/>
      <c r="R193" s="168"/>
      <c r="S193" s="169"/>
      <c r="T193" s="169"/>
      <c r="U193" s="169"/>
      <c r="V193" s="168"/>
      <c r="W193" s="168"/>
      <c r="X193" s="168"/>
      <c r="Y193" s="170"/>
      <c r="Z193" s="171"/>
      <c r="AA193" s="171"/>
      <c r="AB193" s="171"/>
      <c r="AC193" s="171"/>
      <c r="AD193" s="171"/>
      <c r="AE193" s="168"/>
      <c r="AF193" s="170"/>
      <c r="AG193" s="172"/>
      <c r="AH193"/>
      <c r="AI193"/>
    </row>
    <row r="194" spans="1:35" x14ac:dyDescent="0.25">
      <c r="A194"/>
      <c r="B194"/>
      <c r="C194"/>
      <c r="D194"/>
      <c r="E194"/>
      <c r="F194"/>
      <c r="G194"/>
      <c r="H194"/>
      <c r="I194"/>
      <c r="J194"/>
      <c r="K194"/>
      <c r="L194"/>
      <c r="M194"/>
      <c r="N194"/>
      <c r="O194"/>
      <c r="P194" s="168"/>
      <c r="Q194" s="168"/>
      <c r="R194" s="168"/>
      <c r="S194" s="169"/>
      <c r="T194" s="169"/>
      <c r="U194" s="169"/>
      <c r="V194" s="168"/>
      <c r="W194" s="168"/>
      <c r="X194" s="168"/>
      <c r="Y194" s="170"/>
      <c r="Z194" s="171"/>
      <c r="AA194" s="171"/>
      <c r="AB194" s="171"/>
      <c r="AC194" s="171"/>
      <c r="AD194" s="171"/>
      <c r="AE194" s="168"/>
      <c r="AF194" s="170"/>
      <c r="AG194" s="172"/>
      <c r="AH194"/>
      <c r="AI194"/>
    </row>
    <row r="195" spans="1:35" x14ac:dyDescent="0.25">
      <c r="A195"/>
      <c r="B195"/>
      <c r="C195"/>
      <c r="D195"/>
      <c r="E195"/>
      <c r="F195"/>
      <c r="G195"/>
      <c r="H195"/>
      <c r="I195"/>
      <c r="J195"/>
      <c r="K195"/>
      <c r="L195"/>
      <c r="M195"/>
      <c r="N195"/>
      <c r="O195"/>
      <c r="P195" s="168"/>
      <c r="Q195" s="168"/>
      <c r="R195" s="168"/>
      <c r="S195" s="169"/>
      <c r="T195" s="169"/>
      <c r="U195" s="169"/>
      <c r="V195" s="168"/>
      <c r="W195" s="168"/>
      <c r="X195" s="168"/>
      <c r="Y195" s="170"/>
      <c r="Z195" s="171"/>
      <c r="AA195" s="171"/>
      <c r="AB195" s="171"/>
      <c r="AC195" s="171"/>
      <c r="AD195" s="171"/>
      <c r="AE195" s="168"/>
      <c r="AF195" s="170"/>
      <c r="AG195" s="172"/>
      <c r="AH195"/>
      <c r="AI195"/>
    </row>
    <row r="196" spans="1:35" x14ac:dyDescent="0.25">
      <c r="A196"/>
      <c r="B196"/>
      <c r="C196"/>
      <c r="D196"/>
      <c r="E196"/>
      <c r="F196"/>
      <c r="G196"/>
      <c r="H196"/>
      <c r="I196"/>
      <c r="J196"/>
      <c r="K196"/>
      <c r="L196"/>
      <c r="M196"/>
      <c r="N196"/>
      <c r="O196"/>
      <c r="P196" s="168"/>
      <c r="Q196" s="168"/>
      <c r="R196" s="168"/>
      <c r="S196" s="169"/>
      <c r="T196" s="169"/>
      <c r="U196" s="169"/>
      <c r="V196" s="168"/>
      <c r="W196" s="168"/>
      <c r="X196" s="168"/>
      <c r="Y196" s="170"/>
      <c r="Z196" s="171"/>
      <c r="AA196" s="171"/>
      <c r="AB196" s="171"/>
      <c r="AC196" s="171"/>
      <c r="AD196" s="171"/>
      <c r="AE196" s="168"/>
      <c r="AF196" s="170"/>
      <c r="AG196" s="172"/>
      <c r="AH196"/>
      <c r="AI196"/>
    </row>
    <row r="197" spans="1:35" x14ac:dyDescent="0.25">
      <c r="A197"/>
      <c r="B197"/>
      <c r="C197"/>
      <c r="D197"/>
      <c r="E197"/>
      <c r="F197"/>
      <c r="G197"/>
      <c r="H197"/>
      <c r="I197"/>
      <c r="J197"/>
      <c r="K197"/>
      <c r="L197"/>
      <c r="M197"/>
      <c r="N197"/>
      <c r="O197"/>
      <c r="P197" s="168"/>
      <c r="Q197" s="168"/>
      <c r="R197" s="168"/>
      <c r="S197" s="169"/>
      <c r="T197" s="169"/>
      <c r="U197" s="169"/>
      <c r="V197" s="168"/>
      <c r="W197" s="168"/>
      <c r="X197" s="168"/>
      <c r="Y197" s="170"/>
      <c r="Z197" s="171"/>
      <c r="AA197" s="171"/>
      <c r="AB197" s="171"/>
      <c r="AC197" s="171"/>
      <c r="AD197" s="171"/>
      <c r="AE197" s="168"/>
      <c r="AF197" s="170"/>
      <c r="AG197" s="172"/>
      <c r="AH197"/>
      <c r="AI197"/>
    </row>
    <row r="198" spans="1:35" x14ac:dyDescent="0.25">
      <c r="A198"/>
      <c r="B198"/>
      <c r="C198"/>
      <c r="D198"/>
      <c r="E198"/>
      <c r="F198"/>
      <c r="G198"/>
      <c r="H198"/>
      <c r="I198"/>
      <c r="J198"/>
      <c r="K198"/>
      <c r="L198"/>
      <c r="M198"/>
      <c r="N198"/>
      <c r="O198"/>
      <c r="P198" s="168"/>
      <c r="Q198" s="168"/>
      <c r="R198" s="168"/>
      <c r="S198" s="169"/>
      <c r="T198" s="169"/>
      <c r="U198" s="169"/>
      <c r="V198" s="168"/>
      <c r="W198" s="168"/>
      <c r="X198" s="168"/>
      <c r="Y198" s="170"/>
      <c r="Z198" s="171"/>
      <c r="AA198" s="171"/>
      <c r="AB198" s="171"/>
      <c r="AC198" s="171"/>
      <c r="AD198" s="171"/>
      <c r="AE198" s="168"/>
      <c r="AF198" s="170"/>
      <c r="AG198" s="172"/>
      <c r="AH198"/>
      <c r="AI198"/>
    </row>
    <row r="199" spans="1:35" x14ac:dyDescent="0.25">
      <c r="A199"/>
      <c r="B199"/>
      <c r="C199"/>
      <c r="D199"/>
      <c r="E199"/>
      <c r="F199"/>
      <c r="G199"/>
      <c r="H199"/>
      <c r="I199"/>
      <c r="J199"/>
      <c r="K199"/>
      <c r="L199"/>
      <c r="M199"/>
      <c r="N199"/>
      <c r="O199"/>
      <c r="P199" s="168"/>
      <c r="Q199" s="168"/>
      <c r="R199" s="168"/>
      <c r="S199" s="169"/>
      <c r="T199" s="169"/>
      <c r="U199" s="169"/>
      <c r="V199" s="168"/>
      <c r="W199" s="168"/>
      <c r="X199" s="168"/>
      <c r="Y199" s="170"/>
      <c r="Z199" s="171"/>
      <c r="AA199" s="171"/>
      <c r="AB199" s="171"/>
      <c r="AC199" s="171"/>
      <c r="AD199" s="171"/>
      <c r="AE199" s="168"/>
      <c r="AF199" s="170"/>
      <c r="AG199" s="172"/>
      <c r="AH199"/>
      <c r="AI199"/>
    </row>
    <row r="200" spans="1:35" x14ac:dyDescent="0.25">
      <c r="A200"/>
      <c r="B200"/>
      <c r="C200"/>
      <c r="D200"/>
      <c r="E200"/>
      <c r="F200"/>
      <c r="G200"/>
      <c r="H200"/>
      <c r="I200"/>
      <c r="J200"/>
      <c r="K200"/>
      <c r="L200"/>
      <c r="M200"/>
      <c r="N200"/>
      <c r="O200"/>
      <c r="P200" s="168"/>
      <c r="Q200" s="168"/>
      <c r="R200" s="168"/>
      <c r="S200" s="169"/>
      <c r="T200" s="169"/>
      <c r="U200" s="169"/>
      <c r="V200" s="168"/>
      <c r="W200" s="168"/>
      <c r="X200" s="168"/>
      <c r="Y200" s="170"/>
      <c r="Z200" s="171"/>
      <c r="AA200" s="171"/>
      <c r="AB200" s="171"/>
      <c r="AC200" s="171"/>
      <c r="AD200" s="171"/>
      <c r="AE200" s="168"/>
      <c r="AF200" s="170"/>
      <c r="AG200" s="172"/>
      <c r="AH200"/>
      <c r="AI200"/>
    </row>
    <row r="201" spans="1:35" x14ac:dyDescent="0.25">
      <c r="A201"/>
      <c r="B201"/>
      <c r="C201"/>
      <c r="D201"/>
      <c r="E201"/>
      <c r="F201"/>
      <c r="G201"/>
      <c r="H201"/>
      <c r="I201"/>
      <c r="J201"/>
      <c r="K201"/>
      <c r="L201"/>
      <c r="M201"/>
      <c r="N201"/>
      <c r="O201"/>
      <c r="P201" s="168"/>
      <c r="Q201" s="168"/>
      <c r="R201" s="168"/>
      <c r="S201" s="169"/>
      <c r="T201" s="169"/>
      <c r="U201" s="169"/>
      <c r="V201" s="168"/>
      <c r="W201" s="168"/>
      <c r="X201" s="168"/>
      <c r="Y201" s="170"/>
      <c r="Z201" s="171"/>
      <c r="AA201" s="171"/>
      <c r="AB201" s="171"/>
      <c r="AC201" s="171"/>
      <c r="AD201" s="171"/>
      <c r="AE201" s="168"/>
      <c r="AF201" s="170"/>
      <c r="AG201" s="172"/>
      <c r="AH201"/>
      <c r="AI201"/>
    </row>
    <row r="202" spans="1:35" x14ac:dyDescent="0.25">
      <c r="A202"/>
      <c r="B202"/>
      <c r="C202"/>
      <c r="D202"/>
      <c r="E202"/>
      <c r="F202"/>
      <c r="G202"/>
      <c r="H202"/>
      <c r="I202"/>
      <c r="J202"/>
      <c r="K202"/>
      <c r="L202"/>
      <c r="M202"/>
      <c r="N202"/>
      <c r="O202"/>
      <c r="P202" s="168"/>
      <c r="Q202" s="168"/>
      <c r="R202" s="168"/>
      <c r="S202" s="169"/>
      <c r="T202" s="169"/>
      <c r="U202" s="169"/>
      <c r="V202" s="168"/>
      <c r="W202" s="168"/>
      <c r="X202" s="168"/>
      <c r="Y202" s="170"/>
      <c r="Z202" s="171"/>
      <c r="AA202" s="171"/>
      <c r="AB202" s="171"/>
      <c r="AC202" s="171"/>
      <c r="AD202" s="171"/>
      <c r="AE202" s="168"/>
      <c r="AF202" s="170"/>
      <c r="AG202" s="172"/>
      <c r="AH202"/>
      <c r="AI202"/>
    </row>
    <row r="203" spans="1:35" x14ac:dyDescent="0.25">
      <c r="A203"/>
      <c r="B203"/>
      <c r="C203"/>
      <c r="D203"/>
      <c r="E203"/>
      <c r="F203"/>
      <c r="G203"/>
      <c r="H203"/>
      <c r="I203"/>
      <c r="J203"/>
      <c r="K203"/>
      <c r="L203"/>
      <c r="M203"/>
      <c r="N203"/>
      <c r="O203"/>
      <c r="P203" s="168"/>
      <c r="Q203" s="168"/>
      <c r="R203" s="168"/>
      <c r="S203" s="169"/>
      <c r="T203" s="169"/>
      <c r="U203" s="169"/>
      <c r="V203" s="168"/>
      <c r="W203" s="168"/>
      <c r="X203" s="168"/>
      <c r="Y203" s="170"/>
      <c r="Z203" s="171"/>
      <c r="AA203" s="171"/>
      <c r="AB203" s="171"/>
      <c r="AC203" s="171"/>
      <c r="AD203" s="171"/>
      <c r="AE203" s="168"/>
      <c r="AF203" s="170"/>
      <c r="AG203" s="172"/>
      <c r="AH203"/>
      <c r="AI203"/>
    </row>
    <row r="204" spans="1:35" x14ac:dyDescent="0.25">
      <c r="A204"/>
      <c r="B204"/>
      <c r="C204"/>
      <c r="D204"/>
      <c r="E204"/>
      <c r="F204"/>
      <c r="G204"/>
      <c r="H204"/>
      <c r="I204"/>
      <c r="J204"/>
      <c r="K204"/>
      <c r="L204"/>
      <c r="M204"/>
      <c r="N204"/>
      <c r="O204"/>
      <c r="P204" s="168"/>
      <c r="Q204" s="168"/>
      <c r="R204" s="168"/>
      <c r="S204" s="169"/>
      <c r="T204" s="169"/>
      <c r="U204" s="169"/>
      <c r="V204" s="168"/>
      <c r="W204" s="168"/>
      <c r="X204" s="168"/>
      <c r="Y204" s="170"/>
      <c r="Z204" s="171"/>
      <c r="AA204" s="171"/>
      <c r="AB204" s="171"/>
      <c r="AC204" s="171"/>
      <c r="AD204" s="171"/>
      <c r="AE204" s="168"/>
      <c r="AF204" s="170"/>
      <c r="AG204" s="172"/>
      <c r="AH204"/>
      <c r="AI204"/>
    </row>
    <row r="205" spans="1:35" x14ac:dyDescent="0.25">
      <c r="A205"/>
      <c r="B205"/>
      <c r="C205"/>
      <c r="D205"/>
      <c r="E205"/>
      <c r="F205"/>
      <c r="G205"/>
      <c r="H205"/>
      <c r="I205"/>
      <c r="J205"/>
      <c r="K205"/>
      <c r="L205"/>
      <c r="M205"/>
      <c r="N205"/>
      <c r="O205"/>
      <c r="P205" s="168"/>
      <c r="Q205" s="168"/>
      <c r="R205" s="168"/>
      <c r="S205" s="169"/>
      <c r="T205" s="169"/>
      <c r="U205" s="169"/>
      <c r="V205" s="168"/>
      <c r="W205" s="168"/>
      <c r="X205" s="168"/>
      <c r="Y205" s="170"/>
      <c r="Z205" s="171"/>
      <c r="AA205" s="171"/>
      <c r="AB205" s="171"/>
      <c r="AC205" s="171"/>
      <c r="AD205" s="171"/>
      <c r="AE205" s="168"/>
      <c r="AF205" s="170"/>
      <c r="AG205" s="172"/>
      <c r="AH205"/>
      <c r="AI205"/>
    </row>
    <row r="206" spans="1:35" x14ac:dyDescent="0.25">
      <c r="A206"/>
      <c r="B206"/>
      <c r="C206"/>
      <c r="D206"/>
      <c r="E206"/>
      <c r="F206"/>
      <c r="G206"/>
      <c r="H206"/>
      <c r="I206"/>
      <c r="J206"/>
      <c r="K206"/>
      <c r="L206"/>
      <c r="M206"/>
      <c r="N206"/>
      <c r="O206"/>
      <c r="P206" s="168"/>
      <c r="Q206" s="168"/>
      <c r="R206" s="168"/>
      <c r="S206" s="169"/>
      <c r="T206" s="169"/>
      <c r="U206" s="169"/>
      <c r="V206" s="168"/>
      <c r="W206" s="168"/>
      <c r="X206" s="168"/>
      <c r="Y206" s="170"/>
      <c r="Z206" s="171"/>
      <c r="AA206" s="171"/>
      <c r="AB206" s="171"/>
      <c r="AC206" s="171"/>
      <c r="AD206" s="171"/>
      <c r="AE206" s="168"/>
      <c r="AF206" s="170"/>
      <c r="AG206" s="172"/>
      <c r="AH206"/>
      <c r="AI206"/>
    </row>
    <row r="207" spans="1:35" x14ac:dyDescent="0.25">
      <c r="A207"/>
      <c r="B207"/>
      <c r="C207"/>
      <c r="D207"/>
      <c r="E207"/>
      <c r="F207"/>
      <c r="G207"/>
      <c r="H207"/>
      <c r="I207"/>
      <c r="J207"/>
      <c r="K207"/>
      <c r="L207"/>
      <c r="M207"/>
      <c r="N207"/>
      <c r="O207"/>
      <c r="P207" s="168"/>
      <c r="Q207" s="168"/>
      <c r="R207" s="168"/>
      <c r="S207" s="169"/>
      <c r="T207" s="169"/>
      <c r="U207" s="169"/>
      <c r="V207" s="168"/>
      <c r="W207" s="168"/>
      <c r="X207" s="168"/>
      <c r="Y207" s="170"/>
      <c r="Z207" s="171"/>
      <c r="AA207" s="171"/>
      <c r="AB207" s="171"/>
      <c r="AC207" s="171"/>
      <c r="AD207" s="171"/>
      <c r="AE207" s="168"/>
      <c r="AF207" s="170"/>
      <c r="AG207" s="172"/>
      <c r="AH207"/>
      <c r="AI207"/>
    </row>
    <row r="208" spans="1:35" x14ac:dyDescent="0.25">
      <c r="A208"/>
      <c r="B208"/>
      <c r="C208"/>
      <c r="D208"/>
      <c r="E208"/>
      <c r="F208"/>
      <c r="G208"/>
      <c r="H208"/>
      <c r="I208"/>
      <c r="J208"/>
      <c r="K208"/>
      <c r="L208"/>
      <c r="M208"/>
      <c r="N208"/>
      <c r="O208"/>
      <c r="P208" s="168"/>
      <c r="Q208" s="168"/>
      <c r="R208" s="168"/>
      <c r="S208" s="169"/>
      <c r="T208" s="169"/>
      <c r="U208" s="169"/>
      <c r="V208" s="168"/>
      <c r="W208" s="168"/>
      <c r="X208" s="168"/>
      <c r="Y208" s="170"/>
      <c r="Z208" s="171"/>
      <c r="AA208" s="171"/>
      <c r="AB208" s="171"/>
      <c r="AC208" s="171"/>
      <c r="AD208" s="171"/>
      <c r="AE208" s="168"/>
      <c r="AF208" s="170"/>
      <c r="AG208" s="172"/>
      <c r="AH208"/>
      <c r="AI208"/>
    </row>
    <row r="209" spans="1:35" x14ac:dyDescent="0.25">
      <c r="A209"/>
      <c r="B209"/>
      <c r="C209"/>
      <c r="D209"/>
      <c r="E209"/>
      <c r="F209"/>
      <c r="G209"/>
      <c r="H209"/>
      <c r="I209"/>
      <c r="J209"/>
      <c r="K209"/>
      <c r="L209"/>
      <c r="M209"/>
      <c r="N209"/>
      <c r="O209"/>
      <c r="P209" s="168"/>
      <c r="Q209" s="168"/>
      <c r="R209" s="168"/>
      <c r="S209" s="169"/>
      <c r="T209" s="169"/>
      <c r="U209" s="169"/>
      <c r="V209" s="168"/>
      <c r="W209" s="168"/>
      <c r="X209" s="168"/>
      <c r="Y209" s="170"/>
      <c r="Z209" s="171"/>
      <c r="AA209" s="171"/>
      <c r="AB209" s="171"/>
      <c r="AC209" s="171"/>
      <c r="AD209" s="171"/>
      <c r="AE209" s="168"/>
      <c r="AF209" s="170"/>
      <c r="AG209" s="172"/>
      <c r="AH209"/>
      <c r="AI209"/>
    </row>
    <row r="210" spans="1:35" x14ac:dyDescent="0.25">
      <c r="A210"/>
      <c r="B210"/>
      <c r="C210"/>
      <c r="D210"/>
      <c r="E210"/>
      <c r="F210"/>
      <c r="G210"/>
      <c r="H210"/>
      <c r="I210"/>
      <c r="J210"/>
      <c r="K210"/>
      <c r="L210"/>
      <c r="M210"/>
      <c r="N210"/>
      <c r="O210"/>
      <c r="P210" s="168"/>
      <c r="Q210" s="168"/>
      <c r="R210" s="168"/>
      <c r="S210" s="169"/>
      <c r="T210" s="169"/>
      <c r="U210" s="169"/>
      <c r="V210" s="168"/>
      <c r="W210" s="168"/>
      <c r="X210" s="168"/>
      <c r="Y210" s="170"/>
      <c r="Z210" s="171"/>
      <c r="AA210" s="171"/>
      <c r="AB210" s="171"/>
      <c r="AC210" s="171"/>
      <c r="AD210" s="171"/>
      <c r="AE210" s="168"/>
      <c r="AF210" s="170"/>
      <c r="AG210" s="172"/>
      <c r="AH210"/>
      <c r="AI210"/>
    </row>
    <row r="211" spans="1:35" x14ac:dyDescent="0.25">
      <c r="A211"/>
      <c r="B211"/>
      <c r="C211"/>
      <c r="D211"/>
      <c r="E211"/>
      <c r="F211"/>
      <c r="G211"/>
      <c r="H211"/>
      <c r="I211"/>
      <c r="J211"/>
      <c r="K211"/>
      <c r="L211"/>
      <c r="M211"/>
      <c r="N211"/>
      <c r="O211"/>
      <c r="P211" s="168"/>
      <c r="Q211" s="168"/>
      <c r="R211" s="168"/>
      <c r="S211" s="169"/>
      <c r="T211" s="169"/>
      <c r="U211" s="169"/>
      <c r="V211" s="168"/>
      <c r="W211" s="168"/>
      <c r="X211" s="168"/>
      <c r="Y211" s="170"/>
      <c r="Z211" s="171"/>
      <c r="AA211" s="171"/>
      <c r="AB211" s="171"/>
      <c r="AC211" s="171"/>
      <c r="AD211" s="171"/>
      <c r="AE211" s="168"/>
      <c r="AF211" s="170"/>
      <c r="AG211" s="172"/>
      <c r="AH211"/>
      <c r="AI211"/>
    </row>
    <row r="212" spans="1:35" x14ac:dyDescent="0.25">
      <c r="A212"/>
      <c r="B212"/>
      <c r="C212"/>
      <c r="D212"/>
      <c r="E212"/>
      <c r="F212"/>
      <c r="G212"/>
      <c r="H212"/>
      <c r="I212"/>
      <c r="J212"/>
      <c r="K212"/>
      <c r="L212"/>
      <c r="M212"/>
      <c r="N212"/>
      <c r="O212"/>
      <c r="P212" s="168"/>
      <c r="Q212" s="168"/>
      <c r="R212" s="168"/>
      <c r="S212" s="169"/>
      <c r="T212" s="169"/>
      <c r="U212" s="169"/>
      <c r="V212" s="168"/>
      <c r="W212" s="168"/>
      <c r="X212" s="168"/>
      <c r="Y212" s="170"/>
      <c r="Z212" s="171"/>
      <c r="AA212" s="171"/>
      <c r="AB212" s="171"/>
      <c r="AC212" s="171"/>
      <c r="AD212" s="171"/>
      <c r="AE212" s="168"/>
      <c r="AF212" s="170"/>
      <c r="AG212" s="172"/>
      <c r="AH212"/>
      <c r="AI212"/>
    </row>
    <row r="213" spans="1:35" x14ac:dyDescent="0.25">
      <c r="A213"/>
      <c r="B213"/>
      <c r="C213"/>
      <c r="D213"/>
      <c r="E213"/>
      <c r="F213"/>
      <c r="G213"/>
      <c r="H213"/>
      <c r="I213"/>
      <c r="J213"/>
      <c r="K213"/>
      <c r="L213"/>
      <c r="M213"/>
      <c r="N213"/>
      <c r="O213"/>
      <c r="P213" s="168"/>
      <c r="Q213" s="168"/>
      <c r="R213" s="168"/>
      <c r="S213" s="169"/>
      <c r="T213" s="169"/>
      <c r="U213" s="169"/>
      <c r="V213" s="168"/>
      <c r="W213" s="168"/>
      <c r="X213" s="168"/>
      <c r="Y213" s="170"/>
      <c r="Z213" s="171"/>
      <c r="AA213" s="171"/>
      <c r="AB213" s="171"/>
      <c r="AC213" s="171"/>
      <c r="AD213" s="171"/>
      <c r="AE213" s="168"/>
      <c r="AF213" s="170"/>
      <c r="AG213" s="172"/>
      <c r="AH213"/>
      <c r="AI213"/>
    </row>
    <row r="214" spans="1:35" x14ac:dyDescent="0.25">
      <c r="A214"/>
      <c r="B214"/>
      <c r="C214"/>
      <c r="D214"/>
      <c r="E214"/>
      <c r="F214"/>
      <c r="G214"/>
      <c r="H214"/>
      <c r="I214"/>
      <c r="J214"/>
      <c r="K214"/>
      <c r="L214"/>
      <c r="M214"/>
      <c r="N214"/>
      <c r="O214"/>
      <c r="P214" s="168"/>
      <c r="Q214" s="168"/>
      <c r="R214" s="168"/>
      <c r="S214" s="169"/>
      <c r="T214" s="169"/>
      <c r="U214" s="169"/>
      <c r="V214" s="168"/>
      <c r="W214" s="168"/>
      <c r="X214" s="168"/>
      <c r="Y214" s="170"/>
      <c r="Z214" s="171"/>
      <c r="AA214" s="171"/>
      <c r="AB214" s="171"/>
      <c r="AC214" s="171"/>
      <c r="AD214" s="171"/>
      <c r="AE214" s="168"/>
      <c r="AF214" s="170"/>
      <c r="AG214" s="172"/>
      <c r="AH214"/>
      <c r="AI214"/>
    </row>
    <row r="215" spans="1:35" x14ac:dyDescent="0.25">
      <c r="A215"/>
      <c r="B215"/>
      <c r="C215"/>
      <c r="D215"/>
      <c r="E215"/>
      <c r="F215"/>
      <c r="G215"/>
      <c r="H215"/>
      <c r="I215"/>
      <c r="J215"/>
      <c r="K215"/>
      <c r="L215"/>
      <c r="M215"/>
      <c r="N215"/>
      <c r="O215"/>
      <c r="P215" s="168"/>
      <c r="Q215" s="168"/>
      <c r="R215" s="168"/>
      <c r="S215" s="169"/>
      <c r="T215" s="169"/>
      <c r="U215" s="169"/>
      <c r="V215" s="168"/>
      <c r="W215" s="168"/>
      <c r="X215" s="168"/>
      <c r="Y215" s="170"/>
      <c r="Z215" s="171"/>
      <c r="AA215" s="171"/>
      <c r="AB215" s="171"/>
      <c r="AC215" s="171"/>
      <c r="AD215" s="171"/>
      <c r="AE215" s="168"/>
      <c r="AF215" s="170"/>
      <c r="AG215" s="172"/>
      <c r="AH215"/>
      <c r="AI215"/>
    </row>
    <row r="216" spans="1:35" x14ac:dyDescent="0.25">
      <c r="A216"/>
      <c r="B216"/>
      <c r="C216"/>
      <c r="D216"/>
      <c r="E216"/>
      <c r="F216"/>
      <c r="G216"/>
      <c r="H216"/>
      <c r="I216"/>
      <c r="J216"/>
      <c r="K216"/>
      <c r="L216"/>
      <c r="M216"/>
      <c r="N216"/>
      <c r="O216"/>
      <c r="P216" s="168"/>
      <c r="Q216" s="168"/>
      <c r="R216" s="168"/>
      <c r="S216" s="169"/>
      <c r="T216" s="169"/>
      <c r="U216" s="169"/>
      <c r="V216" s="168"/>
      <c r="W216" s="168"/>
      <c r="X216" s="168"/>
      <c r="Y216" s="170"/>
      <c r="Z216" s="171"/>
      <c r="AA216" s="171"/>
      <c r="AB216" s="171"/>
      <c r="AC216" s="171"/>
      <c r="AD216" s="171"/>
      <c r="AE216" s="168"/>
      <c r="AF216" s="170"/>
      <c r="AG216" s="172"/>
      <c r="AH216"/>
      <c r="AI216"/>
    </row>
    <row r="217" spans="1:35" x14ac:dyDescent="0.25">
      <c r="A217"/>
      <c r="B217"/>
      <c r="C217"/>
      <c r="D217"/>
      <c r="E217"/>
      <c r="F217"/>
      <c r="G217"/>
      <c r="H217"/>
      <c r="I217"/>
      <c r="J217"/>
      <c r="K217"/>
      <c r="L217"/>
      <c r="M217"/>
      <c r="N217"/>
      <c r="O217"/>
      <c r="P217" s="168"/>
      <c r="Q217" s="168"/>
      <c r="R217" s="168"/>
      <c r="S217" s="169"/>
      <c r="T217" s="169"/>
      <c r="U217" s="169"/>
      <c r="V217" s="168"/>
      <c r="W217" s="168"/>
      <c r="X217" s="168"/>
      <c r="Y217" s="170"/>
      <c r="Z217" s="171"/>
      <c r="AA217" s="171"/>
      <c r="AB217" s="171"/>
      <c r="AC217" s="171"/>
      <c r="AD217" s="171"/>
      <c r="AE217" s="168"/>
      <c r="AF217" s="170"/>
      <c r="AG217" s="172"/>
      <c r="AH217"/>
      <c r="AI217"/>
    </row>
    <row r="218" spans="1:35" x14ac:dyDescent="0.25">
      <c r="A218"/>
      <c r="B218"/>
      <c r="C218"/>
      <c r="D218"/>
      <c r="E218"/>
      <c r="F218"/>
      <c r="G218"/>
      <c r="H218"/>
      <c r="I218"/>
      <c r="J218"/>
      <c r="K218"/>
      <c r="L218"/>
      <c r="M218"/>
      <c r="N218"/>
      <c r="O218"/>
      <c r="P218" s="168"/>
      <c r="Q218" s="168"/>
      <c r="R218" s="168"/>
      <c r="S218" s="169"/>
      <c r="T218" s="169"/>
      <c r="U218" s="169"/>
      <c r="V218" s="168"/>
      <c r="W218" s="168"/>
      <c r="X218" s="168"/>
      <c r="Y218" s="170"/>
      <c r="Z218" s="171"/>
      <c r="AA218" s="171"/>
      <c r="AB218" s="171"/>
      <c r="AC218" s="171"/>
      <c r="AD218" s="171"/>
      <c r="AE218" s="168"/>
      <c r="AF218" s="170"/>
      <c r="AG218" s="172"/>
      <c r="AH218"/>
      <c r="AI218"/>
    </row>
    <row r="219" spans="1:35" x14ac:dyDescent="0.25">
      <c r="A219"/>
      <c r="B219"/>
      <c r="C219"/>
      <c r="D219"/>
      <c r="E219"/>
      <c r="F219"/>
      <c r="G219"/>
      <c r="H219"/>
      <c r="I219"/>
      <c r="J219"/>
      <c r="K219"/>
      <c r="L219"/>
      <c r="M219"/>
      <c r="N219"/>
      <c r="O219"/>
      <c r="P219" s="168"/>
      <c r="Q219" s="168"/>
      <c r="R219" s="168"/>
      <c r="S219" s="169"/>
      <c r="T219" s="169"/>
      <c r="U219" s="169"/>
      <c r="V219" s="168"/>
      <c r="W219" s="168"/>
      <c r="X219" s="168"/>
      <c r="Y219" s="170"/>
      <c r="Z219" s="171"/>
      <c r="AA219" s="171"/>
      <c r="AB219" s="171"/>
      <c r="AC219" s="171"/>
      <c r="AD219" s="171"/>
      <c r="AE219" s="168"/>
      <c r="AF219" s="170"/>
      <c r="AG219" s="172"/>
      <c r="AH219"/>
      <c r="AI219"/>
    </row>
    <row r="220" spans="1:35" x14ac:dyDescent="0.25">
      <c r="A220"/>
      <c r="B220"/>
      <c r="C220"/>
      <c r="D220"/>
      <c r="E220"/>
      <c r="F220"/>
      <c r="G220"/>
      <c r="H220"/>
      <c r="I220"/>
      <c r="J220"/>
      <c r="K220"/>
      <c r="L220"/>
      <c r="M220"/>
      <c r="N220"/>
      <c r="O220"/>
      <c r="P220" s="168"/>
      <c r="Q220" s="168"/>
      <c r="R220" s="168"/>
      <c r="S220" s="169"/>
      <c r="T220" s="169"/>
      <c r="U220" s="169"/>
      <c r="V220" s="168"/>
      <c r="W220" s="168"/>
      <c r="X220" s="168"/>
      <c r="Y220" s="170"/>
      <c r="Z220" s="171"/>
      <c r="AA220" s="171"/>
      <c r="AB220" s="171"/>
      <c r="AC220" s="171"/>
      <c r="AD220" s="171"/>
      <c r="AE220" s="168"/>
      <c r="AF220" s="170"/>
      <c r="AG220" s="172"/>
      <c r="AH220"/>
      <c r="AI220"/>
    </row>
    <row r="221" spans="1:35" x14ac:dyDescent="0.25">
      <c r="A221"/>
      <c r="B221"/>
      <c r="C221"/>
      <c r="D221"/>
      <c r="E221"/>
      <c r="F221"/>
      <c r="G221"/>
      <c r="H221"/>
      <c r="I221"/>
      <c r="J221"/>
      <c r="K221"/>
      <c r="L221"/>
      <c r="M221"/>
      <c r="N221"/>
      <c r="O221"/>
      <c r="P221" s="168"/>
      <c r="Q221" s="168"/>
      <c r="R221" s="168"/>
      <c r="S221" s="169"/>
      <c r="T221" s="169"/>
      <c r="U221" s="169"/>
      <c r="V221" s="168"/>
      <c r="W221" s="168"/>
      <c r="X221" s="168"/>
      <c r="Y221" s="170"/>
      <c r="Z221" s="171"/>
      <c r="AA221" s="171"/>
      <c r="AB221" s="171"/>
      <c r="AC221" s="171"/>
      <c r="AD221" s="171"/>
      <c r="AE221" s="168"/>
      <c r="AF221" s="170"/>
      <c r="AG221" s="172"/>
      <c r="AH221"/>
      <c r="AI221"/>
    </row>
    <row r="222" spans="1:35" x14ac:dyDescent="0.25">
      <c r="A222"/>
      <c r="B222"/>
      <c r="C222"/>
      <c r="D222"/>
      <c r="E222"/>
      <c r="F222"/>
      <c r="G222"/>
      <c r="H222"/>
      <c r="I222"/>
      <c r="J222"/>
      <c r="K222"/>
      <c r="L222"/>
      <c r="M222"/>
      <c r="N222"/>
      <c r="O222"/>
      <c r="P222" s="168"/>
      <c r="Q222" s="168"/>
      <c r="R222" s="168"/>
      <c r="S222" s="169"/>
      <c r="T222" s="169"/>
      <c r="U222" s="169"/>
      <c r="V222" s="168"/>
      <c r="W222" s="168"/>
      <c r="X222" s="168"/>
      <c r="Y222" s="170"/>
      <c r="Z222" s="171"/>
      <c r="AA222" s="171"/>
      <c r="AB222" s="171"/>
      <c r="AC222" s="171"/>
      <c r="AD222" s="171"/>
      <c r="AE222" s="168"/>
      <c r="AF222" s="170"/>
      <c r="AG222" s="172"/>
      <c r="AH222"/>
      <c r="AI222"/>
    </row>
    <row r="223" spans="1:35" x14ac:dyDescent="0.25">
      <c r="A223"/>
      <c r="B223"/>
      <c r="C223"/>
      <c r="D223"/>
      <c r="E223"/>
      <c r="F223"/>
      <c r="G223"/>
      <c r="H223"/>
      <c r="I223"/>
      <c r="J223"/>
      <c r="K223"/>
      <c r="L223"/>
      <c r="M223"/>
      <c r="N223"/>
      <c r="O223"/>
      <c r="P223" s="168"/>
      <c r="Q223" s="168"/>
      <c r="R223" s="168"/>
      <c r="S223" s="169"/>
      <c r="T223" s="169"/>
      <c r="U223" s="169"/>
      <c r="V223" s="168"/>
      <c r="W223" s="168"/>
      <c r="X223" s="168"/>
      <c r="Y223" s="170"/>
      <c r="Z223" s="171"/>
      <c r="AA223" s="171"/>
      <c r="AB223" s="171"/>
      <c r="AC223" s="171"/>
      <c r="AD223" s="171"/>
      <c r="AE223" s="168"/>
      <c r="AF223" s="170"/>
      <c r="AG223" s="172"/>
      <c r="AH223"/>
      <c r="AI223"/>
    </row>
    <row r="224" spans="1:35" x14ac:dyDescent="0.25">
      <c r="A224"/>
      <c r="B224"/>
      <c r="C224"/>
      <c r="D224"/>
      <c r="E224"/>
      <c r="F224"/>
      <c r="G224"/>
      <c r="H224"/>
      <c r="I224"/>
      <c r="J224"/>
      <c r="K224"/>
      <c r="L224"/>
      <c r="M224"/>
      <c r="N224"/>
      <c r="O224"/>
      <c r="P224" s="168"/>
      <c r="Q224" s="168"/>
      <c r="R224" s="168"/>
      <c r="S224" s="169"/>
      <c r="T224" s="169"/>
      <c r="U224" s="169"/>
      <c r="V224" s="168"/>
      <c r="W224" s="168"/>
      <c r="X224" s="168"/>
      <c r="Y224" s="170"/>
      <c r="Z224" s="171"/>
      <c r="AA224" s="171"/>
      <c r="AB224" s="171"/>
      <c r="AC224" s="171"/>
      <c r="AD224" s="171"/>
      <c r="AE224" s="168"/>
      <c r="AF224" s="170"/>
      <c r="AG224" s="172"/>
      <c r="AH224"/>
      <c r="AI224"/>
    </row>
    <row r="225" spans="1:35" x14ac:dyDescent="0.25">
      <c r="A225"/>
      <c r="B225"/>
      <c r="C225"/>
      <c r="D225"/>
      <c r="E225"/>
      <c r="F225"/>
      <c r="G225"/>
      <c r="H225"/>
      <c r="I225"/>
      <c r="J225"/>
      <c r="K225"/>
      <c r="L225"/>
      <c r="M225"/>
      <c r="N225"/>
      <c r="O225"/>
      <c r="P225" s="168"/>
      <c r="Q225" s="168"/>
      <c r="R225" s="168"/>
      <c r="S225" s="169"/>
      <c r="T225" s="169"/>
      <c r="U225" s="169"/>
      <c r="V225" s="168"/>
      <c r="W225" s="168"/>
      <c r="X225" s="168"/>
      <c r="Y225" s="170"/>
      <c r="Z225" s="171"/>
      <c r="AA225" s="171"/>
      <c r="AB225" s="171"/>
      <c r="AC225" s="171"/>
      <c r="AD225" s="171"/>
      <c r="AE225" s="168"/>
      <c r="AF225" s="170"/>
      <c r="AG225" s="172"/>
      <c r="AH225"/>
      <c r="AI225"/>
    </row>
    <row r="226" spans="1:35" x14ac:dyDescent="0.25">
      <c r="A226"/>
      <c r="B226"/>
      <c r="C226"/>
      <c r="D226"/>
      <c r="E226"/>
      <c r="F226"/>
      <c r="G226"/>
      <c r="H226"/>
      <c r="I226"/>
      <c r="J226"/>
      <c r="K226"/>
      <c r="L226"/>
      <c r="M226"/>
      <c r="N226"/>
      <c r="O226"/>
      <c r="P226" s="168"/>
      <c r="Q226" s="168"/>
      <c r="R226" s="168"/>
      <c r="S226" s="169"/>
      <c r="T226" s="169"/>
      <c r="U226" s="169"/>
      <c r="V226" s="168"/>
      <c r="W226" s="168"/>
      <c r="X226" s="168"/>
      <c r="Y226" s="170"/>
      <c r="Z226" s="171"/>
      <c r="AA226" s="171"/>
      <c r="AB226" s="171"/>
      <c r="AC226" s="171"/>
      <c r="AD226" s="171"/>
      <c r="AE226" s="168"/>
      <c r="AF226" s="170"/>
      <c r="AG226" s="172"/>
      <c r="AH226"/>
      <c r="AI226"/>
    </row>
    <row r="227" spans="1:35" x14ac:dyDescent="0.25">
      <c r="A227"/>
      <c r="B227"/>
      <c r="C227"/>
      <c r="D227"/>
      <c r="E227"/>
      <c r="F227"/>
      <c r="G227"/>
      <c r="H227"/>
      <c r="I227"/>
      <c r="J227"/>
      <c r="K227"/>
      <c r="L227"/>
      <c r="M227"/>
      <c r="N227"/>
      <c r="O227"/>
      <c r="P227" s="168"/>
      <c r="Q227" s="168"/>
      <c r="R227" s="168"/>
      <c r="S227" s="169"/>
      <c r="T227" s="169"/>
      <c r="U227" s="169"/>
      <c r="V227" s="168"/>
      <c r="W227" s="168"/>
      <c r="X227" s="168"/>
      <c r="Y227" s="170"/>
      <c r="Z227" s="171"/>
      <c r="AA227" s="171"/>
      <c r="AB227" s="171"/>
      <c r="AC227" s="171"/>
      <c r="AD227" s="171"/>
      <c r="AE227" s="168"/>
      <c r="AF227" s="170"/>
      <c r="AG227" s="172"/>
      <c r="AH227"/>
      <c r="AI227"/>
    </row>
    <row r="228" spans="1:35" x14ac:dyDescent="0.25">
      <c r="A228"/>
      <c r="B228"/>
      <c r="C228"/>
      <c r="D228"/>
      <c r="E228"/>
      <c r="F228"/>
      <c r="G228"/>
      <c r="H228"/>
      <c r="I228"/>
      <c r="J228"/>
      <c r="K228"/>
      <c r="L228"/>
      <c r="M228"/>
      <c r="N228"/>
      <c r="O228"/>
      <c r="P228" s="168"/>
      <c r="Q228" s="168"/>
      <c r="R228" s="168"/>
      <c r="S228" s="169"/>
      <c r="T228" s="169"/>
      <c r="U228" s="169"/>
      <c r="V228" s="168"/>
      <c r="W228" s="168"/>
      <c r="X228" s="168"/>
      <c r="Y228" s="170"/>
      <c r="Z228" s="171"/>
      <c r="AA228" s="171"/>
      <c r="AB228" s="171"/>
      <c r="AC228" s="171"/>
      <c r="AD228" s="171"/>
      <c r="AE228" s="168"/>
      <c r="AF228" s="170"/>
      <c r="AG228" s="172"/>
      <c r="AH228"/>
      <c r="AI228"/>
    </row>
    <row r="229" spans="1:35" x14ac:dyDescent="0.25">
      <c r="A229"/>
      <c r="B229"/>
      <c r="C229"/>
      <c r="D229"/>
      <c r="E229"/>
      <c r="F229"/>
      <c r="G229"/>
      <c r="H229"/>
      <c r="I229"/>
      <c r="J229"/>
      <c r="K229"/>
      <c r="L229"/>
      <c r="M229"/>
      <c r="N229"/>
      <c r="O229"/>
      <c r="P229" s="168"/>
      <c r="Q229" s="168"/>
      <c r="R229" s="168"/>
      <c r="S229" s="169"/>
      <c r="T229" s="169"/>
      <c r="U229" s="169"/>
      <c r="V229" s="168"/>
      <c r="W229" s="168"/>
      <c r="X229" s="168"/>
      <c r="Y229" s="170"/>
      <c r="Z229" s="171"/>
      <c r="AA229" s="171"/>
      <c r="AB229" s="171"/>
      <c r="AC229" s="171"/>
      <c r="AD229" s="171"/>
      <c r="AE229" s="168"/>
      <c r="AF229" s="170"/>
      <c r="AG229" s="172"/>
      <c r="AH229"/>
      <c r="AI229"/>
    </row>
    <row r="230" spans="1:35" x14ac:dyDescent="0.25">
      <c r="A230"/>
      <c r="B230"/>
      <c r="C230"/>
      <c r="D230"/>
      <c r="E230"/>
      <c r="F230"/>
      <c r="G230"/>
      <c r="H230"/>
      <c r="I230"/>
      <c r="J230"/>
      <c r="K230"/>
      <c r="L230"/>
      <c r="M230"/>
      <c r="N230"/>
      <c r="O230"/>
      <c r="P230" s="168"/>
      <c r="Q230" s="168"/>
      <c r="R230" s="168"/>
      <c r="S230" s="169"/>
      <c r="T230" s="169"/>
      <c r="U230" s="169"/>
      <c r="V230" s="168"/>
      <c r="W230" s="168"/>
      <c r="X230" s="168"/>
      <c r="Y230" s="170"/>
      <c r="Z230" s="171"/>
      <c r="AA230" s="171"/>
      <c r="AB230" s="171"/>
      <c r="AC230" s="171"/>
      <c r="AD230" s="171"/>
      <c r="AE230" s="168"/>
      <c r="AF230" s="170"/>
      <c r="AG230" s="172"/>
      <c r="AH230"/>
      <c r="AI230"/>
    </row>
    <row r="231" spans="1:35" x14ac:dyDescent="0.25">
      <c r="A231"/>
      <c r="B231"/>
      <c r="C231"/>
      <c r="D231"/>
      <c r="E231"/>
      <c r="F231"/>
      <c r="G231"/>
      <c r="H231"/>
      <c r="I231"/>
      <c r="J231"/>
      <c r="K231"/>
      <c r="L231"/>
      <c r="M231"/>
      <c r="N231"/>
      <c r="O231"/>
      <c r="P231" s="168"/>
      <c r="Q231" s="168"/>
      <c r="R231" s="168"/>
      <c r="S231" s="169"/>
      <c r="T231" s="169"/>
      <c r="U231" s="169"/>
      <c r="V231" s="168"/>
      <c r="W231" s="168"/>
      <c r="X231" s="168"/>
      <c r="Y231" s="170"/>
      <c r="Z231" s="171"/>
      <c r="AA231" s="171"/>
      <c r="AB231" s="171"/>
      <c r="AC231" s="171"/>
      <c r="AD231" s="171"/>
      <c r="AE231" s="168"/>
      <c r="AF231" s="170"/>
      <c r="AG231" s="172"/>
      <c r="AH231"/>
      <c r="AI231"/>
    </row>
    <row r="232" spans="1:35" x14ac:dyDescent="0.25">
      <c r="A232"/>
      <c r="B232"/>
      <c r="C232"/>
      <c r="D232"/>
      <c r="E232"/>
      <c r="F232"/>
      <c r="G232"/>
      <c r="H232"/>
      <c r="I232"/>
      <c r="J232"/>
      <c r="K232"/>
      <c r="L232"/>
      <c r="M232"/>
      <c r="N232"/>
      <c r="O232"/>
      <c r="P232" s="168"/>
      <c r="Q232" s="168"/>
      <c r="R232" s="168"/>
      <c r="S232" s="169"/>
      <c r="T232" s="169"/>
      <c r="U232" s="169"/>
      <c r="V232" s="168"/>
      <c r="W232" s="168"/>
      <c r="X232" s="168"/>
      <c r="Y232" s="170"/>
      <c r="Z232" s="171"/>
      <c r="AA232" s="171"/>
      <c r="AB232" s="171"/>
      <c r="AC232" s="171"/>
      <c r="AD232" s="171"/>
      <c r="AE232" s="168"/>
      <c r="AF232" s="170"/>
      <c r="AG232" s="172"/>
      <c r="AH232"/>
      <c r="AI232"/>
    </row>
    <row r="233" spans="1:35" x14ac:dyDescent="0.25">
      <c r="A233"/>
      <c r="B233"/>
      <c r="C233"/>
      <c r="D233"/>
      <c r="E233"/>
      <c r="F233"/>
      <c r="G233"/>
      <c r="H233"/>
      <c r="I233"/>
      <c r="J233"/>
      <c r="K233"/>
      <c r="L233"/>
      <c r="M233"/>
      <c r="N233"/>
      <c r="O233"/>
      <c r="P233" s="168"/>
      <c r="Q233" s="168"/>
      <c r="R233" s="168"/>
      <c r="S233" s="169"/>
      <c r="T233" s="169"/>
      <c r="U233" s="169"/>
      <c r="V233" s="168"/>
      <c r="W233" s="168"/>
      <c r="X233" s="168"/>
      <c r="Y233" s="170"/>
      <c r="Z233" s="171"/>
      <c r="AA233" s="171"/>
      <c r="AB233" s="171"/>
      <c r="AC233" s="171"/>
      <c r="AD233" s="171"/>
      <c r="AE233" s="168"/>
      <c r="AF233" s="170"/>
      <c r="AG233" s="172"/>
      <c r="AH233"/>
      <c r="AI233"/>
    </row>
    <row r="234" spans="1:35" x14ac:dyDescent="0.25">
      <c r="A234"/>
      <c r="B234"/>
      <c r="C234"/>
      <c r="D234"/>
      <c r="E234"/>
      <c r="F234"/>
      <c r="G234"/>
      <c r="H234"/>
      <c r="I234"/>
      <c r="J234"/>
      <c r="K234"/>
      <c r="L234"/>
      <c r="M234"/>
      <c r="N234"/>
      <c r="O234"/>
      <c r="P234" s="168"/>
      <c r="Q234" s="168"/>
      <c r="R234" s="168"/>
      <c r="S234" s="169"/>
      <c r="T234" s="169"/>
      <c r="U234" s="169"/>
      <c r="V234" s="168"/>
      <c r="W234" s="168"/>
      <c r="X234" s="168"/>
      <c r="Y234" s="170"/>
      <c r="Z234" s="171"/>
      <c r="AA234" s="171"/>
      <c r="AB234" s="171"/>
      <c r="AC234" s="171"/>
      <c r="AD234" s="171"/>
      <c r="AE234" s="168"/>
      <c r="AF234" s="170"/>
      <c r="AG234" s="172"/>
      <c r="AH234"/>
      <c r="AI234"/>
    </row>
    <row r="235" spans="1:35" x14ac:dyDescent="0.25">
      <c r="A235"/>
      <c r="B235"/>
      <c r="C235"/>
      <c r="D235"/>
      <c r="E235"/>
      <c r="F235"/>
      <c r="G235"/>
      <c r="H235"/>
      <c r="I235"/>
      <c r="J235"/>
      <c r="K235"/>
      <c r="L235"/>
      <c r="M235"/>
      <c r="N235"/>
      <c r="O235"/>
      <c r="P235" s="168"/>
      <c r="Q235" s="168"/>
      <c r="R235" s="168"/>
      <c r="S235" s="169"/>
      <c r="T235" s="169"/>
      <c r="U235" s="169"/>
      <c r="V235" s="168"/>
      <c r="W235" s="168"/>
      <c r="X235" s="168"/>
      <c r="Y235" s="170"/>
      <c r="Z235" s="171"/>
      <c r="AA235" s="171"/>
      <c r="AB235" s="171"/>
      <c r="AC235" s="171"/>
      <c r="AD235" s="171"/>
      <c r="AE235" s="168"/>
      <c r="AF235" s="170"/>
      <c r="AG235" s="172"/>
      <c r="AH235"/>
      <c r="AI235"/>
    </row>
    <row r="236" spans="1:35" x14ac:dyDescent="0.25">
      <c r="A236"/>
      <c r="B236"/>
      <c r="C236"/>
      <c r="D236"/>
      <c r="E236"/>
      <c r="F236"/>
      <c r="G236"/>
      <c r="H236"/>
      <c r="I236"/>
      <c r="J236"/>
      <c r="K236"/>
      <c r="L236"/>
      <c r="M236"/>
      <c r="N236"/>
      <c r="O236"/>
      <c r="P236" s="168"/>
      <c r="Q236" s="168"/>
      <c r="R236" s="168"/>
      <c r="S236" s="169"/>
      <c r="T236" s="169"/>
      <c r="U236" s="169"/>
      <c r="V236" s="168"/>
      <c r="W236" s="168"/>
      <c r="X236" s="168"/>
      <c r="Y236" s="170"/>
      <c r="Z236" s="171"/>
      <c r="AA236" s="171"/>
      <c r="AB236" s="171"/>
      <c r="AC236" s="171"/>
      <c r="AD236" s="171"/>
      <c r="AE236" s="168"/>
      <c r="AF236" s="170"/>
      <c r="AG236" s="172"/>
      <c r="AH236"/>
      <c r="AI236"/>
    </row>
    <row r="237" spans="1:35" x14ac:dyDescent="0.25">
      <c r="A237"/>
      <c r="B237"/>
      <c r="C237"/>
      <c r="D237"/>
      <c r="E237"/>
      <c r="F237"/>
      <c r="G237"/>
      <c r="H237"/>
      <c r="I237"/>
      <c r="J237"/>
      <c r="K237"/>
      <c r="L237"/>
      <c r="M237"/>
      <c r="N237"/>
      <c r="O237"/>
      <c r="P237" s="168"/>
      <c r="Q237" s="168"/>
      <c r="R237" s="168"/>
      <c r="S237" s="169"/>
      <c r="T237" s="169"/>
      <c r="U237" s="169"/>
      <c r="V237" s="168"/>
      <c r="W237" s="168"/>
      <c r="X237" s="168"/>
      <c r="Y237" s="170"/>
      <c r="Z237" s="171"/>
      <c r="AA237" s="171"/>
      <c r="AB237" s="171"/>
      <c r="AC237" s="171"/>
      <c r="AD237" s="171"/>
      <c r="AE237" s="168"/>
      <c r="AF237" s="170"/>
      <c r="AG237" s="172"/>
      <c r="AH237"/>
      <c r="AI237"/>
    </row>
    <row r="238" spans="1:35" x14ac:dyDescent="0.25">
      <c r="A238"/>
      <c r="B238"/>
      <c r="C238"/>
      <c r="D238"/>
      <c r="E238"/>
      <c r="F238"/>
      <c r="G238"/>
      <c r="H238"/>
      <c r="I238"/>
      <c r="J238"/>
      <c r="K238"/>
      <c r="L238"/>
      <c r="M238"/>
      <c r="N238"/>
      <c r="O238"/>
      <c r="P238" s="168"/>
      <c r="Q238" s="168"/>
      <c r="R238" s="168"/>
      <c r="S238" s="169"/>
      <c r="T238" s="169"/>
      <c r="U238" s="169"/>
      <c r="V238" s="168"/>
      <c r="W238" s="168"/>
      <c r="X238" s="168"/>
      <c r="Y238" s="170"/>
      <c r="Z238" s="171"/>
      <c r="AA238" s="171"/>
      <c r="AB238" s="171"/>
      <c r="AC238" s="171"/>
      <c r="AD238" s="171"/>
      <c r="AE238" s="168"/>
      <c r="AF238" s="170"/>
      <c r="AG238" s="172"/>
      <c r="AH238"/>
      <c r="AI238"/>
    </row>
    <row r="239" spans="1:35" x14ac:dyDescent="0.25">
      <c r="A239"/>
      <c r="B239"/>
      <c r="C239"/>
      <c r="D239"/>
      <c r="E239"/>
      <c r="F239"/>
      <c r="G239"/>
      <c r="H239"/>
      <c r="I239"/>
      <c r="J239"/>
      <c r="K239"/>
      <c r="L239"/>
      <c r="M239"/>
      <c r="N239"/>
      <c r="O239"/>
      <c r="P239" s="168"/>
      <c r="Q239" s="168"/>
      <c r="R239" s="168"/>
      <c r="S239" s="169"/>
      <c r="T239" s="169"/>
      <c r="U239" s="169"/>
      <c r="V239" s="168"/>
      <c r="W239" s="168"/>
      <c r="X239" s="168"/>
      <c r="Y239" s="170"/>
      <c r="Z239" s="171"/>
      <c r="AA239" s="171"/>
      <c r="AB239" s="171"/>
      <c r="AC239" s="171"/>
      <c r="AD239" s="171"/>
      <c r="AE239" s="168"/>
      <c r="AF239" s="170"/>
      <c r="AG239" s="172"/>
      <c r="AH239"/>
      <c r="AI239"/>
    </row>
    <row r="240" spans="1:35" x14ac:dyDescent="0.25">
      <c r="A240"/>
      <c r="B240"/>
      <c r="C240"/>
      <c r="D240"/>
      <c r="E240"/>
      <c r="F240"/>
      <c r="G240"/>
      <c r="H240"/>
      <c r="I240"/>
      <c r="J240"/>
      <c r="K240"/>
      <c r="L240"/>
      <c r="M240"/>
      <c r="N240"/>
      <c r="O240"/>
      <c r="P240" s="168"/>
      <c r="Q240" s="168"/>
      <c r="R240" s="168"/>
      <c r="S240" s="169"/>
      <c r="T240" s="169"/>
      <c r="U240" s="169"/>
      <c r="V240" s="168"/>
      <c r="W240" s="168"/>
      <c r="X240" s="168"/>
      <c r="Y240" s="170"/>
      <c r="Z240" s="171"/>
      <c r="AA240" s="171"/>
      <c r="AB240" s="171"/>
      <c r="AC240" s="171"/>
      <c r="AD240" s="171"/>
      <c r="AE240" s="168"/>
      <c r="AF240" s="170"/>
      <c r="AG240" s="172"/>
      <c r="AH240"/>
      <c r="AI240"/>
    </row>
    <row r="241" spans="1:35" x14ac:dyDescent="0.25">
      <c r="A241"/>
      <c r="B241"/>
      <c r="C241"/>
      <c r="D241"/>
      <c r="E241"/>
      <c r="F241"/>
      <c r="G241"/>
      <c r="H241"/>
      <c r="I241"/>
      <c r="J241"/>
      <c r="K241"/>
      <c r="L241"/>
      <c r="M241"/>
      <c r="N241"/>
      <c r="O241"/>
      <c r="P241" s="168"/>
      <c r="Q241" s="168"/>
      <c r="R241" s="168"/>
      <c r="S241" s="169"/>
      <c r="T241" s="169"/>
      <c r="U241" s="169"/>
      <c r="V241" s="168"/>
      <c r="W241" s="168"/>
      <c r="X241" s="168"/>
      <c r="Y241" s="170"/>
      <c r="Z241" s="171"/>
      <c r="AA241" s="171"/>
      <c r="AB241" s="171"/>
      <c r="AC241" s="171"/>
      <c r="AD241" s="171"/>
      <c r="AE241" s="168"/>
      <c r="AF241" s="170"/>
      <c r="AG241" s="172"/>
      <c r="AH241"/>
      <c r="AI241"/>
    </row>
    <row r="242" spans="1:35" x14ac:dyDescent="0.25">
      <c r="A242"/>
      <c r="B242"/>
      <c r="C242"/>
      <c r="D242"/>
      <c r="E242"/>
      <c r="F242"/>
      <c r="G242"/>
      <c r="H242"/>
      <c r="I242"/>
      <c r="J242"/>
      <c r="K242"/>
      <c r="L242"/>
      <c r="M242"/>
      <c r="N242"/>
      <c r="O242"/>
      <c r="P242" s="168"/>
      <c r="Q242" s="168"/>
      <c r="R242" s="168"/>
      <c r="S242" s="169"/>
      <c r="T242" s="169"/>
      <c r="U242" s="169"/>
      <c r="V242" s="168"/>
      <c r="W242" s="168"/>
      <c r="X242" s="168"/>
      <c r="Y242" s="170"/>
      <c r="Z242" s="171"/>
      <c r="AA242" s="171"/>
      <c r="AB242" s="171"/>
      <c r="AC242" s="171"/>
      <c r="AD242" s="171"/>
      <c r="AE242" s="168"/>
      <c r="AF242" s="170"/>
      <c r="AG242" s="172"/>
      <c r="AH242"/>
      <c r="AI242"/>
    </row>
    <row r="243" spans="1:35" x14ac:dyDescent="0.25">
      <c r="A243"/>
      <c r="B243"/>
      <c r="C243"/>
      <c r="D243"/>
      <c r="E243"/>
      <c r="F243"/>
      <c r="G243"/>
      <c r="H243"/>
      <c r="I243"/>
      <c r="J243"/>
      <c r="K243"/>
      <c r="L243"/>
      <c r="M243"/>
      <c r="N243"/>
      <c r="O243"/>
      <c r="P243" s="168"/>
      <c r="Q243" s="168"/>
      <c r="R243" s="168"/>
      <c r="S243" s="169"/>
      <c r="T243" s="169"/>
      <c r="U243" s="169"/>
      <c r="V243" s="168"/>
      <c r="W243" s="168"/>
      <c r="X243" s="168"/>
      <c r="Y243" s="170"/>
      <c r="Z243" s="171"/>
      <c r="AA243" s="171"/>
      <c r="AB243" s="171"/>
      <c r="AC243" s="171"/>
      <c r="AD243" s="171"/>
      <c r="AE243" s="168"/>
      <c r="AF243" s="170"/>
      <c r="AG243" s="172"/>
      <c r="AH243"/>
      <c r="AI243"/>
    </row>
    <row r="244" spans="1:35" x14ac:dyDescent="0.25">
      <c r="A244"/>
      <c r="B244"/>
      <c r="C244"/>
      <c r="D244"/>
      <c r="E244"/>
      <c r="F244"/>
      <c r="G244"/>
      <c r="H244"/>
      <c r="I244"/>
      <c r="J244"/>
      <c r="K244"/>
      <c r="L244"/>
      <c r="M244"/>
      <c r="N244"/>
      <c r="O244"/>
      <c r="P244" s="168"/>
      <c r="Q244" s="168"/>
      <c r="R244" s="168"/>
      <c r="S244" s="169"/>
      <c r="T244" s="169"/>
      <c r="U244" s="169"/>
      <c r="V244" s="168"/>
      <c r="W244" s="168"/>
      <c r="X244" s="168"/>
      <c r="Y244" s="170"/>
      <c r="Z244" s="171"/>
      <c r="AA244" s="171"/>
      <c r="AB244" s="171"/>
      <c r="AC244" s="171"/>
      <c r="AD244" s="171"/>
      <c r="AE244" s="168"/>
      <c r="AF244" s="170"/>
      <c r="AG244" s="172"/>
      <c r="AH244"/>
      <c r="AI244"/>
    </row>
    <row r="245" spans="1:35" x14ac:dyDescent="0.25">
      <c r="A245"/>
      <c r="B245"/>
      <c r="C245"/>
      <c r="D245"/>
      <c r="E245"/>
      <c r="F245"/>
      <c r="G245"/>
      <c r="H245"/>
      <c r="I245"/>
      <c r="J245"/>
      <c r="K245"/>
      <c r="L245"/>
      <c r="M245"/>
      <c r="N245"/>
      <c r="O245"/>
      <c r="P245" s="168"/>
      <c r="Q245" s="168"/>
      <c r="R245" s="168"/>
      <c r="S245" s="169"/>
      <c r="T245" s="169"/>
      <c r="U245" s="169"/>
      <c r="V245" s="168"/>
      <c r="W245" s="168"/>
      <c r="X245" s="168"/>
      <c r="Y245" s="170"/>
      <c r="Z245" s="171"/>
      <c r="AA245" s="171"/>
      <c r="AB245" s="171"/>
      <c r="AC245" s="171"/>
      <c r="AD245" s="171"/>
      <c r="AE245" s="168"/>
      <c r="AF245" s="170"/>
      <c r="AG245" s="172"/>
      <c r="AH245"/>
      <c r="AI245"/>
    </row>
    <row r="246" spans="1:35" x14ac:dyDescent="0.25">
      <c r="A246"/>
      <c r="B246"/>
      <c r="C246"/>
      <c r="D246"/>
      <c r="E246"/>
      <c r="F246"/>
      <c r="G246"/>
      <c r="H246"/>
      <c r="I246"/>
      <c r="J246"/>
      <c r="K246"/>
      <c r="L246"/>
      <c r="M246"/>
      <c r="N246"/>
      <c r="O246"/>
      <c r="P246" s="168"/>
      <c r="Q246" s="168"/>
      <c r="R246" s="168"/>
      <c r="S246" s="169"/>
      <c r="T246" s="169"/>
      <c r="U246" s="169"/>
      <c r="V246" s="168"/>
      <c r="W246" s="168"/>
      <c r="X246" s="168"/>
      <c r="Y246" s="170"/>
      <c r="Z246" s="171"/>
      <c r="AA246" s="171"/>
      <c r="AB246" s="171"/>
      <c r="AC246" s="171"/>
      <c r="AD246" s="171"/>
      <c r="AE246" s="168"/>
      <c r="AF246" s="170"/>
      <c r="AG246" s="172"/>
      <c r="AH246"/>
      <c r="AI246"/>
    </row>
    <row r="247" spans="1:35" x14ac:dyDescent="0.25">
      <c r="A247"/>
      <c r="B247"/>
      <c r="C247"/>
      <c r="D247"/>
      <c r="E247"/>
      <c r="F247"/>
      <c r="G247"/>
      <c r="H247"/>
      <c r="I247"/>
      <c r="J247"/>
      <c r="K247"/>
      <c r="L247"/>
      <c r="M247"/>
      <c r="N247"/>
      <c r="O247"/>
      <c r="P247" s="168"/>
      <c r="Q247" s="168"/>
      <c r="R247" s="168"/>
      <c r="S247" s="169"/>
      <c r="T247" s="169"/>
      <c r="U247" s="169"/>
      <c r="V247" s="168"/>
      <c r="W247" s="168"/>
      <c r="X247" s="168"/>
      <c r="Y247" s="170"/>
      <c r="Z247" s="171"/>
      <c r="AA247" s="171"/>
      <c r="AB247" s="171"/>
      <c r="AC247" s="171"/>
      <c r="AD247" s="171"/>
      <c r="AE247" s="168"/>
      <c r="AF247" s="170"/>
      <c r="AG247" s="172"/>
      <c r="AH247"/>
      <c r="AI247"/>
    </row>
    <row r="248" spans="1:35" x14ac:dyDescent="0.25">
      <c r="A248"/>
      <c r="B248"/>
      <c r="C248"/>
      <c r="D248"/>
      <c r="E248"/>
      <c r="F248"/>
      <c r="G248"/>
      <c r="H248"/>
      <c r="I248"/>
      <c r="J248"/>
      <c r="K248"/>
      <c r="L248"/>
      <c r="M248"/>
      <c r="N248"/>
      <c r="O248"/>
      <c r="P248" s="168"/>
      <c r="Q248" s="168"/>
      <c r="R248" s="168"/>
      <c r="S248" s="169"/>
      <c r="T248" s="169"/>
      <c r="U248" s="169"/>
      <c r="V248" s="168"/>
      <c r="W248" s="168"/>
      <c r="X248" s="168"/>
      <c r="Y248" s="170"/>
      <c r="Z248" s="171"/>
      <c r="AA248" s="171"/>
      <c r="AB248" s="171"/>
      <c r="AC248" s="171"/>
      <c r="AD248" s="171"/>
      <c r="AE248" s="168"/>
      <c r="AF248" s="170"/>
      <c r="AG248" s="172"/>
      <c r="AH248"/>
      <c r="AI248"/>
    </row>
    <row r="249" spans="1:35" x14ac:dyDescent="0.25">
      <c r="A249"/>
      <c r="B249"/>
      <c r="C249"/>
      <c r="D249"/>
      <c r="E249"/>
      <c r="F249"/>
      <c r="G249"/>
      <c r="H249"/>
      <c r="I249"/>
      <c r="J249"/>
      <c r="K249"/>
      <c r="L249"/>
      <c r="M249"/>
      <c r="N249"/>
      <c r="O249"/>
      <c r="P249" s="168"/>
      <c r="Q249" s="168"/>
      <c r="R249" s="168"/>
      <c r="S249" s="169"/>
      <c r="T249" s="169"/>
      <c r="U249" s="169"/>
      <c r="V249" s="168"/>
      <c r="W249" s="168"/>
      <c r="X249" s="168"/>
      <c r="Y249" s="170"/>
      <c r="Z249" s="171"/>
      <c r="AA249" s="171"/>
      <c r="AB249" s="171"/>
      <c r="AC249" s="171"/>
      <c r="AD249" s="171"/>
      <c r="AE249" s="168"/>
      <c r="AF249" s="170"/>
      <c r="AG249" s="172"/>
      <c r="AH249"/>
      <c r="AI249"/>
    </row>
    <row r="250" spans="1:35" x14ac:dyDescent="0.25">
      <c r="A250"/>
      <c r="B250"/>
      <c r="C250"/>
      <c r="D250"/>
      <c r="E250"/>
      <c r="F250"/>
      <c r="G250"/>
      <c r="H250"/>
      <c r="I250"/>
      <c r="J250"/>
      <c r="K250"/>
      <c r="L250"/>
      <c r="M250"/>
      <c r="N250"/>
      <c r="O250"/>
      <c r="P250" s="168"/>
      <c r="Q250" s="168"/>
      <c r="R250" s="168"/>
      <c r="S250" s="169"/>
      <c r="T250" s="169"/>
      <c r="U250" s="169"/>
      <c r="V250" s="168"/>
      <c r="W250" s="168"/>
      <c r="X250" s="168"/>
      <c r="Y250" s="170"/>
      <c r="Z250" s="171"/>
      <c r="AA250" s="171"/>
      <c r="AB250" s="171"/>
      <c r="AC250" s="171"/>
      <c r="AD250" s="171"/>
      <c r="AE250" s="168"/>
      <c r="AF250" s="170"/>
      <c r="AG250" s="172"/>
      <c r="AH250"/>
      <c r="AI250"/>
    </row>
    <row r="251" spans="1:35" x14ac:dyDescent="0.25">
      <c r="A251"/>
      <c r="B251"/>
      <c r="C251"/>
      <c r="D251"/>
      <c r="E251"/>
      <c r="F251"/>
      <c r="G251"/>
      <c r="H251"/>
      <c r="I251"/>
      <c r="J251"/>
      <c r="K251"/>
      <c r="L251"/>
      <c r="M251"/>
      <c r="N251"/>
      <c r="O251"/>
      <c r="P251" s="168"/>
      <c r="Q251" s="168"/>
      <c r="R251" s="168"/>
      <c r="S251" s="169"/>
      <c r="T251" s="169"/>
      <c r="U251" s="169"/>
      <c r="V251" s="168"/>
      <c r="W251" s="168"/>
      <c r="X251" s="168"/>
      <c r="Y251" s="170"/>
      <c r="Z251" s="171"/>
      <c r="AA251" s="171"/>
      <c r="AB251" s="171"/>
      <c r="AC251" s="171"/>
      <c r="AD251" s="171"/>
      <c r="AE251" s="168"/>
      <c r="AF251" s="170"/>
      <c r="AG251" s="172"/>
      <c r="AH251"/>
      <c r="AI251"/>
    </row>
    <row r="252" spans="1:35" x14ac:dyDescent="0.25">
      <c r="A252"/>
      <c r="B252"/>
      <c r="C252"/>
      <c r="D252"/>
      <c r="E252"/>
      <c r="F252"/>
      <c r="G252"/>
      <c r="H252"/>
      <c r="I252"/>
      <c r="J252"/>
      <c r="K252"/>
      <c r="L252"/>
      <c r="M252"/>
      <c r="N252"/>
      <c r="O252"/>
      <c r="P252" s="168"/>
      <c r="Q252" s="168"/>
      <c r="R252" s="168"/>
      <c r="S252" s="169"/>
      <c r="T252" s="169"/>
      <c r="U252" s="169"/>
      <c r="V252" s="168"/>
      <c r="W252" s="168"/>
      <c r="X252" s="168"/>
      <c r="Y252" s="170"/>
      <c r="Z252" s="171"/>
      <c r="AA252" s="171"/>
      <c r="AB252" s="171"/>
      <c r="AC252" s="171"/>
      <c r="AD252" s="171"/>
      <c r="AE252" s="168"/>
      <c r="AF252" s="170"/>
      <c r="AG252" s="172"/>
      <c r="AH252"/>
      <c r="AI252"/>
    </row>
    <row r="253" spans="1:35" x14ac:dyDescent="0.25">
      <c r="A253"/>
      <c r="B253"/>
      <c r="C253"/>
      <c r="D253"/>
      <c r="E253"/>
      <c r="F253"/>
      <c r="G253"/>
      <c r="H253"/>
      <c r="I253"/>
      <c r="J253"/>
      <c r="K253"/>
      <c r="L253"/>
      <c r="M253"/>
      <c r="N253"/>
      <c r="O253"/>
      <c r="P253" s="168"/>
      <c r="Q253" s="168"/>
      <c r="R253" s="168"/>
      <c r="S253" s="169"/>
      <c r="T253" s="169"/>
      <c r="U253" s="169"/>
      <c r="V253" s="168"/>
      <c r="W253" s="168"/>
      <c r="X253" s="168"/>
      <c r="Y253" s="170"/>
      <c r="Z253" s="171"/>
      <c r="AA253" s="171"/>
      <c r="AB253" s="171"/>
      <c r="AC253" s="171"/>
      <c r="AD253" s="171"/>
      <c r="AE253" s="168"/>
      <c r="AF253" s="170"/>
      <c r="AG253" s="172"/>
      <c r="AH253"/>
      <c r="AI253"/>
    </row>
    <row r="254" spans="1:35" x14ac:dyDescent="0.25">
      <c r="A254"/>
      <c r="B254"/>
      <c r="C254"/>
      <c r="D254"/>
      <c r="E254"/>
      <c r="F254"/>
      <c r="G254"/>
      <c r="H254"/>
      <c r="I254"/>
      <c r="J254"/>
      <c r="K254"/>
      <c r="L254"/>
      <c r="M254"/>
      <c r="N254"/>
      <c r="O254"/>
      <c r="P254" s="168"/>
      <c r="Q254" s="168"/>
      <c r="R254" s="168"/>
      <c r="S254" s="169"/>
      <c r="T254" s="169"/>
      <c r="U254" s="169"/>
      <c r="V254" s="168"/>
      <c r="W254" s="168"/>
      <c r="X254" s="168"/>
      <c r="Y254" s="170"/>
      <c r="Z254" s="171"/>
      <c r="AA254" s="171"/>
      <c r="AB254" s="171"/>
      <c r="AC254" s="171"/>
      <c r="AD254" s="171"/>
      <c r="AE254" s="168"/>
      <c r="AF254" s="170"/>
      <c r="AG254" s="172"/>
      <c r="AH254"/>
      <c r="AI254"/>
    </row>
    <row r="255" spans="1:35" x14ac:dyDescent="0.25">
      <c r="A255"/>
      <c r="B255"/>
      <c r="C255"/>
      <c r="D255"/>
      <c r="E255"/>
      <c r="F255"/>
      <c r="G255"/>
      <c r="H255"/>
      <c r="I255"/>
      <c r="J255"/>
      <c r="K255"/>
      <c r="L255"/>
      <c r="M255"/>
      <c r="N255"/>
      <c r="O255"/>
      <c r="P255" s="168"/>
      <c r="Q255" s="168"/>
      <c r="R255" s="168"/>
      <c r="S255" s="169"/>
      <c r="T255" s="169"/>
      <c r="U255" s="169"/>
      <c r="V255" s="168"/>
      <c r="W255" s="168"/>
      <c r="X255" s="168"/>
      <c r="Y255" s="170"/>
      <c r="Z255" s="171"/>
      <c r="AA255" s="171"/>
      <c r="AB255" s="171"/>
      <c r="AC255" s="171"/>
      <c r="AD255" s="171"/>
      <c r="AE255" s="168"/>
      <c r="AF255" s="170"/>
      <c r="AG255" s="172"/>
      <c r="AH255"/>
      <c r="AI255"/>
    </row>
    <row r="256" spans="1:35" x14ac:dyDescent="0.25">
      <c r="A256"/>
      <c r="B256"/>
      <c r="C256"/>
      <c r="D256"/>
      <c r="E256"/>
      <c r="F256"/>
      <c r="G256"/>
      <c r="H256"/>
      <c r="I256"/>
      <c r="J256"/>
      <c r="K256"/>
      <c r="L256"/>
      <c r="M256"/>
      <c r="N256"/>
      <c r="O256"/>
      <c r="P256" s="168"/>
      <c r="Q256" s="168"/>
      <c r="R256" s="168"/>
      <c r="S256" s="169"/>
      <c r="T256" s="169"/>
      <c r="U256" s="169"/>
      <c r="V256" s="168"/>
      <c r="W256" s="168"/>
      <c r="X256" s="168"/>
      <c r="Y256" s="170"/>
      <c r="Z256" s="171"/>
      <c r="AA256" s="171"/>
      <c r="AB256" s="171"/>
      <c r="AC256" s="171"/>
      <c r="AD256" s="171"/>
      <c r="AE256" s="168"/>
      <c r="AF256" s="170"/>
      <c r="AG256" s="172"/>
      <c r="AH256"/>
      <c r="AI256"/>
    </row>
    <row r="257" spans="1:35" x14ac:dyDescent="0.25">
      <c r="A257"/>
      <c r="B257"/>
      <c r="C257"/>
      <c r="D257"/>
      <c r="E257"/>
      <c r="F257"/>
      <c r="G257"/>
      <c r="H257"/>
      <c r="I257"/>
      <c r="J257"/>
      <c r="K257"/>
      <c r="L257"/>
      <c r="M257"/>
      <c r="N257"/>
      <c r="O257"/>
      <c r="P257" s="168"/>
      <c r="Q257" s="168"/>
      <c r="R257" s="168"/>
      <c r="S257" s="169"/>
      <c r="T257" s="169"/>
      <c r="U257" s="169"/>
      <c r="V257" s="168"/>
      <c r="W257" s="168"/>
      <c r="X257" s="168"/>
      <c r="Y257" s="170"/>
      <c r="Z257" s="171"/>
      <c r="AA257" s="171"/>
      <c r="AB257" s="171"/>
      <c r="AC257" s="171"/>
      <c r="AD257" s="171"/>
      <c r="AE257" s="168"/>
      <c r="AF257" s="170"/>
      <c r="AG257" s="172"/>
      <c r="AH257"/>
      <c r="AI257"/>
    </row>
    <row r="258" spans="1:35" x14ac:dyDescent="0.25">
      <c r="A258"/>
      <c r="B258"/>
      <c r="C258"/>
      <c r="D258"/>
      <c r="E258"/>
      <c r="F258"/>
      <c r="G258"/>
      <c r="H258"/>
      <c r="I258"/>
      <c r="J258"/>
      <c r="K258"/>
      <c r="L258"/>
      <c r="M258"/>
      <c r="N258"/>
      <c r="O258"/>
      <c r="P258" s="168"/>
      <c r="Q258" s="168"/>
      <c r="R258" s="168"/>
      <c r="S258" s="169"/>
      <c r="T258" s="169"/>
      <c r="U258" s="169"/>
      <c r="V258" s="168"/>
      <c r="W258" s="168"/>
      <c r="X258" s="168"/>
      <c r="Y258" s="170"/>
      <c r="Z258" s="171"/>
      <c r="AA258" s="171"/>
      <c r="AB258" s="171"/>
      <c r="AC258" s="171"/>
      <c r="AD258" s="171"/>
      <c r="AE258" s="168"/>
      <c r="AF258" s="170"/>
      <c r="AG258" s="172"/>
      <c r="AH258"/>
      <c r="AI258"/>
    </row>
    <row r="259" spans="1:35" x14ac:dyDescent="0.25">
      <c r="A259"/>
      <c r="B259"/>
      <c r="C259"/>
      <c r="D259"/>
      <c r="E259"/>
      <c r="F259"/>
      <c r="G259"/>
      <c r="H259"/>
      <c r="I259"/>
      <c r="J259"/>
      <c r="K259"/>
      <c r="L259"/>
      <c r="M259"/>
      <c r="N259"/>
      <c r="O259"/>
      <c r="P259" s="168"/>
      <c r="Q259" s="168"/>
      <c r="R259" s="168"/>
      <c r="S259" s="169"/>
      <c r="T259" s="169"/>
      <c r="U259" s="169"/>
      <c r="V259" s="168"/>
      <c r="W259" s="168"/>
      <c r="X259" s="168"/>
      <c r="Y259" s="170"/>
      <c r="Z259" s="171"/>
      <c r="AA259" s="171"/>
      <c r="AB259" s="171"/>
      <c r="AC259" s="171"/>
      <c r="AD259" s="171"/>
      <c r="AE259" s="168"/>
      <c r="AF259" s="170"/>
      <c r="AG259" s="172"/>
      <c r="AH259"/>
      <c r="AI259"/>
    </row>
    <row r="260" spans="1:35" x14ac:dyDescent="0.25">
      <c r="A260"/>
      <c r="B260"/>
      <c r="C260"/>
      <c r="D260"/>
      <c r="E260"/>
      <c r="F260"/>
      <c r="G260"/>
      <c r="H260"/>
      <c r="I260"/>
      <c r="J260"/>
      <c r="K260"/>
      <c r="L260"/>
      <c r="M260"/>
      <c r="N260"/>
      <c r="O260"/>
      <c r="P260" s="168"/>
      <c r="Q260" s="168"/>
      <c r="R260" s="168"/>
      <c r="S260" s="169"/>
      <c r="T260" s="169"/>
      <c r="U260" s="169"/>
      <c r="V260" s="168"/>
      <c r="W260" s="168"/>
      <c r="X260" s="168"/>
      <c r="Y260" s="170"/>
      <c r="Z260" s="171"/>
      <c r="AA260" s="171"/>
      <c r="AB260" s="171"/>
      <c r="AC260" s="171"/>
      <c r="AD260" s="171"/>
      <c r="AE260" s="168"/>
      <c r="AF260" s="170"/>
      <c r="AG260" s="172"/>
      <c r="AH260"/>
      <c r="AI260"/>
    </row>
    <row r="261" spans="1:35" x14ac:dyDescent="0.25">
      <c r="A261"/>
      <c r="B261"/>
      <c r="C261"/>
      <c r="D261"/>
      <c r="E261"/>
      <c r="F261"/>
      <c r="G261"/>
      <c r="H261"/>
      <c r="I261"/>
      <c r="J261"/>
      <c r="K261"/>
      <c r="L261"/>
      <c r="M261"/>
      <c r="N261"/>
      <c r="O261"/>
      <c r="P261" s="168"/>
      <c r="Q261" s="168"/>
      <c r="R261" s="168"/>
      <c r="S261" s="169"/>
      <c r="T261" s="169"/>
      <c r="U261" s="169"/>
      <c r="V261" s="168"/>
      <c r="W261" s="168"/>
      <c r="X261" s="168"/>
      <c r="Y261" s="170"/>
      <c r="Z261" s="171"/>
      <c r="AA261" s="171"/>
      <c r="AB261" s="171"/>
      <c r="AC261" s="171"/>
      <c r="AD261" s="171"/>
      <c r="AE261" s="168"/>
      <c r="AF261" s="170"/>
      <c r="AG261" s="172"/>
      <c r="AH261"/>
      <c r="AI261"/>
    </row>
    <row r="262" spans="1:35" x14ac:dyDescent="0.25">
      <c r="A262"/>
      <c r="B262"/>
      <c r="C262"/>
      <c r="D262"/>
      <c r="E262"/>
      <c r="F262"/>
      <c r="G262"/>
      <c r="H262"/>
      <c r="I262"/>
      <c r="J262"/>
      <c r="K262"/>
      <c r="L262"/>
      <c r="M262"/>
      <c r="N262"/>
      <c r="O262"/>
      <c r="P262" s="168"/>
      <c r="Q262" s="168"/>
      <c r="R262" s="168"/>
      <c r="S262" s="169"/>
      <c r="T262" s="169"/>
      <c r="U262" s="169"/>
      <c r="V262" s="168"/>
      <c r="W262" s="168"/>
      <c r="X262" s="168"/>
      <c r="Y262" s="170"/>
      <c r="Z262" s="171"/>
      <c r="AA262" s="171"/>
      <c r="AB262" s="171"/>
      <c r="AC262" s="171"/>
      <c r="AD262" s="171"/>
      <c r="AE262" s="168"/>
      <c r="AF262" s="170"/>
      <c r="AG262" s="172"/>
      <c r="AH262"/>
      <c r="AI262"/>
    </row>
    <row r="263" spans="1:35" x14ac:dyDescent="0.25">
      <c r="A263"/>
      <c r="B263"/>
      <c r="C263"/>
      <c r="D263"/>
      <c r="E263"/>
      <c r="F263"/>
      <c r="G263"/>
      <c r="H263"/>
      <c r="I263"/>
      <c r="J263"/>
      <c r="K263"/>
      <c r="L263"/>
      <c r="M263"/>
      <c r="N263"/>
      <c r="O263"/>
      <c r="P263" s="168"/>
      <c r="Q263" s="168"/>
      <c r="R263" s="168"/>
      <c r="S263" s="169"/>
      <c r="T263" s="169"/>
      <c r="U263" s="169"/>
      <c r="V263" s="168"/>
      <c r="W263" s="168"/>
      <c r="X263" s="168"/>
      <c r="Y263" s="170"/>
      <c r="Z263" s="171"/>
      <c r="AA263" s="171"/>
      <c r="AB263" s="171"/>
      <c r="AC263" s="171"/>
      <c r="AD263" s="171"/>
      <c r="AE263" s="168"/>
      <c r="AF263" s="170"/>
      <c r="AG263" s="172"/>
      <c r="AH263"/>
      <c r="AI263"/>
    </row>
    <row r="264" spans="1:35" x14ac:dyDescent="0.25">
      <c r="A264"/>
      <c r="B264"/>
      <c r="C264"/>
      <c r="D264"/>
      <c r="E264"/>
      <c r="F264"/>
      <c r="G264"/>
      <c r="H264"/>
      <c r="I264"/>
      <c r="J264"/>
      <c r="K264"/>
      <c r="L264"/>
      <c r="M264"/>
      <c r="N264"/>
      <c r="O264"/>
      <c r="P264" s="168"/>
      <c r="Q264" s="168"/>
      <c r="R264" s="168"/>
      <c r="S264" s="169"/>
      <c r="T264" s="169"/>
      <c r="U264" s="169"/>
      <c r="V264" s="168"/>
      <c r="W264" s="168"/>
      <c r="X264" s="168"/>
      <c r="Y264" s="170"/>
      <c r="Z264" s="171"/>
      <c r="AA264" s="171"/>
      <c r="AB264" s="171"/>
      <c r="AC264" s="171"/>
      <c r="AD264" s="171"/>
      <c r="AE264" s="168"/>
      <c r="AF264" s="170"/>
      <c r="AG264" s="172"/>
      <c r="AH264"/>
      <c r="AI264"/>
    </row>
    <row r="265" spans="1:35" x14ac:dyDescent="0.25">
      <c r="A265"/>
      <c r="B265"/>
      <c r="C265"/>
      <c r="D265"/>
      <c r="E265"/>
      <c r="F265"/>
      <c r="G265"/>
      <c r="H265"/>
      <c r="I265"/>
      <c r="J265"/>
      <c r="K265"/>
      <c r="L265"/>
      <c r="M265"/>
      <c r="N265"/>
      <c r="O265"/>
      <c r="P265" s="168"/>
      <c r="Q265" s="168"/>
      <c r="R265" s="168"/>
      <c r="S265" s="169"/>
      <c r="T265" s="169"/>
      <c r="U265" s="169"/>
      <c r="V265" s="168"/>
      <c r="W265" s="168"/>
      <c r="X265" s="168"/>
      <c r="Y265" s="170"/>
      <c r="Z265" s="171"/>
      <c r="AA265" s="171"/>
      <c r="AB265" s="171"/>
      <c r="AC265" s="171"/>
      <c r="AD265" s="171"/>
      <c r="AE265" s="168"/>
      <c r="AF265" s="170"/>
      <c r="AG265" s="172"/>
      <c r="AH265"/>
      <c r="AI265"/>
    </row>
    <row r="266" spans="1:35" x14ac:dyDescent="0.25">
      <c r="A266"/>
      <c r="B266"/>
      <c r="C266"/>
      <c r="D266"/>
      <c r="E266"/>
      <c r="F266"/>
      <c r="G266"/>
      <c r="H266"/>
      <c r="I266"/>
      <c r="J266"/>
      <c r="K266"/>
      <c r="L266"/>
      <c r="M266"/>
      <c r="N266"/>
      <c r="O266"/>
      <c r="P266" s="168"/>
      <c r="Q266" s="168"/>
      <c r="R266" s="168"/>
      <c r="S266" s="169"/>
      <c r="T266" s="169"/>
      <c r="U266" s="169"/>
      <c r="V266" s="168"/>
      <c r="W266" s="168"/>
      <c r="X266" s="168"/>
      <c r="Y266" s="170"/>
      <c r="Z266" s="171"/>
      <c r="AA266" s="171"/>
      <c r="AB266" s="171"/>
      <c r="AC266" s="171"/>
      <c r="AD266" s="171"/>
      <c r="AE266" s="168"/>
      <c r="AF266" s="170"/>
      <c r="AG266" s="172"/>
      <c r="AH266"/>
      <c r="AI266"/>
    </row>
    <row r="267" spans="1:35" x14ac:dyDescent="0.25">
      <c r="A267"/>
      <c r="B267"/>
      <c r="C267"/>
      <c r="D267"/>
      <c r="E267"/>
      <c r="F267"/>
      <c r="G267"/>
      <c r="H267"/>
      <c r="I267"/>
      <c r="J267"/>
      <c r="K267"/>
      <c r="L267"/>
      <c r="M267"/>
      <c r="N267"/>
      <c r="O267"/>
      <c r="P267" s="168"/>
      <c r="Q267" s="168"/>
      <c r="R267" s="168"/>
      <c r="S267" s="169"/>
      <c r="T267" s="169"/>
      <c r="U267" s="169"/>
      <c r="V267" s="168"/>
      <c r="W267" s="168"/>
      <c r="X267" s="168"/>
      <c r="Y267" s="170"/>
      <c r="Z267" s="171"/>
      <c r="AA267" s="171"/>
      <c r="AB267" s="171"/>
      <c r="AC267" s="171"/>
      <c r="AD267" s="171"/>
      <c r="AE267" s="168"/>
      <c r="AF267" s="170"/>
      <c r="AG267" s="172"/>
      <c r="AH267"/>
      <c r="AI267"/>
    </row>
    <row r="268" spans="1:35" x14ac:dyDescent="0.25">
      <c r="A268"/>
      <c r="B268"/>
      <c r="C268"/>
      <c r="D268"/>
      <c r="E268"/>
      <c r="F268"/>
      <c r="G268"/>
      <c r="H268"/>
      <c r="I268"/>
      <c r="J268"/>
      <c r="K268"/>
      <c r="L268"/>
      <c r="M268"/>
      <c r="N268"/>
      <c r="O268"/>
      <c r="P268" s="168"/>
      <c r="Q268" s="168"/>
      <c r="R268" s="168"/>
      <c r="S268" s="169"/>
      <c r="T268" s="169"/>
      <c r="U268" s="169"/>
      <c r="V268" s="168"/>
      <c r="W268" s="168"/>
      <c r="X268" s="168"/>
      <c r="Y268" s="170"/>
      <c r="Z268" s="171"/>
      <c r="AA268" s="171"/>
      <c r="AB268" s="171"/>
      <c r="AC268" s="171"/>
      <c r="AD268" s="171"/>
      <c r="AE268" s="168"/>
      <c r="AF268" s="170"/>
      <c r="AG268" s="172"/>
      <c r="AH268"/>
      <c r="AI268"/>
    </row>
    <row r="269" spans="1:35" x14ac:dyDescent="0.25">
      <c r="A269"/>
      <c r="B269"/>
      <c r="C269"/>
      <c r="D269"/>
      <c r="E269"/>
      <c r="F269"/>
      <c r="G269"/>
      <c r="H269"/>
      <c r="I269"/>
      <c r="J269"/>
      <c r="K269"/>
      <c r="L269"/>
      <c r="M269"/>
      <c r="N269"/>
      <c r="O269"/>
      <c r="P269" s="168"/>
      <c r="Q269" s="168"/>
      <c r="R269" s="168"/>
      <c r="S269" s="169"/>
      <c r="T269" s="169"/>
      <c r="U269" s="169"/>
      <c r="V269" s="168"/>
      <c r="W269" s="168"/>
      <c r="X269" s="168"/>
      <c r="Y269" s="170"/>
      <c r="Z269" s="171"/>
      <c r="AA269" s="171"/>
      <c r="AB269" s="171"/>
      <c r="AC269" s="171"/>
      <c r="AD269" s="171"/>
      <c r="AE269" s="168"/>
      <c r="AF269" s="170"/>
      <c r="AG269" s="172"/>
      <c r="AH269"/>
      <c r="AI269"/>
    </row>
    <row r="270" spans="1:35" x14ac:dyDescent="0.25">
      <c r="A270"/>
      <c r="B270"/>
      <c r="C270"/>
      <c r="D270"/>
      <c r="E270"/>
      <c r="F270"/>
      <c r="G270"/>
      <c r="H270"/>
      <c r="I270"/>
      <c r="J270"/>
      <c r="K270"/>
      <c r="L270"/>
      <c r="M270"/>
      <c r="N270"/>
      <c r="O270"/>
      <c r="P270" s="168"/>
      <c r="Q270" s="168"/>
      <c r="R270" s="168"/>
      <c r="S270" s="169"/>
      <c r="T270" s="169"/>
      <c r="U270" s="169"/>
      <c r="V270" s="168"/>
      <c r="W270" s="168"/>
      <c r="X270" s="168"/>
      <c r="Y270" s="170"/>
      <c r="Z270" s="171"/>
      <c r="AA270" s="171"/>
      <c r="AB270" s="171"/>
      <c r="AC270" s="171"/>
      <c r="AD270" s="171"/>
      <c r="AE270" s="168"/>
      <c r="AF270" s="170"/>
      <c r="AG270" s="172"/>
      <c r="AH270"/>
      <c r="AI270"/>
    </row>
    <row r="271" spans="1:35" x14ac:dyDescent="0.25">
      <c r="A271"/>
      <c r="B271"/>
      <c r="C271"/>
      <c r="D271"/>
      <c r="E271"/>
      <c r="F271"/>
      <c r="G271"/>
      <c r="H271"/>
      <c r="I271"/>
      <c r="J271"/>
      <c r="K271"/>
      <c r="L271"/>
      <c r="M271"/>
      <c r="N271"/>
      <c r="O271"/>
      <c r="P271" s="168"/>
      <c r="Q271" s="168"/>
      <c r="R271" s="168"/>
      <c r="S271" s="169"/>
      <c r="T271" s="169"/>
      <c r="U271" s="169"/>
      <c r="V271" s="168"/>
      <c r="W271" s="168"/>
      <c r="X271" s="168"/>
      <c r="Y271" s="170"/>
      <c r="Z271" s="171"/>
      <c r="AA271" s="171"/>
      <c r="AB271" s="171"/>
      <c r="AC271" s="171"/>
      <c r="AD271" s="171"/>
      <c r="AE271" s="168"/>
      <c r="AF271" s="170"/>
      <c r="AG271" s="172"/>
      <c r="AH271"/>
      <c r="AI271"/>
    </row>
    <row r="272" spans="1:35" x14ac:dyDescent="0.25">
      <c r="A272"/>
      <c r="B272"/>
      <c r="C272"/>
      <c r="D272"/>
      <c r="E272"/>
      <c r="F272"/>
      <c r="G272"/>
      <c r="H272"/>
      <c r="I272"/>
      <c r="J272"/>
      <c r="K272"/>
      <c r="L272"/>
      <c r="M272"/>
      <c r="N272"/>
      <c r="O272"/>
      <c r="P272" s="168"/>
      <c r="Q272" s="168"/>
      <c r="R272" s="168"/>
      <c r="S272" s="169"/>
      <c r="T272" s="169"/>
      <c r="U272" s="169"/>
      <c r="V272" s="168"/>
      <c r="W272" s="168"/>
      <c r="X272" s="168"/>
      <c r="Y272" s="170"/>
      <c r="Z272" s="171"/>
      <c r="AA272" s="171"/>
      <c r="AB272" s="171"/>
      <c r="AC272" s="171"/>
      <c r="AD272" s="171"/>
      <c r="AE272" s="168"/>
      <c r="AF272" s="170"/>
      <c r="AG272" s="172"/>
      <c r="AH272"/>
      <c r="AI272"/>
    </row>
    <row r="273" spans="1:35" x14ac:dyDescent="0.25">
      <c r="A273"/>
      <c r="B273"/>
      <c r="C273"/>
      <c r="D273"/>
      <c r="E273"/>
      <c r="F273"/>
      <c r="G273"/>
      <c r="H273"/>
      <c r="I273"/>
      <c r="J273"/>
      <c r="K273"/>
      <c r="L273"/>
      <c r="M273"/>
      <c r="N273"/>
      <c r="O273"/>
      <c r="P273" s="168"/>
      <c r="Q273" s="168"/>
      <c r="R273" s="168"/>
      <c r="S273" s="169"/>
      <c r="T273" s="169"/>
      <c r="U273" s="169"/>
      <c r="V273" s="168"/>
      <c r="W273" s="168"/>
      <c r="X273" s="168"/>
      <c r="Y273" s="170"/>
      <c r="Z273" s="171"/>
      <c r="AA273" s="171"/>
      <c r="AB273" s="171"/>
      <c r="AC273" s="171"/>
      <c r="AD273" s="171"/>
      <c r="AE273" s="168"/>
      <c r="AF273" s="170"/>
      <c r="AG273" s="172"/>
      <c r="AH273"/>
      <c r="AI273"/>
    </row>
    <row r="274" spans="1:35" x14ac:dyDescent="0.25">
      <c r="A274"/>
      <c r="B274"/>
      <c r="C274"/>
      <c r="D274"/>
      <c r="E274"/>
      <c r="F274"/>
      <c r="G274"/>
      <c r="H274"/>
      <c r="I274"/>
      <c r="J274"/>
      <c r="K274"/>
      <c r="L274"/>
      <c r="M274"/>
      <c r="N274"/>
      <c r="O274"/>
      <c r="P274" s="168"/>
      <c r="Q274" s="168"/>
      <c r="R274" s="168"/>
      <c r="S274" s="169"/>
      <c r="T274" s="169"/>
      <c r="U274" s="169"/>
      <c r="V274" s="168"/>
      <c r="W274" s="168"/>
      <c r="X274" s="168"/>
      <c r="Y274" s="170"/>
      <c r="Z274" s="171"/>
      <c r="AA274" s="171"/>
      <c r="AB274" s="171"/>
      <c r="AC274" s="171"/>
      <c r="AD274" s="171"/>
      <c r="AE274" s="168"/>
      <c r="AF274" s="170"/>
      <c r="AG274" s="172"/>
      <c r="AH274"/>
      <c r="AI274"/>
    </row>
    <row r="275" spans="1:35" x14ac:dyDescent="0.25">
      <c r="A275"/>
      <c r="B275"/>
      <c r="C275"/>
      <c r="D275"/>
      <c r="E275"/>
      <c r="F275"/>
      <c r="G275"/>
      <c r="H275"/>
      <c r="I275"/>
      <c r="J275"/>
      <c r="K275"/>
      <c r="L275"/>
      <c r="M275"/>
      <c r="N275"/>
      <c r="O275"/>
      <c r="P275" s="168"/>
      <c r="Q275" s="168"/>
      <c r="R275" s="168"/>
      <c r="S275" s="169"/>
      <c r="T275" s="169"/>
      <c r="U275" s="169"/>
      <c r="V275" s="168"/>
      <c r="W275" s="168"/>
      <c r="X275" s="168"/>
      <c r="Y275" s="170"/>
      <c r="Z275" s="171"/>
      <c r="AA275" s="171"/>
      <c r="AB275" s="171"/>
      <c r="AC275" s="171"/>
      <c r="AD275" s="171"/>
      <c r="AE275" s="168"/>
      <c r="AF275" s="170"/>
      <c r="AG275" s="172"/>
      <c r="AH275"/>
      <c r="AI275"/>
    </row>
    <row r="276" spans="1:35" x14ac:dyDescent="0.25">
      <c r="A276"/>
      <c r="B276"/>
      <c r="C276"/>
      <c r="D276"/>
      <c r="E276"/>
      <c r="F276"/>
      <c r="G276"/>
      <c r="H276"/>
      <c r="I276"/>
      <c r="J276"/>
      <c r="K276"/>
      <c r="L276"/>
      <c r="M276"/>
      <c r="N276"/>
      <c r="O276"/>
      <c r="P276" s="168"/>
      <c r="Q276" s="168"/>
      <c r="R276" s="168"/>
      <c r="S276" s="169"/>
      <c r="T276" s="169"/>
      <c r="U276" s="169"/>
      <c r="V276" s="168"/>
      <c r="W276" s="168"/>
      <c r="X276" s="168"/>
      <c r="Y276" s="170"/>
      <c r="Z276" s="171"/>
      <c r="AA276" s="171"/>
      <c r="AB276" s="171"/>
      <c r="AC276" s="171"/>
      <c r="AD276" s="171"/>
      <c r="AE276" s="168"/>
      <c r="AF276" s="170"/>
      <c r="AG276" s="172"/>
      <c r="AH276"/>
      <c r="AI276"/>
    </row>
    <row r="277" spans="1:35" x14ac:dyDescent="0.25">
      <c r="A277"/>
      <c r="B277"/>
      <c r="C277"/>
      <c r="D277"/>
      <c r="E277"/>
      <c r="F277"/>
      <c r="G277"/>
      <c r="H277"/>
      <c r="I277"/>
      <c r="J277"/>
      <c r="K277"/>
      <c r="L277"/>
      <c r="M277"/>
      <c r="N277"/>
      <c r="O277"/>
      <c r="P277" s="168"/>
      <c r="Q277" s="168"/>
      <c r="R277" s="168"/>
      <c r="S277" s="169"/>
      <c r="T277" s="169"/>
      <c r="U277" s="169"/>
      <c r="V277" s="168"/>
      <c r="W277" s="168"/>
      <c r="X277" s="168"/>
      <c r="Y277" s="170"/>
      <c r="Z277" s="171"/>
      <c r="AA277" s="171"/>
      <c r="AB277" s="171"/>
      <c r="AC277" s="171"/>
      <c r="AD277" s="171"/>
      <c r="AE277" s="168"/>
      <c r="AF277" s="170"/>
      <c r="AG277" s="172"/>
      <c r="AH277"/>
      <c r="AI277"/>
    </row>
    <row r="278" spans="1:35" x14ac:dyDescent="0.25">
      <c r="A278"/>
      <c r="B278"/>
      <c r="C278"/>
      <c r="D278"/>
      <c r="E278"/>
      <c r="F278"/>
      <c r="G278"/>
      <c r="H278"/>
      <c r="I278"/>
      <c r="J278"/>
      <c r="K278"/>
      <c r="L278"/>
      <c r="M278"/>
      <c r="N278"/>
      <c r="O278"/>
      <c r="P278" s="168"/>
      <c r="Q278" s="168"/>
      <c r="R278" s="168"/>
      <c r="S278" s="169"/>
      <c r="T278" s="169"/>
      <c r="U278" s="169"/>
      <c r="V278" s="168"/>
      <c r="W278" s="168"/>
      <c r="X278" s="168"/>
      <c r="Y278" s="170"/>
      <c r="Z278" s="171"/>
      <c r="AA278" s="171"/>
      <c r="AB278" s="171"/>
      <c r="AC278" s="171"/>
      <c r="AD278" s="171"/>
      <c r="AE278" s="168"/>
      <c r="AF278" s="170"/>
      <c r="AG278" s="172"/>
      <c r="AH278"/>
      <c r="AI278"/>
    </row>
    <row r="279" spans="1:35" x14ac:dyDescent="0.25">
      <c r="A279"/>
      <c r="B279"/>
      <c r="C279"/>
      <c r="D279"/>
      <c r="E279"/>
      <c r="F279"/>
      <c r="G279"/>
      <c r="H279"/>
      <c r="I279"/>
      <c r="J279"/>
      <c r="K279"/>
      <c r="L279"/>
      <c r="M279"/>
      <c r="N279"/>
      <c r="O279"/>
      <c r="P279" s="168"/>
      <c r="Q279" s="168"/>
      <c r="R279" s="168"/>
      <c r="S279" s="169"/>
      <c r="T279" s="169"/>
      <c r="U279" s="169"/>
      <c r="V279" s="168"/>
      <c r="W279" s="168"/>
      <c r="X279" s="168"/>
      <c r="Y279" s="170"/>
      <c r="Z279" s="171"/>
      <c r="AA279" s="171"/>
      <c r="AB279" s="171"/>
      <c r="AC279" s="171"/>
      <c r="AD279" s="171"/>
      <c r="AE279" s="168"/>
      <c r="AF279" s="170"/>
      <c r="AG279" s="172"/>
      <c r="AH279"/>
      <c r="AI279"/>
    </row>
    <row r="280" spans="1:35" x14ac:dyDescent="0.25">
      <c r="A280"/>
      <c r="B280"/>
      <c r="C280"/>
      <c r="D280"/>
      <c r="E280"/>
      <c r="F280"/>
      <c r="G280"/>
      <c r="H280"/>
      <c r="I280"/>
      <c r="J280"/>
      <c r="K280"/>
      <c r="L280"/>
      <c r="M280"/>
      <c r="N280"/>
      <c r="O280"/>
      <c r="P280" s="168"/>
      <c r="Q280" s="168"/>
      <c r="R280" s="168"/>
      <c r="S280" s="169"/>
      <c r="T280" s="169"/>
      <c r="U280" s="169"/>
      <c r="V280" s="168"/>
      <c r="W280" s="168"/>
      <c r="X280" s="168"/>
      <c r="Y280" s="170"/>
      <c r="Z280" s="171"/>
      <c r="AA280" s="171"/>
      <c r="AB280" s="171"/>
      <c r="AC280" s="171"/>
      <c r="AD280" s="171"/>
      <c r="AE280" s="168"/>
      <c r="AF280" s="170"/>
      <c r="AG280" s="172"/>
      <c r="AH280"/>
      <c r="AI280"/>
    </row>
    <row r="281" spans="1:35" x14ac:dyDescent="0.25">
      <c r="A281"/>
      <c r="B281"/>
      <c r="C281"/>
      <c r="D281"/>
      <c r="E281"/>
      <c r="F281"/>
      <c r="G281"/>
      <c r="H281"/>
      <c r="I281"/>
      <c r="J281"/>
      <c r="K281"/>
      <c r="L281"/>
      <c r="M281"/>
      <c r="N281"/>
      <c r="O281"/>
      <c r="P281" s="168"/>
      <c r="Q281" s="168"/>
      <c r="R281" s="168"/>
      <c r="S281" s="169"/>
      <c r="T281" s="169"/>
      <c r="U281" s="169"/>
      <c r="V281" s="168"/>
      <c r="W281" s="168"/>
      <c r="X281" s="168"/>
      <c r="Y281" s="170"/>
      <c r="Z281" s="171"/>
      <c r="AA281" s="171"/>
      <c r="AB281" s="171"/>
      <c r="AC281" s="171"/>
      <c r="AD281" s="171"/>
      <c r="AE281" s="168"/>
      <c r="AF281" s="170"/>
      <c r="AG281" s="172"/>
      <c r="AH281"/>
      <c r="AI281"/>
    </row>
    <row r="282" spans="1:35" x14ac:dyDescent="0.25">
      <c r="A282"/>
      <c r="B282"/>
      <c r="C282"/>
      <c r="D282"/>
      <c r="E282"/>
      <c r="F282"/>
      <c r="G282"/>
      <c r="H282"/>
      <c r="I282"/>
      <c r="J282"/>
      <c r="K282"/>
      <c r="L282"/>
      <c r="M282"/>
      <c r="N282"/>
      <c r="O282"/>
      <c r="P282" s="168"/>
      <c r="Q282" s="168"/>
      <c r="R282" s="168"/>
      <c r="S282" s="169"/>
      <c r="T282" s="169"/>
      <c r="U282" s="169"/>
      <c r="V282" s="168"/>
      <c r="W282" s="168"/>
      <c r="X282" s="168"/>
      <c r="Y282" s="170"/>
      <c r="Z282" s="171"/>
      <c r="AA282" s="171"/>
      <c r="AB282" s="171"/>
      <c r="AC282" s="171"/>
      <c r="AD282" s="171"/>
      <c r="AE282" s="168"/>
      <c r="AF282" s="170"/>
      <c r="AG282" s="172"/>
      <c r="AH282"/>
      <c r="AI282"/>
    </row>
    <row r="283" spans="1:35" x14ac:dyDescent="0.25">
      <c r="A283"/>
      <c r="B283"/>
      <c r="C283"/>
      <c r="D283"/>
      <c r="E283"/>
      <c r="F283"/>
      <c r="G283"/>
      <c r="H283"/>
      <c r="I283"/>
      <c r="J283"/>
      <c r="K283"/>
      <c r="L283"/>
      <c r="M283"/>
      <c r="N283"/>
      <c r="O283"/>
      <c r="P283" s="168"/>
      <c r="Q283" s="168"/>
      <c r="R283" s="168"/>
      <c r="S283" s="169"/>
      <c r="T283" s="169"/>
      <c r="U283" s="169"/>
      <c r="V283" s="168"/>
      <c r="W283" s="168"/>
      <c r="X283" s="168"/>
      <c r="Y283" s="170"/>
      <c r="Z283" s="171"/>
      <c r="AA283" s="171"/>
      <c r="AB283" s="171"/>
      <c r="AC283" s="171"/>
      <c r="AD283" s="171"/>
      <c r="AE283" s="168"/>
      <c r="AF283" s="170"/>
      <c r="AG283" s="172"/>
      <c r="AH283"/>
      <c r="AI283"/>
    </row>
    <row r="284" spans="1:35" x14ac:dyDescent="0.25">
      <c r="A284"/>
      <c r="B284"/>
      <c r="C284"/>
      <c r="D284"/>
      <c r="E284"/>
      <c r="F284"/>
      <c r="G284"/>
      <c r="H284"/>
      <c r="I284"/>
      <c r="J284"/>
      <c r="K284"/>
      <c r="L284"/>
      <c r="M284"/>
      <c r="N284"/>
      <c r="O284"/>
      <c r="P284" s="168"/>
      <c r="Q284" s="168"/>
      <c r="R284" s="168"/>
      <c r="S284" s="169"/>
      <c r="T284" s="169"/>
      <c r="U284" s="169"/>
      <c r="V284" s="168"/>
      <c r="W284" s="168"/>
      <c r="X284" s="168"/>
      <c r="Y284" s="170"/>
      <c r="Z284" s="171"/>
      <c r="AA284" s="171"/>
      <c r="AB284" s="171"/>
      <c r="AC284" s="171"/>
      <c r="AD284" s="171"/>
      <c r="AE284" s="168"/>
      <c r="AF284" s="170"/>
      <c r="AG284" s="172"/>
      <c r="AH284"/>
      <c r="AI284"/>
    </row>
    <row r="285" spans="1:35" x14ac:dyDescent="0.25">
      <c r="A285"/>
      <c r="B285"/>
      <c r="C285"/>
      <c r="D285"/>
      <c r="E285"/>
      <c r="F285"/>
      <c r="G285"/>
      <c r="H285"/>
      <c r="I285"/>
      <c r="J285"/>
      <c r="K285"/>
      <c r="L285"/>
      <c r="M285"/>
      <c r="N285"/>
      <c r="O285"/>
      <c r="P285" s="168"/>
      <c r="Q285" s="168"/>
      <c r="R285" s="168"/>
      <c r="S285" s="169"/>
      <c r="T285" s="169"/>
      <c r="U285" s="169"/>
      <c r="V285" s="168"/>
      <c r="W285" s="168"/>
      <c r="X285" s="168"/>
      <c r="Y285" s="170"/>
      <c r="Z285" s="171"/>
      <c r="AA285" s="171"/>
      <c r="AB285" s="171"/>
      <c r="AC285" s="171"/>
      <c r="AD285" s="171"/>
      <c r="AE285" s="168"/>
      <c r="AF285" s="170"/>
      <c r="AG285" s="172"/>
      <c r="AH285"/>
      <c r="AI285"/>
    </row>
    <row r="286" spans="1:35" x14ac:dyDescent="0.25">
      <c r="A286"/>
      <c r="B286"/>
      <c r="C286"/>
      <c r="D286"/>
      <c r="E286"/>
      <c r="F286"/>
      <c r="G286"/>
      <c r="H286"/>
      <c r="I286"/>
      <c r="J286"/>
      <c r="K286"/>
      <c r="L286"/>
      <c r="M286"/>
      <c r="N286"/>
      <c r="O286"/>
      <c r="P286" s="168"/>
      <c r="Q286" s="168"/>
      <c r="R286" s="168"/>
      <c r="S286" s="169"/>
      <c r="T286" s="169"/>
      <c r="U286" s="169"/>
      <c r="V286" s="168"/>
      <c r="W286" s="168"/>
      <c r="X286" s="168"/>
      <c r="Y286" s="170"/>
      <c r="Z286" s="171"/>
      <c r="AA286" s="171"/>
      <c r="AB286" s="171"/>
      <c r="AC286" s="171"/>
      <c r="AD286" s="171"/>
      <c r="AE286" s="168"/>
      <c r="AF286" s="170"/>
      <c r="AG286" s="172"/>
      <c r="AH286"/>
      <c r="AI286"/>
    </row>
    <row r="287" spans="1:35" x14ac:dyDescent="0.25">
      <c r="A287"/>
      <c r="B287"/>
      <c r="C287"/>
      <c r="D287"/>
      <c r="E287"/>
      <c r="F287"/>
      <c r="G287"/>
      <c r="H287"/>
      <c r="I287"/>
      <c r="J287"/>
      <c r="K287"/>
      <c r="L287"/>
      <c r="M287"/>
      <c r="N287"/>
      <c r="O287"/>
      <c r="P287" s="168"/>
      <c r="Q287" s="168"/>
      <c r="R287" s="168"/>
      <c r="S287" s="169"/>
      <c r="T287" s="169"/>
      <c r="U287" s="169"/>
      <c r="V287" s="168"/>
      <c r="W287" s="168"/>
      <c r="X287" s="168"/>
      <c r="Y287" s="170"/>
      <c r="Z287" s="171"/>
      <c r="AA287" s="171"/>
      <c r="AB287" s="171"/>
      <c r="AC287" s="171"/>
      <c r="AD287" s="171"/>
      <c r="AE287" s="168"/>
      <c r="AF287" s="170"/>
      <c r="AG287" s="172"/>
      <c r="AH287"/>
      <c r="AI287"/>
    </row>
    <row r="288" spans="1:35" x14ac:dyDescent="0.25">
      <c r="A288"/>
      <c r="B288"/>
      <c r="C288"/>
      <c r="D288"/>
      <c r="E288"/>
      <c r="F288"/>
      <c r="G288"/>
      <c r="H288"/>
      <c r="I288"/>
      <c r="J288"/>
      <c r="K288"/>
      <c r="L288"/>
      <c r="M288"/>
      <c r="N288"/>
      <c r="O288"/>
      <c r="P288" s="168"/>
      <c r="Q288" s="168"/>
      <c r="R288" s="168"/>
      <c r="S288" s="169"/>
      <c r="T288" s="169"/>
      <c r="U288" s="169"/>
      <c r="V288" s="168"/>
      <c r="W288" s="168"/>
      <c r="X288" s="168"/>
      <c r="Y288" s="170"/>
      <c r="Z288" s="171"/>
      <c r="AA288" s="171"/>
      <c r="AB288" s="171"/>
      <c r="AC288" s="171"/>
      <c r="AD288" s="171"/>
      <c r="AE288" s="168"/>
      <c r="AF288" s="170"/>
      <c r="AG288" s="172"/>
      <c r="AH288"/>
      <c r="AI288"/>
    </row>
    <row r="289" spans="1:35" x14ac:dyDescent="0.25">
      <c r="A289"/>
      <c r="B289"/>
      <c r="C289"/>
      <c r="D289"/>
      <c r="E289"/>
      <c r="F289"/>
      <c r="G289"/>
      <c r="H289"/>
      <c r="I289"/>
      <c r="J289"/>
      <c r="K289"/>
      <c r="L289"/>
      <c r="M289"/>
      <c r="N289"/>
      <c r="O289"/>
      <c r="P289" s="168"/>
      <c r="Q289" s="168"/>
      <c r="R289" s="168"/>
      <c r="S289" s="169"/>
      <c r="T289" s="169"/>
      <c r="U289" s="169"/>
      <c r="V289" s="168"/>
      <c r="W289" s="168"/>
      <c r="X289" s="168"/>
      <c r="Y289" s="170"/>
      <c r="Z289" s="171"/>
      <c r="AA289" s="171"/>
      <c r="AB289" s="171"/>
      <c r="AC289" s="171"/>
      <c r="AD289" s="171"/>
      <c r="AE289" s="168"/>
      <c r="AF289" s="170"/>
      <c r="AG289" s="172"/>
      <c r="AH289"/>
      <c r="AI289"/>
    </row>
    <row r="290" spans="1:35" x14ac:dyDescent="0.25">
      <c r="A290"/>
      <c r="B290"/>
      <c r="C290"/>
      <c r="D290"/>
      <c r="E290"/>
      <c r="F290"/>
      <c r="G290"/>
      <c r="H290"/>
      <c r="I290"/>
      <c r="J290"/>
      <c r="K290"/>
      <c r="L290"/>
      <c r="M290"/>
      <c r="N290"/>
      <c r="O290"/>
      <c r="P290" s="168"/>
      <c r="Q290" s="168"/>
      <c r="R290" s="168"/>
      <c r="S290" s="169"/>
      <c r="T290" s="169"/>
      <c r="U290" s="169"/>
      <c r="V290" s="168"/>
      <c r="W290" s="168"/>
      <c r="X290" s="168"/>
      <c r="Y290" s="170"/>
      <c r="Z290" s="171"/>
      <c r="AA290" s="171"/>
      <c r="AB290" s="171"/>
      <c r="AC290" s="171"/>
      <c r="AD290" s="171"/>
      <c r="AE290" s="168"/>
      <c r="AF290" s="170"/>
      <c r="AG290" s="172"/>
      <c r="AH290"/>
      <c r="AI290"/>
    </row>
    <row r="291" spans="1:35" x14ac:dyDescent="0.25">
      <c r="A291"/>
      <c r="B291"/>
      <c r="C291"/>
      <c r="D291"/>
      <c r="E291"/>
      <c r="F291"/>
      <c r="G291"/>
      <c r="H291"/>
      <c r="I291"/>
      <c r="J291"/>
      <c r="K291"/>
      <c r="L291"/>
      <c r="M291"/>
      <c r="N291"/>
      <c r="O291"/>
      <c r="P291" s="168"/>
      <c r="Q291" s="168"/>
      <c r="R291" s="168"/>
      <c r="S291" s="169"/>
      <c r="T291" s="169"/>
      <c r="U291" s="169"/>
      <c r="V291" s="168"/>
      <c r="W291" s="168"/>
      <c r="X291" s="168"/>
      <c r="Y291" s="170"/>
      <c r="Z291" s="171"/>
      <c r="AA291" s="171"/>
      <c r="AB291" s="171"/>
      <c r="AC291" s="171"/>
      <c r="AD291" s="171"/>
      <c r="AE291" s="168"/>
      <c r="AF291" s="170"/>
      <c r="AG291" s="172"/>
      <c r="AH291"/>
      <c r="AI291"/>
    </row>
    <row r="292" spans="1:35" x14ac:dyDescent="0.25">
      <c r="A292"/>
      <c r="B292"/>
      <c r="C292"/>
      <c r="D292"/>
      <c r="E292"/>
      <c r="F292"/>
      <c r="G292"/>
      <c r="H292"/>
      <c r="I292"/>
      <c r="J292"/>
      <c r="K292"/>
      <c r="L292"/>
      <c r="M292"/>
      <c r="N292"/>
      <c r="O292"/>
      <c r="P292" s="168"/>
      <c r="Q292" s="168"/>
      <c r="R292" s="168"/>
      <c r="S292" s="169"/>
      <c r="T292" s="169"/>
      <c r="U292" s="169"/>
      <c r="V292" s="168"/>
      <c r="W292" s="168"/>
      <c r="X292" s="168"/>
      <c r="Y292" s="170"/>
      <c r="Z292" s="171"/>
      <c r="AA292" s="171"/>
      <c r="AB292" s="171"/>
      <c r="AC292" s="171"/>
      <c r="AD292" s="171"/>
      <c r="AE292" s="168"/>
      <c r="AF292" s="170"/>
      <c r="AG292" s="172"/>
      <c r="AH292"/>
      <c r="AI292"/>
    </row>
    <row r="293" spans="1:35" x14ac:dyDescent="0.25">
      <c r="A293"/>
      <c r="B293"/>
      <c r="C293"/>
      <c r="D293"/>
      <c r="E293"/>
      <c r="F293"/>
      <c r="G293"/>
      <c r="H293"/>
      <c r="I293"/>
      <c r="J293"/>
      <c r="K293"/>
      <c r="L293"/>
      <c r="M293"/>
      <c r="N293"/>
      <c r="O293"/>
      <c r="P293" s="168"/>
      <c r="Q293" s="168"/>
      <c r="R293" s="168"/>
      <c r="S293" s="169"/>
      <c r="T293" s="169"/>
      <c r="U293" s="169"/>
      <c r="V293" s="168"/>
      <c r="W293" s="168"/>
      <c r="X293" s="168"/>
      <c r="Y293" s="170"/>
      <c r="Z293" s="171"/>
      <c r="AA293" s="171"/>
      <c r="AB293" s="171"/>
      <c r="AC293" s="171"/>
      <c r="AD293" s="171"/>
      <c r="AE293" s="168"/>
      <c r="AF293" s="170"/>
      <c r="AG293" s="172"/>
      <c r="AH293"/>
      <c r="AI293"/>
    </row>
    <row r="294" spans="1:35" x14ac:dyDescent="0.25">
      <c r="A294"/>
      <c r="B294"/>
      <c r="C294"/>
      <c r="D294"/>
      <c r="E294"/>
      <c r="F294"/>
      <c r="G294"/>
      <c r="H294"/>
      <c r="I294"/>
      <c r="J294"/>
      <c r="K294"/>
      <c r="L294"/>
      <c r="M294"/>
      <c r="N294"/>
      <c r="O294"/>
      <c r="P294" s="168"/>
      <c r="Q294" s="168"/>
      <c r="R294" s="168"/>
      <c r="S294" s="169"/>
      <c r="T294" s="169"/>
      <c r="U294" s="169"/>
      <c r="V294" s="168"/>
      <c r="W294" s="168"/>
      <c r="X294" s="168"/>
      <c r="Y294" s="170"/>
      <c r="Z294" s="171"/>
      <c r="AA294" s="171"/>
      <c r="AB294" s="171"/>
      <c r="AC294" s="171"/>
      <c r="AD294" s="171"/>
      <c r="AE294" s="168"/>
      <c r="AF294" s="170"/>
      <c r="AG294" s="172"/>
      <c r="AH294"/>
      <c r="AI294"/>
    </row>
    <row r="295" spans="1:35" x14ac:dyDescent="0.25">
      <c r="A295"/>
      <c r="B295"/>
      <c r="C295"/>
      <c r="D295"/>
      <c r="E295"/>
      <c r="F295"/>
      <c r="G295"/>
      <c r="H295"/>
      <c r="I295"/>
      <c r="J295"/>
      <c r="K295"/>
      <c r="L295"/>
      <c r="M295"/>
      <c r="N295"/>
      <c r="O295"/>
      <c r="P295" s="168"/>
      <c r="Q295" s="168"/>
      <c r="R295" s="168"/>
      <c r="S295" s="169"/>
      <c r="T295" s="169"/>
      <c r="U295" s="169"/>
      <c r="V295" s="168"/>
      <c r="W295" s="168"/>
      <c r="X295" s="168"/>
      <c r="Y295" s="170"/>
      <c r="Z295" s="171"/>
      <c r="AA295" s="171"/>
      <c r="AB295" s="171"/>
      <c r="AC295" s="171"/>
      <c r="AD295" s="171"/>
      <c r="AE295" s="168"/>
      <c r="AF295" s="170"/>
      <c r="AG295" s="172"/>
      <c r="AH295"/>
      <c r="AI295"/>
    </row>
    <row r="296" spans="1:35" x14ac:dyDescent="0.25">
      <c r="A296"/>
      <c r="B296"/>
      <c r="C296"/>
      <c r="D296"/>
      <c r="E296"/>
      <c r="F296"/>
      <c r="G296"/>
      <c r="H296"/>
      <c r="I296"/>
      <c r="J296"/>
      <c r="K296"/>
      <c r="L296"/>
      <c r="M296"/>
      <c r="N296"/>
      <c r="O296"/>
      <c r="P296" s="168"/>
      <c r="Q296" s="168"/>
      <c r="R296" s="168"/>
      <c r="S296" s="169"/>
      <c r="T296" s="169"/>
      <c r="U296" s="169"/>
      <c r="V296" s="168"/>
      <c r="W296" s="168"/>
      <c r="X296" s="168"/>
      <c r="Y296" s="170"/>
      <c r="Z296" s="171"/>
      <c r="AA296" s="171"/>
      <c r="AB296" s="171"/>
      <c r="AC296" s="171"/>
      <c r="AD296" s="171"/>
      <c r="AE296" s="168"/>
      <c r="AF296" s="170"/>
      <c r="AG296" s="172"/>
      <c r="AH296"/>
      <c r="AI296"/>
    </row>
    <row r="297" spans="1:35" x14ac:dyDescent="0.25">
      <c r="A297"/>
      <c r="B297"/>
      <c r="C297"/>
      <c r="D297"/>
      <c r="E297"/>
      <c r="F297"/>
      <c r="G297"/>
      <c r="H297"/>
      <c r="I297"/>
      <c r="J297"/>
      <c r="K297"/>
      <c r="L297"/>
      <c r="M297"/>
      <c r="N297"/>
      <c r="O297"/>
      <c r="P297" s="168"/>
      <c r="Q297" s="168"/>
      <c r="R297" s="168"/>
      <c r="S297" s="169"/>
      <c r="T297" s="169"/>
      <c r="U297" s="169"/>
      <c r="V297" s="168"/>
      <c r="W297" s="168"/>
      <c r="X297" s="168"/>
      <c r="Y297" s="170"/>
      <c r="Z297" s="171"/>
      <c r="AA297" s="171"/>
      <c r="AB297" s="171"/>
      <c r="AC297" s="171"/>
      <c r="AD297" s="171"/>
      <c r="AE297" s="168"/>
      <c r="AF297" s="170"/>
      <c r="AG297" s="172"/>
      <c r="AH297"/>
      <c r="AI297"/>
    </row>
    <row r="298" spans="1:35" x14ac:dyDescent="0.25">
      <c r="A298"/>
      <c r="B298"/>
      <c r="C298"/>
      <c r="D298"/>
      <c r="E298"/>
      <c r="F298"/>
      <c r="G298"/>
      <c r="H298"/>
      <c r="I298"/>
      <c r="J298"/>
      <c r="K298"/>
      <c r="L298"/>
      <c r="M298"/>
      <c r="N298"/>
      <c r="O298"/>
      <c r="P298" s="168"/>
      <c r="Q298" s="168"/>
      <c r="R298" s="168"/>
      <c r="S298" s="169"/>
      <c r="T298" s="169"/>
      <c r="U298" s="169"/>
      <c r="V298" s="168"/>
      <c r="W298" s="168"/>
      <c r="X298" s="168"/>
      <c r="Y298" s="170"/>
      <c r="Z298" s="171"/>
      <c r="AA298" s="171"/>
      <c r="AB298" s="171"/>
      <c r="AC298" s="171"/>
      <c r="AD298" s="171"/>
      <c r="AE298" s="168"/>
      <c r="AF298" s="170"/>
      <c r="AG298" s="172"/>
      <c r="AH298"/>
      <c r="AI298"/>
    </row>
    <row r="299" spans="1:35" x14ac:dyDescent="0.25">
      <c r="A299"/>
      <c r="B299"/>
      <c r="C299"/>
      <c r="D299"/>
      <c r="E299"/>
      <c r="F299"/>
      <c r="G299"/>
      <c r="H299"/>
      <c r="I299"/>
      <c r="J299"/>
      <c r="K299"/>
      <c r="L299"/>
      <c r="M299"/>
      <c r="N299"/>
      <c r="O299"/>
      <c r="P299" s="168"/>
      <c r="Q299" s="168"/>
      <c r="R299" s="168"/>
      <c r="S299" s="169"/>
      <c r="T299" s="169"/>
      <c r="U299" s="169"/>
      <c r="V299" s="168"/>
      <c r="W299" s="168"/>
      <c r="X299" s="168"/>
      <c r="Y299" s="170"/>
      <c r="Z299" s="171"/>
      <c r="AA299" s="171"/>
      <c r="AB299" s="171"/>
      <c r="AC299" s="171"/>
      <c r="AD299" s="171"/>
      <c r="AE299" s="168"/>
      <c r="AF299" s="170"/>
      <c r="AG299" s="172"/>
      <c r="AH299"/>
      <c r="AI299"/>
    </row>
    <row r="300" spans="1:35" x14ac:dyDescent="0.25">
      <c r="A300"/>
      <c r="B300"/>
      <c r="C300"/>
      <c r="D300"/>
      <c r="E300"/>
      <c r="F300"/>
      <c r="G300"/>
      <c r="H300"/>
      <c r="I300"/>
      <c r="J300"/>
      <c r="K300"/>
      <c r="L300"/>
      <c r="M300"/>
      <c r="N300"/>
      <c r="O300"/>
      <c r="P300" s="168"/>
      <c r="Q300" s="168"/>
      <c r="R300" s="168"/>
      <c r="S300" s="169"/>
      <c r="T300" s="169"/>
      <c r="U300" s="169"/>
      <c r="V300" s="168"/>
      <c r="W300" s="168"/>
      <c r="X300" s="168"/>
      <c r="Y300" s="170"/>
      <c r="Z300" s="171"/>
      <c r="AA300" s="171"/>
      <c r="AB300" s="171"/>
      <c r="AC300" s="171"/>
      <c r="AD300" s="171"/>
      <c r="AE300" s="168"/>
      <c r="AF300" s="170"/>
      <c r="AG300" s="172"/>
      <c r="AH300"/>
      <c r="AI300"/>
    </row>
    <row r="301" spans="1:35" x14ac:dyDescent="0.25">
      <c r="A301"/>
      <c r="B301"/>
      <c r="C301"/>
      <c r="D301"/>
      <c r="E301"/>
      <c r="F301"/>
      <c r="G301"/>
      <c r="H301"/>
      <c r="I301"/>
      <c r="J301"/>
      <c r="K301"/>
      <c r="L301"/>
      <c r="M301"/>
      <c r="N301"/>
      <c r="O301"/>
      <c r="P301" s="168"/>
      <c r="Q301" s="168"/>
      <c r="R301" s="168"/>
      <c r="S301" s="169"/>
      <c r="T301" s="169"/>
      <c r="U301" s="169"/>
      <c r="V301" s="168"/>
      <c r="W301" s="168"/>
      <c r="X301" s="168"/>
      <c r="Y301" s="170"/>
      <c r="Z301" s="171"/>
      <c r="AA301" s="171"/>
      <c r="AB301" s="171"/>
      <c r="AC301" s="171"/>
      <c r="AD301" s="171"/>
      <c r="AE301" s="168"/>
      <c r="AF301" s="170"/>
      <c r="AG301" s="172"/>
      <c r="AH301"/>
      <c r="AI301"/>
    </row>
    <row r="302" spans="1:35" x14ac:dyDescent="0.25">
      <c r="A302"/>
      <c r="B302"/>
      <c r="C302"/>
      <c r="D302"/>
      <c r="E302"/>
      <c r="F302"/>
      <c r="G302"/>
      <c r="H302"/>
      <c r="I302"/>
      <c r="J302"/>
      <c r="K302"/>
      <c r="L302"/>
      <c r="M302"/>
      <c r="N302"/>
      <c r="O302"/>
      <c r="P302" s="168"/>
      <c r="Q302" s="168"/>
      <c r="R302" s="168"/>
      <c r="S302" s="169"/>
      <c r="T302" s="169"/>
      <c r="U302" s="169"/>
      <c r="V302" s="168"/>
      <c r="W302" s="168"/>
      <c r="X302" s="168"/>
      <c r="Y302" s="170"/>
      <c r="Z302" s="171"/>
      <c r="AA302" s="171"/>
      <c r="AB302" s="171"/>
      <c r="AC302" s="171"/>
      <c r="AD302" s="171"/>
      <c r="AE302" s="168"/>
      <c r="AF302" s="170"/>
      <c r="AG302" s="172"/>
      <c r="AH302"/>
      <c r="AI302"/>
    </row>
    <row r="303" spans="1:35" x14ac:dyDescent="0.25">
      <c r="A303"/>
      <c r="B303"/>
      <c r="C303"/>
      <c r="D303"/>
      <c r="E303"/>
      <c r="F303"/>
      <c r="G303"/>
      <c r="H303"/>
      <c r="I303"/>
      <c r="J303"/>
      <c r="K303"/>
      <c r="L303"/>
      <c r="M303"/>
      <c r="N303"/>
      <c r="O303"/>
      <c r="P303" s="168"/>
      <c r="Q303" s="168"/>
      <c r="R303" s="168"/>
      <c r="S303" s="169"/>
      <c r="T303" s="169"/>
      <c r="U303" s="169"/>
      <c r="V303" s="168"/>
      <c r="W303" s="168"/>
      <c r="X303" s="168"/>
      <c r="Y303" s="170"/>
      <c r="Z303" s="171"/>
      <c r="AA303" s="171"/>
      <c r="AB303" s="171"/>
      <c r="AC303" s="171"/>
      <c r="AD303" s="171"/>
      <c r="AE303" s="168"/>
      <c r="AF303" s="170"/>
      <c r="AG303" s="172"/>
      <c r="AH303"/>
      <c r="AI303"/>
    </row>
    <row r="304" spans="1:35" x14ac:dyDescent="0.25">
      <c r="A304"/>
      <c r="B304"/>
      <c r="C304"/>
      <c r="D304"/>
      <c r="E304"/>
      <c r="F304"/>
      <c r="G304"/>
      <c r="H304"/>
      <c r="I304"/>
      <c r="J304"/>
      <c r="K304"/>
      <c r="L304"/>
      <c r="M304"/>
      <c r="N304"/>
      <c r="O304"/>
      <c r="P304" s="168"/>
      <c r="Q304" s="168"/>
      <c r="R304" s="168"/>
      <c r="S304" s="169"/>
      <c r="T304" s="169"/>
      <c r="U304" s="169"/>
      <c r="V304" s="168"/>
      <c r="W304" s="168"/>
      <c r="X304" s="168"/>
      <c r="Y304" s="170"/>
      <c r="Z304" s="171"/>
      <c r="AA304" s="171"/>
      <c r="AB304" s="171"/>
      <c r="AC304" s="171"/>
      <c r="AD304" s="171"/>
      <c r="AE304" s="168"/>
      <c r="AF304" s="170"/>
      <c r="AG304" s="172"/>
      <c r="AH304"/>
      <c r="AI304"/>
    </row>
    <row r="305" spans="1:35" x14ac:dyDescent="0.25">
      <c r="A305"/>
      <c r="B305"/>
      <c r="C305"/>
      <c r="D305"/>
      <c r="E305"/>
      <c r="F305"/>
      <c r="G305"/>
      <c r="H305"/>
      <c r="I305"/>
      <c r="J305"/>
      <c r="K305"/>
      <c r="L305"/>
      <c r="M305"/>
      <c r="N305"/>
      <c r="O305"/>
      <c r="P305" s="168"/>
      <c r="Q305" s="168"/>
      <c r="R305" s="168"/>
      <c r="S305" s="169"/>
      <c r="T305" s="169"/>
      <c r="U305" s="169"/>
      <c r="V305" s="168"/>
      <c r="W305" s="168"/>
      <c r="X305" s="168"/>
      <c r="Y305" s="170"/>
      <c r="Z305" s="171"/>
      <c r="AA305" s="171"/>
      <c r="AB305" s="171"/>
      <c r="AC305" s="171"/>
      <c r="AD305" s="171"/>
      <c r="AE305" s="168"/>
      <c r="AF305" s="170"/>
      <c r="AG305" s="172"/>
      <c r="AH305"/>
      <c r="AI305"/>
    </row>
    <row r="306" spans="1:35" x14ac:dyDescent="0.25">
      <c r="A306"/>
      <c r="B306"/>
      <c r="C306"/>
      <c r="D306"/>
      <c r="E306"/>
      <c r="F306"/>
      <c r="G306"/>
      <c r="H306"/>
      <c r="I306"/>
      <c r="J306"/>
      <c r="K306"/>
      <c r="L306"/>
      <c r="M306"/>
      <c r="N306"/>
      <c r="O306"/>
      <c r="P306" s="168"/>
      <c r="Q306" s="168"/>
      <c r="R306" s="168"/>
      <c r="S306" s="169"/>
      <c r="T306" s="169"/>
      <c r="U306" s="169"/>
      <c r="V306" s="168"/>
      <c r="W306" s="168"/>
      <c r="X306" s="168"/>
      <c r="Y306" s="170"/>
      <c r="Z306" s="171"/>
      <c r="AA306" s="171"/>
      <c r="AB306" s="171"/>
      <c r="AC306" s="171"/>
      <c r="AD306" s="171"/>
      <c r="AE306" s="168"/>
      <c r="AF306" s="170"/>
      <c r="AG306" s="172"/>
      <c r="AH306"/>
      <c r="AI306"/>
    </row>
    <row r="307" spans="1:35" x14ac:dyDescent="0.25">
      <c r="A307"/>
      <c r="B307"/>
      <c r="C307"/>
      <c r="D307"/>
      <c r="E307"/>
      <c r="F307"/>
      <c r="G307"/>
      <c r="H307"/>
      <c r="I307"/>
      <c r="J307"/>
      <c r="K307"/>
      <c r="L307"/>
      <c r="M307"/>
      <c r="N307"/>
      <c r="O307"/>
      <c r="P307" s="168"/>
      <c r="Q307" s="168"/>
      <c r="R307" s="168"/>
      <c r="S307" s="169"/>
      <c r="T307" s="169"/>
      <c r="U307" s="169"/>
      <c r="V307" s="168"/>
      <c r="W307" s="168"/>
      <c r="X307" s="168"/>
      <c r="Y307" s="170"/>
      <c r="Z307" s="171"/>
      <c r="AA307" s="171"/>
      <c r="AB307" s="171"/>
      <c r="AC307" s="171"/>
      <c r="AD307" s="171"/>
      <c r="AE307" s="168"/>
      <c r="AF307" s="170"/>
      <c r="AG307" s="172"/>
      <c r="AH307"/>
      <c r="AI307"/>
    </row>
    <row r="308" spans="1:35" x14ac:dyDescent="0.25">
      <c r="A308"/>
      <c r="B308"/>
      <c r="C308"/>
      <c r="D308"/>
      <c r="E308"/>
      <c r="F308"/>
      <c r="G308"/>
      <c r="H308"/>
      <c r="I308"/>
      <c r="J308"/>
      <c r="K308"/>
      <c r="L308"/>
      <c r="M308"/>
      <c r="N308"/>
      <c r="O308"/>
      <c r="P308" s="168"/>
      <c r="Q308" s="168"/>
      <c r="R308" s="168"/>
      <c r="S308" s="169"/>
      <c r="T308" s="169"/>
      <c r="U308" s="169"/>
      <c r="V308" s="168"/>
      <c r="W308" s="168"/>
      <c r="X308" s="168"/>
      <c r="Y308" s="170"/>
      <c r="Z308" s="171"/>
      <c r="AA308" s="171"/>
      <c r="AB308" s="171"/>
      <c r="AC308" s="171"/>
      <c r="AD308" s="171"/>
      <c r="AE308" s="168"/>
      <c r="AF308" s="170"/>
      <c r="AG308" s="172"/>
      <c r="AH308"/>
      <c r="AI308"/>
    </row>
    <row r="309" spans="1:35" x14ac:dyDescent="0.25">
      <c r="A309"/>
      <c r="B309"/>
      <c r="C309"/>
      <c r="D309"/>
      <c r="E309"/>
      <c r="F309"/>
      <c r="G309"/>
      <c r="H309"/>
      <c r="I309"/>
      <c r="J309"/>
      <c r="K309"/>
      <c r="L309"/>
      <c r="M309"/>
      <c r="N309"/>
      <c r="O309"/>
      <c r="P309" s="168"/>
      <c r="Q309" s="168"/>
      <c r="R309" s="168"/>
      <c r="S309" s="169"/>
      <c r="T309" s="169"/>
      <c r="U309" s="169"/>
      <c r="V309" s="168"/>
      <c r="W309" s="168"/>
      <c r="X309" s="168"/>
      <c r="Y309" s="170"/>
      <c r="Z309" s="171"/>
      <c r="AA309" s="171"/>
      <c r="AB309" s="171"/>
      <c r="AC309" s="171"/>
      <c r="AD309" s="171"/>
      <c r="AE309" s="168"/>
      <c r="AF309" s="170"/>
      <c r="AG309" s="172"/>
      <c r="AH309"/>
      <c r="AI309"/>
    </row>
    <row r="310" spans="1:35" x14ac:dyDescent="0.25">
      <c r="A310"/>
      <c r="B310"/>
      <c r="C310"/>
      <c r="D310"/>
      <c r="E310"/>
      <c r="F310"/>
      <c r="G310"/>
      <c r="H310"/>
      <c r="I310"/>
      <c r="J310"/>
      <c r="K310"/>
      <c r="L310"/>
      <c r="M310"/>
      <c r="N310"/>
      <c r="O310"/>
      <c r="P310" s="168"/>
      <c r="Q310" s="168"/>
      <c r="R310" s="168"/>
      <c r="S310" s="169"/>
      <c r="T310" s="169"/>
      <c r="U310" s="169"/>
      <c r="V310" s="168"/>
      <c r="W310" s="168"/>
      <c r="X310" s="168"/>
      <c r="Y310" s="170"/>
      <c r="Z310" s="171"/>
      <c r="AA310" s="171"/>
      <c r="AB310" s="171"/>
      <c r="AC310" s="171"/>
      <c r="AD310" s="171"/>
      <c r="AE310" s="168"/>
      <c r="AF310" s="170"/>
      <c r="AG310" s="172"/>
      <c r="AH310"/>
      <c r="AI310"/>
    </row>
    <row r="311" spans="1:35" x14ac:dyDescent="0.25">
      <c r="A311"/>
      <c r="B311"/>
      <c r="C311"/>
      <c r="D311"/>
      <c r="E311"/>
      <c r="F311"/>
      <c r="G311"/>
      <c r="H311"/>
      <c r="I311"/>
      <c r="J311"/>
      <c r="K311"/>
      <c r="L311"/>
      <c r="M311"/>
      <c r="N311"/>
      <c r="O311"/>
      <c r="P311" s="168"/>
      <c r="Q311" s="168"/>
      <c r="R311" s="168"/>
      <c r="S311" s="169"/>
      <c r="T311" s="169"/>
      <c r="U311" s="169"/>
      <c r="V311" s="168"/>
      <c r="W311" s="168"/>
      <c r="X311" s="168"/>
      <c r="Y311" s="170"/>
      <c r="Z311" s="171"/>
      <c r="AA311" s="171"/>
      <c r="AB311" s="171"/>
      <c r="AC311" s="171"/>
      <c r="AD311" s="171"/>
      <c r="AE311" s="168"/>
      <c r="AF311" s="170"/>
      <c r="AG311" s="172"/>
      <c r="AH311"/>
      <c r="AI311"/>
    </row>
    <row r="312" spans="1:35" x14ac:dyDescent="0.25">
      <c r="A312"/>
      <c r="B312"/>
      <c r="C312"/>
      <c r="D312"/>
      <c r="E312"/>
      <c r="F312"/>
      <c r="G312"/>
      <c r="H312"/>
      <c r="I312"/>
      <c r="J312"/>
      <c r="K312"/>
      <c r="L312"/>
      <c r="M312"/>
      <c r="N312"/>
      <c r="O312"/>
      <c r="P312" s="168"/>
      <c r="Q312" s="168"/>
      <c r="R312" s="168"/>
      <c r="S312" s="169"/>
      <c r="T312" s="169"/>
      <c r="U312" s="169"/>
      <c r="V312" s="168"/>
      <c r="W312" s="168"/>
      <c r="X312" s="168"/>
      <c r="Y312" s="170"/>
      <c r="Z312" s="171"/>
      <c r="AA312" s="171"/>
      <c r="AB312" s="171"/>
      <c r="AC312" s="171"/>
      <c r="AD312" s="171"/>
      <c r="AE312" s="168"/>
      <c r="AF312" s="170"/>
      <c r="AG312" s="172"/>
      <c r="AH312"/>
      <c r="AI312"/>
    </row>
    <row r="313" spans="1:35" x14ac:dyDescent="0.25">
      <c r="A313"/>
      <c r="B313"/>
      <c r="C313"/>
      <c r="D313"/>
      <c r="E313"/>
      <c r="F313"/>
      <c r="G313"/>
      <c r="H313"/>
      <c r="I313"/>
      <c r="J313"/>
      <c r="K313"/>
      <c r="L313"/>
      <c r="M313"/>
      <c r="N313"/>
      <c r="O313"/>
      <c r="P313" s="168"/>
      <c r="Q313" s="168"/>
      <c r="R313" s="168"/>
      <c r="S313" s="169"/>
      <c r="T313" s="169"/>
      <c r="U313" s="169"/>
      <c r="V313" s="168"/>
      <c r="W313" s="168"/>
      <c r="X313" s="168"/>
      <c r="Y313" s="170"/>
      <c r="Z313" s="171"/>
      <c r="AA313" s="171"/>
      <c r="AB313" s="171"/>
      <c r="AC313" s="171"/>
      <c r="AD313" s="171"/>
      <c r="AE313" s="168"/>
      <c r="AF313" s="170"/>
      <c r="AG313" s="172"/>
      <c r="AH313"/>
      <c r="AI313"/>
    </row>
    <row r="314" spans="1:35" x14ac:dyDescent="0.25">
      <c r="A314"/>
      <c r="B314"/>
      <c r="C314"/>
      <c r="D314"/>
      <c r="E314"/>
      <c r="F314"/>
      <c r="G314"/>
      <c r="H314"/>
      <c r="I314"/>
      <c r="J314"/>
      <c r="K314"/>
      <c r="L314"/>
      <c r="M314"/>
      <c r="N314"/>
      <c r="O314"/>
      <c r="P314" s="168"/>
      <c r="Q314" s="168"/>
      <c r="R314" s="168"/>
      <c r="S314" s="169"/>
      <c r="T314" s="169"/>
      <c r="U314" s="169"/>
      <c r="V314" s="168"/>
      <c r="W314" s="168"/>
      <c r="X314" s="168"/>
      <c r="Y314" s="170"/>
      <c r="Z314" s="171"/>
      <c r="AA314" s="171"/>
      <c r="AB314" s="171"/>
      <c r="AC314" s="171"/>
      <c r="AD314" s="171"/>
      <c r="AE314" s="168"/>
      <c r="AF314" s="170"/>
      <c r="AG314" s="172"/>
      <c r="AH314"/>
      <c r="AI314"/>
    </row>
    <row r="315" spans="1:35" x14ac:dyDescent="0.25">
      <c r="A315"/>
      <c r="B315"/>
      <c r="C315"/>
      <c r="D315"/>
      <c r="E315"/>
      <c r="F315"/>
      <c r="G315"/>
      <c r="H315"/>
      <c r="I315"/>
      <c r="J315"/>
      <c r="K315"/>
      <c r="L315"/>
      <c r="M315"/>
      <c r="N315"/>
      <c r="O315"/>
      <c r="P315" s="168"/>
      <c r="Q315" s="168"/>
      <c r="R315" s="168"/>
      <c r="S315" s="169"/>
      <c r="T315" s="169"/>
      <c r="U315" s="169"/>
      <c r="V315" s="168"/>
      <c r="W315" s="168"/>
      <c r="X315" s="168"/>
      <c r="Y315" s="170"/>
      <c r="Z315" s="171"/>
      <c r="AA315" s="171"/>
      <c r="AB315" s="171"/>
      <c r="AC315" s="171"/>
      <c r="AD315" s="171"/>
      <c r="AE315" s="168"/>
      <c r="AF315" s="170"/>
      <c r="AG315" s="172"/>
      <c r="AH315"/>
      <c r="AI315"/>
    </row>
    <row r="316" spans="1:35" x14ac:dyDescent="0.25">
      <c r="A316"/>
      <c r="B316"/>
      <c r="C316"/>
      <c r="D316"/>
      <c r="E316"/>
      <c r="F316"/>
      <c r="G316"/>
      <c r="H316"/>
      <c r="I316"/>
      <c r="J316"/>
      <c r="K316"/>
      <c r="L316"/>
      <c r="M316"/>
      <c r="N316"/>
      <c r="O316"/>
      <c r="P316" s="168"/>
      <c r="Q316" s="168"/>
      <c r="R316" s="168"/>
      <c r="S316" s="169"/>
      <c r="T316" s="169"/>
      <c r="U316" s="169"/>
      <c r="V316" s="168"/>
      <c r="W316" s="168"/>
      <c r="X316" s="168"/>
      <c r="Y316" s="170"/>
      <c r="Z316" s="171"/>
      <c r="AA316" s="171"/>
      <c r="AB316" s="171"/>
      <c r="AC316" s="171"/>
      <c r="AD316" s="171"/>
      <c r="AE316" s="168"/>
      <c r="AF316" s="170"/>
      <c r="AG316" s="172"/>
      <c r="AH316"/>
      <c r="AI316"/>
    </row>
    <row r="317" spans="1:35" x14ac:dyDescent="0.25">
      <c r="A317"/>
      <c r="B317"/>
      <c r="C317"/>
      <c r="D317"/>
      <c r="E317"/>
      <c r="F317"/>
      <c r="G317"/>
      <c r="H317"/>
      <c r="I317"/>
      <c r="J317"/>
      <c r="K317"/>
      <c r="L317"/>
      <c r="M317"/>
      <c r="N317"/>
      <c r="O317"/>
      <c r="P317" s="168"/>
      <c r="Q317" s="168"/>
      <c r="R317" s="168"/>
      <c r="S317" s="169"/>
      <c r="T317" s="169"/>
      <c r="U317" s="169"/>
      <c r="V317" s="168"/>
      <c r="W317" s="168"/>
      <c r="X317" s="168"/>
      <c r="Y317" s="170"/>
      <c r="Z317" s="171"/>
      <c r="AA317" s="171"/>
      <c r="AB317" s="171"/>
      <c r="AC317" s="171"/>
      <c r="AD317" s="171"/>
      <c r="AE317" s="168"/>
      <c r="AF317" s="170"/>
      <c r="AG317" s="172"/>
      <c r="AH317"/>
      <c r="AI317"/>
    </row>
    <row r="318" spans="1:35" x14ac:dyDescent="0.25">
      <c r="A318"/>
      <c r="B318"/>
      <c r="C318"/>
      <c r="D318"/>
      <c r="E318"/>
      <c r="F318"/>
      <c r="G318"/>
      <c r="H318"/>
      <c r="I318"/>
      <c r="J318"/>
      <c r="K318"/>
      <c r="L318"/>
      <c r="M318"/>
      <c r="N318"/>
      <c r="O318"/>
      <c r="P318" s="168"/>
      <c r="Q318" s="168"/>
      <c r="R318" s="168"/>
      <c r="S318" s="169"/>
      <c r="T318" s="169"/>
      <c r="U318" s="169"/>
      <c r="V318" s="168"/>
      <c r="W318" s="168"/>
      <c r="X318" s="168"/>
      <c r="Y318" s="170"/>
      <c r="Z318" s="171"/>
      <c r="AA318" s="171"/>
      <c r="AB318" s="171"/>
      <c r="AC318" s="171"/>
      <c r="AD318" s="171"/>
      <c r="AE318" s="168"/>
      <c r="AF318" s="170"/>
      <c r="AG318" s="172"/>
      <c r="AH318"/>
      <c r="AI318"/>
    </row>
    <row r="319" spans="1:35" x14ac:dyDescent="0.25">
      <c r="A319"/>
      <c r="B319"/>
      <c r="C319"/>
      <c r="D319"/>
      <c r="E319"/>
      <c r="F319"/>
      <c r="G319"/>
      <c r="H319"/>
      <c r="I319"/>
      <c r="J319"/>
      <c r="K319"/>
      <c r="L319"/>
      <c r="M319"/>
      <c r="N319"/>
      <c r="O319"/>
      <c r="P319" s="168"/>
      <c r="Q319" s="168"/>
      <c r="R319" s="168"/>
      <c r="S319" s="169"/>
      <c r="T319" s="169"/>
      <c r="U319" s="169"/>
      <c r="V319" s="168"/>
      <c r="W319" s="168"/>
      <c r="X319" s="168"/>
      <c r="Y319" s="170"/>
      <c r="Z319" s="171"/>
      <c r="AA319" s="171"/>
      <c r="AB319" s="171"/>
      <c r="AC319" s="171"/>
      <c r="AD319" s="171"/>
      <c r="AE319" s="168"/>
      <c r="AF319" s="170"/>
      <c r="AG319" s="172"/>
      <c r="AH319"/>
      <c r="AI319"/>
    </row>
    <row r="320" spans="1:35" x14ac:dyDescent="0.25">
      <c r="A320"/>
      <c r="B320"/>
      <c r="C320"/>
      <c r="D320"/>
      <c r="E320"/>
      <c r="F320"/>
      <c r="G320"/>
      <c r="H320"/>
      <c r="I320"/>
      <c r="J320"/>
      <c r="K320"/>
      <c r="L320"/>
      <c r="M320"/>
      <c r="N320"/>
      <c r="O320"/>
      <c r="P320" s="168"/>
      <c r="Q320" s="168"/>
      <c r="R320" s="168"/>
      <c r="S320" s="169"/>
      <c r="T320" s="169"/>
      <c r="U320" s="169"/>
      <c r="V320" s="168"/>
      <c r="W320" s="168"/>
      <c r="X320" s="168"/>
      <c r="Y320" s="170"/>
      <c r="Z320" s="171"/>
      <c r="AA320" s="171"/>
      <c r="AB320" s="171"/>
      <c r="AC320" s="171"/>
      <c r="AD320" s="171"/>
      <c r="AE320" s="168"/>
      <c r="AF320" s="170"/>
      <c r="AG320" s="172"/>
      <c r="AH320"/>
      <c r="AI320"/>
    </row>
    <row r="321" spans="1:35" x14ac:dyDescent="0.25">
      <c r="A321"/>
      <c r="B321"/>
      <c r="C321"/>
      <c r="D321"/>
      <c r="E321"/>
      <c r="F321"/>
      <c r="G321"/>
      <c r="H321"/>
      <c r="I321"/>
      <c r="J321"/>
      <c r="K321"/>
      <c r="L321"/>
      <c r="M321"/>
      <c r="N321"/>
      <c r="O321"/>
      <c r="P321" s="168"/>
      <c r="Q321" s="168"/>
      <c r="R321" s="168"/>
      <c r="S321" s="169"/>
      <c r="T321" s="169"/>
      <c r="U321" s="169"/>
      <c r="V321" s="168"/>
      <c r="W321" s="168"/>
      <c r="X321" s="168"/>
      <c r="Y321" s="170"/>
      <c r="Z321" s="171"/>
      <c r="AA321" s="171"/>
      <c r="AB321" s="171"/>
      <c r="AC321" s="171"/>
      <c r="AD321" s="171"/>
      <c r="AE321" s="168"/>
      <c r="AF321" s="170"/>
      <c r="AG321" s="172"/>
      <c r="AH321"/>
      <c r="AI321"/>
    </row>
    <row r="322" spans="1:35" x14ac:dyDescent="0.25">
      <c r="A322"/>
      <c r="B322"/>
      <c r="C322"/>
      <c r="D322"/>
      <c r="E322"/>
      <c r="F322"/>
      <c r="G322"/>
      <c r="H322"/>
      <c r="I322"/>
      <c r="J322"/>
      <c r="K322"/>
      <c r="L322"/>
      <c r="M322"/>
      <c r="N322"/>
      <c r="O322"/>
      <c r="P322" s="168"/>
      <c r="Q322" s="168"/>
      <c r="R322" s="168"/>
      <c r="S322" s="169"/>
      <c r="T322" s="169"/>
      <c r="U322" s="169"/>
      <c r="V322" s="168"/>
      <c r="W322" s="168"/>
      <c r="X322" s="168"/>
      <c r="Y322" s="170"/>
      <c r="Z322" s="171"/>
      <c r="AA322" s="171"/>
      <c r="AB322" s="171"/>
      <c r="AC322" s="171"/>
      <c r="AD322" s="171"/>
      <c r="AE322" s="168"/>
      <c r="AF322" s="170"/>
      <c r="AG322" s="172"/>
      <c r="AH322"/>
      <c r="AI322"/>
    </row>
    <row r="323" spans="1:35" x14ac:dyDescent="0.25">
      <c r="A323"/>
      <c r="B323"/>
      <c r="C323"/>
      <c r="D323"/>
      <c r="E323"/>
      <c r="F323"/>
      <c r="G323"/>
      <c r="H323"/>
      <c r="I323"/>
      <c r="J323"/>
      <c r="K323"/>
      <c r="L323"/>
      <c r="M323"/>
      <c r="N323"/>
      <c r="O323"/>
      <c r="P323" s="168"/>
      <c r="Q323" s="168"/>
      <c r="R323" s="168"/>
      <c r="S323" s="169"/>
      <c r="T323" s="169"/>
      <c r="U323" s="169"/>
      <c r="V323" s="168"/>
      <c r="W323" s="168"/>
      <c r="X323" s="168"/>
      <c r="Y323" s="170"/>
      <c r="Z323" s="171"/>
      <c r="AA323" s="171"/>
      <c r="AB323" s="171"/>
      <c r="AC323" s="171"/>
      <c r="AD323" s="171"/>
      <c r="AE323" s="168"/>
      <c r="AF323" s="170"/>
      <c r="AG323" s="172"/>
      <c r="AH323"/>
      <c r="AI323"/>
    </row>
    <row r="324" spans="1:35" x14ac:dyDescent="0.25">
      <c r="A324"/>
      <c r="B324"/>
      <c r="C324"/>
      <c r="D324"/>
      <c r="E324"/>
      <c r="F324"/>
      <c r="G324"/>
      <c r="H324"/>
      <c r="I324"/>
      <c r="J324"/>
      <c r="K324"/>
      <c r="L324"/>
      <c r="M324"/>
      <c r="N324"/>
      <c r="O324"/>
      <c r="P324" s="168"/>
      <c r="Q324" s="168"/>
      <c r="R324" s="168"/>
      <c r="S324" s="169"/>
      <c r="T324" s="169"/>
      <c r="U324" s="169"/>
      <c r="V324" s="168"/>
      <c r="W324" s="168"/>
      <c r="X324" s="168"/>
      <c r="Y324" s="170"/>
      <c r="Z324" s="171"/>
      <c r="AA324" s="171"/>
      <c r="AB324" s="171"/>
      <c r="AC324" s="171"/>
      <c r="AD324" s="171"/>
      <c r="AE324" s="168"/>
      <c r="AF324" s="170"/>
      <c r="AG324" s="172"/>
      <c r="AH324"/>
      <c r="AI324"/>
    </row>
    <row r="325" spans="1:35" x14ac:dyDescent="0.25">
      <c r="A325"/>
      <c r="B325"/>
      <c r="C325"/>
      <c r="D325"/>
      <c r="E325"/>
      <c r="F325"/>
      <c r="G325"/>
      <c r="H325"/>
      <c r="I325"/>
      <c r="J325"/>
      <c r="K325"/>
      <c r="L325"/>
      <c r="M325"/>
      <c r="N325"/>
      <c r="O325"/>
      <c r="P325" s="168"/>
      <c r="Q325" s="168"/>
      <c r="R325" s="168"/>
      <c r="S325" s="169"/>
      <c r="T325" s="169"/>
      <c r="U325" s="169"/>
      <c r="V325" s="168"/>
      <c r="W325" s="168"/>
      <c r="X325" s="168"/>
      <c r="Y325" s="170"/>
      <c r="Z325" s="171"/>
      <c r="AA325" s="171"/>
      <c r="AB325" s="171"/>
      <c r="AC325" s="171"/>
      <c r="AD325" s="171"/>
      <c r="AE325" s="168"/>
      <c r="AF325" s="170"/>
      <c r="AG325" s="172"/>
      <c r="AH325"/>
      <c r="AI325"/>
    </row>
    <row r="326" spans="1:35" x14ac:dyDescent="0.25">
      <c r="A326"/>
      <c r="B326"/>
      <c r="C326"/>
      <c r="D326"/>
      <c r="E326"/>
      <c r="F326"/>
      <c r="G326"/>
      <c r="H326"/>
      <c r="I326"/>
      <c r="J326"/>
      <c r="K326"/>
      <c r="L326"/>
      <c r="M326"/>
      <c r="N326"/>
      <c r="O326"/>
      <c r="P326" s="168"/>
      <c r="Q326" s="168"/>
      <c r="R326" s="168"/>
      <c r="S326" s="169"/>
      <c r="T326" s="169"/>
      <c r="U326" s="169"/>
      <c r="V326" s="168"/>
      <c r="W326" s="168"/>
      <c r="X326" s="168"/>
      <c r="Y326" s="170"/>
      <c r="Z326" s="171"/>
      <c r="AA326" s="171"/>
      <c r="AB326" s="171"/>
      <c r="AC326" s="171"/>
      <c r="AD326" s="171"/>
      <c r="AE326" s="168"/>
      <c r="AF326" s="170"/>
      <c r="AG326" s="172"/>
      <c r="AH326"/>
      <c r="AI326"/>
    </row>
    <row r="327" spans="1:35" x14ac:dyDescent="0.25">
      <c r="A327"/>
      <c r="B327"/>
      <c r="C327"/>
      <c r="D327"/>
      <c r="E327"/>
      <c r="F327"/>
      <c r="G327"/>
      <c r="H327"/>
      <c r="I327"/>
      <c r="J327"/>
      <c r="K327"/>
      <c r="L327"/>
      <c r="M327"/>
      <c r="N327"/>
      <c r="O327"/>
      <c r="P327" s="168"/>
      <c r="Q327" s="168"/>
      <c r="R327" s="168"/>
      <c r="S327" s="169"/>
      <c r="T327" s="169"/>
      <c r="U327" s="169"/>
      <c r="V327" s="168"/>
      <c r="W327" s="168"/>
      <c r="X327" s="168"/>
      <c r="Y327" s="170"/>
      <c r="Z327" s="171"/>
      <c r="AA327" s="171"/>
      <c r="AB327" s="171"/>
      <c r="AC327" s="171"/>
      <c r="AD327" s="171"/>
      <c r="AE327" s="168"/>
      <c r="AF327" s="170"/>
      <c r="AG327" s="172"/>
      <c r="AH327"/>
      <c r="AI327"/>
    </row>
    <row r="328" spans="1:35" x14ac:dyDescent="0.25">
      <c r="A328"/>
      <c r="B328"/>
      <c r="C328"/>
      <c r="D328"/>
      <c r="E328"/>
      <c r="F328"/>
      <c r="G328"/>
      <c r="H328"/>
      <c r="I328"/>
      <c r="J328"/>
      <c r="K328"/>
      <c r="L328"/>
      <c r="M328"/>
      <c r="N328"/>
      <c r="O328"/>
      <c r="P328" s="168"/>
      <c r="Q328" s="168"/>
      <c r="R328" s="168"/>
      <c r="S328" s="169"/>
      <c r="T328" s="169"/>
      <c r="U328" s="169"/>
      <c r="V328" s="168"/>
      <c r="W328" s="168"/>
      <c r="X328" s="168"/>
      <c r="Y328" s="170"/>
      <c r="Z328" s="171"/>
      <c r="AA328" s="171"/>
      <c r="AB328" s="171"/>
      <c r="AC328" s="171"/>
      <c r="AD328" s="171"/>
      <c r="AE328" s="168"/>
      <c r="AF328" s="170"/>
      <c r="AG328" s="172"/>
      <c r="AH328"/>
      <c r="AI328"/>
    </row>
    <row r="329" spans="1:35" x14ac:dyDescent="0.25">
      <c r="A329"/>
      <c r="B329"/>
      <c r="C329"/>
      <c r="D329"/>
      <c r="E329"/>
      <c r="F329"/>
      <c r="G329"/>
      <c r="H329"/>
      <c r="I329"/>
      <c r="J329"/>
      <c r="K329"/>
      <c r="L329"/>
      <c r="M329"/>
      <c r="N329"/>
      <c r="O329"/>
      <c r="P329" s="168"/>
      <c r="Q329" s="168"/>
      <c r="R329" s="168"/>
      <c r="S329" s="169"/>
      <c r="T329" s="169"/>
      <c r="U329" s="169"/>
      <c r="V329" s="168"/>
      <c r="W329" s="168"/>
      <c r="X329" s="168"/>
      <c r="Y329" s="170"/>
      <c r="Z329" s="171"/>
      <c r="AA329" s="171"/>
      <c r="AB329" s="171"/>
      <c r="AC329" s="171"/>
      <c r="AD329" s="171"/>
      <c r="AE329" s="168"/>
      <c r="AF329" s="170"/>
      <c r="AG329" s="172"/>
      <c r="AH329"/>
      <c r="AI329"/>
    </row>
    <row r="330" spans="1:35" x14ac:dyDescent="0.25">
      <c r="A330"/>
      <c r="B330"/>
      <c r="C330"/>
      <c r="D330"/>
      <c r="E330"/>
      <c r="F330"/>
      <c r="G330"/>
      <c r="H330"/>
      <c r="I330"/>
      <c r="J330"/>
      <c r="K330"/>
      <c r="L330"/>
      <c r="M330"/>
      <c r="N330"/>
      <c r="O330"/>
      <c r="P330" s="168"/>
      <c r="Q330" s="168"/>
      <c r="R330" s="168"/>
      <c r="S330" s="169"/>
      <c r="T330" s="169"/>
      <c r="U330" s="169"/>
      <c r="V330" s="168"/>
      <c r="W330" s="168"/>
      <c r="X330" s="168"/>
      <c r="Y330" s="170"/>
      <c r="Z330" s="171"/>
      <c r="AA330" s="171"/>
      <c r="AB330" s="171"/>
      <c r="AC330" s="171"/>
      <c r="AD330" s="171"/>
      <c r="AE330" s="168"/>
      <c r="AF330" s="170"/>
      <c r="AG330" s="172"/>
      <c r="AH330"/>
      <c r="AI330"/>
    </row>
    <row r="331" spans="1:35" x14ac:dyDescent="0.25">
      <c r="A331"/>
      <c r="B331"/>
      <c r="C331"/>
      <c r="D331"/>
      <c r="E331"/>
      <c r="F331"/>
      <c r="G331"/>
      <c r="H331"/>
      <c r="I331"/>
      <c r="J331"/>
      <c r="K331"/>
      <c r="L331"/>
      <c r="M331"/>
      <c r="N331"/>
      <c r="O331"/>
      <c r="P331" s="168"/>
      <c r="Q331" s="168"/>
      <c r="R331" s="168"/>
      <c r="S331" s="169"/>
      <c r="T331" s="169"/>
      <c r="U331" s="169"/>
      <c r="V331" s="168"/>
      <c r="W331" s="168"/>
      <c r="X331" s="168"/>
      <c r="Y331" s="170"/>
      <c r="Z331" s="171"/>
      <c r="AA331" s="171"/>
      <c r="AB331" s="171"/>
      <c r="AC331" s="171"/>
      <c r="AD331" s="171"/>
      <c r="AE331" s="168"/>
      <c r="AF331" s="170"/>
      <c r="AG331" s="172"/>
      <c r="AH331"/>
      <c r="AI331"/>
    </row>
    <row r="332" spans="1:35" x14ac:dyDescent="0.25">
      <c r="A332"/>
      <c r="B332"/>
      <c r="C332"/>
      <c r="D332"/>
      <c r="E332"/>
      <c r="F332"/>
      <c r="G332"/>
      <c r="H332"/>
      <c r="I332"/>
      <c r="J332"/>
      <c r="K332"/>
      <c r="L332"/>
      <c r="M332"/>
      <c r="N332"/>
      <c r="O332"/>
      <c r="P332" s="168"/>
      <c r="Q332" s="168"/>
      <c r="R332" s="168"/>
      <c r="S332" s="169"/>
      <c r="T332" s="169"/>
      <c r="U332" s="169"/>
      <c r="V332" s="168"/>
      <c r="W332" s="168"/>
      <c r="X332" s="168"/>
      <c r="Y332" s="170"/>
      <c r="Z332" s="171"/>
      <c r="AA332" s="171"/>
      <c r="AB332" s="171"/>
      <c r="AC332" s="171"/>
      <c r="AD332" s="171"/>
      <c r="AE332" s="168"/>
      <c r="AF332" s="170"/>
      <c r="AG332" s="172"/>
      <c r="AH332"/>
      <c r="AI332"/>
    </row>
    <row r="333" spans="1:35" x14ac:dyDescent="0.25">
      <c r="A333"/>
      <c r="B333"/>
      <c r="C333"/>
      <c r="D333"/>
      <c r="E333"/>
      <c r="F333"/>
      <c r="G333"/>
      <c r="H333"/>
      <c r="I333"/>
      <c r="J333"/>
      <c r="K333"/>
      <c r="L333"/>
      <c r="M333"/>
      <c r="N333"/>
      <c r="O333"/>
      <c r="P333" s="168"/>
      <c r="Q333" s="168"/>
      <c r="R333" s="168"/>
      <c r="S333" s="169"/>
      <c r="T333" s="169"/>
      <c r="U333" s="169"/>
      <c r="V333" s="168"/>
      <c r="W333" s="168"/>
      <c r="X333" s="168"/>
      <c r="Y333" s="170"/>
      <c r="Z333" s="171"/>
      <c r="AA333" s="171"/>
      <c r="AB333" s="171"/>
      <c r="AC333" s="171"/>
      <c r="AD333" s="171"/>
      <c r="AE333" s="168"/>
      <c r="AF333" s="170"/>
      <c r="AG333" s="172"/>
      <c r="AH333"/>
      <c r="AI333"/>
    </row>
    <row r="334" spans="1:35" x14ac:dyDescent="0.25">
      <c r="A334"/>
      <c r="B334"/>
      <c r="C334"/>
      <c r="D334"/>
      <c r="E334"/>
      <c r="F334"/>
      <c r="G334"/>
      <c r="H334"/>
      <c r="I334"/>
      <c r="J334"/>
      <c r="K334"/>
      <c r="L334"/>
      <c r="M334"/>
      <c r="N334"/>
      <c r="O334"/>
      <c r="P334" s="168"/>
      <c r="Q334" s="168"/>
      <c r="R334" s="168"/>
      <c r="S334" s="169"/>
      <c r="T334" s="169"/>
      <c r="U334" s="169"/>
      <c r="V334" s="168"/>
      <c r="W334" s="168"/>
      <c r="X334" s="168"/>
      <c r="Y334" s="170"/>
      <c r="Z334" s="171"/>
      <c r="AA334" s="171"/>
      <c r="AB334" s="171"/>
      <c r="AC334" s="171"/>
      <c r="AD334" s="171"/>
      <c r="AE334" s="168"/>
      <c r="AF334" s="170"/>
      <c r="AG334" s="172"/>
      <c r="AH334"/>
      <c r="AI334"/>
    </row>
    <row r="335" spans="1:35" x14ac:dyDescent="0.25">
      <c r="A335"/>
      <c r="B335"/>
      <c r="C335"/>
      <c r="D335"/>
      <c r="E335"/>
      <c r="F335"/>
      <c r="G335"/>
      <c r="H335"/>
      <c r="I335"/>
      <c r="J335"/>
      <c r="K335"/>
      <c r="L335"/>
      <c r="M335"/>
      <c r="N335"/>
      <c r="O335"/>
      <c r="P335" s="168"/>
      <c r="Q335" s="168"/>
      <c r="R335" s="168"/>
      <c r="S335" s="169"/>
      <c r="T335" s="169"/>
      <c r="U335" s="169"/>
      <c r="V335" s="168"/>
      <c r="W335" s="168"/>
      <c r="X335" s="168"/>
      <c r="Y335" s="170"/>
      <c r="Z335" s="171"/>
      <c r="AA335" s="171"/>
      <c r="AB335" s="171"/>
      <c r="AC335" s="171"/>
      <c r="AD335" s="171"/>
      <c r="AE335" s="168"/>
      <c r="AF335" s="170"/>
      <c r="AG335" s="172"/>
      <c r="AH335"/>
      <c r="AI335"/>
    </row>
    <row r="336" spans="1:35" x14ac:dyDescent="0.25">
      <c r="A336"/>
      <c r="B336"/>
      <c r="C336"/>
      <c r="D336"/>
      <c r="E336"/>
      <c r="F336"/>
      <c r="G336"/>
      <c r="H336"/>
      <c r="I336"/>
      <c r="J336"/>
      <c r="K336"/>
      <c r="L336"/>
      <c r="M336"/>
      <c r="N336"/>
      <c r="O336"/>
      <c r="P336" s="168"/>
      <c r="Q336" s="168"/>
      <c r="R336" s="168"/>
      <c r="S336" s="169"/>
      <c r="T336" s="169"/>
      <c r="U336" s="169"/>
      <c r="V336" s="168"/>
      <c r="W336" s="168"/>
      <c r="X336" s="168"/>
      <c r="Y336" s="170"/>
      <c r="Z336" s="171"/>
      <c r="AA336" s="171"/>
      <c r="AB336" s="171"/>
      <c r="AC336" s="171"/>
      <c r="AD336" s="171"/>
      <c r="AE336" s="168"/>
      <c r="AF336" s="170"/>
      <c r="AG336" s="172"/>
      <c r="AH336"/>
      <c r="AI336"/>
    </row>
    <row r="337" spans="1:35" x14ac:dyDescent="0.25">
      <c r="A337"/>
      <c r="B337"/>
      <c r="C337"/>
      <c r="D337"/>
      <c r="E337"/>
      <c r="F337"/>
      <c r="G337"/>
      <c r="H337"/>
      <c r="I337"/>
      <c r="J337"/>
      <c r="K337"/>
      <c r="L337"/>
      <c r="M337"/>
      <c r="N337"/>
      <c r="O337"/>
      <c r="P337" s="168"/>
      <c r="Q337" s="168"/>
      <c r="R337" s="168"/>
      <c r="S337" s="169"/>
      <c r="T337" s="169"/>
      <c r="U337" s="169"/>
      <c r="V337" s="168"/>
      <c r="W337" s="168"/>
      <c r="X337" s="168"/>
      <c r="Y337" s="170"/>
      <c r="Z337" s="171"/>
      <c r="AA337" s="171"/>
      <c r="AB337" s="171"/>
      <c r="AC337" s="171"/>
      <c r="AD337" s="171"/>
      <c r="AE337" s="168"/>
      <c r="AF337" s="170"/>
      <c r="AG337" s="172"/>
      <c r="AH337"/>
      <c r="AI337"/>
    </row>
    <row r="338" spans="1:35" x14ac:dyDescent="0.25">
      <c r="A338"/>
      <c r="B338"/>
      <c r="C338"/>
      <c r="D338"/>
      <c r="E338"/>
      <c r="F338"/>
      <c r="G338"/>
      <c r="H338"/>
      <c r="I338"/>
      <c r="J338"/>
      <c r="K338"/>
      <c r="L338"/>
      <c r="M338"/>
      <c r="N338"/>
      <c r="O338"/>
      <c r="P338" s="168"/>
      <c r="Q338" s="168"/>
      <c r="R338" s="168"/>
      <c r="S338" s="169"/>
      <c r="T338" s="169"/>
      <c r="U338" s="169"/>
      <c r="V338" s="168"/>
      <c r="W338" s="168"/>
      <c r="X338" s="168"/>
      <c r="Y338" s="170"/>
      <c r="Z338" s="171"/>
      <c r="AA338" s="171"/>
      <c r="AB338" s="171"/>
      <c r="AC338" s="171"/>
      <c r="AD338" s="171"/>
      <c r="AE338" s="168"/>
      <c r="AF338" s="170"/>
      <c r="AG338" s="172"/>
      <c r="AH338"/>
      <c r="AI338"/>
    </row>
    <row r="339" spans="1:35" x14ac:dyDescent="0.25">
      <c r="A339"/>
      <c r="B339"/>
      <c r="C339"/>
      <c r="D339"/>
      <c r="E339"/>
      <c r="F339"/>
      <c r="G339"/>
      <c r="H339"/>
      <c r="I339"/>
      <c r="J339"/>
      <c r="K339"/>
      <c r="L339"/>
      <c r="M339"/>
      <c r="N339"/>
      <c r="O339"/>
      <c r="P339" s="168"/>
      <c r="Q339" s="168"/>
      <c r="R339" s="168"/>
      <c r="S339" s="169"/>
      <c r="T339" s="169"/>
      <c r="U339" s="169"/>
      <c r="V339" s="168"/>
      <c r="W339" s="168"/>
      <c r="X339" s="168"/>
      <c r="Y339" s="170"/>
      <c r="Z339" s="171"/>
      <c r="AA339" s="171"/>
      <c r="AB339" s="171"/>
      <c r="AC339" s="171"/>
      <c r="AD339" s="171"/>
      <c r="AE339" s="168"/>
      <c r="AF339" s="170"/>
      <c r="AG339" s="172"/>
      <c r="AH339"/>
      <c r="AI339"/>
    </row>
    <row r="340" spans="1:35" x14ac:dyDescent="0.25">
      <c r="A340"/>
      <c r="B340"/>
      <c r="C340"/>
      <c r="D340"/>
      <c r="E340"/>
      <c r="F340"/>
      <c r="G340"/>
      <c r="H340"/>
      <c r="I340"/>
      <c r="J340"/>
      <c r="K340"/>
      <c r="L340"/>
      <c r="M340"/>
      <c r="N340"/>
      <c r="O340"/>
      <c r="P340" s="168"/>
      <c r="Q340" s="168"/>
      <c r="R340" s="168"/>
      <c r="S340" s="169"/>
      <c r="T340" s="169"/>
      <c r="U340" s="169"/>
      <c r="V340" s="168"/>
      <c r="W340" s="168"/>
      <c r="X340" s="168"/>
      <c r="Y340" s="170"/>
      <c r="Z340" s="171"/>
      <c r="AA340" s="171"/>
      <c r="AB340" s="171"/>
      <c r="AC340" s="171"/>
      <c r="AD340" s="171"/>
      <c r="AE340" s="168"/>
      <c r="AF340" s="170"/>
      <c r="AG340" s="172"/>
      <c r="AH340"/>
      <c r="AI340"/>
    </row>
    <row r="341" spans="1:35" x14ac:dyDescent="0.25">
      <c r="A341"/>
      <c r="B341"/>
      <c r="C341"/>
      <c r="D341"/>
      <c r="E341"/>
      <c r="F341"/>
      <c r="G341"/>
      <c r="H341"/>
      <c r="I341"/>
      <c r="J341"/>
      <c r="K341"/>
      <c r="L341"/>
      <c r="M341"/>
      <c r="N341"/>
      <c r="O341"/>
      <c r="P341" s="168"/>
      <c r="Q341" s="168"/>
      <c r="R341" s="168"/>
      <c r="S341" s="169"/>
      <c r="T341" s="169"/>
      <c r="U341" s="169"/>
      <c r="V341" s="168"/>
      <c r="W341" s="168"/>
      <c r="X341" s="168"/>
      <c r="Y341" s="170"/>
      <c r="Z341" s="171"/>
      <c r="AA341" s="171"/>
      <c r="AB341" s="171"/>
      <c r="AC341" s="171"/>
      <c r="AD341" s="171"/>
      <c r="AE341" s="168"/>
      <c r="AF341" s="170"/>
      <c r="AG341" s="172"/>
      <c r="AH341"/>
      <c r="AI341"/>
    </row>
    <row r="342" spans="1:35" x14ac:dyDescent="0.25">
      <c r="A342"/>
      <c r="B342"/>
      <c r="C342"/>
      <c r="D342"/>
      <c r="E342"/>
      <c r="F342"/>
      <c r="G342"/>
      <c r="H342"/>
      <c r="I342"/>
      <c r="J342"/>
      <c r="K342"/>
      <c r="L342"/>
      <c r="M342"/>
      <c r="N342"/>
      <c r="O342"/>
      <c r="P342" s="168"/>
      <c r="Q342" s="168"/>
      <c r="R342" s="168"/>
      <c r="S342" s="169"/>
      <c r="T342" s="169"/>
      <c r="U342" s="169"/>
      <c r="V342" s="168"/>
      <c r="W342" s="168"/>
      <c r="X342" s="168"/>
      <c r="Y342" s="170"/>
      <c r="Z342" s="171"/>
      <c r="AA342" s="171"/>
      <c r="AB342" s="171"/>
      <c r="AC342" s="171"/>
      <c r="AD342" s="171"/>
      <c r="AE342" s="168"/>
      <c r="AF342" s="170"/>
      <c r="AG342" s="172"/>
      <c r="AH342"/>
      <c r="AI342"/>
    </row>
    <row r="343" spans="1:35" x14ac:dyDescent="0.25">
      <c r="A343"/>
      <c r="B343"/>
      <c r="C343"/>
      <c r="D343"/>
      <c r="E343"/>
      <c r="F343"/>
      <c r="G343"/>
      <c r="H343"/>
      <c r="I343"/>
      <c r="J343"/>
      <c r="K343"/>
      <c r="L343"/>
      <c r="M343"/>
      <c r="N343"/>
      <c r="O343"/>
      <c r="P343" s="168"/>
      <c r="Q343" s="168"/>
      <c r="R343" s="168"/>
      <c r="S343" s="169"/>
      <c r="T343" s="169"/>
      <c r="U343" s="169"/>
      <c r="V343" s="168"/>
      <c r="W343" s="168"/>
      <c r="X343" s="168"/>
      <c r="Y343" s="170"/>
      <c r="Z343" s="171"/>
      <c r="AA343" s="171"/>
      <c r="AB343" s="171"/>
      <c r="AC343" s="171"/>
      <c r="AD343" s="171"/>
      <c r="AE343" s="168"/>
      <c r="AF343" s="170"/>
      <c r="AG343" s="172"/>
      <c r="AH343"/>
      <c r="AI343"/>
    </row>
    <row r="344" spans="1:35" x14ac:dyDescent="0.25">
      <c r="A344"/>
      <c r="B344"/>
      <c r="C344"/>
      <c r="D344"/>
      <c r="E344"/>
      <c r="F344"/>
      <c r="G344"/>
      <c r="H344"/>
      <c r="I344"/>
      <c r="J344"/>
      <c r="K344"/>
      <c r="L344"/>
      <c r="M344"/>
      <c r="N344"/>
      <c r="O344"/>
      <c r="P344" s="168"/>
      <c r="Q344" s="168"/>
      <c r="R344" s="168"/>
      <c r="S344" s="169"/>
      <c r="T344" s="169"/>
      <c r="U344" s="169"/>
      <c r="V344" s="168"/>
      <c r="W344" s="168"/>
      <c r="X344" s="168"/>
      <c r="Y344" s="170"/>
      <c r="Z344" s="171"/>
      <c r="AA344" s="171"/>
      <c r="AB344" s="171"/>
      <c r="AC344" s="171"/>
      <c r="AD344" s="171"/>
      <c r="AE344" s="168"/>
      <c r="AF344" s="170"/>
      <c r="AG344" s="172"/>
      <c r="AH344"/>
      <c r="AI344"/>
    </row>
    <row r="345" spans="1:35" x14ac:dyDescent="0.25">
      <c r="A345"/>
      <c r="B345"/>
      <c r="C345"/>
      <c r="D345"/>
      <c r="E345"/>
      <c r="F345"/>
      <c r="G345"/>
      <c r="H345"/>
      <c r="I345"/>
      <c r="J345"/>
      <c r="K345"/>
      <c r="L345"/>
      <c r="M345"/>
      <c r="N345"/>
      <c r="O345"/>
      <c r="P345" s="168"/>
      <c r="Q345" s="168"/>
      <c r="R345" s="168"/>
      <c r="S345" s="169"/>
      <c r="T345" s="169"/>
      <c r="U345" s="169"/>
      <c r="V345" s="168"/>
      <c r="W345" s="168"/>
      <c r="X345" s="168"/>
      <c r="Y345" s="170"/>
      <c r="Z345" s="171"/>
      <c r="AA345" s="171"/>
      <c r="AB345" s="171"/>
      <c r="AC345" s="171"/>
      <c r="AD345" s="171"/>
      <c r="AE345" s="168"/>
      <c r="AF345" s="170"/>
      <c r="AG345" s="172"/>
      <c r="AH345"/>
      <c r="AI345"/>
    </row>
    <row r="346" spans="1:35" x14ac:dyDescent="0.25">
      <c r="A346"/>
      <c r="B346"/>
      <c r="C346"/>
      <c r="D346"/>
      <c r="E346"/>
      <c r="F346"/>
      <c r="G346"/>
      <c r="H346"/>
      <c r="I346"/>
      <c r="J346"/>
      <c r="K346"/>
      <c r="L346"/>
      <c r="M346"/>
      <c r="N346"/>
      <c r="O346"/>
      <c r="P346" s="168"/>
      <c r="Q346" s="168"/>
      <c r="R346" s="168"/>
      <c r="S346" s="169"/>
      <c r="T346" s="169"/>
      <c r="U346" s="169"/>
      <c r="V346" s="168"/>
      <c r="W346" s="168"/>
      <c r="X346" s="168"/>
      <c r="Y346" s="170"/>
      <c r="Z346" s="171"/>
      <c r="AA346" s="171"/>
      <c r="AB346" s="171"/>
      <c r="AC346" s="171"/>
      <c r="AD346" s="171"/>
      <c r="AE346" s="168"/>
      <c r="AF346" s="170"/>
      <c r="AG346" s="172"/>
      <c r="AH346"/>
      <c r="AI346"/>
    </row>
    <row r="347" spans="1:35" x14ac:dyDescent="0.25">
      <c r="A347"/>
      <c r="B347"/>
      <c r="C347"/>
      <c r="D347"/>
      <c r="E347"/>
      <c r="F347"/>
      <c r="G347"/>
      <c r="H347"/>
      <c r="I347"/>
      <c r="J347"/>
      <c r="K347"/>
      <c r="L347"/>
      <c r="M347"/>
      <c r="N347"/>
      <c r="O347"/>
      <c r="P347" s="168"/>
      <c r="Q347" s="168"/>
      <c r="R347" s="168"/>
      <c r="S347" s="169"/>
      <c r="T347" s="169"/>
      <c r="U347" s="169"/>
      <c r="V347" s="168"/>
      <c r="W347" s="168"/>
      <c r="X347" s="168"/>
      <c r="Y347" s="170"/>
      <c r="Z347" s="171"/>
      <c r="AA347" s="171"/>
      <c r="AB347" s="171"/>
      <c r="AC347" s="171"/>
      <c r="AD347" s="171"/>
      <c r="AE347" s="168"/>
      <c r="AF347" s="170"/>
      <c r="AG347" s="172"/>
      <c r="AH347"/>
      <c r="AI347"/>
    </row>
    <row r="348" spans="1:35" x14ac:dyDescent="0.25">
      <c r="A348"/>
      <c r="B348"/>
      <c r="C348"/>
      <c r="D348"/>
      <c r="E348"/>
      <c r="F348"/>
      <c r="G348"/>
      <c r="H348"/>
      <c r="I348"/>
      <c r="J348"/>
      <c r="K348"/>
      <c r="L348"/>
      <c r="M348"/>
      <c r="N348"/>
      <c r="O348"/>
      <c r="P348" s="168"/>
      <c r="Q348" s="168"/>
      <c r="R348" s="168"/>
      <c r="S348" s="169"/>
      <c r="T348" s="169"/>
      <c r="U348" s="169"/>
      <c r="V348" s="168"/>
      <c r="W348" s="168"/>
      <c r="X348" s="168"/>
      <c r="Y348" s="170"/>
      <c r="Z348" s="171"/>
      <c r="AA348" s="171"/>
      <c r="AB348" s="171"/>
      <c r="AC348" s="171"/>
      <c r="AD348" s="171"/>
      <c r="AE348" s="168"/>
      <c r="AF348" s="170"/>
      <c r="AG348" s="172"/>
      <c r="AH348"/>
      <c r="AI348"/>
    </row>
    <row r="349" spans="1:35" x14ac:dyDescent="0.25">
      <c r="A349"/>
      <c r="B349"/>
      <c r="C349"/>
      <c r="D349"/>
      <c r="E349"/>
      <c r="F349"/>
      <c r="G349"/>
      <c r="H349"/>
      <c r="I349"/>
      <c r="J349"/>
      <c r="K349"/>
      <c r="L349"/>
      <c r="M349"/>
      <c r="N349"/>
      <c r="O349"/>
      <c r="P349" s="168"/>
      <c r="Q349" s="168"/>
      <c r="R349" s="168"/>
      <c r="S349" s="169"/>
      <c r="T349" s="169"/>
      <c r="U349" s="169"/>
      <c r="V349" s="168"/>
      <c r="W349" s="168"/>
      <c r="X349" s="168"/>
      <c r="Y349" s="170"/>
      <c r="Z349" s="171"/>
      <c r="AA349" s="171"/>
      <c r="AB349" s="171"/>
      <c r="AC349" s="171"/>
      <c r="AD349" s="171"/>
      <c r="AE349" s="168"/>
      <c r="AF349" s="170"/>
      <c r="AG349" s="172"/>
      <c r="AH349"/>
      <c r="AI349"/>
    </row>
    <row r="350" spans="1:35" x14ac:dyDescent="0.25">
      <c r="A350"/>
      <c r="B350"/>
      <c r="C350"/>
      <c r="D350"/>
      <c r="E350"/>
      <c r="F350"/>
      <c r="G350"/>
      <c r="H350"/>
      <c r="I350"/>
      <c r="J350"/>
      <c r="K350"/>
      <c r="L350"/>
      <c r="M350"/>
      <c r="N350"/>
      <c r="O350"/>
      <c r="P350" s="168"/>
      <c r="Q350" s="168"/>
      <c r="R350" s="168"/>
      <c r="S350" s="169"/>
      <c r="T350" s="169"/>
      <c r="U350" s="169"/>
      <c r="V350" s="168"/>
      <c r="W350" s="168"/>
      <c r="X350" s="168"/>
      <c r="Y350" s="170"/>
      <c r="Z350" s="171"/>
      <c r="AA350" s="171"/>
      <c r="AB350" s="171"/>
      <c r="AC350" s="171"/>
      <c r="AD350" s="171"/>
      <c r="AE350" s="168"/>
      <c r="AF350" s="170"/>
      <c r="AG350" s="172"/>
      <c r="AH350"/>
      <c r="AI350"/>
    </row>
    <row r="351" spans="1:35" x14ac:dyDescent="0.25">
      <c r="A351"/>
      <c r="B351"/>
      <c r="C351"/>
      <c r="D351"/>
      <c r="E351"/>
      <c r="F351"/>
      <c r="G351"/>
      <c r="H351"/>
      <c r="I351"/>
      <c r="J351"/>
      <c r="K351"/>
      <c r="L351"/>
      <c r="M351"/>
      <c r="N351"/>
      <c r="O351"/>
      <c r="P351" s="168"/>
      <c r="Q351" s="168"/>
      <c r="R351" s="168"/>
      <c r="S351" s="169"/>
      <c r="T351" s="169"/>
      <c r="U351" s="169"/>
      <c r="V351" s="168"/>
      <c r="W351" s="168"/>
      <c r="X351" s="168"/>
      <c r="Y351" s="170"/>
      <c r="Z351" s="171"/>
      <c r="AA351" s="171"/>
      <c r="AB351" s="171"/>
      <c r="AC351" s="171"/>
      <c r="AD351" s="171"/>
      <c r="AE351" s="168"/>
      <c r="AF351" s="170"/>
      <c r="AG351" s="172"/>
      <c r="AH351"/>
      <c r="AI351"/>
    </row>
    <row r="352" spans="1:35" x14ac:dyDescent="0.25">
      <c r="A352"/>
      <c r="B352"/>
      <c r="C352"/>
      <c r="D352"/>
      <c r="E352"/>
      <c r="F352"/>
      <c r="G352"/>
      <c r="H352"/>
      <c r="I352"/>
      <c r="J352"/>
      <c r="K352"/>
      <c r="L352"/>
      <c r="M352"/>
      <c r="N352"/>
      <c r="O352"/>
      <c r="P352" s="168"/>
      <c r="Q352" s="168"/>
      <c r="R352" s="168"/>
      <c r="S352" s="169"/>
      <c r="T352" s="169"/>
      <c r="U352" s="169"/>
      <c r="V352" s="168"/>
      <c r="W352" s="168"/>
      <c r="X352" s="168"/>
      <c r="Y352" s="170"/>
      <c r="Z352" s="171"/>
      <c r="AA352" s="171"/>
      <c r="AB352" s="171"/>
      <c r="AC352" s="171"/>
      <c r="AD352" s="171"/>
      <c r="AE352" s="168"/>
      <c r="AF352" s="170"/>
      <c r="AG352" s="172"/>
      <c r="AH352"/>
      <c r="AI352"/>
    </row>
    <row r="353" spans="1:35" x14ac:dyDescent="0.25">
      <c r="A353"/>
      <c r="B353"/>
      <c r="C353"/>
      <c r="D353"/>
      <c r="E353"/>
      <c r="F353"/>
      <c r="G353"/>
      <c r="H353"/>
      <c r="I353"/>
      <c r="J353"/>
      <c r="K353"/>
      <c r="L353"/>
      <c r="M353"/>
      <c r="N353"/>
      <c r="O353"/>
      <c r="P353" s="168"/>
      <c r="Q353" s="168"/>
      <c r="R353" s="168"/>
      <c r="S353" s="169"/>
      <c r="T353" s="169"/>
      <c r="U353" s="169"/>
      <c r="V353" s="168"/>
      <c r="W353" s="168"/>
      <c r="X353" s="168"/>
      <c r="Y353" s="170"/>
      <c r="Z353" s="171"/>
      <c r="AA353" s="171"/>
      <c r="AB353" s="171"/>
      <c r="AC353" s="171"/>
      <c r="AD353" s="171"/>
      <c r="AE353" s="168"/>
      <c r="AF353" s="170"/>
      <c r="AG353" s="172"/>
      <c r="AH353"/>
      <c r="AI353"/>
    </row>
    <row r="354" spans="1:35" x14ac:dyDescent="0.25">
      <c r="A354"/>
      <c r="B354"/>
      <c r="C354"/>
      <c r="D354"/>
      <c r="E354"/>
      <c r="F354"/>
      <c r="G354"/>
      <c r="H354"/>
      <c r="I354"/>
      <c r="J354"/>
      <c r="K354"/>
      <c r="L354"/>
      <c r="M354"/>
      <c r="N354"/>
      <c r="O354"/>
      <c r="P354" s="168"/>
      <c r="Q354" s="168"/>
      <c r="R354" s="168"/>
      <c r="S354" s="169"/>
      <c r="T354" s="169"/>
      <c r="U354" s="169"/>
      <c r="V354" s="168"/>
      <c r="W354" s="168"/>
      <c r="X354" s="168"/>
      <c r="Y354" s="170"/>
      <c r="Z354" s="171"/>
      <c r="AA354" s="171"/>
      <c r="AB354" s="171"/>
      <c r="AC354" s="171"/>
      <c r="AD354" s="171"/>
      <c r="AE354" s="168"/>
      <c r="AF354" s="170"/>
      <c r="AG354" s="172"/>
      <c r="AH354"/>
      <c r="AI354"/>
    </row>
    <row r="355" spans="1:35" x14ac:dyDescent="0.25">
      <c r="A355"/>
      <c r="B355"/>
      <c r="C355"/>
      <c r="D355"/>
      <c r="E355"/>
      <c r="F355"/>
      <c r="G355"/>
      <c r="H355"/>
      <c r="I355"/>
      <c r="J355"/>
      <c r="K355"/>
      <c r="L355"/>
      <c r="M355"/>
      <c r="N355"/>
      <c r="O355"/>
      <c r="P355" s="168"/>
      <c r="Q355" s="168"/>
      <c r="R355" s="168"/>
      <c r="S355" s="169"/>
      <c r="T355" s="169"/>
      <c r="U355" s="169"/>
      <c r="V355" s="168"/>
      <c r="W355" s="168"/>
      <c r="X355" s="168"/>
      <c r="Y355" s="170"/>
      <c r="Z355" s="171"/>
      <c r="AA355" s="171"/>
      <c r="AB355" s="171"/>
      <c r="AC355" s="171"/>
      <c r="AD355" s="171"/>
      <c r="AE355" s="168"/>
      <c r="AF355" s="170"/>
      <c r="AG355" s="172"/>
      <c r="AH355"/>
      <c r="AI355"/>
    </row>
    <row r="356" spans="1:35" x14ac:dyDescent="0.25">
      <c r="A356"/>
      <c r="B356"/>
      <c r="C356"/>
      <c r="D356"/>
      <c r="E356"/>
      <c r="F356"/>
      <c r="G356"/>
      <c r="H356"/>
      <c r="I356"/>
      <c r="J356"/>
      <c r="K356"/>
      <c r="L356"/>
      <c r="M356"/>
      <c r="N356"/>
      <c r="O356"/>
      <c r="P356" s="168"/>
      <c r="Q356" s="168"/>
      <c r="R356" s="168"/>
      <c r="S356" s="169"/>
      <c r="T356" s="169"/>
      <c r="U356" s="169"/>
      <c r="V356" s="168"/>
      <c r="W356" s="168"/>
      <c r="X356" s="168"/>
      <c r="Y356" s="170"/>
      <c r="Z356" s="171"/>
      <c r="AA356" s="171"/>
      <c r="AB356" s="171"/>
      <c r="AC356" s="171"/>
      <c r="AD356" s="171"/>
      <c r="AE356" s="168"/>
      <c r="AF356" s="170"/>
      <c r="AG356" s="172"/>
      <c r="AH356"/>
      <c r="AI356"/>
    </row>
    <row r="357" spans="1:35" x14ac:dyDescent="0.25">
      <c r="A357"/>
      <c r="B357"/>
      <c r="C357"/>
      <c r="D357"/>
      <c r="E357"/>
      <c r="F357"/>
      <c r="G357"/>
      <c r="H357"/>
      <c r="I357"/>
      <c r="J357"/>
      <c r="K357"/>
      <c r="L357"/>
      <c r="M357"/>
      <c r="N357"/>
      <c r="O357"/>
      <c r="P357" s="168"/>
      <c r="Q357" s="168"/>
      <c r="R357" s="168"/>
      <c r="S357" s="169"/>
      <c r="T357" s="169"/>
      <c r="U357" s="169"/>
      <c r="V357" s="168"/>
      <c r="W357" s="168"/>
      <c r="X357" s="168"/>
      <c r="Y357" s="170"/>
      <c r="Z357" s="171"/>
      <c r="AA357" s="171"/>
      <c r="AB357" s="171"/>
      <c r="AC357" s="171"/>
      <c r="AD357" s="171"/>
      <c r="AE357" s="168"/>
      <c r="AF357" s="170"/>
      <c r="AG357" s="172"/>
      <c r="AH357"/>
      <c r="AI357"/>
    </row>
    <row r="358" spans="1:35" x14ac:dyDescent="0.25">
      <c r="A358"/>
      <c r="B358"/>
      <c r="C358"/>
      <c r="D358"/>
      <c r="E358"/>
      <c r="F358"/>
      <c r="G358"/>
      <c r="H358"/>
      <c r="I358"/>
      <c r="J358"/>
      <c r="K358"/>
      <c r="L358"/>
      <c r="M358"/>
      <c r="N358"/>
      <c r="O358"/>
      <c r="P358" s="168"/>
      <c r="Q358" s="168"/>
      <c r="R358" s="168"/>
      <c r="S358" s="169"/>
      <c r="T358" s="169"/>
      <c r="U358" s="169"/>
      <c r="V358" s="168"/>
      <c r="W358" s="168"/>
      <c r="X358" s="168"/>
      <c r="Y358" s="170"/>
      <c r="Z358" s="171"/>
      <c r="AA358" s="171"/>
      <c r="AB358" s="171"/>
      <c r="AC358" s="171"/>
      <c r="AD358" s="171"/>
      <c r="AE358" s="168"/>
      <c r="AF358" s="170"/>
      <c r="AG358" s="172"/>
      <c r="AH358"/>
      <c r="AI358"/>
    </row>
    <row r="359" spans="1:35" x14ac:dyDescent="0.25">
      <c r="A359"/>
      <c r="B359"/>
      <c r="C359"/>
      <c r="D359"/>
      <c r="E359"/>
      <c r="F359"/>
      <c r="G359"/>
      <c r="H359"/>
      <c r="I359"/>
      <c r="J359"/>
      <c r="K359"/>
      <c r="L359"/>
      <c r="M359"/>
      <c r="N359"/>
      <c r="O359"/>
      <c r="P359" s="168"/>
      <c r="Q359" s="168"/>
      <c r="R359" s="168"/>
      <c r="S359" s="169"/>
      <c r="T359" s="169"/>
      <c r="U359" s="169"/>
      <c r="V359" s="168"/>
      <c r="W359" s="168"/>
      <c r="X359" s="168"/>
      <c r="Y359" s="170"/>
      <c r="Z359" s="171"/>
      <c r="AA359" s="171"/>
      <c r="AB359" s="171"/>
      <c r="AC359" s="171"/>
      <c r="AD359" s="171"/>
      <c r="AE359" s="168"/>
      <c r="AF359" s="170"/>
      <c r="AG359" s="172"/>
      <c r="AH359"/>
      <c r="AI359"/>
    </row>
    <row r="360" spans="1:35" x14ac:dyDescent="0.25">
      <c r="A360"/>
      <c r="B360"/>
      <c r="C360"/>
      <c r="D360"/>
      <c r="E360"/>
      <c r="F360"/>
      <c r="G360"/>
      <c r="H360"/>
      <c r="I360"/>
      <c r="J360"/>
      <c r="K360"/>
      <c r="L360"/>
      <c r="M360"/>
      <c r="N360"/>
      <c r="O360"/>
      <c r="P360" s="168"/>
      <c r="Q360" s="168"/>
      <c r="R360" s="168"/>
      <c r="S360" s="169"/>
      <c r="T360" s="169"/>
      <c r="U360" s="169"/>
      <c r="V360" s="168"/>
      <c r="W360" s="168"/>
      <c r="X360" s="168"/>
      <c r="Y360" s="170"/>
      <c r="Z360" s="171"/>
      <c r="AA360" s="171"/>
      <c r="AB360" s="171"/>
      <c r="AC360" s="171"/>
      <c r="AD360" s="171"/>
      <c r="AE360" s="168"/>
      <c r="AF360" s="170"/>
      <c r="AG360" s="172"/>
      <c r="AH360"/>
      <c r="AI360"/>
    </row>
    <row r="361" spans="1:35" x14ac:dyDescent="0.25">
      <c r="A361"/>
      <c r="B361"/>
      <c r="C361"/>
      <c r="D361"/>
      <c r="E361"/>
      <c r="F361"/>
      <c r="G361"/>
      <c r="H361"/>
      <c r="I361"/>
      <c r="J361"/>
      <c r="K361"/>
      <c r="L361"/>
      <c r="M361"/>
      <c r="N361"/>
      <c r="O361"/>
      <c r="P361" s="168"/>
      <c r="Q361" s="168"/>
      <c r="R361" s="168"/>
      <c r="S361" s="169"/>
      <c r="T361" s="169"/>
      <c r="U361" s="169"/>
      <c r="V361" s="168"/>
      <c r="W361" s="168"/>
      <c r="X361" s="168"/>
      <c r="Y361" s="170"/>
      <c r="Z361" s="171"/>
      <c r="AA361" s="171"/>
      <c r="AB361" s="171"/>
      <c r="AC361" s="171"/>
      <c r="AD361" s="171"/>
      <c r="AE361" s="168"/>
      <c r="AF361" s="170"/>
      <c r="AG361" s="172"/>
      <c r="AH361"/>
      <c r="AI361"/>
    </row>
    <row r="362" spans="1:35" x14ac:dyDescent="0.25">
      <c r="A362"/>
      <c r="B362"/>
      <c r="C362"/>
      <c r="D362"/>
      <c r="E362"/>
      <c r="F362"/>
      <c r="G362"/>
      <c r="H362"/>
      <c r="I362"/>
      <c r="J362"/>
      <c r="K362"/>
      <c r="L362"/>
      <c r="M362"/>
      <c r="N362"/>
      <c r="O362"/>
      <c r="P362" s="168"/>
      <c r="Q362" s="168"/>
      <c r="R362" s="168"/>
      <c r="S362" s="169"/>
      <c r="T362" s="169"/>
      <c r="U362" s="169"/>
      <c r="V362" s="168"/>
      <c r="W362" s="168"/>
      <c r="X362" s="168"/>
      <c r="Y362" s="170"/>
      <c r="Z362" s="171"/>
      <c r="AA362" s="171"/>
      <c r="AB362" s="171"/>
      <c r="AC362" s="171"/>
      <c r="AD362" s="171"/>
      <c r="AE362" s="168"/>
      <c r="AF362" s="170"/>
      <c r="AG362" s="172"/>
      <c r="AH362"/>
      <c r="AI362"/>
    </row>
    <row r="363" spans="1:35" x14ac:dyDescent="0.25">
      <c r="A363"/>
      <c r="B363"/>
      <c r="C363"/>
      <c r="D363"/>
      <c r="E363"/>
      <c r="F363"/>
      <c r="G363"/>
      <c r="H363"/>
      <c r="I363"/>
      <c r="J363"/>
      <c r="K363"/>
      <c r="L363"/>
      <c r="M363"/>
      <c r="N363"/>
      <c r="O363"/>
      <c r="P363" s="168"/>
      <c r="Q363" s="168"/>
      <c r="R363" s="168"/>
      <c r="S363" s="169"/>
      <c r="T363" s="169"/>
      <c r="U363" s="169"/>
      <c r="V363" s="168"/>
      <c r="W363" s="168"/>
      <c r="X363" s="168"/>
      <c r="Y363" s="170"/>
      <c r="Z363" s="171"/>
      <c r="AA363" s="171"/>
      <c r="AB363" s="171"/>
      <c r="AC363" s="171"/>
      <c r="AD363" s="171"/>
      <c r="AE363" s="168"/>
      <c r="AF363" s="170"/>
      <c r="AG363" s="172"/>
      <c r="AH363"/>
      <c r="AI363"/>
    </row>
    <row r="364" spans="1:35" x14ac:dyDescent="0.25">
      <c r="A364"/>
      <c r="B364"/>
      <c r="C364"/>
      <c r="D364"/>
      <c r="E364"/>
      <c r="F364"/>
      <c r="G364"/>
      <c r="H364"/>
      <c r="I364"/>
      <c r="J364"/>
      <c r="K364"/>
      <c r="L364"/>
      <c r="M364"/>
      <c r="N364"/>
      <c r="O364"/>
      <c r="P364" s="168"/>
      <c r="Q364" s="168"/>
      <c r="R364" s="168"/>
      <c r="S364" s="169"/>
      <c r="T364" s="169"/>
      <c r="U364" s="169"/>
      <c r="V364" s="168"/>
      <c r="W364" s="168"/>
      <c r="X364" s="168"/>
      <c r="Y364" s="170"/>
      <c r="Z364" s="171"/>
      <c r="AA364" s="171"/>
      <c r="AB364" s="171"/>
      <c r="AC364" s="171"/>
      <c r="AD364" s="171"/>
      <c r="AE364" s="168"/>
      <c r="AF364" s="170"/>
      <c r="AG364" s="172"/>
      <c r="AH364"/>
      <c r="AI364"/>
    </row>
    <row r="365" spans="1:35" x14ac:dyDescent="0.25">
      <c r="A365"/>
      <c r="B365"/>
      <c r="C365"/>
      <c r="D365"/>
      <c r="E365"/>
      <c r="F365"/>
      <c r="G365"/>
      <c r="H365"/>
      <c r="I365"/>
      <c r="J365"/>
      <c r="K365"/>
      <c r="L365"/>
      <c r="M365"/>
      <c r="N365"/>
      <c r="O365"/>
      <c r="P365" s="168"/>
      <c r="Q365" s="168"/>
      <c r="R365" s="168"/>
      <c r="S365" s="169"/>
      <c r="T365" s="169"/>
      <c r="U365" s="169"/>
      <c r="V365" s="168"/>
      <c r="W365" s="168"/>
      <c r="X365" s="168"/>
      <c r="Y365" s="170"/>
      <c r="Z365" s="171"/>
      <c r="AA365" s="171"/>
      <c r="AB365" s="171"/>
      <c r="AC365" s="171"/>
      <c r="AD365" s="171"/>
      <c r="AE365" s="168"/>
      <c r="AF365" s="170"/>
      <c r="AG365" s="172"/>
      <c r="AH365"/>
      <c r="AI365"/>
    </row>
    <row r="366" spans="1:35" x14ac:dyDescent="0.25">
      <c r="A366"/>
      <c r="B366"/>
      <c r="C366"/>
      <c r="D366"/>
      <c r="E366"/>
      <c r="F366"/>
      <c r="G366"/>
      <c r="H366"/>
      <c r="I366"/>
      <c r="J366"/>
      <c r="K366"/>
      <c r="L366"/>
      <c r="M366"/>
      <c r="N366"/>
      <c r="O366"/>
      <c r="P366" s="168"/>
      <c r="Q366" s="168"/>
      <c r="R366" s="168"/>
      <c r="S366" s="169"/>
      <c r="T366" s="169"/>
      <c r="U366" s="169"/>
      <c r="V366" s="168"/>
      <c r="W366" s="168"/>
      <c r="X366" s="168"/>
      <c r="Y366" s="170"/>
      <c r="Z366" s="171"/>
      <c r="AA366" s="171"/>
      <c r="AB366" s="171"/>
      <c r="AC366" s="171"/>
      <c r="AD366" s="171"/>
      <c r="AE366" s="168"/>
      <c r="AF366" s="170"/>
      <c r="AG366" s="172"/>
      <c r="AH366"/>
      <c r="AI366"/>
    </row>
    <row r="367" spans="1:35" x14ac:dyDescent="0.25">
      <c r="A367"/>
      <c r="B367"/>
      <c r="C367"/>
      <c r="D367"/>
      <c r="E367"/>
      <c r="F367"/>
      <c r="G367"/>
      <c r="H367"/>
      <c r="I367"/>
      <c r="J367"/>
      <c r="K367"/>
      <c r="L367"/>
      <c r="M367"/>
      <c r="N367"/>
      <c r="O367"/>
      <c r="P367" s="168"/>
      <c r="Q367" s="168"/>
      <c r="R367" s="168"/>
      <c r="S367" s="169"/>
      <c r="T367" s="169"/>
      <c r="U367" s="169"/>
      <c r="V367" s="168"/>
      <c r="W367" s="168"/>
      <c r="X367" s="168"/>
      <c r="Y367" s="170"/>
      <c r="Z367" s="171"/>
      <c r="AA367" s="171"/>
      <c r="AB367" s="171"/>
      <c r="AC367" s="171"/>
      <c r="AD367" s="171"/>
      <c r="AE367" s="168"/>
      <c r="AF367" s="170"/>
      <c r="AG367" s="172"/>
      <c r="AH367"/>
      <c r="AI367"/>
    </row>
    <row r="368" spans="1:35" x14ac:dyDescent="0.25">
      <c r="A368"/>
      <c r="B368"/>
      <c r="C368"/>
      <c r="D368"/>
      <c r="E368"/>
      <c r="F368"/>
      <c r="G368"/>
      <c r="H368"/>
      <c r="I368"/>
      <c r="J368"/>
      <c r="K368"/>
      <c r="L368"/>
      <c r="M368"/>
      <c r="N368"/>
      <c r="O368"/>
      <c r="P368" s="168"/>
      <c r="Q368" s="168"/>
      <c r="R368" s="168"/>
      <c r="S368" s="169"/>
      <c r="T368" s="169"/>
      <c r="U368" s="169"/>
      <c r="V368" s="168"/>
      <c r="W368" s="168"/>
      <c r="X368" s="168"/>
      <c r="Y368" s="170"/>
      <c r="Z368" s="171"/>
      <c r="AA368" s="171"/>
      <c r="AB368" s="171"/>
      <c r="AC368" s="171"/>
      <c r="AD368" s="171"/>
      <c r="AE368" s="168"/>
      <c r="AF368" s="170"/>
      <c r="AG368" s="172"/>
      <c r="AH368"/>
      <c r="AI368"/>
    </row>
    <row r="369" spans="1:35" x14ac:dyDescent="0.25">
      <c r="A369"/>
      <c r="B369"/>
      <c r="C369"/>
      <c r="D369"/>
      <c r="E369"/>
      <c r="F369"/>
      <c r="G369"/>
      <c r="H369"/>
      <c r="I369"/>
      <c r="J369"/>
      <c r="K369"/>
      <c r="L369"/>
      <c r="M369"/>
      <c r="N369"/>
      <c r="O369"/>
      <c r="P369" s="168"/>
      <c r="Q369" s="168"/>
      <c r="R369" s="168"/>
      <c r="S369" s="169"/>
      <c r="T369" s="169"/>
      <c r="U369" s="169"/>
      <c r="V369" s="168"/>
      <c r="W369" s="168"/>
      <c r="X369" s="168"/>
      <c r="Y369" s="170"/>
      <c r="Z369" s="171"/>
      <c r="AA369" s="171"/>
      <c r="AB369" s="171"/>
      <c r="AC369" s="171"/>
      <c r="AD369" s="171"/>
      <c r="AE369" s="168"/>
      <c r="AF369" s="170"/>
      <c r="AG369" s="172"/>
      <c r="AH369"/>
      <c r="AI369"/>
    </row>
    <row r="370" spans="1:35" x14ac:dyDescent="0.25">
      <c r="A370"/>
      <c r="B370"/>
      <c r="C370"/>
      <c r="D370"/>
      <c r="E370"/>
      <c r="F370"/>
      <c r="G370"/>
      <c r="H370"/>
      <c r="I370"/>
      <c r="J370"/>
      <c r="K370"/>
      <c r="L370"/>
      <c r="M370"/>
      <c r="N370"/>
      <c r="O370"/>
      <c r="P370" s="168"/>
      <c r="Q370" s="168"/>
      <c r="R370" s="168"/>
      <c r="S370" s="169"/>
      <c r="T370" s="169"/>
      <c r="U370" s="169"/>
      <c r="V370" s="168"/>
      <c r="W370" s="168"/>
      <c r="X370" s="168"/>
      <c r="Y370" s="170"/>
      <c r="Z370" s="171"/>
      <c r="AA370" s="171"/>
      <c r="AB370" s="171"/>
      <c r="AC370" s="171"/>
      <c r="AD370" s="171"/>
      <c r="AE370" s="168"/>
      <c r="AF370" s="170"/>
      <c r="AG370" s="172"/>
      <c r="AH370"/>
      <c r="AI370"/>
    </row>
    <row r="371" spans="1:35" x14ac:dyDescent="0.25">
      <c r="A371"/>
      <c r="B371"/>
      <c r="C371"/>
      <c r="D371"/>
      <c r="E371"/>
      <c r="F371"/>
      <c r="G371"/>
      <c r="H371"/>
      <c r="I371"/>
      <c r="J371"/>
      <c r="K371"/>
      <c r="L371"/>
      <c r="M371"/>
      <c r="N371"/>
      <c r="O371"/>
      <c r="P371" s="168"/>
      <c r="Q371" s="168"/>
      <c r="R371" s="168"/>
      <c r="S371" s="169"/>
      <c r="T371" s="169"/>
      <c r="U371" s="169"/>
      <c r="V371" s="168"/>
      <c r="W371" s="168"/>
      <c r="X371" s="168"/>
      <c r="Y371" s="170"/>
      <c r="Z371" s="171"/>
      <c r="AA371" s="171"/>
      <c r="AB371" s="171"/>
      <c r="AC371" s="171"/>
      <c r="AD371" s="171"/>
      <c r="AE371" s="168"/>
      <c r="AF371" s="170"/>
      <c r="AG371" s="172"/>
      <c r="AH371"/>
      <c r="AI371"/>
    </row>
    <row r="372" spans="1:35" x14ac:dyDescent="0.25">
      <c r="A372"/>
      <c r="B372"/>
      <c r="C372"/>
      <c r="D372"/>
      <c r="E372"/>
      <c r="F372"/>
      <c r="G372"/>
      <c r="H372"/>
      <c r="I372"/>
      <c r="J372"/>
      <c r="K372"/>
      <c r="L372"/>
      <c r="M372"/>
      <c r="N372"/>
      <c r="O372"/>
      <c r="P372" s="168"/>
      <c r="Q372" s="168"/>
      <c r="R372" s="168"/>
      <c r="S372" s="169"/>
      <c r="T372" s="169"/>
      <c r="U372" s="169"/>
      <c r="V372" s="168"/>
      <c r="W372" s="168"/>
      <c r="X372" s="168"/>
      <c r="Y372" s="170"/>
      <c r="Z372" s="171"/>
      <c r="AA372" s="171"/>
      <c r="AB372" s="171"/>
      <c r="AC372" s="171"/>
      <c r="AD372" s="171"/>
      <c r="AE372" s="168"/>
      <c r="AF372" s="170"/>
      <c r="AG372" s="172"/>
      <c r="AH372"/>
      <c r="AI372"/>
    </row>
    <row r="373" spans="1:35" x14ac:dyDescent="0.25">
      <c r="A373"/>
      <c r="B373"/>
      <c r="C373"/>
      <c r="D373"/>
      <c r="E373"/>
      <c r="F373"/>
      <c r="G373"/>
      <c r="H373"/>
      <c r="I373"/>
      <c r="J373"/>
      <c r="K373"/>
      <c r="L373"/>
      <c r="M373"/>
      <c r="N373"/>
      <c r="O373"/>
      <c r="P373" s="168"/>
      <c r="Q373" s="168"/>
      <c r="R373" s="168"/>
      <c r="S373" s="169"/>
      <c r="T373" s="169"/>
      <c r="U373" s="169"/>
      <c r="V373" s="168"/>
      <c r="W373" s="168"/>
      <c r="X373" s="168"/>
      <c r="Y373" s="170"/>
      <c r="Z373" s="171"/>
      <c r="AA373" s="171"/>
      <c r="AB373" s="171"/>
      <c r="AC373" s="171"/>
      <c r="AD373" s="171"/>
      <c r="AE373" s="168"/>
      <c r="AF373" s="170"/>
      <c r="AG373" s="172"/>
      <c r="AH373"/>
      <c r="AI373"/>
    </row>
    <row r="374" spans="1:35" x14ac:dyDescent="0.25">
      <c r="A374"/>
      <c r="B374"/>
      <c r="C374"/>
      <c r="D374"/>
      <c r="E374"/>
      <c r="F374"/>
      <c r="G374"/>
      <c r="H374"/>
      <c r="I374"/>
      <c r="J374"/>
      <c r="K374"/>
      <c r="L374"/>
      <c r="M374"/>
      <c r="N374"/>
      <c r="O374"/>
      <c r="P374" s="168"/>
      <c r="Q374" s="168"/>
      <c r="R374" s="168"/>
      <c r="S374" s="169"/>
      <c r="T374" s="169"/>
      <c r="U374" s="169"/>
      <c r="V374" s="168"/>
      <c r="W374" s="168"/>
      <c r="X374" s="168"/>
      <c r="Y374" s="170"/>
      <c r="Z374" s="171"/>
      <c r="AA374" s="171"/>
      <c r="AB374" s="171"/>
      <c r="AC374" s="171"/>
      <c r="AD374" s="171"/>
      <c r="AE374" s="168"/>
      <c r="AF374" s="170"/>
      <c r="AG374" s="172"/>
      <c r="AH374"/>
      <c r="AI374"/>
    </row>
    <row r="375" spans="1:35" x14ac:dyDescent="0.25">
      <c r="A375"/>
      <c r="B375"/>
      <c r="C375"/>
      <c r="D375"/>
      <c r="E375"/>
      <c r="F375"/>
      <c r="G375"/>
      <c r="H375"/>
      <c r="I375"/>
      <c r="J375"/>
      <c r="K375"/>
      <c r="L375"/>
      <c r="M375"/>
      <c r="N375"/>
      <c r="O375"/>
      <c r="P375" s="168"/>
      <c r="Q375" s="168"/>
      <c r="R375" s="168"/>
      <c r="S375" s="169"/>
      <c r="T375" s="169"/>
      <c r="U375" s="169"/>
      <c r="V375" s="168"/>
      <c r="W375" s="168"/>
      <c r="X375" s="168"/>
      <c r="Y375" s="170"/>
      <c r="Z375" s="171"/>
      <c r="AA375" s="171"/>
      <c r="AB375" s="171"/>
      <c r="AC375" s="171"/>
      <c r="AD375" s="171"/>
      <c r="AE375" s="168"/>
      <c r="AF375" s="170"/>
      <c r="AG375" s="172"/>
      <c r="AH375"/>
      <c r="AI375"/>
    </row>
    <row r="376" spans="1:35" x14ac:dyDescent="0.25">
      <c r="A376"/>
      <c r="B376"/>
      <c r="C376"/>
      <c r="D376"/>
      <c r="E376"/>
      <c r="F376"/>
      <c r="G376"/>
      <c r="H376"/>
      <c r="I376"/>
      <c r="J376"/>
      <c r="K376"/>
      <c r="L376"/>
      <c r="M376"/>
      <c r="N376"/>
      <c r="O376"/>
      <c r="P376" s="168"/>
      <c r="Q376" s="168"/>
      <c r="R376" s="168"/>
      <c r="S376" s="169"/>
      <c r="T376" s="169"/>
      <c r="U376" s="169"/>
      <c r="V376" s="168"/>
      <c r="W376" s="168"/>
      <c r="X376" s="168"/>
      <c r="Y376" s="170"/>
      <c r="Z376" s="171"/>
      <c r="AA376" s="171"/>
      <c r="AB376" s="171"/>
      <c r="AC376" s="171"/>
      <c r="AD376" s="171"/>
      <c r="AE376" s="168"/>
      <c r="AF376" s="170"/>
      <c r="AG376" s="172"/>
      <c r="AH376"/>
      <c r="AI376"/>
    </row>
    <row r="377" spans="1:35" x14ac:dyDescent="0.25">
      <c r="A377"/>
      <c r="B377"/>
      <c r="C377"/>
      <c r="D377"/>
      <c r="E377"/>
      <c r="F377"/>
      <c r="G377"/>
      <c r="H377"/>
      <c r="I377"/>
      <c r="J377"/>
      <c r="K377"/>
      <c r="L377"/>
      <c r="M377"/>
      <c r="N377"/>
      <c r="O377"/>
      <c r="P377" s="168"/>
      <c r="Q377" s="168"/>
      <c r="R377" s="168"/>
      <c r="S377" s="169"/>
      <c r="T377" s="169"/>
      <c r="U377" s="169"/>
      <c r="V377" s="168"/>
      <c r="W377" s="168"/>
      <c r="X377" s="168"/>
      <c r="Y377" s="170"/>
      <c r="Z377" s="171"/>
      <c r="AA377" s="171"/>
      <c r="AB377" s="171"/>
      <c r="AC377" s="171"/>
      <c r="AD377" s="171"/>
      <c r="AE377" s="168"/>
      <c r="AF377" s="170"/>
      <c r="AG377" s="172"/>
      <c r="AH377"/>
      <c r="AI377"/>
    </row>
    <row r="378" spans="1:35" x14ac:dyDescent="0.25">
      <c r="A378"/>
      <c r="B378"/>
      <c r="C378"/>
      <c r="D378"/>
      <c r="E378"/>
      <c r="F378"/>
      <c r="G378"/>
      <c r="H378"/>
      <c r="I378"/>
      <c r="J378"/>
      <c r="K378"/>
      <c r="L378"/>
      <c r="M378"/>
      <c r="N378"/>
      <c r="O378"/>
      <c r="P378" s="168"/>
      <c r="Q378" s="168"/>
      <c r="R378" s="168"/>
      <c r="S378" s="169"/>
      <c r="T378" s="169"/>
      <c r="U378" s="169"/>
      <c r="V378" s="168"/>
      <c r="W378" s="168"/>
      <c r="X378" s="168"/>
      <c r="Y378" s="170"/>
      <c r="Z378" s="171"/>
      <c r="AA378" s="171"/>
      <c r="AB378" s="171"/>
      <c r="AC378" s="171"/>
      <c r="AD378" s="171"/>
      <c r="AE378" s="168"/>
      <c r="AF378" s="170"/>
      <c r="AG378" s="172"/>
      <c r="AH378"/>
      <c r="AI378"/>
    </row>
    <row r="379" spans="1:35" x14ac:dyDescent="0.25">
      <c r="A379"/>
      <c r="B379"/>
      <c r="C379"/>
      <c r="D379"/>
      <c r="E379"/>
      <c r="F379"/>
      <c r="G379"/>
      <c r="H379"/>
      <c r="I379"/>
      <c r="J379"/>
      <c r="K379"/>
      <c r="L379"/>
      <c r="M379"/>
      <c r="N379"/>
      <c r="O379"/>
      <c r="P379" s="168"/>
      <c r="Q379" s="168"/>
      <c r="R379" s="168"/>
      <c r="S379" s="169"/>
      <c r="T379" s="169"/>
      <c r="U379" s="169"/>
      <c r="V379" s="168"/>
      <c r="W379" s="168"/>
      <c r="X379" s="168"/>
      <c r="Y379" s="170"/>
      <c r="Z379" s="171"/>
      <c r="AA379" s="171"/>
      <c r="AB379" s="171"/>
      <c r="AC379" s="171"/>
      <c r="AD379" s="171"/>
      <c r="AE379" s="168"/>
      <c r="AF379" s="170"/>
      <c r="AG379" s="172"/>
      <c r="AH379"/>
      <c r="AI379"/>
    </row>
    <row r="380" spans="1:35" x14ac:dyDescent="0.25">
      <c r="A380"/>
      <c r="B380"/>
      <c r="C380"/>
      <c r="D380"/>
      <c r="E380"/>
      <c r="F380"/>
      <c r="G380"/>
      <c r="H380"/>
      <c r="I380"/>
      <c r="J380"/>
      <c r="K380"/>
      <c r="L380"/>
      <c r="M380"/>
      <c r="N380"/>
      <c r="O380"/>
      <c r="P380" s="168"/>
      <c r="Q380" s="168"/>
      <c r="R380" s="168"/>
      <c r="S380" s="169"/>
      <c r="T380" s="169"/>
      <c r="U380" s="169"/>
      <c r="V380" s="168"/>
      <c r="W380" s="168"/>
      <c r="X380" s="168"/>
      <c r="Y380" s="170"/>
      <c r="Z380" s="171"/>
      <c r="AA380" s="171"/>
      <c r="AB380" s="171"/>
      <c r="AC380" s="171"/>
      <c r="AD380" s="171"/>
      <c r="AE380" s="168"/>
      <c r="AF380" s="170"/>
      <c r="AG380" s="172"/>
      <c r="AH380"/>
      <c r="AI380"/>
    </row>
    <row r="381" spans="1:35" x14ac:dyDescent="0.25">
      <c r="A381"/>
      <c r="B381"/>
      <c r="C381"/>
      <c r="D381"/>
      <c r="E381"/>
      <c r="F381"/>
      <c r="G381"/>
      <c r="H381"/>
      <c r="I381"/>
      <c r="J381"/>
      <c r="K381"/>
      <c r="L381"/>
      <c r="M381"/>
      <c r="N381"/>
      <c r="O381"/>
      <c r="P381" s="168"/>
      <c r="Q381" s="168"/>
      <c r="R381" s="168"/>
      <c r="S381" s="169"/>
      <c r="T381" s="169"/>
      <c r="U381" s="169"/>
      <c r="V381" s="168"/>
      <c r="W381" s="168"/>
      <c r="X381" s="168"/>
      <c r="Y381" s="170"/>
      <c r="Z381" s="171"/>
      <c r="AA381" s="171"/>
      <c r="AB381" s="171"/>
      <c r="AC381" s="171"/>
      <c r="AD381" s="171"/>
      <c r="AE381" s="168"/>
      <c r="AF381" s="170"/>
      <c r="AG381" s="172"/>
      <c r="AH381"/>
      <c r="AI381"/>
    </row>
    <row r="382" spans="1:35" x14ac:dyDescent="0.25">
      <c r="A382"/>
      <c r="B382"/>
      <c r="C382"/>
      <c r="D382"/>
      <c r="E382"/>
      <c r="F382"/>
      <c r="G382"/>
      <c r="H382"/>
      <c r="I382"/>
      <c r="J382"/>
      <c r="K382"/>
      <c r="L382"/>
      <c r="M382"/>
      <c r="N382"/>
      <c r="O382"/>
      <c r="P382" s="168"/>
      <c r="Q382" s="168"/>
      <c r="R382" s="168"/>
      <c r="S382" s="169"/>
      <c r="T382" s="169"/>
      <c r="U382" s="169"/>
      <c r="V382" s="168"/>
      <c r="W382" s="168"/>
      <c r="X382" s="168"/>
      <c r="Y382" s="170"/>
      <c r="Z382" s="171"/>
      <c r="AA382" s="171"/>
      <c r="AB382" s="171"/>
      <c r="AC382" s="171"/>
      <c r="AD382" s="171"/>
      <c r="AE382" s="168"/>
      <c r="AF382" s="170"/>
      <c r="AG382" s="172"/>
      <c r="AH382"/>
      <c r="AI382"/>
    </row>
    <row r="383" spans="1:35" x14ac:dyDescent="0.25">
      <c r="A383"/>
      <c r="B383"/>
      <c r="C383"/>
      <c r="D383"/>
      <c r="E383"/>
      <c r="F383"/>
      <c r="G383"/>
      <c r="H383"/>
      <c r="I383"/>
      <c r="J383"/>
      <c r="K383"/>
      <c r="L383"/>
      <c r="M383"/>
      <c r="N383"/>
      <c r="O383"/>
      <c r="P383" s="168"/>
      <c r="Q383" s="168"/>
      <c r="R383" s="168"/>
      <c r="S383" s="169"/>
      <c r="T383" s="169"/>
      <c r="U383" s="169"/>
      <c r="V383" s="168"/>
      <c r="W383" s="168"/>
      <c r="X383" s="168"/>
      <c r="Y383" s="170"/>
      <c r="Z383" s="171"/>
      <c r="AA383" s="171"/>
      <c r="AB383" s="171"/>
      <c r="AC383" s="171"/>
      <c r="AD383" s="171"/>
      <c r="AE383" s="168"/>
      <c r="AF383" s="170"/>
      <c r="AG383" s="172"/>
      <c r="AH383"/>
      <c r="AI383"/>
    </row>
    <row r="384" spans="1:35" x14ac:dyDescent="0.25">
      <c r="A384"/>
      <c r="B384"/>
      <c r="C384"/>
      <c r="D384"/>
      <c r="E384"/>
      <c r="F384"/>
      <c r="G384"/>
      <c r="H384"/>
      <c r="I384"/>
      <c r="J384"/>
      <c r="K384"/>
      <c r="L384"/>
      <c r="M384"/>
      <c r="N384"/>
      <c r="O384"/>
      <c r="P384" s="168"/>
      <c r="Q384" s="168"/>
      <c r="R384" s="168"/>
      <c r="S384" s="169"/>
      <c r="T384" s="169"/>
      <c r="U384" s="169"/>
      <c r="V384" s="168"/>
      <c r="W384" s="168"/>
      <c r="X384" s="168"/>
      <c r="Y384" s="170"/>
      <c r="Z384" s="171"/>
      <c r="AA384" s="171"/>
      <c r="AB384" s="171"/>
      <c r="AC384" s="171"/>
      <c r="AD384" s="171"/>
      <c r="AE384" s="168"/>
      <c r="AF384" s="170"/>
      <c r="AG384" s="172"/>
      <c r="AH384"/>
      <c r="AI384"/>
    </row>
    <row r="385" spans="1:35" x14ac:dyDescent="0.25">
      <c r="A385"/>
      <c r="B385"/>
      <c r="C385"/>
      <c r="D385"/>
      <c r="E385"/>
      <c r="F385"/>
      <c r="G385"/>
      <c r="H385"/>
      <c r="I385"/>
      <c r="J385"/>
      <c r="K385"/>
      <c r="L385"/>
      <c r="M385"/>
      <c r="N385"/>
      <c r="O385"/>
      <c r="P385" s="168"/>
      <c r="Q385" s="168"/>
      <c r="R385" s="168"/>
      <c r="S385" s="169"/>
      <c r="T385" s="169"/>
      <c r="U385" s="169"/>
      <c r="V385" s="168"/>
      <c r="W385" s="168"/>
      <c r="X385" s="168"/>
      <c r="Y385" s="170"/>
      <c r="Z385" s="171"/>
      <c r="AA385" s="171"/>
      <c r="AB385" s="171"/>
      <c r="AC385" s="171"/>
      <c r="AD385" s="171"/>
      <c r="AE385" s="168"/>
      <c r="AF385" s="170"/>
      <c r="AG385" s="172"/>
      <c r="AH385"/>
      <c r="AI385"/>
    </row>
    <row r="386" spans="1:35" x14ac:dyDescent="0.25">
      <c r="A386"/>
      <c r="B386"/>
      <c r="C386"/>
      <c r="D386"/>
      <c r="E386"/>
      <c r="F386"/>
      <c r="G386"/>
      <c r="H386"/>
      <c r="I386"/>
      <c r="J386"/>
      <c r="K386"/>
      <c r="L386"/>
      <c r="M386"/>
      <c r="N386"/>
      <c r="O386"/>
      <c r="P386" s="168"/>
      <c r="Q386" s="168"/>
      <c r="R386" s="168"/>
      <c r="S386" s="169"/>
      <c r="T386" s="169"/>
      <c r="U386" s="169"/>
      <c r="V386" s="168"/>
      <c r="W386" s="168"/>
      <c r="X386" s="168"/>
      <c r="Y386" s="170"/>
      <c r="Z386" s="171"/>
      <c r="AA386" s="171"/>
      <c r="AB386" s="171"/>
      <c r="AC386" s="171"/>
      <c r="AD386" s="171"/>
      <c r="AE386" s="168"/>
      <c r="AF386" s="170"/>
      <c r="AG386" s="172"/>
      <c r="AH386"/>
      <c r="AI386"/>
    </row>
    <row r="387" spans="1:35" x14ac:dyDescent="0.25">
      <c r="A387"/>
      <c r="B387"/>
      <c r="C387"/>
      <c r="D387"/>
      <c r="E387"/>
      <c r="F387"/>
      <c r="G387"/>
      <c r="H387"/>
      <c r="I387"/>
      <c r="J387"/>
      <c r="K387"/>
      <c r="L387"/>
      <c r="M387"/>
      <c r="N387"/>
      <c r="O387"/>
      <c r="P387" s="168"/>
      <c r="Q387" s="168"/>
      <c r="R387" s="168"/>
      <c r="S387" s="169"/>
      <c r="T387" s="169"/>
      <c r="U387" s="169"/>
      <c r="V387" s="168"/>
      <c r="W387" s="168"/>
      <c r="X387" s="168"/>
      <c r="Y387" s="170"/>
      <c r="Z387" s="171"/>
      <c r="AA387" s="171"/>
      <c r="AB387" s="171"/>
      <c r="AC387" s="171"/>
      <c r="AD387" s="171"/>
      <c r="AE387" s="168"/>
      <c r="AF387" s="170"/>
      <c r="AG387" s="172"/>
      <c r="AH387"/>
      <c r="AI387"/>
    </row>
    <row r="388" spans="1:35" x14ac:dyDescent="0.25">
      <c r="A388"/>
      <c r="B388"/>
      <c r="C388"/>
      <c r="D388"/>
      <c r="E388"/>
      <c r="F388"/>
      <c r="G388"/>
      <c r="H388"/>
      <c r="I388"/>
      <c r="J388"/>
      <c r="K388"/>
      <c r="L388"/>
      <c r="M388"/>
      <c r="N388"/>
      <c r="O388"/>
      <c r="P388" s="168"/>
      <c r="Q388" s="168"/>
      <c r="R388" s="168"/>
      <c r="S388" s="169"/>
      <c r="T388" s="169"/>
      <c r="U388" s="169"/>
      <c r="V388" s="168"/>
      <c r="W388" s="168"/>
      <c r="X388" s="168"/>
      <c r="Y388" s="170"/>
      <c r="Z388" s="171"/>
      <c r="AA388" s="171"/>
      <c r="AB388" s="171"/>
      <c r="AC388" s="171"/>
      <c r="AD388" s="171"/>
      <c r="AE388" s="168"/>
      <c r="AF388" s="170"/>
      <c r="AG388" s="172"/>
      <c r="AH388"/>
      <c r="AI388"/>
    </row>
    <row r="389" spans="1:35" x14ac:dyDescent="0.25">
      <c r="A389"/>
      <c r="B389"/>
      <c r="C389"/>
      <c r="D389"/>
      <c r="E389"/>
      <c r="F389"/>
      <c r="G389"/>
      <c r="H389"/>
      <c r="I389"/>
      <c r="J389"/>
      <c r="K389"/>
      <c r="L389"/>
      <c r="M389"/>
      <c r="N389"/>
      <c r="O389"/>
      <c r="P389" s="168"/>
      <c r="Q389" s="168"/>
      <c r="R389" s="168"/>
      <c r="S389" s="169"/>
      <c r="T389" s="169"/>
      <c r="U389" s="169"/>
      <c r="V389" s="168"/>
      <c r="W389" s="168"/>
      <c r="X389" s="168"/>
      <c r="Y389" s="170"/>
      <c r="Z389" s="171"/>
      <c r="AA389" s="171"/>
      <c r="AB389" s="171"/>
      <c r="AC389" s="171"/>
      <c r="AD389" s="171"/>
      <c r="AE389" s="168"/>
      <c r="AF389" s="170"/>
      <c r="AG389" s="172"/>
      <c r="AH389"/>
      <c r="AI389"/>
    </row>
    <row r="390" spans="1:35" x14ac:dyDescent="0.25">
      <c r="A390"/>
      <c r="B390"/>
      <c r="C390"/>
      <c r="D390"/>
      <c r="E390"/>
      <c r="F390"/>
      <c r="G390"/>
      <c r="H390"/>
      <c r="I390"/>
      <c r="J390"/>
      <c r="K390"/>
      <c r="L390"/>
      <c r="M390"/>
      <c r="N390"/>
      <c r="O390"/>
      <c r="P390" s="168"/>
      <c r="Q390" s="168"/>
      <c r="R390" s="168"/>
      <c r="S390" s="169"/>
      <c r="T390" s="169"/>
      <c r="U390" s="169"/>
      <c r="V390" s="168"/>
      <c r="W390" s="168"/>
      <c r="X390" s="168"/>
      <c r="Y390" s="170"/>
      <c r="Z390" s="171"/>
      <c r="AA390" s="171"/>
      <c r="AB390" s="171"/>
      <c r="AC390" s="171"/>
      <c r="AD390" s="171"/>
      <c r="AE390" s="168"/>
      <c r="AF390" s="170"/>
      <c r="AG390" s="172"/>
      <c r="AH390"/>
      <c r="AI390"/>
    </row>
    <row r="391" spans="1:35" x14ac:dyDescent="0.25">
      <c r="A391"/>
      <c r="B391"/>
      <c r="C391"/>
      <c r="D391"/>
      <c r="E391"/>
      <c r="F391"/>
      <c r="G391"/>
      <c r="H391"/>
      <c r="I391"/>
      <c r="J391"/>
      <c r="K391"/>
      <c r="L391"/>
      <c r="M391"/>
      <c r="N391"/>
      <c r="O391"/>
      <c r="P391" s="168"/>
      <c r="Q391" s="168"/>
      <c r="R391" s="168"/>
      <c r="S391" s="169"/>
      <c r="T391" s="169"/>
      <c r="U391" s="169"/>
      <c r="V391" s="168"/>
      <c r="W391" s="168"/>
      <c r="X391" s="168"/>
      <c r="Y391" s="170"/>
      <c r="Z391" s="171"/>
      <c r="AA391" s="171"/>
      <c r="AB391" s="171"/>
      <c r="AC391" s="171"/>
      <c r="AD391" s="171"/>
      <c r="AE391" s="168"/>
      <c r="AF391" s="170"/>
      <c r="AG391" s="172"/>
      <c r="AH391"/>
      <c r="AI391"/>
    </row>
    <row r="392" spans="1:35" x14ac:dyDescent="0.25">
      <c r="A392"/>
      <c r="B392"/>
      <c r="C392"/>
      <c r="D392"/>
      <c r="E392"/>
      <c r="F392"/>
      <c r="G392"/>
      <c r="H392"/>
      <c r="I392"/>
      <c r="J392"/>
      <c r="K392"/>
      <c r="L392"/>
      <c r="M392"/>
      <c r="N392"/>
      <c r="O392"/>
      <c r="P392" s="168"/>
      <c r="Q392" s="168"/>
      <c r="R392" s="168"/>
      <c r="S392" s="169"/>
      <c r="T392" s="169"/>
      <c r="U392" s="169"/>
      <c r="V392" s="168"/>
      <c r="W392" s="168"/>
      <c r="X392" s="168"/>
      <c r="Y392" s="170"/>
      <c r="Z392" s="171"/>
      <c r="AA392" s="171"/>
      <c r="AB392" s="171"/>
      <c r="AC392" s="171"/>
      <c r="AD392" s="171"/>
      <c r="AE392" s="168"/>
      <c r="AF392" s="170"/>
      <c r="AG392" s="172"/>
      <c r="AH392"/>
      <c r="AI392"/>
    </row>
    <row r="393" spans="1:35" x14ac:dyDescent="0.25">
      <c r="A393"/>
      <c r="B393"/>
      <c r="C393"/>
      <c r="D393"/>
      <c r="E393"/>
      <c r="F393"/>
      <c r="G393"/>
      <c r="H393"/>
      <c r="I393"/>
      <c r="J393"/>
      <c r="K393"/>
      <c r="L393"/>
      <c r="M393"/>
      <c r="N393"/>
      <c r="O393"/>
      <c r="P393" s="168"/>
      <c r="Q393" s="168"/>
      <c r="R393" s="168"/>
      <c r="S393" s="169"/>
      <c r="T393" s="169"/>
      <c r="U393" s="169"/>
      <c r="V393" s="168"/>
      <c r="W393" s="168"/>
      <c r="X393" s="168"/>
      <c r="Y393" s="170"/>
      <c r="Z393" s="171"/>
      <c r="AA393" s="171"/>
      <c r="AB393" s="171"/>
      <c r="AC393" s="171"/>
      <c r="AD393" s="171"/>
      <c r="AE393" s="168"/>
      <c r="AF393" s="170"/>
      <c r="AG393" s="172"/>
      <c r="AH393"/>
      <c r="AI393"/>
    </row>
    <row r="394" spans="1:35" x14ac:dyDescent="0.25">
      <c r="A394"/>
      <c r="B394"/>
      <c r="C394"/>
      <c r="D394"/>
      <c r="E394"/>
      <c r="F394"/>
      <c r="G394"/>
      <c r="H394"/>
      <c r="I394"/>
      <c r="J394"/>
      <c r="K394"/>
      <c r="L394"/>
      <c r="M394"/>
      <c r="N394"/>
      <c r="O394"/>
      <c r="P394" s="168"/>
      <c r="Q394" s="168"/>
      <c r="R394" s="168"/>
      <c r="S394" s="169"/>
      <c r="T394" s="169"/>
      <c r="U394" s="169"/>
      <c r="V394" s="168"/>
      <c r="W394" s="168"/>
      <c r="X394" s="168"/>
      <c r="Y394" s="170"/>
      <c r="Z394" s="171"/>
      <c r="AA394" s="171"/>
      <c r="AB394" s="171"/>
      <c r="AC394" s="171"/>
      <c r="AD394" s="171"/>
      <c r="AE394" s="168"/>
      <c r="AF394" s="170"/>
      <c r="AG394" s="172"/>
      <c r="AH394"/>
      <c r="AI394"/>
    </row>
    <row r="395" spans="1:35" x14ac:dyDescent="0.25">
      <c r="A395"/>
      <c r="B395"/>
      <c r="C395"/>
      <c r="D395"/>
      <c r="E395"/>
      <c r="F395"/>
      <c r="G395"/>
      <c r="H395"/>
      <c r="I395"/>
      <c r="J395"/>
      <c r="K395"/>
      <c r="L395"/>
      <c r="M395"/>
      <c r="N395"/>
      <c r="O395"/>
      <c r="P395" s="168"/>
      <c r="Q395" s="168"/>
      <c r="R395" s="168"/>
      <c r="S395" s="169"/>
      <c r="T395" s="169"/>
      <c r="U395" s="169"/>
      <c r="V395" s="168"/>
      <c r="W395" s="168"/>
      <c r="X395" s="168"/>
      <c r="Y395" s="170"/>
      <c r="Z395" s="171"/>
      <c r="AA395" s="171"/>
      <c r="AB395" s="171"/>
      <c r="AC395" s="171"/>
      <c r="AD395" s="171"/>
      <c r="AE395" s="168"/>
      <c r="AF395" s="170"/>
      <c r="AG395" s="172"/>
      <c r="AH395"/>
      <c r="AI395"/>
    </row>
    <row r="396" spans="1:35" x14ac:dyDescent="0.25">
      <c r="A396"/>
      <c r="B396"/>
      <c r="C396"/>
      <c r="D396"/>
      <c r="E396"/>
      <c r="F396"/>
      <c r="G396"/>
      <c r="H396"/>
      <c r="I396"/>
      <c r="J396"/>
      <c r="K396"/>
      <c r="L396"/>
      <c r="M396"/>
      <c r="N396"/>
      <c r="O396"/>
      <c r="P396" s="168"/>
      <c r="Q396" s="168"/>
      <c r="R396" s="168"/>
      <c r="S396" s="169"/>
      <c r="T396" s="169"/>
      <c r="U396" s="169"/>
      <c r="V396" s="168"/>
      <c r="W396" s="168"/>
      <c r="X396" s="168"/>
      <c r="Y396" s="170"/>
      <c r="Z396" s="171"/>
      <c r="AA396" s="171"/>
      <c r="AB396" s="171"/>
      <c r="AC396" s="171"/>
      <c r="AD396" s="171"/>
      <c r="AE396" s="168"/>
      <c r="AF396" s="170"/>
      <c r="AG396" s="172"/>
      <c r="AH396"/>
      <c r="AI396"/>
    </row>
    <row r="397" spans="1:35" x14ac:dyDescent="0.25">
      <c r="A397"/>
      <c r="B397"/>
      <c r="C397"/>
      <c r="D397"/>
      <c r="E397"/>
      <c r="F397"/>
      <c r="G397"/>
      <c r="H397"/>
      <c r="I397"/>
      <c r="J397"/>
      <c r="K397"/>
      <c r="L397"/>
      <c r="M397"/>
      <c r="N397"/>
      <c r="O397"/>
      <c r="P397" s="168"/>
      <c r="Q397" s="168"/>
      <c r="R397" s="168"/>
      <c r="S397" s="169"/>
      <c r="T397" s="169"/>
      <c r="U397" s="169"/>
      <c r="V397" s="168"/>
      <c r="W397" s="168"/>
      <c r="X397" s="168"/>
      <c r="Y397" s="170"/>
      <c r="Z397" s="171"/>
      <c r="AA397" s="171"/>
      <c r="AB397" s="171"/>
      <c r="AC397" s="171"/>
      <c r="AD397" s="171"/>
      <c r="AE397" s="168"/>
      <c r="AF397" s="170"/>
      <c r="AG397" s="172"/>
      <c r="AH397"/>
      <c r="AI397"/>
    </row>
    <row r="398" spans="1:35" x14ac:dyDescent="0.25">
      <c r="A398"/>
      <c r="B398"/>
      <c r="C398"/>
      <c r="D398"/>
      <c r="E398"/>
      <c r="F398"/>
      <c r="G398"/>
      <c r="H398"/>
      <c r="I398"/>
      <c r="J398"/>
      <c r="K398"/>
      <c r="L398"/>
      <c r="M398"/>
      <c r="N398"/>
      <c r="O398"/>
      <c r="P398" s="168"/>
      <c r="Q398" s="168"/>
      <c r="R398" s="168"/>
      <c r="S398" s="169"/>
      <c r="T398" s="169"/>
      <c r="U398" s="169"/>
      <c r="V398" s="168"/>
      <c r="W398" s="168"/>
      <c r="X398" s="168"/>
      <c r="Y398" s="170"/>
      <c r="Z398" s="171"/>
      <c r="AA398" s="171"/>
      <c r="AB398" s="171"/>
      <c r="AC398" s="171"/>
      <c r="AD398" s="171"/>
      <c r="AE398" s="168"/>
      <c r="AF398" s="170"/>
      <c r="AG398" s="172"/>
      <c r="AH398"/>
      <c r="AI398"/>
    </row>
    <row r="399" spans="1:35" x14ac:dyDescent="0.25">
      <c r="A399"/>
      <c r="B399"/>
      <c r="C399"/>
      <c r="D399"/>
      <c r="E399"/>
      <c r="F399"/>
      <c r="G399"/>
      <c r="H399"/>
      <c r="I399"/>
      <c r="J399"/>
      <c r="K399"/>
      <c r="L399"/>
      <c r="M399"/>
      <c r="N399"/>
      <c r="O399"/>
      <c r="P399" s="168"/>
      <c r="Q399" s="168"/>
      <c r="R399" s="168"/>
      <c r="S399" s="169"/>
      <c r="T399" s="169"/>
      <c r="U399" s="169"/>
      <c r="V399" s="168"/>
      <c r="W399" s="168"/>
      <c r="X399" s="168"/>
      <c r="Y399" s="170"/>
      <c r="Z399" s="171"/>
      <c r="AA399" s="171"/>
      <c r="AB399" s="171"/>
      <c r="AC399" s="171"/>
      <c r="AD399" s="171"/>
      <c r="AE399" s="168"/>
      <c r="AF399" s="170"/>
      <c r="AG399" s="172"/>
      <c r="AH399"/>
      <c r="AI399"/>
    </row>
    <row r="400" spans="1:35" x14ac:dyDescent="0.25">
      <c r="A400"/>
      <c r="B400"/>
      <c r="C400"/>
      <c r="D400"/>
      <c r="E400"/>
      <c r="F400"/>
      <c r="G400"/>
      <c r="H400"/>
      <c r="I400"/>
      <c r="J400"/>
      <c r="K400"/>
      <c r="L400"/>
      <c r="M400"/>
      <c r="N400"/>
      <c r="O400"/>
      <c r="P400" s="168"/>
      <c r="Q400" s="168"/>
      <c r="R400" s="168"/>
      <c r="S400" s="169"/>
      <c r="T400" s="169"/>
      <c r="U400" s="169"/>
      <c r="V400" s="168"/>
      <c r="W400" s="168"/>
      <c r="X400" s="168"/>
      <c r="Y400" s="170"/>
      <c r="Z400" s="171"/>
      <c r="AA400" s="171"/>
      <c r="AB400" s="171"/>
      <c r="AC400" s="171"/>
      <c r="AD400" s="171"/>
      <c r="AE400" s="168"/>
      <c r="AF400" s="170"/>
      <c r="AG400" s="172"/>
      <c r="AH400"/>
      <c r="AI400"/>
    </row>
    <row r="401" spans="1:35" x14ac:dyDescent="0.25">
      <c r="A401"/>
      <c r="B401"/>
      <c r="C401"/>
      <c r="D401"/>
      <c r="E401"/>
      <c r="F401"/>
      <c r="G401"/>
      <c r="H401"/>
      <c r="I401"/>
      <c r="J401"/>
      <c r="K401"/>
      <c r="L401"/>
      <c r="M401"/>
      <c r="N401"/>
      <c r="O401"/>
      <c r="P401" s="168"/>
      <c r="Q401" s="168"/>
      <c r="R401" s="168"/>
      <c r="S401" s="169"/>
      <c r="T401" s="169"/>
      <c r="U401" s="169"/>
      <c r="V401" s="168"/>
      <c r="W401" s="168"/>
      <c r="X401" s="168"/>
      <c r="Y401" s="170"/>
      <c r="Z401" s="171"/>
      <c r="AA401" s="171"/>
      <c r="AB401" s="171"/>
      <c r="AC401" s="171"/>
      <c r="AD401" s="171"/>
      <c r="AE401" s="168"/>
      <c r="AF401" s="170"/>
      <c r="AG401" s="172"/>
      <c r="AH401"/>
      <c r="AI401"/>
    </row>
    <row r="402" spans="1:35" x14ac:dyDescent="0.25">
      <c r="A402"/>
      <c r="B402"/>
      <c r="C402"/>
      <c r="D402"/>
      <c r="E402"/>
      <c r="F402"/>
      <c r="G402"/>
      <c r="H402"/>
      <c r="I402"/>
      <c r="J402"/>
      <c r="K402"/>
      <c r="L402"/>
      <c r="M402"/>
      <c r="N402"/>
      <c r="O402"/>
      <c r="P402" s="168"/>
      <c r="Q402" s="168"/>
      <c r="R402" s="168"/>
      <c r="S402" s="169"/>
      <c r="T402" s="169"/>
      <c r="U402" s="169"/>
      <c r="V402" s="168"/>
      <c r="W402" s="168"/>
      <c r="X402" s="168"/>
      <c r="Y402" s="170"/>
      <c r="Z402" s="171"/>
      <c r="AA402" s="171"/>
      <c r="AB402" s="171"/>
      <c r="AC402" s="171"/>
      <c r="AD402" s="171"/>
      <c r="AE402" s="168"/>
      <c r="AF402" s="170"/>
      <c r="AG402" s="172"/>
      <c r="AH402"/>
      <c r="AI402"/>
    </row>
    <row r="403" spans="1:35" x14ac:dyDescent="0.25">
      <c r="A403"/>
      <c r="B403"/>
      <c r="C403"/>
      <c r="D403"/>
      <c r="E403"/>
      <c r="F403"/>
      <c r="G403"/>
      <c r="H403"/>
      <c r="I403"/>
      <c r="J403"/>
      <c r="K403"/>
      <c r="L403"/>
      <c r="M403"/>
      <c r="N403"/>
      <c r="O403"/>
      <c r="P403" s="168"/>
      <c r="Q403" s="168"/>
      <c r="R403" s="168"/>
      <c r="S403" s="169"/>
      <c r="T403" s="169"/>
      <c r="U403" s="169"/>
      <c r="V403" s="168"/>
      <c r="W403" s="168"/>
      <c r="X403" s="168"/>
      <c r="Y403" s="170"/>
      <c r="Z403" s="171"/>
      <c r="AA403" s="171"/>
      <c r="AB403" s="171"/>
      <c r="AC403" s="171"/>
      <c r="AD403" s="171"/>
      <c r="AE403" s="168"/>
      <c r="AF403" s="170"/>
      <c r="AG403" s="172"/>
      <c r="AH403"/>
      <c r="AI403"/>
    </row>
    <row r="404" spans="1:35" x14ac:dyDescent="0.25">
      <c r="A404"/>
      <c r="B404"/>
      <c r="C404"/>
      <c r="D404"/>
      <c r="E404"/>
      <c r="F404"/>
      <c r="G404"/>
      <c r="H404"/>
      <c r="I404"/>
      <c r="J404"/>
      <c r="K404"/>
      <c r="L404"/>
      <c r="M404"/>
      <c r="N404"/>
      <c r="O404"/>
      <c r="P404" s="168"/>
      <c r="Q404" s="168"/>
      <c r="R404" s="168"/>
      <c r="S404" s="169"/>
      <c r="T404" s="169"/>
      <c r="U404" s="169"/>
      <c r="V404" s="168"/>
      <c r="W404" s="168"/>
      <c r="X404" s="168"/>
      <c r="Y404" s="170"/>
      <c r="Z404" s="171"/>
      <c r="AA404" s="171"/>
      <c r="AB404" s="171"/>
      <c r="AC404" s="171"/>
      <c r="AD404" s="171"/>
      <c r="AE404" s="168"/>
      <c r="AF404" s="170"/>
      <c r="AG404" s="172"/>
      <c r="AH404"/>
      <c r="AI404"/>
    </row>
    <row r="405" spans="1:35" x14ac:dyDescent="0.25">
      <c r="A405"/>
      <c r="B405"/>
      <c r="C405"/>
      <c r="D405"/>
      <c r="E405"/>
      <c r="F405"/>
      <c r="G405"/>
      <c r="H405"/>
      <c r="I405"/>
      <c r="J405"/>
      <c r="K405"/>
      <c r="L405"/>
      <c r="M405"/>
      <c r="N405"/>
      <c r="O405"/>
      <c r="P405" s="168"/>
      <c r="Q405" s="168"/>
      <c r="R405" s="168"/>
      <c r="S405" s="169"/>
      <c r="T405" s="169"/>
      <c r="U405" s="169"/>
      <c r="V405" s="168"/>
      <c r="W405" s="168"/>
      <c r="X405" s="168"/>
      <c r="Y405" s="170"/>
      <c r="Z405" s="171"/>
      <c r="AA405" s="171"/>
      <c r="AB405" s="171"/>
      <c r="AC405" s="171"/>
      <c r="AD405" s="171"/>
      <c r="AE405" s="168"/>
      <c r="AF405" s="170"/>
      <c r="AG405" s="172"/>
      <c r="AH405"/>
      <c r="AI405"/>
    </row>
    <row r="406" spans="1:35" x14ac:dyDescent="0.25">
      <c r="A406"/>
      <c r="B406"/>
      <c r="C406"/>
      <c r="D406"/>
      <c r="E406"/>
      <c r="F406"/>
      <c r="G406"/>
      <c r="H406"/>
      <c r="I406"/>
      <c r="J406"/>
      <c r="K406"/>
      <c r="L406"/>
      <c r="M406"/>
      <c r="N406"/>
      <c r="O406"/>
      <c r="P406" s="168"/>
      <c r="Q406" s="168"/>
      <c r="R406" s="168"/>
      <c r="S406" s="169"/>
      <c r="T406" s="169"/>
      <c r="U406" s="169"/>
      <c r="V406" s="168"/>
      <c r="W406" s="168"/>
      <c r="X406" s="168"/>
      <c r="Y406" s="170"/>
      <c r="Z406" s="171"/>
      <c r="AA406" s="171"/>
      <c r="AB406" s="171"/>
      <c r="AC406" s="171"/>
      <c r="AD406" s="171"/>
      <c r="AE406" s="168"/>
      <c r="AF406" s="170"/>
      <c r="AG406" s="172"/>
      <c r="AH406"/>
      <c r="AI406"/>
    </row>
    <row r="407" spans="1:35" x14ac:dyDescent="0.25">
      <c r="A407"/>
      <c r="B407"/>
      <c r="C407"/>
      <c r="D407"/>
      <c r="E407"/>
      <c r="F407"/>
      <c r="G407"/>
      <c r="H407"/>
      <c r="I407"/>
      <c r="J407"/>
      <c r="K407"/>
      <c r="L407"/>
      <c r="M407"/>
      <c r="N407"/>
      <c r="O407"/>
      <c r="P407" s="168"/>
      <c r="Q407" s="168"/>
      <c r="R407" s="168"/>
      <c r="S407" s="169"/>
      <c r="T407" s="169"/>
      <c r="U407" s="169"/>
      <c r="V407" s="168"/>
      <c r="W407" s="168"/>
      <c r="X407" s="168"/>
      <c r="Y407" s="170"/>
      <c r="Z407" s="171"/>
      <c r="AA407" s="171"/>
      <c r="AB407" s="171"/>
      <c r="AC407" s="171"/>
      <c r="AD407" s="171"/>
      <c r="AE407" s="168"/>
      <c r="AF407" s="170"/>
      <c r="AG407" s="172"/>
      <c r="AH407"/>
      <c r="AI407"/>
    </row>
    <row r="408" spans="1:35" x14ac:dyDescent="0.25">
      <c r="A408"/>
      <c r="B408"/>
      <c r="C408"/>
      <c r="D408"/>
      <c r="E408"/>
      <c r="F408"/>
      <c r="G408"/>
      <c r="H408"/>
      <c r="I408"/>
      <c r="J408"/>
      <c r="K408"/>
      <c r="L408"/>
      <c r="M408"/>
      <c r="N408"/>
      <c r="O408"/>
      <c r="P408" s="168"/>
      <c r="Q408" s="168"/>
      <c r="R408" s="168"/>
      <c r="S408" s="169"/>
      <c r="T408" s="169"/>
      <c r="U408" s="169"/>
      <c r="V408" s="168"/>
      <c r="W408" s="168"/>
      <c r="X408" s="168"/>
      <c r="Y408" s="170"/>
      <c r="Z408" s="171"/>
      <c r="AA408" s="171"/>
      <c r="AB408" s="171"/>
      <c r="AC408" s="171"/>
      <c r="AD408" s="171"/>
      <c r="AE408" s="168"/>
      <c r="AF408" s="170"/>
      <c r="AG408" s="172"/>
      <c r="AH408"/>
      <c r="AI408"/>
    </row>
    <row r="409" spans="1:35" x14ac:dyDescent="0.25">
      <c r="A409"/>
      <c r="B409"/>
      <c r="C409"/>
      <c r="D409"/>
      <c r="E409"/>
      <c r="F409"/>
      <c r="G409"/>
      <c r="H409"/>
      <c r="I409"/>
      <c r="J409"/>
      <c r="K409"/>
      <c r="L409"/>
      <c r="M409"/>
      <c r="N409"/>
      <c r="O409"/>
      <c r="P409" s="168"/>
      <c r="Q409" s="168"/>
      <c r="R409" s="168"/>
      <c r="S409" s="169"/>
      <c r="T409" s="169"/>
      <c r="U409" s="169"/>
      <c r="V409" s="168"/>
      <c r="W409" s="168"/>
      <c r="X409" s="168"/>
      <c r="Y409" s="170"/>
      <c r="Z409" s="171"/>
      <c r="AA409" s="171"/>
      <c r="AB409" s="171"/>
      <c r="AC409" s="171"/>
      <c r="AD409" s="171"/>
      <c r="AE409" s="168"/>
      <c r="AF409" s="170"/>
      <c r="AG409" s="172"/>
      <c r="AH409"/>
      <c r="AI409"/>
    </row>
    <row r="410" spans="1:35" x14ac:dyDescent="0.25">
      <c r="A410"/>
      <c r="B410"/>
      <c r="C410"/>
      <c r="D410"/>
      <c r="E410"/>
      <c r="F410"/>
      <c r="G410"/>
      <c r="H410"/>
      <c r="I410"/>
      <c r="J410"/>
      <c r="K410"/>
      <c r="L410"/>
      <c r="M410"/>
      <c r="N410"/>
      <c r="O410"/>
      <c r="P410" s="168"/>
      <c r="Q410" s="168"/>
      <c r="R410" s="168"/>
      <c r="S410" s="169"/>
      <c r="T410" s="169"/>
      <c r="U410" s="169"/>
      <c r="V410" s="168"/>
      <c r="W410" s="168"/>
      <c r="X410" s="168"/>
      <c r="Y410" s="170"/>
      <c r="Z410" s="171"/>
      <c r="AA410" s="171"/>
      <c r="AB410" s="171"/>
      <c r="AC410" s="171"/>
      <c r="AD410" s="171"/>
      <c r="AE410" s="168"/>
      <c r="AF410" s="170"/>
      <c r="AG410" s="172"/>
      <c r="AH410"/>
      <c r="AI410"/>
    </row>
    <row r="411" spans="1:35" x14ac:dyDescent="0.25">
      <c r="A411"/>
      <c r="B411"/>
      <c r="C411"/>
      <c r="D411"/>
      <c r="E411"/>
      <c r="F411"/>
      <c r="G411"/>
      <c r="H411"/>
      <c r="I411"/>
      <c r="J411"/>
      <c r="K411"/>
      <c r="L411"/>
      <c r="M411"/>
      <c r="N411"/>
      <c r="O411"/>
      <c r="P411" s="168"/>
      <c r="Q411" s="168"/>
      <c r="R411" s="168"/>
      <c r="S411" s="169"/>
      <c r="T411" s="169"/>
      <c r="U411" s="169"/>
      <c r="V411" s="168"/>
      <c r="W411" s="168"/>
      <c r="X411" s="168"/>
      <c r="Y411" s="170"/>
      <c r="Z411" s="171"/>
      <c r="AA411" s="171"/>
      <c r="AB411" s="171"/>
      <c r="AC411" s="171"/>
      <c r="AD411" s="171"/>
      <c r="AE411" s="168"/>
      <c r="AF411" s="170"/>
      <c r="AG411" s="172"/>
      <c r="AH411"/>
      <c r="AI411"/>
    </row>
    <row r="412" spans="1:35" x14ac:dyDescent="0.25">
      <c r="A412"/>
      <c r="B412"/>
      <c r="C412"/>
      <c r="D412"/>
      <c r="E412"/>
      <c r="F412"/>
      <c r="G412"/>
      <c r="H412"/>
      <c r="I412"/>
      <c r="J412"/>
      <c r="K412"/>
      <c r="L412"/>
      <c r="M412"/>
      <c r="N412"/>
      <c r="O412"/>
      <c r="P412" s="168"/>
      <c r="Q412" s="168"/>
      <c r="R412" s="168"/>
      <c r="S412" s="169"/>
      <c r="T412" s="169"/>
      <c r="U412" s="169"/>
      <c r="V412" s="168"/>
      <c r="W412" s="168"/>
      <c r="X412" s="168"/>
      <c r="Y412" s="170"/>
      <c r="Z412" s="171"/>
      <c r="AA412" s="171"/>
      <c r="AB412" s="171"/>
      <c r="AC412" s="171"/>
      <c r="AD412" s="171"/>
      <c r="AE412" s="168"/>
      <c r="AF412" s="170"/>
      <c r="AG412" s="172"/>
      <c r="AH412"/>
      <c r="AI412"/>
    </row>
    <row r="413" spans="1:35" x14ac:dyDescent="0.25">
      <c r="A413"/>
      <c r="B413"/>
      <c r="C413"/>
      <c r="D413"/>
      <c r="E413"/>
      <c r="F413"/>
      <c r="G413"/>
      <c r="H413"/>
      <c r="I413"/>
      <c r="J413"/>
      <c r="K413"/>
      <c r="L413"/>
      <c r="M413"/>
      <c r="N413"/>
      <c r="O413"/>
      <c r="P413" s="168"/>
      <c r="Q413" s="168"/>
      <c r="R413" s="168"/>
      <c r="S413" s="169"/>
      <c r="T413" s="169"/>
      <c r="U413" s="169"/>
      <c r="V413" s="168"/>
      <c r="W413" s="168"/>
      <c r="X413" s="168"/>
      <c r="Y413" s="170"/>
      <c r="Z413" s="171"/>
      <c r="AA413" s="171"/>
      <c r="AB413" s="171"/>
      <c r="AC413" s="171"/>
      <c r="AD413" s="171"/>
      <c r="AE413" s="168"/>
      <c r="AF413" s="170"/>
      <c r="AG413" s="172"/>
      <c r="AH413"/>
      <c r="AI413"/>
    </row>
    <row r="414" spans="1:35" x14ac:dyDescent="0.25">
      <c r="A414"/>
      <c r="B414"/>
      <c r="C414"/>
      <c r="D414"/>
      <c r="E414"/>
      <c r="F414"/>
      <c r="G414"/>
      <c r="H414"/>
      <c r="I414"/>
      <c r="J414"/>
      <c r="K414"/>
      <c r="L414"/>
      <c r="M414"/>
      <c r="N414"/>
      <c r="O414"/>
      <c r="P414" s="168"/>
      <c r="Q414" s="168"/>
      <c r="R414" s="168"/>
      <c r="S414" s="169"/>
      <c r="T414" s="169"/>
      <c r="U414" s="169"/>
      <c r="V414" s="168"/>
      <c r="W414" s="168"/>
      <c r="X414" s="168"/>
      <c r="Y414" s="170"/>
      <c r="Z414" s="171"/>
      <c r="AA414" s="171"/>
      <c r="AB414" s="171"/>
      <c r="AC414" s="171"/>
      <c r="AD414" s="171"/>
      <c r="AE414" s="168"/>
      <c r="AF414" s="170"/>
      <c r="AG414" s="172"/>
      <c r="AH414"/>
      <c r="AI414"/>
    </row>
    <row r="415" spans="1:35" x14ac:dyDescent="0.25">
      <c r="A415"/>
      <c r="B415"/>
      <c r="C415"/>
      <c r="D415"/>
      <c r="E415"/>
      <c r="F415"/>
      <c r="G415"/>
      <c r="H415"/>
      <c r="I415"/>
      <c r="J415"/>
      <c r="K415"/>
      <c r="L415"/>
      <c r="M415"/>
      <c r="N415"/>
      <c r="O415"/>
      <c r="P415" s="168"/>
      <c r="Q415" s="168"/>
      <c r="R415" s="168"/>
      <c r="S415" s="169"/>
      <c r="T415" s="169"/>
      <c r="U415" s="169"/>
      <c r="V415" s="168"/>
      <c r="W415" s="168"/>
      <c r="X415" s="168"/>
      <c r="Y415" s="170"/>
      <c r="Z415" s="171"/>
      <c r="AA415" s="171"/>
      <c r="AB415" s="171"/>
      <c r="AC415" s="171"/>
      <c r="AD415" s="171"/>
      <c r="AE415" s="168"/>
      <c r="AF415" s="170"/>
      <c r="AG415" s="172"/>
      <c r="AH415"/>
      <c r="AI415"/>
    </row>
    <row r="416" spans="1:35" x14ac:dyDescent="0.25">
      <c r="A416"/>
      <c r="B416"/>
      <c r="C416"/>
      <c r="D416"/>
      <c r="E416"/>
      <c r="F416"/>
      <c r="G416"/>
      <c r="H416"/>
      <c r="I416"/>
      <c r="J416"/>
      <c r="K416"/>
      <c r="L416"/>
      <c r="M416"/>
      <c r="N416"/>
      <c r="O416"/>
      <c r="P416" s="168"/>
      <c r="Q416" s="168"/>
      <c r="R416" s="168"/>
      <c r="S416" s="169"/>
      <c r="T416" s="169"/>
      <c r="U416" s="169"/>
      <c r="V416" s="168"/>
      <c r="W416" s="168"/>
      <c r="X416" s="168"/>
      <c r="Y416" s="170"/>
      <c r="Z416" s="171"/>
      <c r="AA416" s="171"/>
      <c r="AB416" s="171"/>
      <c r="AC416" s="171"/>
      <c r="AD416" s="171"/>
      <c r="AE416" s="168"/>
      <c r="AF416" s="170"/>
      <c r="AG416" s="172"/>
      <c r="AH416"/>
      <c r="AI416"/>
    </row>
    <row r="417" spans="1:35" x14ac:dyDescent="0.25">
      <c r="A417"/>
      <c r="B417"/>
      <c r="C417"/>
      <c r="D417"/>
      <c r="E417"/>
      <c r="F417"/>
      <c r="G417"/>
      <c r="H417"/>
      <c r="I417"/>
      <c r="J417"/>
      <c r="K417"/>
      <c r="L417"/>
      <c r="M417"/>
      <c r="N417"/>
      <c r="O417"/>
      <c r="P417" s="168"/>
      <c r="Q417" s="168"/>
      <c r="R417" s="168"/>
      <c r="S417" s="169"/>
      <c r="T417" s="169"/>
      <c r="U417" s="169"/>
      <c r="V417" s="168"/>
      <c r="W417" s="168"/>
      <c r="X417" s="168"/>
      <c r="Y417" s="170"/>
      <c r="Z417" s="171"/>
      <c r="AA417" s="171"/>
      <c r="AB417" s="171"/>
      <c r="AC417" s="171"/>
      <c r="AD417" s="171"/>
      <c r="AE417" s="168"/>
      <c r="AF417" s="170"/>
      <c r="AG417" s="172"/>
      <c r="AH417"/>
      <c r="AI417"/>
    </row>
    <row r="418" spans="1:35" x14ac:dyDescent="0.25">
      <c r="A418"/>
      <c r="B418"/>
      <c r="C418"/>
      <c r="D418"/>
      <c r="E418"/>
      <c r="F418"/>
      <c r="G418"/>
      <c r="H418"/>
      <c r="I418"/>
      <c r="J418"/>
      <c r="K418"/>
      <c r="L418"/>
      <c r="M418"/>
      <c r="N418"/>
      <c r="O418"/>
      <c r="P418" s="168"/>
      <c r="Q418" s="168"/>
      <c r="R418" s="168"/>
      <c r="S418" s="169"/>
      <c r="T418" s="169"/>
      <c r="U418" s="169"/>
      <c r="V418" s="168"/>
      <c r="W418" s="168"/>
      <c r="X418" s="168"/>
      <c r="Y418" s="170"/>
      <c r="Z418" s="171"/>
      <c r="AA418" s="171"/>
      <c r="AB418" s="171"/>
      <c r="AC418" s="171"/>
      <c r="AD418" s="171"/>
      <c r="AE418" s="168"/>
      <c r="AF418" s="170"/>
      <c r="AG418" s="172"/>
      <c r="AH418"/>
      <c r="AI418"/>
    </row>
    <row r="419" spans="1:35" x14ac:dyDescent="0.25">
      <c r="A419"/>
      <c r="B419"/>
      <c r="C419"/>
      <c r="D419"/>
      <c r="E419"/>
      <c r="F419"/>
      <c r="G419"/>
      <c r="H419"/>
      <c r="I419"/>
      <c r="J419"/>
      <c r="K419"/>
      <c r="L419"/>
      <c r="M419"/>
      <c r="N419"/>
      <c r="O419"/>
      <c r="P419" s="168"/>
      <c r="Q419" s="168"/>
      <c r="R419" s="168"/>
      <c r="S419" s="169"/>
      <c r="T419" s="169"/>
      <c r="U419" s="169"/>
      <c r="V419" s="168"/>
      <c r="W419" s="168"/>
      <c r="X419" s="168"/>
      <c r="Y419" s="170"/>
      <c r="Z419" s="171"/>
      <c r="AA419" s="171"/>
      <c r="AB419" s="171"/>
      <c r="AC419" s="171"/>
      <c r="AD419" s="171"/>
      <c r="AE419" s="168"/>
      <c r="AF419" s="170"/>
      <c r="AG419" s="172"/>
      <c r="AH419"/>
      <c r="AI419"/>
    </row>
    <row r="420" spans="1:35" x14ac:dyDescent="0.25">
      <c r="A420"/>
      <c r="B420"/>
      <c r="C420"/>
      <c r="D420"/>
      <c r="E420"/>
      <c r="F420"/>
      <c r="G420"/>
      <c r="H420"/>
      <c r="I420"/>
      <c r="J420"/>
      <c r="K420"/>
      <c r="L420"/>
      <c r="M420"/>
      <c r="N420"/>
      <c r="O420"/>
      <c r="P420" s="168"/>
      <c r="Q420" s="168"/>
      <c r="R420" s="168"/>
      <c r="S420" s="169"/>
      <c r="T420" s="169"/>
      <c r="U420" s="169"/>
      <c r="V420" s="168"/>
      <c r="W420" s="168"/>
      <c r="X420" s="168"/>
      <c r="Y420" s="170"/>
      <c r="Z420" s="171"/>
      <c r="AA420" s="171"/>
      <c r="AB420" s="171"/>
      <c r="AC420" s="171"/>
      <c r="AD420" s="171"/>
      <c r="AE420" s="168"/>
      <c r="AF420" s="170"/>
      <c r="AG420" s="172"/>
      <c r="AH420"/>
      <c r="AI420"/>
    </row>
    <row r="421" spans="1:35" x14ac:dyDescent="0.25">
      <c r="A421"/>
      <c r="B421"/>
      <c r="C421"/>
      <c r="D421"/>
      <c r="E421"/>
      <c r="F421"/>
      <c r="G421"/>
      <c r="H421"/>
      <c r="I421"/>
      <c r="J421"/>
      <c r="K421"/>
      <c r="L421"/>
      <c r="M421"/>
      <c r="N421"/>
      <c r="O421"/>
      <c r="P421" s="168"/>
      <c r="Q421" s="168"/>
      <c r="R421" s="168"/>
      <c r="S421" s="169"/>
      <c r="T421" s="169"/>
      <c r="U421" s="169"/>
      <c r="V421" s="168"/>
      <c r="W421" s="168"/>
      <c r="X421" s="168"/>
      <c r="Y421" s="170"/>
      <c r="Z421" s="171"/>
      <c r="AA421" s="171"/>
      <c r="AB421" s="171"/>
      <c r="AC421" s="171"/>
      <c r="AD421" s="171"/>
      <c r="AE421" s="168"/>
      <c r="AF421" s="170"/>
      <c r="AG421" s="172"/>
      <c r="AH421"/>
      <c r="AI421"/>
    </row>
    <row r="422" spans="1:35" x14ac:dyDescent="0.25">
      <c r="A422"/>
      <c r="B422"/>
      <c r="C422"/>
      <c r="D422"/>
      <c r="E422"/>
      <c r="F422"/>
      <c r="G422"/>
      <c r="H422"/>
      <c r="I422"/>
      <c r="J422"/>
      <c r="K422"/>
      <c r="L422"/>
      <c r="M422"/>
      <c r="N422"/>
      <c r="O422"/>
      <c r="P422" s="168"/>
      <c r="Q422" s="168"/>
      <c r="R422" s="168"/>
      <c r="S422" s="169"/>
      <c r="T422" s="169"/>
      <c r="U422" s="169"/>
      <c r="V422" s="168"/>
      <c r="W422" s="168"/>
      <c r="X422" s="168"/>
      <c r="Y422" s="170"/>
      <c r="Z422" s="171"/>
      <c r="AA422" s="171"/>
      <c r="AB422" s="171"/>
      <c r="AC422" s="171"/>
      <c r="AD422" s="171"/>
      <c r="AE422" s="168"/>
      <c r="AF422" s="170"/>
      <c r="AG422" s="172"/>
      <c r="AH422"/>
      <c r="AI422"/>
    </row>
    <row r="423" spans="1:35" x14ac:dyDescent="0.25">
      <c r="A423"/>
      <c r="B423"/>
      <c r="C423"/>
      <c r="D423"/>
      <c r="E423"/>
      <c r="F423"/>
      <c r="G423"/>
      <c r="H423"/>
      <c r="I423"/>
      <c r="J423"/>
      <c r="K423"/>
      <c r="L423"/>
      <c r="M423"/>
      <c r="N423"/>
      <c r="O423"/>
      <c r="P423" s="168"/>
      <c r="Q423" s="168"/>
      <c r="R423" s="168"/>
      <c r="S423" s="169"/>
      <c r="T423" s="169"/>
      <c r="U423" s="169"/>
      <c r="V423" s="168"/>
      <c r="W423" s="168"/>
      <c r="X423" s="168"/>
      <c r="Y423" s="170"/>
      <c r="Z423" s="171"/>
      <c r="AA423" s="171"/>
      <c r="AB423" s="171"/>
      <c r="AC423" s="171"/>
      <c r="AD423" s="171"/>
      <c r="AE423" s="168"/>
      <c r="AF423" s="170"/>
      <c r="AG423" s="172"/>
      <c r="AH423"/>
      <c r="AI423"/>
    </row>
    <row r="424" spans="1:35" x14ac:dyDescent="0.25">
      <c r="A424"/>
      <c r="B424"/>
      <c r="C424"/>
      <c r="D424"/>
      <c r="E424"/>
      <c r="F424"/>
      <c r="G424"/>
      <c r="H424"/>
      <c r="I424"/>
      <c r="J424"/>
      <c r="K424"/>
      <c r="L424"/>
      <c r="M424"/>
      <c r="N424"/>
      <c r="O424"/>
      <c r="P424" s="168"/>
      <c r="Q424" s="168"/>
      <c r="R424" s="168"/>
      <c r="S424" s="169"/>
      <c r="T424" s="169"/>
      <c r="U424" s="169"/>
      <c r="V424" s="168"/>
      <c r="W424" s="168"/>
      <c r="X424" s="168"/>
      <c r="Y424" s="170"/>
      <c r="Z424" s="171"/>
      <c r="AA424" s="171"/>
      <c r="AB424" s="171"/>
      <c r="AC424" s="171"/>
      <c r="AD424" s="171"/>
      <c r="AE424" s="168"/>
      <c r="AF424" s="170"/>
      <c r="AG424" s="172"/>
      <c r="AH424"/>
      <c r="AI424"/>
    </row>
    <row r="425" spans="1:35" x14ac:dyDescent="0.25">
      <c r="A425"/>
      <c r="B425"/>
      <c r="C425"/>
      <c r="D425"/>
      <c r="E425"/>
      <c r="F425"/>
      <c r="G425"/>
      <c r="H425"/>
      <c r="I425"/>
      <c r="J425"/>
      <c r="K425"/>
      <c r="L425"/>
      <c r="M425"/>
      <c r="N425"/>
      <c r="O425"/>
      <c r="P425" s="168"/>
      <c r="Q425" s="168"/>
      <c r="R425" s="168"/>
      <c r="S425" s="169"/>
      <c r="T425" s="169"/>
      <c r="U425" s="169"/>
      <c r="V425" s="168"/>
      <c r="W425" s="168"/>
      <c r="X425" s="168"/>
      <c r="Y425" s="170"/>
      <c r="Z425" s="171"/>
      <c r="AA425" s="171"/>
      <c r="AB425" s="171"/>
      <c r="AC425" s="171"/>
      <c r="AD425" s="171"/>
      <c r="AE425" s="168"/>
      <c r="AF425" s="170"/>
      <c r="AG425" s="172"/>
      <c r="AH425"/>
      <c r="AI425"/>
    </row>
    <row r="426" spans="1:35" x14ac:dyDescent="0.25">
      <c r="A426"/>
      <c r="B426"/>
      <c r="C426"/>
      <c r="D426"/>
      <c r="E426"/>
      <c r="F426"/>
      <c r="G426"/>
      <c r="H426"/>
      <c r="I426"/>
      <c r="J426"/>
      <c r="K426"/>
      <c r="L426"/>
      <c r="M426"/>
      <c r="N426"/>
      <c r="O426"/>
      <c r="P426" s="168"/>
      <c r="Q426" s="168"/>
      <c r="R426" s="168"/>
      <c r="S426" s="169"/>
      <c r="T426" s="169"/>
      <c r="U426" s="169"/>
      <c r="V426" s="168"/>
      <c r="W426" s="168"/>
      <c r="X426" s="168"/>
      <c r="Y426" s="170"/>
      <c r="Z426" s="171"/>
      <c r="AA426" s="171"/>
      <c r="AB426" s="171"/>
      <c r="AC426" s="171"/>
      <c r="AD426" s="171"/>
      <c r="AE426" s="168"/>
      <c r="AF426" s="170"/>
      <c r="AG426" s="172"/>
      <c r="AH426"/>
      <c r="AI426"/>
    </row>
    <row r="427" spans="1:35" x14ac:dyDescent="0.25">
      <c r="A427"/>
      <c r="B427"/>
      <c r="C427"/>
      <c r="D427"/>
      <c r="E427"/>
      <c r="F427"/>
      <c r="G427"/>
      <c r="H427"/>
      <c r="I427"/>
      <c r="J427"/>
      <c r="K427"/>
      <c r="L427"/>
      <c r="M427"/>
      <c r="N427"/>
      <c r="O427"/>
      <c r="P427" s="168"/>
      <c r="Q427" s="168"/>
      <c r="R427" s="168"/>
      <c r="S427" s="169"/>
      <c r="T427" s="169"/>
      <c r="U427" s="169"/>
      <c r="V427" s="168"/>
      <c r="W427" s="168"/>
      <c r="X427" s="168"/>
      <c r="Y427" s="170"/>
      <c r="Z427" s="171"/>
      <c r="AA427" s="171"/>
      <c r="AB427" s="171"/>
      <c r="AC427" s="171"/>
      <c r="AD427" s="171"/>
      <c r="AE427" s="168"/>
      <c r="AF427" s="170"/>
      <c r="AG427" s="172"/>
      <c r="AH427"/>
      <c r="AI427"/>
    </row>
    <row r="428" spans="1:35" x14ac:dyDescent="0.25">
      <c r="A428"/>
      <c r="B428"/>
      <c r="C428"/>
      <c r="D428"/>
      <c r="E428"/>
      <c r="F428"/>
      <c r="G428"/>
      <c r="H428"/>
      <c r="I428"/>
      <c r="J428"/>
      <c r="K428"/>
      <c r="L428"/>
      <c r="M428"/>
      <c r="N428"/>
      <c r="O428"/>
      <c r="P428" s="168"/>
      <c r="Q428" s="168"/>
      <c r="R428" s="168"/>
      <c r="S428" s="169"/>
      <c r="T428" s="169"/>
      <c r="U428" s="169"/>
      <c r="V428" s="168"/>
      <c r="W428" s="168"/>
      <c r="X428" s="168"/>
      <c r="Y428" s="170"/>
      <c r="Z428" s="171"/>
      <c r="AA428" s="171"/>
      <c r="AB428" s="171"/>
      <c r="AC428" s="171"/>
      <c r="AD428" s="171"/>
      <c r="AE428" s="168"/>
      <c r="AF428" s="170"/>
      <c r="AG428" s="172"/>
      <c r="AH428"/>
      <c r="AI428"/>
    </row>
    <row r="429" spans="1:35" x14ac:dyDescent="0.25">
      <c r="A429"/>
      <c r="B429"/>
      <c r="C429"/>
      <c r="D429"/>
      <c r="E429"/>
      <c r="F429"/>
      <c r="G429"/>
      <c r="H429"/>
      <c r="I429"/>
      <c r="J429"/>
      <c r="K429"/>
      <c r="L429"/>
      <c r="M429"/>
      <c r="N429"/>
      <c r="O429"/>
      <c r="P429" s="168"/>
      <c r="Q429" s="168"/>
      <c r="R429" s="168"/>
      <c r="S429" s="169"/>
      <c r="T429" s="169"/>
      <c r="U429" s="169"/>
      <c r="V429" s="168"/>
      <c r="W429" s="168"/>
      <c r="X429" s="168"/>
      <c r="Y429" s="170"/>
      <c r="Z429" s="171"/>
      <c r="AA429" s="171"/>
      <c r="AB429" s="171"/>
      <c r="AC429" s="171"/>
      <c r="AD429" s="171"/>
      <c r="AE429" s="168"/>
      <c r="AF429" s="170"/>
      <c r="AG429" s="172"/>
      <c r="AH429"/>
      <c r="AI429"/>
    </row>
    <row r="430" spans="1:35" x14ac:dyDescent="0.25">
      <c r="A430"/>
      <c r="B430"/>
      <c r="C430"/>
      <c r="D430"/>
      <c r="E430"/>
      <c r="F430"/>
      <c r="G430"/>
      <c r="H430"/>
      <c r="I430"/>
      <c r="J430"/>
      <c r="K430"/>
      <c r="L430"/>
      <c r="M430"/>
      <c r="N430"/>
      <c r="O430"/>
      <c r="P430" s="168"/>
      <c r="Q430" s="168"/>
      <c r="R430" s="168"/>
      <c r="S430" s="169"/>
      <c r="T430" s="169"/>
      <c r="U430" s="169"/>
      <c r="V430" s="168"/>
      <c r="W430" s="168"/>
      <c r="X430" s="168"/>
      <c r="Y430" s="170"/>
      <c r="Z430" s="171"/>
      <c r="AA430" s="171"/>
      <c r="AB430" s="171"/>
      <c r="AC430" s="171"/>
      <c r="AD430" s="171"/>
      <c r="AE430" s="168"/>
      <c r="AF430" s="170"/>
      <c r="AG430" s="172"/>
      <c r="AH430"/>
      <c r="AI430"/>
    </row>
    <row r="431" spans="1:35" x14ac:dyDescent="0.25">
      <c r="A431"/>
      <c r="B431"/>
      <c r="C431"/>
      <c r="D431"/>
      <c r="E431"/>
      <c r="F431"/>
      <c r="G431"/>
      <c r="H431"/>
      <c r="I431"/>
      <c r="J431"/>
      <c r="K431"/>
      <c r="L431"/>
      <c r="M431"/>
      <c r="N431"/>
      <c r="O431"/>
      <c r="P431" s="168"/>
      <c r="Q431" s="168"/>
      <c r="R431" s="168"/>
      <c r="S431" s="169"/>
      <c r="T431" s="169"/>
      <c r="U431" s="169"/>
      <c r="V431" s="168"/>
      <c r="W431" s="168"/>
      <c r="X431" s="168"/>
      <c r="Y431" s="170"/>
      <c r="Z431" s="171"/>
      <c r="AA431" s="171"/>
      <c r="AB431" s="171"/>
      <c r="AC431" s="171"/>
      <c r="AD431" s="171"/>
      <c r="AE431" s="168"/>
      <c r="AF431" s="170"/>
      <c r="AG431" s="172"/>
      <c r="AH431"/>
      <c r="AI431"/>
    </row>
    <row r="432" spans="1:35" x14ac:dyDescent="0.25">
      <c r="A432"/>
      <c r="B432"/>
      <c r="C432"/>
      <c r="D432"/>
      <c r="E432"/>
      <c r="F432"/>
      <c r="G432"/>
      <c r="H432"/>
      <c r="I432"/>
      <c r="J432"/>
      <c r="K432"/>
      <c r="L432"/>
      <c r="M432"/>
      <c r="N432"/>
      <c r="O432"/>
      <c r="P432" s="168"/>
      <c r="Q432" s="168"/>
      <c r="R432" s="168"/>
      <c r="S432" s="169"/>
      <c r="T432" s="169"/>
      <c r="U432" s="169"/>
      <c r="V432" s="168"/>
      <c r="W432" s="168"/>
      <c r="X432" s="168"/>
      <c r="Y432" s="170"/>
      <c r="Z432" s="171"/>
      <c r="AA432" s="171"/>
      <c r="AB432" s="171"/>
      <c r="AC432" s="171"/>
      <c r="AD432" s="171"/>
      <c r="AE432" s="168"/>
      <c r="AF432" s="170"/>
      <c r="AG432" s="172"/>
      <c r="AH432"/>
      <c r="AI432"/>
    </row>
    <row r="433" spans="1:35" x14ac:dyDescent="0.25">
      <c r="A433"/>
      <c r="B433"/>
      <c r="C433"/>
      <c r="D433"/>
      <c r="E433"/>
      <c r="F433"/>
      <c r="G433"/>
      <c r="H433"/>
      <c r="I433"/>
      <c r="J433"/>
      <c r="K433"/>
      <c r="L433"/>
      <c r="M433"/>
      <c r="N433"/>
      <c r="O433"/>
      <c r="P433" s="168"/>
      <c r="Q433" s="168"/>
      <c r="R433" s="168"/>
      <c r="S433" s="169"/>
      <c r="T433" s="169"/>
      <c r="U433" s="169"/>
      <c r="V433" s="168"/>
      <c r="W433" s="168"/>
      <c r="X433" s="168"/>
      <c r="Y433" s="170"/>
      <c r="Z433" s="171"/>
      <c r="AA433" s="171"/>
      <c r="AB433" s="171"/>
      <c r="AC433" s="171"/>
      <c r="AD433" s="171"/>
      <c r="AE433" s="168"/>
      <c r="AF433" s="170"/>
      <c r="AG433" s="172"/>
      <c r="AH433"/>
      <c r="AI433"/>
    </row>
    <row r="434" spans="1:35" x14ac:dyDescent="0.25">
      <c r="A434"/>
      <c r="B434"/>
      <c r="C434"/>
      <c r="D434"/>
      <c r="E434"/>
      <c r="F434"/>
      <c r="G434"/>
      <c r="H434"/>
      <c r="I434"/>
      <c r="J434"/>
      <c r="K434"/>
      <c r="L434"/>
      <c r="M434"/>
      <c r="N434"/>
      <c r="O434"/>
      <c r="P434" s="168"/>
      <c r="Q434" s="168"/>
      <c r="R434" s="168"/>
      <c r="S434" s="169"/>
      <c r="T434" s="169"/>
      <c r="U434" s="169"/>
      <c r="V434" s="168"/>
      <c r="W434" s="168"/>
      <c r="X434" s="168"/>
      <c r="Y434" s="170"/>
      <c r="Z434" s="171"/>
      <c r="AA434" s="171"/>
      <c r="AB434" s="171"/>
      <c r="AC434" s="171"/>
      <c r="AD434" s="171"/>
      <c r="AE434" s="168"/>
      <c r="AF434" s="170"/>
      <c r="AG434" s="172"/>
      <c r="AH434"/>
      <c r="AI434"/>
    </row>
    <row r="435" spans="1:35" x14ac:dyDescent="0.25">
      <c r="A435"/>
      <c r="B435"/>
      <c r="C435"/>
      <c r="D435"/>
      <c r="E435"/>
      <c r="F435"/>
      <c r="G435"/>
      <c r="H435"/>
      <c r="I435"/>
      <c r="J435"/>
      <c r="K435"/>
      <c r="L435"/>
      <c r="M435"/>
      <c r="N435"/>
      <c r="O435"/>
      <c r="P435" s="168"/>
      <c r="Q435" s="168"/>
      <c r="R435" s="168"/>
      <c r="S435" s="169"/>
      <c r="T435" s="169"/>
      <c r="U435" s="169"/>
      <c r="V435" s="168"/>
      <c r="W435" s="168"/>
      <c r="X435" s="168"/>
      <c r="Y435" s="170"/>
      <c r="Z435" s="171"/>
      <c r="AA435" s="171"/>
      <c r="AB435" s="171"/>
      <c r="AC435" s="171"/>
      <c r="AD435" s="171"/>
      <c r="AE435" s="168"/>
      <c r="AF435" s="170"/>
      <c r="AG435" s="172"/>
      <c r="AH435"/>
      <c r="AI435"/>
    </row>
    <row r="436" spans="1:35" x14ac:dyDescent="0.25">
      <c r="A436"/>
      <c r="B436"/>
      <c r="C436"/>
      <c r="D436"/>
      <c r="E436"/>
      <c r="F436"/>
      <c r="G436"/>
      <c r="H436"/>
      <c r="I436"/>
      <c r="J436"/>
      <c r="K436"/>
      <c r="L436"/>
      <c r="M436"/>
      <c r="N436"/>
      <c r="O436"/>
      <c r="P436" s="168"/>
      <c r="Q436" s="168"/>
      <c r="R436" s="168"/>
      <c r="S436" s="169"/>
      <c r="T436" s="169"/>
      <c r="U436" s="169"/>
      <c r="V436" s="168"/>
      <c r="W436" s="168"/>
      <c r="X436" s="168"/>
      <c r="Y436" s="170"/>
      <c r="Z436" s="171"/>
      <c r="AA436" s="171"/>
      <c r="AB436" s="171"/>
      <c r="AC436" s="171"/>
      <c r="AD436" s="171"/>
      <c r="AE436" s="168"/>
      <c r="AF436" s="170"/>
      <c r="AG436" s="172"/>
      <c r="AH436"/>
      <c r="AI436"/>
    </row>
    <row r="437" spans="1:35" x14ac:dyDescent="0.25">
      <c r="A437"/>
      <c r="B437"/>
      <c r="C437"/>
      <c r="D437"/>
      <c r="E437"/>
      <c r="F437"/>
      <c r="G437"/>
      <c r="H437"/>
      <c r="I437"/>
      <c r="J437"/>
      <c r="K437"/>
      <c r="L437"/>
      <c r="M437"/>
      <c r="N437"/>
      <c r="O437"/>
      <c r="P437" s="168"/>
      <c r="Q437" s="168"/>
      <c r="R437" s="168"/>
      <c r="S437" s="169"/>
      <c r="T437" s="169"/>
      <c r="U437" s="169"/>
      <c r="V437" s="168"/>
      <c r="W437" s="168"/>
      <c r="X437" s="168"/>
      <c r="Y437" s="170"/>
      <c r="Z437" s="171"/>
      <c r="AA437" s="171"/>
      <c r="AB437" s="171"/>
      <c r="AC437" s="171"/>
      <c r="AD437" s="171"/>
      <c r="AE437" s="168"/>
      <c r="AF437" s="170"/>
      <c r="AG437" s="172"/>
      <c r="AH437"/>
      <c r="AI437"/>
    </row>
    <row r="438" spans="1:35" x14ac:dyDescent="0.25">
      <c r="A438"/>
      <c r="B438"/>
      <c r="C438"/>
      <c r="D438"/>
      <c r="E438"/>
      <c r="F438"/>
      <c r="G438"/>
      <c r="H438"/>
      <c r="I438"/>
      <c r="J438"/>
      <c r="K438"/>
      <c r="L438"/>
      <c r="M438"/>
      <c r="N438"/>
      <c r="O438"/>
      <c r="P438" s="168"/>
      <c r="Q438" s="168"/>
      <c r="R438" s="168"/>
      <c r="S438" s="169"/>
      <c r="T438" s="169"/>
      <c r="U438" s="169"/>
      <c r="V438" s="168"/>
      <c r="W438" s="168"/>
      <c r="X438" s="168"/>
      <c r="Y438" s="170"/>
      <c r="Z438" s="171"/>
      <c r="AA438" s="171"/>
      <c r="AB438" s="171"/>
      <c r="AC438" s="171"/>
      <c r="AD438" s="171"/>
      <c r="AE438" s="168"/>
      <c r="AF438" s="170"/>
      <c r="AG438" s="172"/>
      <c r="AH438"/>
      <c r="AI438"/>
    </row>
    <row r="439" spans="1:35" x14ac:dyDescent="0.25">
      <c r="A439"/>
      <c r="B439"/>
      <c r="C439"/>
      <c r="D439"/>
      <c r="E439"/>
      <c r="F439"/>
      <c r="G439"/>
      <c r="H439"/>
      <c r="I439"/>
      <c r="J439"/>
      <c r="K439"/>
      <c r="L439"/>
      <c r="M439"/>
      <c r="N439"/>
      <c r="O439"/>
      <c r="P439" s="168"/>
      <c r="Q439" s="168"/>
      <c r="R439" s="168"/>
      <c r="S439" s="169"/>
      <c r="T439" s="169"/>
      <c r="U439" s="169"/>
      <c r="V439" s="168"/>
      <c r="W439" s="168"/>
      <c r="X439" s="168"/>
      <c r="Y439" s="170"/>
      <c r="Z439" s="171"/>
      <c r="AA439" s="171"/>
      <c r="AB439" s="171"/>
      <c r="AC439" s="171"/>
      <c r="AD439" s="171"/>
      <c r="AE439" s="168"/>
      <c r="AF439" s="170"/>
      <c r="AG439" s="172"/>
      <c r="AH439"/>
      <c r="AI439"/>
    </row>
    <row r="440" spans="1:35" x14ac:dyDescent="0.25">
      <c r="A440"/>
      <c r="B440"/>
      <c r="C440"/>
      <c r="D440"/>
      <c r="E440"/>
      <c r="F440"/>
      <c r="G440"/>
      <c r="H440"/>
      <c r="I440"/>
      <c r="J440"/>
      <c r="K440"/>
      <c r="L440"/>
      <c r="M440"/>
      <c r="N440"/>
      <c r="O440"/>
      <c r="P440" s="168"/>
      <c r="Q440" s="168"/>
      <c r="R440" s="168"/>
      <c r="S440" s="169"/>
      <c r="T440" s="169"/>
      <c r="U440" s="169"/>
      <c r="V440" s="168"/>
      <c r="W440" s="168"/>
      <c r="X440" s="168"/>
      <c r="Y440" s="170"/>
      <c r="Z440" s="171"/>
      <c r="AA440" s="171"/>
      <c r="AB440" s="171"/>
      <c r="AC440" s="171"/>
      <c r="AD440" s="171"/>
      <c r="AE440" s="168"/>
      <c r="AF440" s="170"/>
      <c r="AG440" s="172"/>
      <c r="AH440"/>
      <c r="AI440"/>
    </row>
    <row r="441" spans="1:35" x14ac:dyDescent="0.25">
      <c r="A441"/>
      <c r="B441"/>
      <c r="C441"/>
      <c r="D441"/>
      <c r="E441"/>
      <c r="F441"/>
      <c r="G441"/>
      <c r="H441"/>
      <c r="I441"/>
      <c r="J441"/>
      <c r="K441"/>
      <c r="L441"/>
      <c r="M441"/>
      <c r="N441"/>
      <c r="O441"/>
      <c r="P441" s="168"/>
      <c r="Q441" s="168"/>
      <c r="R441" s="168"/>
      <c r="S441" s="169"/>
      <c r="T441" s="169"/>
      <c r="U441" s="169"/>
      <c r="V441" s="168"/>
      <c r="W441" s="168"/>
      <c r="X441" s="168"/>
      <c r="Y441" s="170"/>
      <c r="Z441" s="171"/>
      <c r="AA441" s="171"/>
      <c r="AB441" s="171"/>
      <c r="AC441" s="171"/>
      <c r="AD441" s="171"/>
      <c r="AE441" s="168"/>
      <c r="AF441" s="170"/>
      <c r="AG441" s="172"/>
      <c r="AH441"/>
      <c r="AI441"/>
    </row>
    <row r="442" spans="1:35" x14ac:dyDescent="0.25">
      <c r="A442"/>
      <c r="B442"/>
      <c r="C442"/>
      <c r="D442"/>
      <c r="E442"/>
      <c r="F442"/>
      <c r="G442"/>
      <c r="H442"/>
      <c r="I442"/>
      <c r="J442"/>
      <c r="K442"/>
      <c r="L442"/>
      <c r="M442"/>
      <c r="N442"/>
      <c r="O442"/>
      <c r="P442" s="168"/>
      <c r="Q442" s="168"/>
      <c r="R442" s="168"/>
      <c r="S442" s="169"/>
      <c r="T442" s="169"/>
      <c r="U442" s="169"/>
      <c r="V442" s="168"/>
      <c r="W442" s="168"/>
      <c r="X442" s="168"/>
      <c r="Y442" s="170"/>
      <c r="Z442" s="171"/>
      <c r="AA442" s="171"/>
      <c r="AB442" s="171"/>
      <c r="AC442" s="171"/>
      <c r="AD442" s="171"/>
      <c r="AE442" s="168"/>
      <c r="AF442" s="170"/>
      <c r="AG442" s="172"/>
      <c r="AH442"/>
      <c r="AI442"/>
    </row>
    <row r="443" spans="1:35" x14ac:dyDescent="0.25">
      <c r="A443"/>
      <c r="B443"/>
      <c r="C443"/>
      <c r="D443"/>
      <c r="E443"/>
      <c r="F443"/>
      <c r="G443"/>
      <c r="H443"/>
      <c r="I443"/>
      <c r="J443"/>
      <c r="K443"/>
      <c r="L443"/>
      <c r="M443"/>
      <c r="N443"/>
      <c r="O443"/>
      <c r="P443" s="168"/>
      <c r="Q443" s="168"/>
      <c r="R443" s="168"/>
      <c r="S443" s="169"/>
      <c r="T443" s="169"/>
      <c r="U443" s="169"/>
      <c r="V443" s="168"/>
      <c r="W443" s="168"/>
      <c r="X443" s="168"/>
      <c r="Y443" s="170"/>
      <c r="Z443" s="171"/>
      <c r="AA443" s="171"/>
      <c r="AB443" s="171"/>
      <c r="AC443" s="171"/>
      <c r="AD443" s="171"/>
      <c r="AE443" s="168"/>
      <c r="AF443" s="170"/>
      <c r="AG443" s="172"/>
      <c r="AH443"/>
      <c r="AI443"/>
    </row>
    <row r="444" spans="1:35" x14ac:dyDescent="0.25">
      <c r="A444"/>
      <c r="B444"/>
      <c r="C444"/>
      <c r="D444"/>
      <c r="E444"/>
      <c r="F444"/>
      <c r="G444"/>
      <c r="H444"/>
      <c r="I444"/>
      <c r="J444"/>
      <c r="K444"/>
      <c r="L444"/>
      <c r="M444"/>
      <c r="N444"/>
      <c r="O444"/>
      <c r="P444" s="168"/>
      <c r="Q444" s="168"/>
      <c r="R444" s="168"/>
      <c r="S444" s="169"/>
      <c r="T444" s="169"/>
      <c r="U444" s="169"/>
      <c r="V444" s="168"/>
      <c r="W444" s="168"/>
      <c r="X444" s="168"/>
      <c r="Y444" s="170"/>
      <c r="Z444" s="171"/>
      <c r="AA444" s="171"/>
      <c r="AB444" s="171"/>
      <c r="AC444" s="171"/>
      <c r="AD444" s="171"/>
      <c r="AE444" s="168"/>
      <c r="AF444" s="170"/>
      <c r="AG444" s="172"/>
      <c r="AH444"/>
      <c r="AI444"/>
    </row>
    <row r="445" spans="1:35" x14ac:dyDescent="0.25">
      <c r="A445"/>
      <c r="B445"/>
      <c r="C445"/>
      <c r="D445"/>
      <c r="E445"/>
      <c r="F445"/>
      <c r="G445"/>
      <c r="H445"/>
      <c r="I445"/>
      <c r="J445"/>
      <c r="K445"/>
      <c r="L445"/>
      <c r="M445"/>
      <c r="N445"/>
      <c r="O445"/>
      <c r="P445" s="168"/>
      <c r="Q445" s="168"/>
      <c r="R445" s="168"/>
      <c r="S445" s="169"/>
      <c r="T445" s="169"/>
      <c r="U445" s="169"/>
      <c r="V445" s="168"/>
      <c r="W445" s="168"/>
      <c r="X445" s="168"/>
      <c r="Y445" s="170"/>
      <c r="Z445" s="171"/>
      <c r="AA445" s="171"/>
      <c r="AB445" s="171"/>
      <c r="AC445" s="171"/>
      <c r="AD445" s="171"/>
      <c r="AE445" s="168"/>
      <c r="AF445" s="170"/>
      <c r="AG445" s="172"/>
      <c r="AH445"/>
      <c r="AI445"/>
    </row>
    <row r="446" spans="1:35" x14ac:dyDescent="0.25">
      <c r="A446"/>
      <c r="B446"/>
      <c r="C446"/>
      <c r="D446"/>
      <c r="E446"/>
      <c r="F446"/>
      <c r="G446"/>
      <c r="H446"/>
      <c r="I446"/>
      <c r="J446"/>
      <c r="K446"/>
      <c r="L446"/>
      <c r="M446"/>
      <c r="N446"/>
      <c r="O446"/>
      <c r="P446" s="168"/>
      <c r="Q446" s="168"/>
      <c r="R446" s="168"/>
      <c r="S446" s="169"/>
      <c r="T446" s="169"/>
      <c r="U446" s="169"/>
      <c r="V446" s="168"/>
      <c r="W446" s="168"/>
      <c r="X446" s="168"/>
      <c r="Y446" s="170"/>
      <c r="Z446" s="171"/>
      <c r="AA446" s="171"/>
      <c r="AB446" s="171"/>
      <c r="AC446" s="171"/>
      <c r="AD446" s="171"/>
      <c r="AE446" s="168"/>
      <c r="AF446" s="170"/>
      <c r="AG446" s="172"/>
      <c r="AH446"/>
      <c r="AI446"/>
    </row>
    <row r="447" spans="1:35" x14ac:dyDescent="0.25">
      <c r="A447"/>
      <c r="B447"/>
      <c r="C447"/>
      <c r="D447"/>
      <c r="E447"/>
      <c r="F447"/>
      <c r="G447"/>
      <c r="H447"/>
      <c r="I447"/>
      <c r="J447"/>
      <c r="K447"/>
      <c r="L447"/>
      <c r="M447"/>
      <c r="N447"/>
      <c r="O447"/>
      <c r="P447" s="168"/>
      <c r="Q447" s="168"/>
      <c r="R447" s="168"/>
      <c r="S447" s="169"/>
      <c r="T447" s="169"/>
      <c r="U447" s="169"/>
      <c r="V447" s="168"/>
      <c r="W447" s="168"/>
      <c r="X447" s="168"/>
      <c r="Y447" s="170"/>
      <c r="Z447" s="171"/>
      <c r="AA447" s="171"/>
      <c r="AB447" s="171"/>
      <c r="AC447" s="171"/>
      <c r="AD447" s="171"/>
      <c r="AE447" s="168"/>
      <c r="AF447" s="170"/>
      <c r="AG447" s="172"/>
      <c r="AH447"/>
      <c r="AI447"/>
    </row>
    <row r="448" spans="1:35" x14ac:dyDescent="0.25">
      <c r="A448"/>
      <c r="B448"/>
      <c r="C448"/>
      <c r="D448"/>
      <c r="E448"/>
      <c r="F448"/>
      <c r="G448"/>
      <c r="H448"/>
      <c r="I448"/>
      <c r="J448"/>
      <c r="K448"/>
      <c r="L448"/>
      <c r="M448"/>
      <c r="N448"/>
      <c r="O448"/>
      <c r="P448" s="168"/>
      <c r="Q448" s="168"/>
      <c r="R448" s="168"/>
      <c r="S448" s="169"/>
      <c r="T448" s="169"/>
      <c r="U448" s="169"/>
      <c r="V448" s="168"/>
      <c r="W448" s="168"/>
      <c r="X448" s="168"/>
      <c r="Y448" s="170"/>
      <c r="Z448" s="171"/>
      <c r="AA448" s="171"/>
      <c r="AB448" s="171"/>
      <c r="AC448" s="171"/>
      <c r="AD448" s="171"/>
      <c r="AE448" s="168"/>
      <c r="AF448" s="170"/>
      <c r="AG448" s="172"/>
      <c r="AH448"/>
      <c r="AI448"/>
    </row>
    <row r="449" spans="1:35" x14ac:dyDescent="0.25">
      <c r="A449"/>
      <c r="B449"/>
      <c r="C449"/>
      <c r="D449"/>
      <c r="E449"/>
      <c r="F449"/>
      <c r="G449"/>
      <c r="H449"/>
      <c r="I449"/>
      <c r="J449"/>
      <c r="K449"/>
      <c r="L449"/>
      <c r="M449"/>
      <c r="N449"/>
      <c r="O449"/>
      <c r="P449" s="168"/>
      <c r="Q449" s="168"/>
      <c r="R449" s="168"/>
      <c r="S449" s="169"/>
      <c r="T449" s="169"/>
      <c r="U449" s="169"/>
      <c r="V449" s="168"/>
      <c r="W449" s="168"/>
      <c r="X449" s="168"/>
      <c r="Y449" s="170"/>
      <c r="Z449" s="171"/>
      <c r="AA449" s="171"/>
      <c r="AB449" s="171"/>
      <c r="AC449" s="171"/>
      <c r="AD449" s="171"/>
      <c r="AE449" s="168"/>
      <c r="AF449" s="170"/>
      <c r="AG449" s="172"/>
      <c r="AH449"/>
      <c r="AI449"/>
    </row>
    <row r="450" spans="1:35" x14ac:dyDescent="0.25">
      <c r="A450"/>
      <c r="B450"/>
      <c r="C450"/>
      <c r="D450"/>
      <c r="E450"/>
      <c r="F450"/>
      <c r="G450"/>
      <c r="H450"/>
      <c r="I450"/>
      <c r="J450"/>
      <c r="K450"/>
      <c r="L450"/>
      <c r="M450"/>
      <c r="N450"/>
      <c r="O450"/>
      <c r="P450" s="168"/>
      <c r="Q450" s="168"/>
      <c r="R450" s="168"/>
      <c r="S450" s="169"/>
      <c r="T450" s="169"/>
      <c r="U450" s="169"/>
      <c r="V450" s="168"/>
      <c r="W450" s="168"/>
      <c r="X450" s="168"/>
      <c r="Y450" s="170"/>
      <c r="Z450" s="171"/>
      <c r="AA450" s="171"/>
      <c r="AB450" s="171"/>
      <c r="AC450" s="171"/>
      <c r="AD450" s="171"/>
      <c r="AE450" s="168"/>
      <c r="AF450" s="170"/>
      <c r="AG450" s="172"/>
      <c r="AH450"/>
      <c r="AI450"/>
    </row>
    <row r="451" spans="1:35" x14ac:dyDescent="0.25">
      <c r="A451"/>
      <c r="B451"/>
      <c r="C451"/>
      <c r="D451"/>
      <c r="E451"/>
      <c r="F451"/>
      <c r="G451"/>
      <c r="H451"/>
      <c r="I451"/>
      <c r="J451"/>
      <c r="K451"/>
      <c r="L451"/>
      <c r="M451"/>
      <c r="N451"/>
      <c r="O451"/>
      <c r="P451" s="168"/>
      <c r="Q451" s="168"/>
      <c r="R451" s="168"/>
      <c r="S451" s="169"/>
      <c r="T451" s="169"/>
      <c r="U451" s="169"/>
      <c r="V451" s="168"/>
      <c r="W451" s="168"/>
      <c r="X451" s="168"/>
      <c r="Y451" s="170"/>
      <c r="Z451" s="171"/>
      <c r="AA451" s="171"/>
      <c r="AB451" s="171"/>
      <c r="AC451" s="171"/>
      <c r="AD451" s="171"/>
      <c r="AE451" s="168"/>
      <c r="AF451" s="170"/>
      <c r="AG451" s="172"/>
      <c r="AH451"/>
      <c r="AI451"/>
    </row>
    <row r="452" spans="1:35" x14ac:dyDescent="0.25">
      <c r="A452"/>
      <c r="B452"/>
      <c r="C452"/>
      <c r="D452"/>
      <c r="E452"/>
      <c r="F452"/>
      <c r="G452"/>
      <c r="H452"/>
      <c r="I452"/>
      <c r="J452"/>
      <c r="K452"/>
      <c r="L452"/>
      <c r="M452"/>
      <c r="N452"/>
      <c r="O452"/>
      <c r="P452" s="168"/>
      <c r="Q452" s="168"/>
      <c r="R452" s="168"/>
      <c r="S452" s="169"/>
      <c r="T452" s="169"/>
      <c r="U452" s="169"/>
      <c r="V452" s="168"/>
      <c r="W452" s="168"/>
      <c r="X452" s="168"/>
      <c r="Y452" s="170"/>
      <c r="Z452" s="171"/>
      <c r="AA452" s="171"/>
      <c r="AB452" s="171"/>
      <c r="AC452" s="171"/>
      <c r="AD452" s="171"/>
      <c r="AE452" s="168"/>
      <c r="AF452" s="170"/>
      <c r="AG452" s="172"/>
      <c r="AH452"/>
      <c r="AI452"/>
    </row>
    <row r="453" spans="1:35" x14ac:dyDescent="0.25">
      <c r="A453"/>
      <c r="B453"/>
      <c r="C453"/>
      <c r="D453"/>
      <c r="E453"/>
      <c r="F453"/>
      <c r="G453"/>
      <c r="H453"/>
      <c r="I453"/>
      <c r="J453"/>
      <c r="K453"/>
      <c r="L453"/>
      <c r="M453"/>
      <c r="N453"/>
      <c r="O453"/>
      <c r="P453" s="168"/>
      <c r="Q453" s="168"/>
      <c r="R453" s="168"/>
      <c r="S453" s="169"/>
      <c r="T453" s="169"/>
      <c r="U453" s="169"/>
      <c r="V453" s="168"/>
      <c r="W453" s="168"/>
      <c r="X453" s="168"/>
      <c r="Y453" s="170"/>
      <c r="Z453" s="171"/>
      <c r="AA453" s="171"/>
      <c r="AB453" s="171"/>
      <c r="AC453" s="171"/>
      <c r="AD453" s="171"/>
      <c r="AE453" s="168"/>
      <c r="AF453" s="170"/>
      <c r="AG453" s="172"/>
      <c r="AH453"/>
      <c r="AI453"/>
    </row>
    <row r="454" spans="1:35" x14ac:dyDescent="0.25">
      <c r="A454"/>
      <c r="B454"/>
      <c r="C454"/>
      <c r="D454"/>
      <c r="E454"/>
      <c r="F454"/>
      <c r="G454"/>
      <c r="H454"/>
      <c r="I454"/>
      <c r="J454"/>
      <c r="K454"/>
      <c r="L454"/>
      <c r="M454"/>
      <c r="N454"/>
      <c r="O454"/>
      <c r="P454" s="168"/>
      <c r="Q454" s="168"/>
      <c r="R454" s="168"/>
      <c r="S454" s="169"/>
      <c r="T454" s="169"/>
      <c r="U454" s="169"/>
      <c r="V454" s="168"/>
      <c r="W454" s="168"/>
      <c r="X454" s="168"/>
      <c r="Y454" s="170"/>
      <c r="Z454" s="171"/>
      <c r="AA454" s="171"/>
      <c r="AB454" s="171"/>
      <c r="AC454" s="171"/>
      <c r="AD454" s="171"/>
      <c r="AE454" s="168"/>
      <c r="AF454" s="170"/>
      <c r="AG454" s="172"/>
      <c r="AH454"/>
      <c r="AI454"/>
    </row>
    <row r="455" spans="1:35" x14ac:dyDescent="0.25">
      <c r="A455"/>
      <c r="B455"/>
      <c r="C455"/>
      <c r="D455"/>
      <c r="E455"/>
      <c r="F455"/>
      <c r="G455"/>
      <c r="H455"/>
      <c r="I455"/>
      <c r="J455"/>
      <c r="K455"/>
      <c r="L455"/>
      <c r="M455"/>
      <c r="N455"/>
      <c r="O455"/>
      <c r="P455" s="168"/>
      <c r="Q455" s="168"/>
      <c r="R455" s="168"/>
      <c r="S455" s="169"/>
      <c r="T455" s="169"/>
      <c r="U455" s="169"/>
      <c r="V455" s="168"/>
      <c r="W455" s="168"/>
      <c r="X455" s="168"/>
      <c r="Y455" s="170"/>
      <c r="Z455" s="171"/>
      <c r="AA455" s="171"/>
      <c r="AB455" s="171"/>
      <c r="AC455" s="171"/>
      <c r="AD455" s="171"/>
      <c r="AE455" s="168"/>
      <c r="AF455" s="170"/>
      <c r="AG455" s="172"/>
      <c r="AH455"/>
      <c r="AI455"/>
    </row>
    <row r="456" spans="1:35" x14ac:dyDescent="0.25">
      <c r="A456"/>
      <c r="B456"/>
      <c r="C456"/>
      <c r="D456"/>
      <c r="E456"/>
      <c r="F456"/>
      <c r="G456"/>
      <c r="H456"/>
      <c r="I456"/>
      <c r="J456"/>
      <c r="K456"/>
      <c r="L456"/>
      <c r="M456"/>
      <c r="N456"/>
      <c r="O456"/>
      <c r="P456" s="168"/>
      <c r="Q456" s="168"/>
      <c r="R456" s="168"/>
      <c r="S456" s="169"/>
      <c r="T456" s="169"/>
      <c r="U456" s="169"/>
      <c r="V456" s="168"/>
      <c r="W456" s="168"/>
      <c r="X456" s="168"/>
      <c r="Y456" s="170"/>
      <c r="Z456" s="171"/>
      <c r="AA456" s="171"/>
      <c r="AB456" s="171"/>
      <c r="AC456" s="171"/>
      <c r="AD456" s="171"/>
      <c r="AE456" s="168"/>
      <c r="AF456" s="170"/>
      <c r="AG456" s="172"/>
      <c r="AH456"/>
      <c r="AI456"/>
    </row>
    <row r="457" spans="1:35" x14ac:dyDescent="0.25">
      <c r="A457"/>
      <c r="B457"/>
      <c r="C457"/>
      <c r="D457"/>
      <c r="E457"/>
      <c r="F457"/>
      <c r="G457"/>
      <c r="H457"/>
      <c r="I457"/>
      <c r="J457"/>
      <c r="K457"/>
      <c r="L457"/>
      <c r="M457"/>
      <c r="N457"/>
      <c r="O457"/>
      <c r="P457" s="168"/>
      <c r="Q457" s="168"/>
      <c r="R457" s="168"/>
      <c r="S457" s="169"/>
      <c r="T457" s="169"/>
      <c r="U457" s="169"/>
      <c r="V457" s="168"/>
      <c r="W457" s="168"/>
      <c r="X457" s="168"/>
      <c r="Y457" s="170"/>
      <c r="Z457" s="171"/>
      <c r="AA457" s="171"/>
      <c r="AB457" s="171"/>
      <c r="AC457" s="171"/>
      <c r="AD457" s="171"/>
      <c r="AE457" s="168"/>
      <c r="AF457" s="170"/>
      <c r="AG457" s="172"/>
      <c r="AH457"/>
      <c r="AI457"/>
    </row>
    <row r="458" spans="1:35" x14ac:dyDescent="0.25">
      <c r="A458"/>
      <c r="B458"/>
      <c r="C458"/>
      <c r="D458"/>
      <c r="E458"/>
      <c r="F458"/>
      <c r="G458"/>
      <c r="H458"/>
      <c r="I458"/>
      <c r="J458"/>
      <c r="K458"/>
      <c r="L458"/>
      <c r="M458"/>
      <c r="N458"/>
      <c r="O458"/>
      <c r="P458" s="168"/>
      <c r="Q458" s="168"/>
      <c r="R458" s="168"/>
      <c r="S458" s="169"/>
      <c r="T458" s="169"/>
      <c r="U458" s="169"/>
      <c r="V458" s="168"/>
      <c r="W458" s="168"/>
      <c r="X458" s="168"/>
      <c r="Y458" s="170"/>
      <c r="Z458" s="171"/>
      <c r="AA458" s="171"/>
      <c r="AB458" s="171"/>
      <c r="AC458" s="171"/>
      <c r="AD458" s="171"/>
      <c r="AE458" s="168"/>
      <c r="AF458" s="170"/>
      <c r="AG458" s="172"/>
      <c r="AH458"/>
      <c r="AI458"/>
    </row>
    <row r="459" spans="1:35" x14ac:dyDescent="0.25">
      <c r="A459"/>
      <c r="B459"/>
      <c r="C459"/>
      <c r="D459"/>
      <c r="E459"/>
      <c r="F459"/>
      <c r="G459"/>
      <c r="H459"/>
      <c r="I459"/>
      <c r="J459"/>
      <c r="K459"/>
      <c r="L459"/>
      <c r="M459"/>
      <c r="N459"/>
      <c r="O459"/>
      <c r="P459" s="168"/>
      <c r="Q459" s="168"/>
      <c r="R459" s="168"/>
      <c r="S459" s="169"/>
      <c r="T459" s="169"/>
      <c r="U459" s="169"/>
      <c r="V459" s="168"/>
      <c r="W459" s="168"/>
      <c r="X459" s="168"/>
      <c r="Y459" s="170"/>
      <c r="Z459" s="171"/>
      <c r="AA459" s="171"/>
      <c r="AB459" s="171"/>
      <c r="AC459" s="171"/>
      <c r="AD459" s="171"/>
      <c r="AE459" s="168"/>
      <c r="AF459" s="170"/>
      <c r="AG459" s="172"/>
      <c r="AH459"/>
      <c r="AI459"/>
    </row>
    <row r="460" spans="1:35" x14ac:dyDescent="0.25">
      <c r="A460"/>
      <c r="B460"/>
      <c r="C460"/>
      <c r="D460"/>
      <c r="E460"/>
      <c r="F460"/>
      <c r="G460"/>
      <c r="H460"/>
      <c r="I460"/>
      <c r="J460"/>
      <c r="K460"/>
      <c r="L460"/>
      <c r="M460"/>
      <c r="N460"/>
      <c r="O460"/>
      <c r="P460" s="168"/>
      <c r="Q460" s="168"/>
      <c r="R460" s="168"/>
      <c r="S460" s="169"/>
      <c r="T460" s="169"/>
      <c r="U460" s="169"/>
      <c r="V460" s="168"/>
      <c r="W460" s="168"/>
      <c r="X460" s="168"/>
      <c r="Y460" s="170"/>
      <c r="Z460" s="171"/>
      <c r="AA460" s="171"/>
      <c r="AB460" s="171"/>
      <c r="AC460" s="171"/>
      <c r="AD460" s="171"/>
      <c r="AE460" s="168"/>
      <c r="AF460" s="170"/>
      <c r="AG460" s="172"/>
      <c r="AH460"/>
      <c r="AI460"/>
    </row>
    <row r="461" spans="1:35" x14ac:dyDescent="0.25">
      <c r="A461"/>
      <c r="B461"/>
      <c r="C461"/>
      <c r="D461"/>
      <c r="E461"/>
      <c r="F461"/>
      <c r="G461"/>
      <c r="H461"/>
      <c r="I461"/>
      <c r="J461"/>
      <c r="K461"/>
      <c r="L461"/>
      <c r="M461"/>
      <c r="N461"/>
      <c r="O461"/>
      <c r="P461" s="168"/>
      <c r="Q461" s="168"/>
      <c r="R461" s="168"/>
      <c r="S461" s="169"/>
      <c r="T461" s="169"/>
      <c r="U461" s="169"/>
      <c r="V461" s="168"/>
      <c r="W461" s="168"/>
      <c r="X461" s="168"/>
      <c r="Y461" s="170"/>
      <c r="Z461" s="171"/>
      <c r="AA461" s="171"/>
      <c r="AB461" s="171"/>
      <c r="AC461" s="171"/>
      <c r="AD461" s="171"/>
      <c r="AE461" s="168"/>
      <c r="AF461" s="170"/>
      <c r="AG461" s="172"/>
      <c r="AH461"/>
      <c r="AI461"/>
    </row>
    <row r="462" spans="1:35" x14ac:dyDescent="0.25">
      <c r="A462"/>
      <c r="B462"/>
      <c r="C462"/>
      <c r="D462"/>
      <c r="E462"/>
      <c r="F462"/>
      <c r="G462"/>
      <c r="H462"/>
      <c r="I462"/>
      <c r="J462"/>
      <c r="K462"/>
      <c r="L462"/>
      <c r="M462"/>
      <c r="N462"/>
      <c r="O462"/>
      <c r="P462" s="168"/>
      <c r="Q462" s="168"/>
      <c r="R462" s="168"/>
      <c r="S462" s="169"/>
      <c r="T462" s="169"/>
      <c r="U462" s="169"/>
      <c r="V462" s="168"/>
      <c r="W462" s="168"/>
      <c r="X462" s="168"/>
      <c r="Y462" s="170"/>
      <c r="Z462" s="171"/>
      <c r="AA462" s="171"/>
      <c r="AB462" s="171"/>
      <c r="AC462" s="171"/>
      <c r="AD462" s="171"/>
      <c r="AE462" s="168"/>
      <c r="AF462" s="170"/>
      <c r="AG462" s="172"/>
      <c r="AH462"/>
      <c r="AI462"/>
    </row>
    <row r="463" spans="1:35" x14ac:dyDescent="0.25">
      <c r="A463"/>
      <c r="B463"/>
      <c r="C463"/>
      <c r="D463"/>
      <c r="E463"/>
      <c r="F463"/>
      <c r="G463"/>
      <c r="H463"/>
      <c r="I463"/>
      <c r="J463"/>
      <c r="K463"/>
      <c r="L463"/>
      <c r="M463"/>
      <c r="N463"/>
      <c r="O463"/>
      <c r="P463" s="168"/>
      <c r="Q463" s="168"/>
      <c r="R463" s="168"/>
      <c r="S463" s="169"/>
      <c r="T463" s="169"/>
      <c r="U463" s="169"/>
      <c r="V463" s="168"/>
      <c r="W463" s="168"/>
      <c r="X463" s="168"/>
      <c r="Y463" s="170"/>
      <c r="Z463" s="171"/>
      <c r="AA463" s="171"/>
      <c r="AB463" s="171"/>
      <c r="AC463" s="171"/>
      <c r="AD463" s="171"/>
      <c r="AE463" s="168"/>
      <c r="AF463" s="170"/>
      <c r="AG463" s="172"/>
      <c r="AH463"/>
      <c r="AI463"/>
    </row>
    <row r="464" spans="1:35" x14ac:dyDescent="0.25">
      <c r="A464"/>
      <c r="B464"/>
      <c r="C464"/>
      <c r="D464"/>
      <c r="E464"/>
      <c r="F464"/>
      <c r="G464"/>
      <c r="H464"/>
      <c r="I464"/>
      <c r="J464"/>
      <c r="K464"/>
      <c r="L464"/>
      <c r="M464"/>
      <c r="N464"/>
      <c r="O464"/>
      <c r="P464" s="168"/>
      <c r="Q464" s="168"/>
      <c r="R464" s="168"/>
      <c r="S464" s="169"/>
      <c r="T464" s="169"/>
      <c r="U464" s="169"/>
      <c r="V464" s="168"/>
      <c r="W464" s="168"/>
      <c r="X464" s="168"/>
      <c r="Y464" s="170"/>
      <c r="Z464" s="171"/>
      <c r="AA464" s="171"/>
      <c r="AB464" s="171"/>
      <c r="AC464" s="171"/>
      <c r="AD464" s="171"/>
      <c r="AE464" s="168"/>
      <c r="AF464" s="170"/>
      <c r="AG464" s="172"/>
      <c r="AH464"/>
      <c r="AI464"/>
    </row>
    <row r="465" spans="1:35" x14ac:dyDescent="0.25">
      <c r="A465"/>
      <c r="B465"/>
      <c r="C465"/>
      <c r="D465"/>
      <c r="E465"/>
      <c r="F465"/>
      <c r="G465"/>
      <c r="H465"/>
      <c r="I465"/>
      <c r="J465"/>
      <c r="K465"/>
      <c r="L465"/>
      <c r="M465"/>
      <c r="N465"/>
      <c r="O465"/>
      <c r="P465" s="168"/>
      <c r="Q465" s="168"/>
      <c r="R465" s="168"/>
      <c r="S465" s="169"/>
      <c r="T465" s="169"/>
      <c r="U465" s="169"/>
      <c r="V465" s="168"/>
      <c r="W465" s="168"/>
      <c r="X465" s="168"/>
      <c r="Y465" s="170"/>
      <c r="Z465" s="171"/>
      <c r="AA465" s="171"/>
      <c r="AB465" s="171"/>
      <c r="AC465" s="171"/>
      <c r="AD465" s="171"/>
      <c r="AE465" s="168"/>
      <c r="AF465" s="170"/>
      <c r="AG465" s="172"/>
      <c r="AH465"/>
      <c r="AI465"/>
    </row>
    <row r="466" spans="1:35" x14ac:dyDescent="0.25">
      <c r="A466"/>
      <c r="B466"/>
      <c r="C466"/>
      <c r="D466"/>
      <c r="E466"/>
      <c r="F466"/>
      <c r="G466"/>
      <c r="H466"/>
      <c r="I466"/>
      <c r="J466"/>
      <c r="K466"/>
      <c r="L466"/>
      <c r="M466"/>
      <c r="N466"/>
      <c r="O466"/>
      <c r="P466" s="168"/>
      <c r="Q466" s="168"/>
      <c r="R466" s="168"/>
      <c r="S466" s="169"/>
      <c r="T466" s="169"/>
      <c r="U466" s="169"/>
      <c r="V466" s="168"/>
      <c r="W466" s="168"/>
      <c r="X466" s="168"/>
      <c r="Y466" s="170"/>
      <c r="Z466" s="171"/>
      <c r="AA466" s="171"/>
      <c r="AB466" s="171"/>
      <c r="AC466" s="171"/>
      <c r="AD466" s="171"/>
      <c r="AE466" s="168"/>
      <c r="AF466" s="170"/>
      <c r="AG466" s="172"/>
      <c r="AH466"/>
      <c r="AI466"/>
    </row>
    <row r="467" spans="1:35" x14ac:dyDescent="0.25">
      <c r="A467"/>
      <c r="B467"/>
      <c r="C467"/>
      <c r="D467"/>
      <c r="E467"/>
      <c r="F467"/>
      <c r="G467"/>
      <c r="H467"/>
      <c r="I467"/>
      <c r="J467"/>
      <c r="K467"/>
      <c r="L467"/>
      <c r="M467"/>
      <c r="N467"/>
      <c r="O467"/>
      <c r="P467" s="168"/>
      <c r="Q467" s="168"/>
      <c r="R467" s="168"/>
      <c r="S467" s="169"/>
      <c r="T467" s="169"/>
      <c r="U467" s="169"/>
      <c r="V467" s="168"/>
      <c r="W467" s="168"/>
      <c r="X467" s="168"/>
      <c r="Y467" s="170"/>
      <c r="Z467" s="171"/>
      <c r="AA467" s="171"/>
      <c r="AB467" s="171"/>
      <c r="AC467" s="171"/>
      <c r="AD467" s="171"/>
      <c r="AE467" s="168"/>
      <c r="AF467" s="170"/>
      <c r="AG467" s="172"/>
      <c r="AH467"/>
      <c r="AI467"/>
    </row>
    <row r="468" spans="1:35" x14ac:dyDescent="0.25">
      <c r="A468"/>
      <c r="B468"/>
      <c r="C468"/>
      <c r="D468"/>
      <c r="E468"/>
      <c r="F468"/>
      <c r="G468"/>
      <c r="H468"/>
      <c r="I468"/>
      <c r="J468"/>
      <c r="K468"/>
      <c r="L468"/>
      <c r="M468"/>
      <c r="N468"/>
      <c r="O468"/>
      <c r="P468" s="168"/>
      <c r="Q468" s="168"/>
      <c r="R468" s="168"/>
      <c r="S468" s="169"/>
      <c r="T468" s="169"/>
      <c r="U468" s="169"/>
      <c r="V468" s="168"/>
      <c r="W468" s="168"/>
      <c r="X468" s="168"/>
      <c r="Y468" s="170"/>
      <c r="Z468" s="171"/>
      <c r="AA468" s="171"/>
      <c r="AB468" s="171"/>
      <c r="AC468" s="171"/>
      <c r="AD468" s="171"/>
      <c r="AE468" s="168"/>
      <c r="AF468" s="170"/>
      <c r="AG468" s="172"/>
      <c r="AH468"/>
      <c r="AI468"/>
    </row>
    <row r="469" spans="1:35" x14ac:dyDescent="0.25">
      <c r="A469"/>
      <c r="B469"/>
      <c r="C469"/>
      <c r="D469"/>
      <c r="E469"/>
      <c r="F469"/>
      <c r="G469"/>
      <c r="H469"/>
      <c r="I469"/>
      <c r="J469"/>
      <c r="K469"/>
      <c r="L469"/>
      <c r="M469"/>
      <c r="N469"/>
      <c r="O469"/>
      <c r="P469" s="168"/>
      <c r="Q469" s="168"/>
      <c r="R469" s="168"/>
      <c r="S469" s="169"/>
      <c r="T469" s="169"/>
      <c r="U469" s="169"/>
      <c r="V469" s="168"/>
      <c r="W469" s="168"/>
      <c r="X469" s="168"/>
      <c r="Y469" s="170"/>
      <c r="Z469" s="171"/>
      <c r="AA469" s="171"/>
      <c r="AB469" s="171"/>
      <c r="AC469" s="171"/>
      <c r="AD469" s="171"/>
      <c r="AE469" s="168"/>
      <c r="AF469" s="170"/>
      <c r="AG469" s="172"/>
      <c r="AH469"/>
      <c r="AI469"/>
    </row>
    <row r="470" spans="1:35" x14ac:dyDescent="0.25">
      <c r="A470"/>
      <c r="B470"/>
      <c r="C470"/>
      <c r="D470"/>
      <c r="E470"/>
      <c r="F470"/>
      <c r="G470"/>
      <c r="H470"/>
      <c r="I470"/>
      <c r="J470"/>
      <c r="K470"/>
      <c r="L470"/>
      <c r="M470"/>
      <c r="N470"/>
      <c r="O470"/>
      <c r="P470" s="168"/>
      <c r="Q470" s="168"/>
      <c r="R470" s="168"/>
      <c r="S470" s="169"/>
      <c r="T470" s="169"/>
      <c r="U470" s="169"/>
      <c r="V470" s="168"/>
      <c r="W470" s="168"/>
      <c r="X470" s="168"/>
      <c r="Y470" s="170"/>
      <c r="Z470" s="171"/>
      <c r="AA470" s="171"/>
      <c r="AB470" s="171"/>
      <c r="AC470" s="171"/>
      <c r="AD470" s="171"/>
      <c r="AE470" s="168"/>
      <c r="AF470" s="170"/>
      <c r="AG470" s="172"/>
      <c r="AH470"/>
      <c r="AI470"/>
    </row>
    <row r="471" spans="1:35" x14ac:dyDescent="0.25">
      <c r="A471"/>
      <c r="B471"/>
      <c r="C471"/>
      <c r="D471"/>
      <c r="E471"/>
      <c r="F471"/>
      <c r="G471"/>
      <c r="H471"/>
      <c r="I471"/>
      <c r="J471"/>
      <c r="K471"/>
      <c r="L471"/>
      <c r="M471"/>
      <c r="N471"/>
      <c r="O471"/>
      <c r="P471" s="168"/>
      <c r="Q471" s="168"/>
      <c r="R471" s="168"/>
      <c r="S471" s="169"/>
      <c r="T471" s="169"/>
      <c r="U471" s="169"/>
      <c r="V471" s="168"/>
      <c r="W471" s="168"/>
      <c r="X471" s="168"/>
      <c r="Y471" s="170"/>
      <c r="Z471" s="171"/>
      <c r="AA471" s="171"/>
      <c r="AB471" s="171"/>
      <c r="AC471" s="171"/>
      <c r="AD471" s="171"/>
      <c r="AE471" s="168"/>
      <c r="AF471" s="170"/>
      <c r="AG471" s="172"/>
      <c r="AH471"/>
      <c r="AI471"/>
    </row>
    <row r="472" spans="1:35" x14ac:dyDescent="0.25">
      <c r="A472"/>
      <c r="B472"/>
      <c r="C472"/>
      <c r="D472"/>
      <c r="E472"/>
      <c r="F472"/>
      <c r="G472"/>
      <c r="H472"/>
      <c r="I472"/>
      <c r="J472"/>
      <c r="K472"/>
      <c r="L472"/>
      <c r="M472"/>
      <c r="N472"/>
      <c r="O472"/>
      <c r="P472" s="168"/>
      <c r="Q472" s="168"/>
      <c r="R472" s="168"/>
      <c r="S472" s="169"/>
      <c r="T472" s="169"/>
      <c r="U472" s="169"/>
      <c r="V472" s="168"/>
      <c r="W472" s="168"/>
      <c r="X472" s="168"/>
      <c r="Y472" s="170"/>
      <c r="Z472" s="171"/>
      <c r="AA472" s="171"/>
      <c r="AB472" s="171"/>
      <c r="AC472" s="171"/>
      <c r="AD472" s="171"/>
      <c r="AE472" s="168"/>
      <c r="AF472" s="170"/>
      <c r="AG472" s="172"/>
      <c r="AH472"/>
      <c r="AI472"/>
    </row>
    <row r="473" spans="1:35" x14ac:dyDescent="0.25">
      <c r="A473"/>
      <c r="B473"/>
      <c r="C473"/>
      <c r="D473"/>
      <c r="E473"/>
      <c r="F473"/>
      <c r="G473"/>
      <c r="H473"/>
      <c r="I473"/>
      <c r="J473"/>
      <c r="K473"/>
      <c r="L473"/>
      <c r="M473"/>
      <c r="N473"/>
      <c r="O473"/>
      <c r="P473" s="168"/>
      <c r="Q473" s="168"/>
      <c r="R473" s="168"/>
      <c r="S473" s="169"/>
      <c r="T473" s="169"/>
      <c r="U473" s="169"/>
      <c r="V473" s="168"/>
      <c r="W473" s="168"/>
      <c r="X473" s="168"/>
      <c r="Y473" s="170"/>
      <c r="Z473" s="171"/>
      <c r="AA473" s="171"/>
      <c r="AB473" s="171"/>
      <c r="AC473" s="171"/>
      <c r="AD473" s="171"/>
      <c r="AE473" s="168"/>
      <c r="AF473" s="170"/>
      <c r="AG473" s="172"/>
      <c r="AH473"/>
      <c r="AI473"/>
    </row>
    <row r="474" spans="1:35" x14ac:dyDescent="0.25">
      <c r="A474"/>
      <c r="B474"/>
      <c r="C474"/>
      <c r="D474"/>
      <c r="E474"/>
      <c r="F474"/>
      <c r="G474"/>
      <c r="H474"/>
      <c r="I474"/>
      <c r="J474"/>
      <c r="K474"/>
      <c r="L474"/>
      <c r="M474"/>
      <c r="N474"/>
      <c r="O474"/>
      <c r="P474" s="168"/>
      <c r="Q474" s="168"/>
      <c r="R474" s="168"/>
      <c r="S474" s="169"/>
      <c r="T474" s="169"/>
      <c r="U474" s="169"/>
      <c r="V474" s="168"/>
      <c r="W474" s="168"/>
      <c r="X474" s="168"/>
      <c r="Y474" s="170"/>
      <c r="Z474" s="171"/>
      <c r="AA474" s="171"/>
      <c r="AB474" s="171"/>
      <c r="AC474" s="171"/>
      <c r="AD474" s="171"/>
      <c r="AE474" s="168"/>
      <c r="AF474" s="170"/>
      <c r="AG474" s="172"/>
      <c r="AH474"/>
      <c r="AI474"/>
    </row>
    <row r="475" spans="1:35" x14ac:dyDescent="0.25">
      <c r="A475"/>
      <c r="B475"/>
      <c r="C475"/>
      <c r="D475"/>
      <c r="E475"/>
      <c r="F475"/>
      <c r="G475"/>
      <c r="H475"/>
      <c r="I475"/>
      <c r="J475"/>
      <c r="K475"/>
      <c r="L475"/>
      <c r="M475"/>
      <c r="N475"/>
      <c r="O475"/>
      <c r="P475" s="168"/>
      <c r="Q475" s="168"/>
      <c r="R475" s="168"/>
      <c r="S475" s="169"/>
      <c r="T475" s="169"/>
      <c r="U475" s="169"/>
      <c r="V475" s="168"/>
      <c r="W475" s="168"/>
      <c r="X475" s="168"/>
      <c r="Y475" s="170"/>
      <c r="Z475" s="171"/>
      <c r="AA475" s="171"/>
      <c r="AB475" s="171"/>
      <c r="AC475" s="171"/>
      <c r="AD475" s="171"/>
      <c r="AE475" s="168"/>
      <c r="AF475" s="170"/>
      <c r="AG475" s="172"/>
      <c r="AH475"/>
      <c r="AI475"/>
    </row>
    <row r="476" spans="1:35" x14ac:dyDescent="0.25">
      <c r="A476"/>
      <c r="B476"/>
      <c r="C476"/>
      <c r="D476"/>
      <c r="E476"/>
      <c r="F476"/>
      <c r="G476"/>
      <c r="H476"/>
      <c r="I476"/>
      <c r="J476"/>
      <c r="K476"/>
      <c r="L476"/>
      <c r="M476"/>
      <c r="N476"/>
      <c r="O476"/>
      <c r="P476" s="168"/>
      <c r="Q476" s="168"/>
      <c r="R476" s="168"/>
      <c r="S476" s="169"/>
      <c r="T476" s="169"/>
      <c r="U476" s="169"/>
      <c r="V476" s="168"/>
      <c r="W476" s="168"/>
      <c r="X476" s="168"/>
      <c r="Y476" s="170"/>
      <c r="Z476" s="171"/>
      <c r="AA476" s="171"/>
      <c r="AB476" s="171"/>
      <c r="AC476" s="171"/>
      <c r="AD476" s="171"/>
      <c r="AE476" s="168"/>
      <c r="AF476" s="170"/>
      <c r="AG476" s="172"/>
      <c r="AH476"/>
      <c r="AI476"/>
    </row>
    <row r="477" spans="1:35" x14ac:dyDescent="0.25">
      <c r="A477"/>
      <c r="B477"/>
      <c r="C477"/>
      <c r="D477"/>
      <c r="E477"/>
      <c r="F477"/>
      <c r="G477"/>
      <c r="H477"/>
      <c r="I477"/>
      <c r="J477"/>
      <c r="K477"/>
      <c r="L477"/>
      <c r="M477"/>
      <c r="N477"/>
      <c r="O477"/>
      <c r="P477" s="168"/>
      <c r="Q477" s="168"/>
      <c r="R477" s="168"/>
      <c r="S477" s="169"/>
      <c r="T477" s="169"/>
      <c r="U477" s="169"/>
      <c r="V477" s="168"/>
      <c r="W477" s="168"/>
      <c r="X477" s="168"/>
      <c r="Y477" s="170"/>
      <c r="Z477" s="171"/>
      <c r="AA477" s="171"/>
      <c r="AB477" s="171"/>
      <c r="AC477" s="171"/>
      <c r="AD477" s="171"/>
      <c r="AE477" s="168"/>
      <c r="AF477" s="170"/>
      <c r="AG477" s="172"/>
      <c r="AH477"/>
      <c r="AI477"/>
    </row>
    <row r="478" spans="1:35" x14ac:dyDescent="0.25">
      <c r="A478"/>
      <c r="B478"/>
      <c r="C478"/>
      <c r="D478"/>
      <c r="E478"/>
      <c r="F478"/>
      <c r="G478"/>
      <c r="H478"/>
      <c r="I478"/>
      <c r="J478"/>
      <c r="K478"/>
      <c r="L478"/>
      <c r="M478"/>
      <c r="N478"/>
      <c r="O478"/>
      <c r="P478" s="168"/>
      <c r="Q478" s="168"/>
      <c r="R478" s="168"/>
      <c r="S478" s="169"/>
      <c r="T478" s="169"/>
      <c r="U478" s="169"/>
      <c r="V478" s="168"/>
      <c r="W478" s="168"/>
      <c r="X478" s="168"/>
      <c r="Y478" s="170"/>
      <c r="Z478" s="171"/>
      <c r="AA478" s="171"/>
      <c r="AB478" s="171"/>
      <c r="AC478" s="171"/>
      <c r="AD478" s="171"/>
      <c r="AE478" s="168"/>
      <c r="AF478" s="170"/>
      <c r="AG478" s="172"/>
      <c r="AH478"/>
      <c r="AI478"/>
    </row>
    <row r="479" spans="1:35" x14ac:dyDescent="0.25">
      <c r="A479"/>
      <c r="B479"/>
      <c r="C479"/>
      <c r="D479"/>
      <c r="E479"/>
      <c r="F479"/>
      <c r="G479"/>
      <c r="H479"/>
      <c r="I479"/>
      <c r="J479"/>
      <c r="K479"/>
      <c r="L479"/>
      <c r="M479"/>
      <c r="N479"/>
      <c r="O479"/>
      <c r="P479" s="168"/>
      <c r="Q479" s="168"/>
      <c r="R479" s="168"/>
      <c r="S479" s="169"/>
      <c r="T479" s="169"/>
      <c r="U479" s="169"/>
      <c r="V479" s="168"/>
      <c r="W479" s="168"/>
      <c r="X479" s="168"/>
      <c r="Y479" s="170"/>
      <c r="Z479" s="171"/>
      <c r="AA479" s="171"/>
      <c r="AB479" s="171"/>
      <c r="AC479" s="171"/>
      <c r="AD479" s="171"/>
      <c r="AE479" s="168"/>
      <c r="AF479" s="170"/>
      <c r="AG479" s="172"/>
      <c r="AH479"/>
      <c r="AI479"/>
    </row>
    <row r="480" spans="1:35" x14ac:dyDescent="0.25">
      <c r="A480"/>
      <c r="B480"/>
      <c r="C480"/>
      <c r="D480"/>
      <c r="E480"/>
      <c r="F480"/>
      <c r="G480"/>
      <c r="H480"/>
      <c r="I480"/>
      <c r="J480"/>
      <c r="K480"/>
      <c r="L480"/>
      <c r="M480"/>
      <c r="N480"/>
      <c r="O480"/>
      <c r="P480" s="168"/>
      <c r="Q480" s="168"/>
      <c r="R480" s="168"/>
      <c r="S480" s="169"/>
      <c r="T480" s="169"/>
      <c r="U480" s="169"/>
      <c r="V480" s="168"/>
      <c r="W480" s="168"/>
      <c r="X480" s="168"/>
      <c r="Y480" s="170"/>
      <c r="Z480" s="171"/>
      <c r="AA480" s="171"/>
      <c r="AB480" s="171"/>
      <c r="AC480" s="171"/>
      <c r="AD480" s="171"/>
      <c r="AE480" s="168"/>
      <c r="AF480" s="170"/>
      <c r="AG480" s="172"/>
      <c r="AH480"/>
      <c r="AI480"/>
    </row>
    <row r="481" spans="1:35" x14ac:dyDescent="0.25">
      <c r="A481"/>
      <c r="B481"/>
      <c r="C481"/>
      <c r="D481"/>
      <c r="E481"/>
      <c r="F481"/>
      <c r="G481"/>
      <c r="H481"/>
      <c r="I481"/>
      <c r="J481"/>
      <c r="K481"/>
      <c r="L481"/>
      <c r="M481"/>
      <c r="N481"/>
      <c r="O481"/>
      <c r="P481" s="168"/>
      <c r="Q481" s="168"/>
      <c r="R481" s="168"/>
      <c r="S481" s="169"/>
      <c r="T481" s="169"/>
      <c r="U481" s="169"/>
      <c r="V481" s="168"/>
      <c r="W481" s="168"/>
      <c r="X481" s="168"/>
      <c r="Y481" s="170"/>
      <c r="Z481" s="171"/>
      <c r="AA481" s="171"/>
      <c r="AB481" s="171"/>
      <c r="AC481" s="171"/>
      <c r="AD481" s="171"/>
      <c r="AE481" s="168"/>
      <c r="AF481" s="170"/>
      <c r="AG481" s="172"/>
      <c r="AH481"/>
      <c r="AI481"/>
    </row>
    <row r="482" spans="1:35" x14ac:dyDescent="0.25">
      <c r="A482"/>
      <c r="B482"/>
      <c r="C482"/>
      <c r="D482"/>
      <c r="E482"/>
      <c r="F482"/>
      <c r="G482"/>
      <c r="H482"/>
      <c r="I482"/>
      <c r="J482"/>
      <c r="K482"/>
      <c r="L482"/>
      <c r="M482"/>
      <c r="N482"/>
      <c r="O482"/>
      <c r="P482" s="168"/>
      <c r="Q482" s="168"/>
      <c r="R482" s="168"/>
      <c r="S482" s="169"/>
      <c r="T482" s="169"/>
      <c r="U482" s="169"/>
      <c r="V482" s="168"/>
      <c r="W482" s="168"/>
      <c r="X482" s="168"/>
      <c r="Y482" s="170"/>
      <c r="Z482" s="171"/>
      <c r="AA482" s="171"/>
      <c r="AB482" s="171"/>
      <c r="AC482" s="171"/>
      <c r="AD482" s="171"/>
      <c r="AE482" s="168"/>
      <c r="AF482" s="170"/>
      <c r="AG482" s="172"/>
      <c r="AH482"/>
      <c r="AI482"/>
    </row>
    <row r="483" spans="1:35" x14ac:dyDescent="0.25">
      <c r="A483"/>
      <c r="B483"/>
      <c r="C483"/>
      <c r="D483"/>
      <c r="E483"/>
      <c r="F483"/>
      <c r="G483"/>
      <c r="H483"/>
      <c r="I483"/>
      <c r="J483"/>
      <c r="K483"/>
      <c r="L483"/>
      <c r="M483"/>
      <c r="N483"/>
      <c r="O483"/>
      <c r="P483" s="168"/>
      <c r="Q483" s="168"/>
      <c r="R483" s="168"/>
      <c r="S483" s="169"/>
      <c r="T483" s="169"/>
      <c r="U483" s="169"/>
      <c r="V483" s="168"/>
      <c r="W483" s="168"/>
      <c r="X483" s="168"/>
      <c r="Y483" s="170"/>
      <c r="Z483" s="171"/>
      <c r="AA483" s="171"/>
      <c r="AB483" s="171"/>
      <c r="AC483" s="171"/>
      <c r="AD483" s="171"/>
      <c r="AE483" s="168"/>
      <c r="AF483" s="170"/>
      <c r="AG483" s="172"/>
      <c r="AH483"/>
      <c r="AI483"/>
    </row>
    <row r="484" spans="1:35" x14ac:dyDescent="0.25">
      <c r="A484"/>
      <c r="B484"/>
      <c r="C484"/>
      <c r="D484"/>
      <c r="E484"/>
      <c r="F484"/>
      <c r="G484"/>
      <c r="H484"/>
      <c r="I484"/>
      <c r="J484"/>
      <c r="K484"/>
      <c r="L484"/>
      <c r="M484"/>
      <c r="N484"/>
      <c r="O484"/>
      <c r="P484" s="168"/>
      <c r="Q484" s="168"/>
      <c r="R484" s="168"/>
      <c r="S484" s="169"/>
      <c r="T484" s="169"/>
      <c r="U484" s="169"/>
      <c r="V484" s="168"/>
      <c r="W484" s="168"/>
      <c r="X484" s="168"/>
      <c r="Y484" s="170"/>
      <c r="Z484" s="171"/>
      <c r="AA484" s="171"/>
      <c r="AB484" s="171"/>
      <c r="AC484" s="171"/>
      <c r="AD484" s="171"/>
      <c r="AE484" s="168"/>
      <c r="AF484" s="170"/>
      <c r="AG484" s="172"/>
      <c r="AH484"/>
      <c r="AI484"/>
    </row>
    <row r="485" spans="1:35" x14ac:dyDescent="0.25">
      <c r="A485"/>
      <c r="B485"/>
      <c r="C485"/>
      <c r="D485"/>
      <c r="E485"/>
      <c r="F485"/>
      <c r="G485"/>
      <c r="H485"/>
      <c r="I485"/>
      <c r="J485"/>
      <c r="K485"/>
      <c r="L485"/>
      <c r="M485"/>
      <c r="N485"/>
      <c r="O485"/>
      <c r="P485" s="168"/>
      <c r="Q485" s="168"/>
      <c r="R485" s="168"/>
      <c r="S485" s="169"/>
      <c r="T485" s="169"/>
      <c r="U485" s="169"/>
      <c r="V485" s="168"/>
      <c r="W485" s="168"/>
      <c r="X485" s="168"/>
      <c r="Y485" s="170"/>
      <c r="Z485" s="171"/>
      <c r="AA485" s="171"/>
      <c r="AB485" s="171"/>
      <c r="AC485" s="171"/>
      <c r="AD485" s="171"/>
      <c r="AE485" s="168"/>
      <c r="AF485" s="170"/>
      <c r="AG485" s="172"/>
      <c r="AH485"/>
      <c r="AI485"/>
    </row>
    <row r="486" spans="1:35" x14ac:dyDescent="0.25">
      <c r="A486"/>
      <c r="B486"/>
      <c r="C486"/>
      <c r="D486"/>
      <c r="E486"/>
      <c r="F486"/>
      <c r="G486"/>
      <c r="H486"/>
      <c r="I486"/>
      <c r="J486"/>
      <c r="K486"/>
      <c r="L486"/>
      <c r="M486"/>
      <c r="N486"/>
      <c r="O486"/>
      <c r="P486" s="168"/>
      <c r="Q486" s="168"/>
      <c r="R486" s="168"/>
      <c r="S486" s="169"/>
      <c r="T486" s="169"/>
      <c r="U486" s="169"/>
      <c r="V486" s="168"/>
      <c r="W486" s="168"/>
      <c r="X486" s="168"/>
      <c r="Y486" s="170"/>
      <c r="Z486" s="171"/>
      <c r="AA486" s="171"/>
      <c r="AB486" s="171"/>
      <c r="AC486" s="171"/>
      <c r="AD486" s="171"/>
      <c r="AE486" s="168"/>
      <c r="AF486" s="170"/>
      <c r="AG486" s="172"/>
      <c r="AH486"/>
      <c r="AI486"/>
    </row>
    <row r="487" spans="1:35" x14ac:dyDescent="0.25">
      <c r="A487"/>
      <c r="B487"/>
      <c r="C487"/>
      <c r="D487"/>
      <c r="E487"/>
      <c r="F487"/>
      <c r="G487"/>
      <c r="H487"/>
      <c r="I487"/>
      <c r="J487"/>
      <c r="K487"/>
      <c r="L487"/>
      <c r="M487"/>
      <c r="N487"/>
      <c r="O487"/>
      <c r="P487" s="168"/>
      <c r="Q487" s="168"/>
      <c r="R487" s="168"/>
      <c r="S487" s="169"/>
      <c r="T487" s="169"/>
      <c r="U487" s="169"/>
      <c r="V487" s="168"/>
      <c r="W487" s="168"/>
      <c r="X487" s="168"/>
      <c r="Y487" s="170"/>
      <c r="Z487" s="171"/>
      <c r="AA487" s="171"/>
      <c r="AB487" s="171"/>
      <c r="AC487" s="171"/>
      <c r="AD487" s="171"/>
      <c r="AE487" s="168"/>
      <c r="AF487" s="170"/>
      <c r="AG487" s="172"/>
      <c r="AH487"/>
      <c r="AI487"/>
    </row>
    <row r="488" spans="1:35" x14ac:dyDescent="0.25">
      <c r="A488"/>
      <c r="B488"/>
      <c r="C488"/>
      <c r="D488"/>
      <c r="E488"/>
      <c r="F488"/>
      <c r="G488"/>
      <c r="H488"/>
      <c r="I488"/>
      <c r="J488"/>
      <c r="K488"/>
      <c r="L488"/>
      <c r="M488"/>
      <c r="N488"/>
      <c r="O488"/>
      <c r="P488" s="168"/>
      <c r="Q488" s="168"/>
      <c r="R488" s="168"/>
      <c r="S488" s="169"/>
      <c r="T488" s="169"/>
      <c r="U488" s="169"/>
      <c r="V488" s="168"/>
      <c r="W488" s="168"/>
      <c r="X488" s="168"/>
      <c r="Y488" s="170"/>
      <c r="Z488" s="171"/>
      <c r="AA488" s="171"/>
      <c r="AB488" s="171"/>
      <c r="AC488" s="171"/>
      <c r="AD488" s="171"/>
      <c r="AE488" s="168"/>
      <c r="AF488" s="170"/>
      <c r="AG488" s="172"/>
      <c r="AH488"/>
      <c r="AI488"/>
    </row>
    <row r="489" spans="1:35" x14ac:dyDescent="0.25">
      <c r="A489"/>
      <c r="B489"/>
      <c r="C489"/>
      <c r="D489"/>
      <c r="E489"/>
      <c r="F489"/>
      <c r="G489"/>
      <c r="H489"/>
      <c r="I489"/>
      <c r="J489"/>
      <c r="K489"/>
      <c r="L489"/>
      <c r="M489"/>
      <c r="N489"/>
      <c r="O489"/>
      <c r="P489" s="168"/>
      <c r="Q489" s="168"/>
      <c r="R489" s="168"/>
      <c r="S489" s="169"/>
      <c r="T489" s="169"/>
      <c r="U489" s="169"/>
      <c r="V489" s="168"/>
      <c r="W489" s="168"/>
      <c r="X489" s="168"/>
      <c r="Y489" s="170"/>
      <c r="Z489" s="171"/>
      <c r="AA489" s="171"/>
      <c r="AB489" s="171"/>
      <c r="AC489" s="171"/>
      <c r="AD489" s="171"/>
      <c r="AE489" s="168"/>
      <c r="AF489" s="170"/>
      <c r="AG489" s="172"/>
      <c r="AH489"/>
      <c r="AI489"/>
    </row>
    <row r="490" spans="1:35" x14ac:dyDescent="0.25">
      <c r="A490"/>
      <c r="B490"/>
      <c r="C490"/>
      <c r="D490"/>
      <c r="E490"/>
      <c r="F490"/>
      <c r="G490"/>
      <c r="H490"/>
      <c r="I490"/>
      <c r="J490"/>
      <c r="K490"/>
      <c r="L490"/>
      <c r="M490"/>
      <c r="N490"/>
      <c r="O490"/>
      <c r="P490" s="168"/>
      <c r="Q490" s="168"/>
      <c r="R490" s="168"/>
      <c r="S490" s="169"/>
      <c r="T490" s="169"/>
      <c r="U490" s="169"/>
      <c r="V490" s="168"/>
      <c r="W490" s="168"/>
      <c r="X490" s="168"/>
      <c r="Y490" s="170"/>
      <c r="Z490" s="171"/>
      <c r="AA490" s="171"/>
      <c r="AB490" s="171"/>
      <c r="AC490" s="171"/>
      <c r="AD490" s="171"/>
      <c r="AE490" s="168"/>
      <c r="AF490" s="170"/>
      <c r="AG490" s="172"/>
      <c r="AH490"/>
      <c r="AI490"/>
    </row>
    <row r="491" spans="1:35" x14ac:dyDescent="0.25">
      <c r="A491"/>
      <c r="B491"/>
      <c r="C491"/>
      <c r="D491"/>
      <c r="E491"/>
      <c r="F491"/>
      <c r="G491"/>
      <c r="H491"/>
      <c r="I491"/>
      <c r="J491"/>
      <c r="K491"/>
      <c r="L491"/>
      <c r="M491"/>
      <c r="N491"/>
      <c r="O491"/>
      <c r="P491" s="168"/>
      <c r="Q491" s="168"/>
      <c r="R491" s="168"/>
      <c r="S491" s="169"/>
      <c r="T491" s="169"/>
      <c r="U491" s="169"/>
      <c r="V491" s="168"/>
      <c r="W491" s="168"/>
      <c r="X491" s="168"/>
      <c r="Y491" s="170"/>
      <c r="Z491" s="171"/>
      <c r="AA491" s="171"/>
      <c r="AB491" s="171"/>
      <c r="AC491" s="171"/>
      <c r="AD491" s="171"/>
      <c r="AE491" s="168"/>
      <c r="AF491" s="170"/>
      <c r="AG491" s="172"/>
      <c r="AH491"/>
      <c r="AI491"/>
    </row>
    <row r="492" spans="1:35" x14ac:dyDescent="0.25">
      <c r="A492"/>
      <c r="B492"/>
      <c r="C492"/>
      <c r="D492"/>
      <c r="E492"/>
      <c r="F492"/>
      <c r="G492"/>
      <c r="H492"/>
      <c r="I492"/>
      <c r="J492"/>
      <c r="K492"/>
      <c r="L492"/>
      <c r="M492"/>
      <c r="N492"/>
      <c r="O492"/>
      <c r="P492" s="168"/>
      <c r="Q492" s="168"/>
      <c r="R492" s="168"/>
      <c r="S492" s="169"/>
      <c r="T492" s="169"/>
      <c r="U492" s="169"/>
      <c r="V492" s="168"/>
      <c r="W492" s="168"/>
      <c r="X492" s="168"/>
      <c r="Y492" s="170"/>
      <c r="Z492" s="171"/>
      <c r="AA492" s="171"/>
      <c r="AB492" s="171"/>
      <c r="AC492" s="171"/>
      <c r="AD492" s="171"/>
      <c r="AE492" s="168"/>
      <c r="AF492" s="170"/>
      <c r="AG492" s="172"/>
      <c r="AH492"/>
      <c r="AI492"/>
    </row>
    <row r="493" spans="1:35" x14ac:dyDescent="0.25">
      <c r="A493"/>
      <c r="B493"/>
      <c r="C493"/>
      <c r="D493"/>
      <c r="E493"/>
      <c r="F493"/>
      <c r="G493"/>
      <c r="H493"/>
      <c r="I493"/>
      <c r="J493"/>
      <c r="K493"/>
      <c r="L493"/>
      <c r="M493"/>
      <c r="N493"/>
      <c r="O493"/>
      <c r="P493" s="168"/>
      <c r="Q493" s="168"/>
      <c r="R493" s="168"/>
      <c r="S493" s="169"/>
      <c r="T493" s="169"/>
      <c r="U493" s="169"/>
      <c r="V493" s="168"/>
      <c r="W493" s="168"/>
      <c r="X493" s="168"/>
      <c r="Y493" s="170"/>
      <c r="Z493" s="171"/>
      <c r="AA493" s="171"/>
      <c r="AB493" s="171"/>
      <c r="AC493" s="171"/>
      <c r="AD493" s="171"/>
      <c r="AE493" s="168"/>
      <c r="AF493" s="170"/>
      <c r="AG493" s="172"/>
      <c r="AH493"/>
      <c r="AI493"/>
    </row>
    <row r="494" spans="1:35" x14ac:dyDescent="0.25">
      <c r="A494"/>
      <c r="B494"/>
      <c r="C494"/>
      <c r="D494"/>
      <c r="E494"/>
      <c r="F494"/>
      <c r="G494"/>
      <c r="H494"/>
      <c r="I494"/>
      <c r="J494"/>
      <c r="K494"/>
      <c r="L494"/>
      <c r="M494"/>
      <c r="N494"/>
      <c r="O494"/>
      <c r="P494" s="168"/>
      <c r="Q494" s="168"/>
      <c r="R494" s="168"/>
      <c r="S494" s="169"/>
      <c r="T494" s="169"/>
      <c r="U494" s="169"/>
      <c r="V494" s="168"/>
      <c r="W494" s="168"/>
      <c r="X494" s="168"/>
      <c r="Y494" s="170"/>
      <c r="Z494" s="171"/>
      <c r="AA494" s="171"/>
      <c r="AB494" s="171"/>
      <c r="AC494" s="171"/>
      <c r="AD494" s="171"/>
      <c r="AE494" s="168"/>
      <c r="AF494" s="170"/>
      <c r="AG494" s="172"/>
      <c r="AH494"/>
      <c r="AI494"/>
    </row>
    <row r="495" spans="1:35" x14ac:dyDescent="0.25">
      <c r="A495"/>
      <c r="B495"/>
      <c r="C495"/>
      <c r="D495"/>
      <c r="E495"/>
      <c r="F495"/>
      <c r="G495"/>
      <c r="H495"/>
      <c r="I495"/>
      <c r="J495"/>
      <c r="K495"/>
      <c r="L495"/>
      <c r="M495"/>
      <c r="N495"/>
      <c r="O495"/>
      <c r="P495" s="168"/>
      <c r="Q495" s="168"/>
      <c r="R495" s="168"/>
      <c r="S495" s="169"/>
      <c r="T495" s="169"/>
      <c r="U495" s="169"/>
      <c r="V495" s="168"/>
      <c r="W495" s="168"/>
      <c r="X495" s="168"/>
      <c r="Y495" s="170"/>
      <c r="Z495" s="171"/>
      <c r="AA495" s="171"/>
      <c r="AB495" s="171"/>
      <c r="AC495" s="171"/>
      <c r="AD495" s="171"/>
      <c r="AE495" s="168"/>
      <c r="AF495" s="170"/>
      <c r="AG495" s="172"/>
      <c r="AH495"/>
      <c r="AI495"/>
    </row>
    <row r="496" spans="1:35" x14ac:dyDescent="0.25">
      <c r="A496"/>
      <c r="B496"/>
      <c r="C496"/>
      <c r="D496"/>
      <c r="E496"/>
      <c r="F496"/>
      <c r="G496"/>
      <c r="H496"/>
      <c r="I496"/>
      <c r="J496"/>
      <c r="K496"/>
      <c r="L496"/>
      <c r="M496"/>
      <c r="N496"/>
      <c r="O496"/>
      <c r="P496" s="168"/>
      <c r="Q496" s="168"/>
      <c r="R496" s="168"/>
      <c r="S496" s="169"/>
      <c r="T496" s="169"/>
      <c r="U496" s="169"/>
      <c r="V496" s="168"/>
      <c r="W496" s="168"/>
      <c r="X496" s="168"/>
      <c r="Y496" s="170"/>
      <c r="Z496" s="171"/>
      <c r="AA496" s="171"/>
      <c r="AB496" s="171"/>
      <c r="AC496" s="171"/>
      <c r="AD496" s="171"/>
      <c r="AE496" s="168"/>
      <c r="AF496" s="170"/>
      <c r="AG496" s="172"/>
      <c r="AH496"/>
      <c r="AI496"/>
    </row>
    <row r="497" spans="1:35" x14ac:dyDescent="0.25">
      <c r="A497"/>
      <c r="B497"/>
      <c r="C497"/>
      <c r="D497"/>
      <c r="E497"/>
      <c r="F497"/>
      <c r="G497"/>
      <c r="H497"/>
      <c r="I497"/>
      <c r="J497"/>
      <c r="K497"/>
      <c r="L497"/>
      <c r="M497"/>
      <c r="N497"/>
      <c r="O497"/>
      <c r="P497" s="168"/>
      <c r="Q497" s="168"/>
      <c r="R497" s="168"/>
      <c r="S497" s="169"/>
      <c r="T497" s="169"/>
      <c r="U497" s="169"/>
      <c r="V497" s="168"/>
      <c r="W497" s="168"/>
      <c r="X497" s="168"/>
      <c r="Y497" s="170"/>
      <c r="Z497" s="171"/>
      <c r="AA497" s="171"/>
      <c r="AB497" s="171"/>
      <c r="AC497" s="171"/>
      <c r="AD497" s="171"/>
      <c r="AE497" s="168"/>
      <c r="AF497" s="170"/>
      <c r="AG497" s="172"/>
      <c r="AH497"/>
      <c r="AI497"/>
    </row>
    <row r="498" spans="1:35" x14ac:dyDescent="0.25">
      <c r="A498"/>
      <c r="B498"/>
      <c r="C498"/>
      <c r="D498"/>
      <c r="E498"/>
      <c r="F498"/>
      <c r="G498"/>
      <c r="H498"/>
      <c r="I498"/>
      <c r="J498"/>
      <c r="K498"/>
      <c r="L498"/>
      <c r="M498"/>
      <c r="N498"/>
      <c r="O498"/>
      <c r="P498" s="168"/>
      <c r="Q498" s="168"/>
      <c r="R498" s="168"/>
      <c r="S498" s="169"/>
      <c r="T498" s="169"/>
      <c r="U498" s="169"/>
      <c r="V498" s="168"/>
      <c r="W498" s="168"/>
      <c r="X498" s="168"/>
      <c r="Y498" s="170"/>
      <c r="Z498" s="171"/>
      <c r="AA498" s="171"/>
      <c r="AB498" s="171"/>
      <c r="AC498" s="171"/>
      <c r="AD498" s="171"/>
      <c r="AE498" s="168"/>
      <c r="AF498" s="170"/>
      <c r="AG498" s="172"/>
      <c r="AH498"/>
      <c r="AI498"/>
    </row>
    <row r="499" spans="1:35" x14ac:dyDescent="0.25">
      <c r="A499"/>
      <c r="B499"/>
      <c r="C499"/>
      <c r="D499"/>
      <c r="E499"/>
      <c r="F499"/>
      <c r="G499"/>
      <c r="H499"/>
      <c r="I499"/>
      <c r="J499"/>
      <c r="K499"/>
      <c r="L499"/>
      <c r="M499"/>
      <c r="N499"/>
      <c r="O499"/>
      <c r="P499" s="168"/>
      <c r="Q499" s="168"/>
      <c r="R499" s="168"/>
      <c r="S499" s="169"/>
      <c r="T499" s="169"/>
      <c r="U499" s="169"/>
      <c r="V499" s="168"/>
      <c r="W499" s="168"/>
      <c r="X499" s="168"/>
      <c r="Y499" s="170"/>
      <c r="Z499" s="171"/>
      <c r="AA499" s="171"/>
      <c r="AB499" s="171"/>
      <c r="AC499" s="171"/>
      <c r="AD499" s="171"/>
      <c r="AE499" s="168"/>
      <c r="AF499" s="170"/>
      <c r="AG499" s="172"/>
      <c r="AH499"/>
      <c r="AI499"/>
    </row>
    <row r="500" spans="1:35" x14ac:dyDescent="0.25">
      <c r="A500"/>
      <c r="B500"/>
      <c r="C500"/>
      <c r="D500"/>
      <c r="E500"/>
      <c r="F500"/>
      <c r="G500"/>
      <c r="H500"/>
      <c r="I500"/>
      <c r="J500"/>
      <c r="K500"/>
      <c r="L500"/>
      <c r="M500"/>
      <c r="N500"/>
      <c r="O500"/>
      <c r="P500" s="168"/>
      <c r="Q500" s="168"/>
      <c r="R500" s="168"/>
      <c r="S500" s="169"/>
      <c r="T500" s="169"/>
      <c r="U500" s="169"/>
      <c r="V500" s="168"/>
      <c r="W500" s="168"/>
      <c r="X500" s="168"/>
      <c r="Y500" s="170"/>
      <c r="Z500" s="171"/>
      <c r="AA500" s="171"/>
      <c r="AB500" s="171"/>
      <c r="AC500" s="171"/>
      <c r="AD500" s="171"/>
      <c r="AE500" s="168"/>
      <c r="AF500" s="170"/>
      <c r="AG500" s="172"/>
      <c r="AH500"/>
      <c r="AI500"/>
    </row>
    <row r="501" spans="1:35" x14ac:dyDescent="0.25">
      <c r="A501"/>
      <c r="B501"/>
      <c r="C501"/>
      <c r="D501"/>
      <c r="E501"/>
      <c r="F501"/>
      <c r="G501"/>
      <c r="H501"/>
      <c r="I501"/>
      <c r="J501"/>
      <c r="K501"/>
      <c r="L501"/>
      <c r="M501"/>
      <c r="N501"/>
      <c r="O501"/>
      <c r="P501" s="168"/>
      <c r="Q501" s="168"/>
      <c r="R501" s="168"/>
      <c r="S501" s="169"/>
      <c r="T501" s="169"/>
      <c r="U501" s="169"/>
      <c r="V501" s="168"/>
      <c r="W501" s="168"/>
      <c r="X501" s="168"/>
      <c r="Y501" s="170"/>
      <c r="Z501" s="171"/>
      <c r="AA501" s="171"/>
      <c r="AB501" s="171"/>
      <c r="AC501" s="171"/>
      <c r="AD501" s="171"/>
      <c r="AE501" s="168"/>
      <c r="AF501" s="170"/>
      <c r="AG501" s="172"/>
      <c r="AH501"/>
      <c r="AI501"/>
    </row>
    <row r="502" spans="1:35" x14ac:dyDescent="0.25">
      <c r="A502"/>
      <c r="B502"/>
      <c r="C502"/>
      <c r="D502"/>
      <c r="E502"/>
      <c r="F502"/>
      <c r="G502"/>
      <c r="H502"/>
      <c r="I502"/>
      <c r="J502"/>
      <c r="K502"/>
      <c r="L502"/>
      <c r="M502"/>
      <c r="N502"/>
      <c r="O502"/>
      <c r="P502" s="168"/>
      <c r="Q502" s="168"/>
      <c r="R502" s="168"/>
      <c r="S502" s="169"/>
      <c r="T502" s="169"/>
      <c r="U502" s="169"/>
      <c r="V502" s="168"/>
      <c r="W502" s="168"/>
      <c r="X502" s="168"/>
      <c r="Y502" s="170"/>
      <c r="Z502" s="171"/>
      <c r="AA502" s="171"/>
      <c r="AB502" s="171"/>
      <c r="AC502" s="171"/>
      <c r="AD502" s="171"/>
      <c r="AE502" s="168"/>
      <c r="AF502" s="170"/>
      <c r="AG502" s="172"/>
      <c r="AH502"/>
      <c r="AI502"/>
    </row>
    <row r="503" spans="1:35" x14ac:dyDescent="0.25">
      <c r="A503"/>
      <c r="B503"/>
      <c r="C503"/>
      <c r="D503"/>
      <c r="E503"/>
      <c r="F503"/>
      <c r="G503"/>
      <c r="H503"/>
      <c r="I503"/>
      <c r="J503"/>
      <c r="K503"/>
      <c r="L503"/>
      <c r="M503"/>
      <c r="N503"/>
      <c r="O503"/>
      <c r="P503" s="168"/>
      <c r="Q503" s="168"/>
      <c r="R503" s="168"/>
      <c r="S503" s="169"/>
      <c r="T503" s="169"/>
      <c r="U503" s="169"/>
      <c r="V503" s="168"/>
      <c r="W503" s="168"/>
      <c r="X503" s="168"/>
      <c r="Y503" s="170"/>
      <c r="Z503" s="171"/>
      <c r="AA503" s="171"/>
      <c r="AB503" s="171"/>
      <c r="AC503" s="171"/>
      <c r="AD503" s="171"/>
      <c r="AE503" s="168"/>
      <c r="AF503" s="170"/>
      <c r="AG503" s="172"/>
      <c r="AH503"/>
      <c r="AI503"/>
    </row>
    <row r="504" spans="1:35" x14ac:dyDescent="0.25">
      <c r="A504"/>
      <c r="B504"/>
      <c r="C504"/>
      <c r="D504"/>
      <c r="E504"/>
      <c r="F504"/>
      <c r="G504"/>
      <c r="H504"/>
      <c r="I504"/>
      <c r="J504"/>
      <c r="K504"/>
      <c r="L504"/>
      <c r="M504"/>
      <c r="N504"/>
      <c r="O504"/>
      <c r="P504" s="168"/>
      <c r="Q504" s="168"/>
      <c r="R504" s="168"/>
      <c r="S504" s="169"/>
      <c r="T504" s="169"/>
      <c r="U504" s="169"/>
      <c r="V504" s="168"/>
      <c r="W504" s="168"/>
      <c r="X504" s="168"/>
      <c r="Y504" s="170"/>
      <c r="Z504" s="171"/>
      <c r="AA504" s="171"/>
      <c r="AB504" s="171"/>
      <c r="AC504" s="171"/>
      <c r="AD504" s="171"/>
      <c r="AE504" s="168"/>
      <c r="AF504" s="170"/>
      <c r="AG504" s="172"/>
      <c r="AH504"/>
      <c r="AI504"/>
    </row>
    <row r="505" spans="1:35" x14ac:dyDescent="0.25">
      <c r="A505"/>
      <c r="B505"/>
      <c r="C505"/>
      <c r="D505"/>
      <c r="E505"/>
      <c r="F505"/>
      <c r="G505"/>
      <c r="H505"/>
      <c r="I505"/>
      <c r="J505"/>
      <c r="K505"/>
      <c r="L505"/>
      <c r="M505"/>
      <c r="N505"/>
      <c r="O505"/>
      <c r="P505" s="168"/>
      <c r="Q505" s="168"/>
      <c r="R505" s="168"/>
      <c r="S505" s="169"/>
      <c r="T505" s="169"/>
      <c r="U505" s="169"/>
      <c r="V505" s="168"/>
      <c r="W505" s="168"/>
      <c r="X505" s="168"/>
      <c r="Y505" s="170"/>
      <c r="Z505" s="171"/>
      <c r="AA505" s="171"/>
      <c r="AB505" s="171"/>
      <c r="AC505" s="171"/>
      <c r="AD505" s="171"/>
      <c r="AE505" s="168"/>
      <c r="AF505" s="170"/>
      <c r="AG505" s="172"/>
      <c r="AH505"/>
      <c r="AI505"/>
    </row>
    <row r="506" spans="1:35" x14ac:dyDescent="0.25">
      <c r="A506"/>
      <c r="B506"/>
      <c r="C506"/>
      <c r="D506"/>
      <c r="E506"/>
      <c r="F506"/>
      <c r="G506"/>
      <c r="H506"/>
      <c r="I506"/>
      <c r="J506"/>
      <c r="K506"/>
      <c r="L506"/>
      <c r="M506"/>
      <c r="N506"/>
      <c r="O506"/>
      <c r="P506" s="168"/>
      <c r="Q506" s="168"/>
      <c r="R506" s="168"/>
      <c r="S506" s="169"/>
      <c r="T506" s="169"/>
      <c r="U506" s="169"/>
      <c r="V506" s="168"/>
      <c r="W506" s="168"/>
      <c r="X506" s="168"/>
      <c r="Y506" s="170"/>
      <c r="Z506" s="171"/>
      <c r="AA506" s="171"/>
      <c r="AB506" s="171"/>
      <c r="AC506" s="171"/>
      <c r="AD506" s="171"/>
      <c r="AE506" s="168"/>
      <c r="AF506" s="170"/>
      <c r="AG506" s="172"/>
      <c r="AH506"/>
      <c r="AI506"/>
    </row>
    <row r="507" spans="1:35" x14ac:dyDescent="0.25">
      <c r="A507"/>
      <c r="B507"/>
      <c r="C507"/>
      <c r="D507"/>
      <c r="E507"/>
      <c r="F507"/>
      <c r="G507"/>
      <c r="H507"/>
      <c r="I507"/>
      <c r="J507"/>
      <c r="K507"/>
      <c r="L507"/>
      <c r="M507"/>
      <c r="N507"/>
      <c r="O507"/>
      <c r="P507" s="168"/>
      <c r="Q507" s="168"/>
      <c r="R507" s="168"/>
      <c r="S507" s="169"/>
      <c r="T507" s="169"/>
      <c r="U507" s="169"/>
      <c r="V507" s="168"/>
      <c r="W507" s="168"/>
      <c r="X507" s="168"/>
      <c r="Y507" s="170"/>
      <c r="Z507" s="171"/>
      <c r="AA507" s="171"/>
      <c r="AB507" s="171"/>
      <c r="AC507" s="171"/>
      <c r="AD507" s="171"/>
      <c r="AE507" s="168"/>
      <c r="AF507" s="170"/>
      <c r="AG507" s="172"/>
      <c r="AH507"/>
      <c r="AI507"/>
    </row>
    <row r="508" spans="1:35" x14ac:dyDescent="0.25">
      <c r="A508"/>
      <c r="B508"/>
      <c r="C508"/>
      <c r="D508"/>
      <c r="E508"/>
      <c r="F508"/>
      <c r="G508"/>
      <c r="H508"/>
      <c r="I508"/>
      <c r="J508"/>
      <c r="K508"/>
      <c r="L508"/>
      <c r="M508"/>
      <c r="N508"/>
      <c r="O508"/>
      <c r="P508" s="168"/>
      <c r="Q508" s="168"/>
      <c r="R508" s="168"/>
      <c r="S508" s="169"/>
      <c r="T508" s="169"/>
      <c r="U508" s="169"/>
      <c r="V508" s="168"/>
      <c r="W508" s="168"/>
      <c r="X508" s="168"/>
      <c r="Y508" s="170"/>
      <c r="Z508" s="171"/>
      <c r="AA508" s="171"/>
      <c r="AB508" s="171"/>
      <c r="AC508" s="171"/>
      <c r="AD508" s="171"/>
      <c r="AE508" s="168"/>
      <c r="AF508" s="170"/>
      <c r="AG508" s="172"/>
      <c r="AH508"/>
      <c r="AI508"/>
    </row>
    <row r="509" spans="1:35" x14ac:dyDescent="0.25">
      <c r="A509"/>
      <c r="B509"/>
      <c r="C509"/>
      <c r="D509"/>
      <c r="E509"/>
      <c r="F509"/>
      <c r="G509"/>
      <c r="H509"/>
      <c r="I509"/>
      <c r="J509"/>
      <c r="K509"/>
      <c r="L509"/>
      <c r="M509"/>
      <c r="N509"/>
      <c r="O509"/>
      <c r="P509" s="168"/>
      <c r="Q509" s="168"/>
      <c r="R509" s="168"/>
      <c r="S509" s="169"/>
      <c r="T509" s="169"/>
      <c r="U509" s="169"/>
      <c r="V509" s="168"/>
      <c r="W509" s="168"/>
      <c r="X509" s="168"/>
      <c r="Y509" s="170"/>
      <c r="Z509" s="171"/>
      <c r="AA509" s="171"/>
      <c r="AB509" s="171"/>
      <c r="AC509" s="171"/>
      <c r="AD509" s="171"/>
      <c r="AE509" s="168"/>
      <c r="AF509" s="170"/>
      <c r="AG509" s="172"/>
      <c r="AH509"/>
      <c r="AI509"/>
    </row>
    <row r="510" spans="1:35" x14ac:dyDescent="0.25">
      <c r="A510"/>
      <c r="B510"/>
      <c r="C510"/>
      <c r="D510"/>
      <c r="E510"/>
      <c r="F510"/>
      <c r="G510"/>
      <c r="H510"/>
      <c r="I510"/>
      <c r="J510"/>
      <c r="K510"/>
      <c r="L510"/>
      <c r="M510"/>
      <c r="N510"/>
      <c r="O510"/>
      <c r="P510" s="168"/>
      <c r="Q510" s="168"/>
      <c r="R510" s="168"/>
      <c r="S510" s="169"/>
      <c r="T510" s="169"/>
      <c r="U510" s="169"/>
      <c r="V510" s="168"/>
      <c r="W510" s="168"/>
      <c r="X510" s="168"/>
      <c r="Y510" s="170"/>
      <c r="Z510" s="171"/>
      <c r="AA510" s="171"/>
      <c r="AB510" s="171"/>
      <c r="AC510" s="171"/>
      <c r="AD510" s="171"/>
      <c r="AE510" s="168"/>
      <c r="AF510" s="170"/>
      <c r="AG510" s="172"/>
      <c r="AH510"/>
      <c r="AI510"/>
    </row>
    <row r="511" spans="1:35" x14ac:dyDescent="0.25">
      <c r="A511"/>
      <c r="B511"/>
      <c r="C511"/>
      <c r="D511"/>
      <c r="E511"/>
      <c r="F511"/>
      <c r="G511"/>
      <c r="H511"/>
      <c r="I511"/>
      <c r="J511"/>
      <c r="K511"/>
      <c r="L511"/>
      <c r="M511"/>
      <c r="N511"/>
      <c r="O511"/>
      <c r="P511" s="168"/>
      <c r="Q511" s="168"/>
      <c r="R511" s="168"/>
      <c r="S511" s="169"/>
      <c r="T511" s="169"/>
      <c r="U511" s="169"/>
      <c r="V511" s="168"/>
      <c r="W511" s="168"/>
      <c r="X511" s="168"/>
      <c r="Y511" s="170"/>
      <c r="Z511" s="171"/>
      <c r="AA511" s="171"/>
      <c r="AB511" s="171"/>
      <c r="AC511" s="171"/>
      <c r="AD511" s="171"/>
      <c r="AE511" s="168"/>
      <c r="AF511" s="170"/>
      <c r="AG511" s="172"/>
      <c r="AH511"/>
      <c r="AI511"/>
    </row>
    <row r="512" spans="1:35" x14ac:dyDescent="0.25">
      <c r="A512"/>
      <c r="B512"/>
      <c r="C512"/>
      <c r="D512"/>
      <c r="E512"/>
      <c r="F512"/>
      <c r="G512"/>
      <c r="H512"/>
      <c r="I512"/>
      <c r="J512"/>
      <c r="K512"/>
      <c r="L512"/>
      <c r="M512"/>
      <c r="N512"/>
      <c r="O512"/>
      <c r="P512" s="168"/>
      <c r="Q512" s="168"/>
      <c r="R512" s="168"/>
      <c r="S512" s="169"/>
      <c r="T512" s="169"/>
      <c r="U512" s="169"/>
      <c r="V512" s="168"/>
      <c r="W512" s="168"/>
      <c r="X512" s="168"/>
      <c r="Y512" s="170"/>
      <c r="Z512" s="171"/>
      <c r="AA512" s="171"/>
      <c r="AB512" s="171"/>
      <c r="AC512" s="171"/>
      <c r="AD512" s="171"/>
      <c r="AE512" s="168"/>
      <c r="AF512" s="170"/>
      <c r="AG512" s="172"/>
      <c r="AH512"/>
      <c r="AI512"/>
    </row>
    <row r="513" spans="1:35" x14ac:dyDescent="0.25">
      <c r="A513"/>
      <c r="B513"/>
      <c r="C513"/>
      <c r="D513"/>
      <c r="E513"/>
      <c r="F513"/>
      <c r="G513"/>
      <c r="H513"/>
      <c r="I513"/>
      <c r="J513"/>
      <c r="K513"/>
      <c r="L513"/>
      <c r="M513"/>
      <c r="N513"/>
      <c r="O513"/>
      <c r="P513" s="168"/>
      <c r="Q513" s="168"/>
      <c r="R513" s="168"/>
      <c r="S513" s="169"/>
      <c r="T513" s="169"/>
      <c r="U513" s="169"/>
      <c r="V513" s="168"/>
      <c r="W513" s="168"/>
      <c r="X513" s="168"/>
      <c r="Y513" s="170"/>
      <c r="Z513" s="171"/>
      <c r="AA513" s="171"/>
      <c r="AB513" s="171"/>
      <c r="AC513" s="171"/>
      <c r="AD513" s="171"/>
      <c r="AE513" s="168"/>
      <c r="AF513" s="170"/>
      <c r="AG513" s="172"/>
      <c r="AH513"/>
      <c r="AI513"/>
    </row>
    <row r="514" spans="1:35" x14ac:dyDescent="0.25">
      <c r="A514"/>
      <c r="B514"/>
      <c r="C514"/>
      <c r="D514"/>
      <c r="E514"/>
      <c r="F514"/>
      <c r="G514"/>
      <c r="H514"/>
      <c r="I514"/>
      <c r="J514"/>
      <c r="K514"/>
      <c r="L514"/>
      <c r="M514"/>
      <c r="N514"/>
      <c r="O514"/>
      <c r="P514" s="168"/>
      <c r="Q514" s="168"/>
      <c r="R514" s="168"/>
      <c r="S514" s="169"/>
      <c r="T514" s="169"/>
      <c r="U514" s="169"/>
      <c r="V514" s="168"/>
      <c r="W514" s="168"/>
      <c r="X514" s="168"/>
      <c r="Y514" s="170"/>
      <c r="Z514" s="171"/>
      <c r="AA514" s="171"/>
      <c r="AB514" s="171"/>
      <c r="AC514" s="171"/>
      <c r="AD514" s="171"/>
      <c r="AE514" s="168"/>
      <c r="AF514" s="170"/>
      <c r="AG514" s="172"/>
      <c r="AH514"/>
      <c r="AI514"/>
    </row>
    <row r="515" spans="1:35" x14ac:dyDescent="0.25">
      <c r="A515"/>
      <c r="B515"/>
      <c r="C515"/>
      <c r="D515"/>
      <c r="E515"/>
      <c r="F515"/>
      <c r="G515"/>
      <c r="H515"/>
      <c r="I515"/>
      <c r="J515"/>
      <c r="K515"/>
      <c r="L515"/>
      <c r="M515"/>
      <c r="N515"/>
      <c r="O515"/>
      <c r="P515" s="168"/>
      <c r="Q515" s="168"/>
      <c r="R515" s="168"/>
      <c r="S515" s="169"/>
      <c r="T515" s="169"/>
      <c r="U515" s="169"/>
      <c r="V515" s="168"/>
      <c r="W515" s="168"/>
      <c r="X515" s="168"/>
      <c r="Y515" s="170"/>
      <c r="Z515" s="171"/>
      <c r="AA515" s="171"/>
      <c r="AB515" s="171"/>
      <c r="AC515" s="171"/>
      <c r="AD515" s="171"/>
      <c r="AE515" s="168"/>
      <c r="AF515" s="170"/>
      <c r="AG515" s="172"/>
      <c r="AH515"/>
      <c r="AI515"/>
    </row>
    <row r="516" spans="1:35" x14ac:dyDescent="0.25">
      <c r="A516"/>
      <c r="B516"/>
      <c r="C516"/>
      <c r="D516"/>
      <c r="E516"/>
      <c r="F516"/>
      <c r="G516"/>
      <c r="H516"/>
      <c r="I516"/>
      <c r="J516"/>
      <c r="K516"/>
      <c r="L516"/>
      <c r="M516"/>
      <c r="N516"/>
      <c r="O516"/>
      <c r="P516" s="168"/>
      <c r="Q516" s="168"/>
      <c r="R516" s="168"/>
      <c r="S516" s="169"/>
      <c r="T516" s="169"/>
      <c r="U516" s="169"/>
      <c r="V516" s="168"/>
      <c r="W516" s="168"/>
      <c r="X516" s="168"/>
      <c r="Y516" s="170"/>
      <c r="Z516" s="171"/>
      <c r="AA516" s="171"/>
      <c r="AB516" s="171"/>
      <c r="AC516" s="171"/>
      <c r="AD516" s="171"/>
      <c r="AE516" s="168"/>
      <c r="AF516" s="170"/>
      <c r="AG516" s="172"/>
      <c r="AH516"/>
      <c r="AI516"/>
    </row>
    <row r="517" spans="1:35" x14ac:dyDescent="0.25">
      <c r="A517"/>
      <c r="B517"/>
      <c r="C517"/>
      <c r="D517"/>
      <c r="E517"/>
      <c r="F517"/>
      <c r="G517"/>
      <c r="H517"/>
      <c r="I517"/>
      <c r="J517"/>
      <c r="K517"/>
      <c r="L517"/>
      <c r="M517"/>
      <c r="N517"/>
      <c r="O517"/>
      <c r="P517" s="168"/>
      <c r="Q517" s="168"/>
      <c r="R517" s="168"/>
      <c r="S517" s="169"/>
      <c r="T517" s="169"/>
      <c r="U517" s="169"/>
      <c r="V517" s="168"/>
      <c r="W517" s="168"/>
      <c r="X517" s="168"/>
      <c r="Y517" s="170"/>
      <c r="Z517" s="171"/>
      <c r="AA517" s="171"/>
      <c r="AB517" s="171"/>
      <c r="AC517" s="171"/>
      <c r="AD517" s="171"/>
      <c r="AE517" s="168"/>
      <c r="AF517" s="170"/>
      <c r="AG517" s="172"/>
      <c r="AH517"/>
      <c r="AI517"/>
    </row>
    <row r="518" spans="1:35" x14ac:dyDescent="0.25">
      <c r="A518"/>
      <c r="B518"/>
      <c r="C518"/>
      <c r="D518"/>
      <c r="E518"/>
      <c r="F518"/>
      <c r="G518"/>
      <c r="H518"/>
      <c r="I518"/>
      <c r="J518"/>
      <c r="K518"/>
      <c r="L518"/>
      <c r="M518"/>
      <c r="N518"/>
      <c r="O518"/>
      <c r="P518" s="168"/>
      <c r="Q518" s="168"/>
      <c r="R518" s="168"/>
      <c r="S518" s="169"/>
      <c r="T518" s="169"/>
      <c r="U518" s="169"/>
      <c r="V518" s="168"/>
      <c r="W518" s="168"/>
      <c r="X518" s="168"/>
      <c r="Y518" s="170"/>
      <c r="Z518" s="171"/>
      <c r="AA518" s="171"/>
      <c r="AB518" s="171"/>
      <c r="AC518" s="171"/>
      <c r="AD518" s="171"/>
      <c r="AE518" s="168"/>
      <c r="AF518" s="170"/>
      <c r="AG518" s="172"/>
      <c r="AH518"/>
      <c r="AI518"/>
    </row>
    <row r="519" spans="1:35" x14ac:dyDescent="0.25">
      <c r="A519"/>
      <c r="B519"/>
      <c r="C519"/>
      <c r="D519"/>
      <c r="E519"/>
      <c r="F519"/>
      <c r="G519"/>
      <c r="H519"/>
      <c r="I519"/>
      <c r="J519"/>
      <c r="K519"/>
      <c r="L519"/>
      <c r="M519"/>
      <c r="N519"/>
      <c r="O519"/>
      <c r="P519" s="168"/>
      <c r="Q519" s="168"/>
      <c r="R519" s="168"/>
      <c r="S519" s="169"/>
      <c r="T519" s="169"/>
      <c r="U519" s="169"/>
      <c r="V519" s="168"/>
      <c r="W519" s="168"/>
      <c r="X519" s="168"/>
      <c r="Y519" s="170"/>
      <c r="Z519" s="171"/>
      <c r="AA519" s="171"/>
      <c r="AB519" s="171"/>
      <c r="AC519" s="171"/>
      <c r="AD519" s="171"/>
      <c r="AE519" s="168"/>
      <c r="AF519" s="170"/>
      <c r="AG519" s="172"/>
      <c r="AH519"/>
      <c r="AI519"/>
    </row>
    <row r="520" spans="1:35" x14ac:dyDescent="0.25">
      <c r="A520"/>
      <c r="B520"/>
      <c r="C520"/>
      <c r="D520"/>
      <c r="E520"/>
      <c r="F520"/>
      <c r="G520"/>
      <c r="H520"/>
      <c r="I520"/>
      <c r="J520"/>
      <c r="K520"/>
      <c r="L520"/>
      <c r="M520"/>
      <c r="N520"/>
      <c r="O520"/>
      <c r="P520" s="168"/>
      <c r="Q520" s="168"/>
      <c r="R520" s="168"/>
      <c r="S520" s="169"/>
      <c r="T520" s="169"/>
      <c r="U520" s="169"/>
      <c r="V520" s="168"/>
      <c r="W520" s="168"/>
      <c r="X520" s="168"/>
      <c r="Y520" s="170"/>
      <c r="Z520" s="171"/>
      <c r="AA520" s="171"/>
      <c r="AB520" s="171"/>
      <c r="AC520" s="171"/>
      <c r="AD520" s="171"/>
      <c r="AE520" s="168"/>
      <c r="AF520" s="170"/>
      <c r="AG520" s="172"/>
      <c r="AH520"/>
      <c r="AI520"/>
    </row>
    <row r="521" spans="1:35" x14ac:dyDescent="0.25">
      <c r="A521"/>
      <c r="B521"/>
      <c r="C521"/>
      <c r="D521"/>
      <c r="E521"/>
      <c r="F521"/>
      <c r="G521"/>
      <c r="H521"/>
      <c r="I521"/>
      <c r="J521"/>
      <c r="K521"/>
      <c r="L521"/>
      <c r="M521"/>
      <c r="N521"/>
      <c r="O521"/>
      <c r="P521" s="168"/>
      <c r="Q521" s="168"/>
      <c r="R521" s="168"/>
      <c r="S521" s="169"/>
      <c r="T521" s="169"/>
      <c r="U521" s="169"/>
      <c r="V521" s="168"/>
      <c r="W521" s="168"/>
      <c r="X521" s="168"/>
      <c r="Y521" s="170"/>
      <c r="Z521" s="171"/>
      <c r="AA521" s="171"/>
      <c r="AB521" s="171"/>
      <c r="AC521" s="171"/>
      <c r="AD521" s="171"/>
      <c r="AE521" s="168"/>
      <c r="AF521" s="170"/>
      <c r="AG521" s="172"/>
      <c r="AH521"/>
      <c r="AI521"/>
    </row>
    <row r="522" spans="1:35" x14ac:dyDescent="0.25">
      <c r="A522"/>
      <c r="B522"/>
      <c r="C522"/>
      <c r="D522"/>
      <c r="E522"/>
      <c r="F522"/>
      <c r="G522"/>
      <c r="H522"/>
      <c r="I522"/>
      <c r="J522"/>
      <c r="K522"/>
      <c r="L522"/>
      <c r="M522"/>
      <c r="N522"/>
      <c r="O522"/>
      <c r="P522" s="168"/>
      <c r="Q522" s="168"/>
      <c r="R522" s="168"/>
      <c r="S522" s="169"/>
      <c r="T522" s="169"/>
      <c r="U522" s="169"/>
      <c r="V522" s="168"/>
      <c r="W522" s="168"/>
      <c r="X522" s="168"/>
      <c r="Y522" s="170"/>
      <c r="Z522" s="171"/>
      <c r="AA522" s="171"/>
      <c r="AB522" s="171"/>
      <c r="AC522" s="171"/>
      <c r="AD522" s="171"/>
      <c r="AE522" s="168"/>
      <c r="AF522" s="170"/>
      <c r="AG522" s="172"/>
      <c r="AH522"/>
      <c r="AI522"/>
    </row>
    <row r="523" spans="1:35" x14ac:dyDescent="0.25">
      <c r="A523"/>
      <c r="B523"/>
      <c r="C523"/>
      <c r="D523"/>
      <c r="E523"/>
      <c r="F523"/>
      <c r="G523"/>
      <c r="H523"/>
      <c r="I523"/>
      <c r="J523"/>
      <c r="K523"/>
      <c r="L523"/>
      <c r="M523"/>
      <c r="N523"/>
      <c r="O523"/>
      <c r="P523" s="168"/>
      <c r="Q523" s="168"/>
      <c r="R523" s="168"/>
      <c r="S523" s="169"/>
      <c r="T523" s="169"/>
      <c r="U523" s="169"/>
      <c r="V523" s="168"/>
      <c r="W523" s="168"/>
      <c r="X523" s="168"/>
      <c r="Y523" s="170"/>
      <c r="Z523" s="171"/>
      <c r="AA523" s="171"/>
      <c r="AB523" s="171"/>
      <c r="AC523" s="171"/>
      <c r="AD523" s="171"/>
      <c r="AE523" s="168"/>
      <c r="AF523" s="170"/>
      <c r="AG523" s="172"/>
      <c r="AH523"/>
      <c r="AI523"/>
    </row>
    <row r="524" spans="1:35" x14ac:dyDescent="0.25">
      <c r="A524"/>
      <c r="B524"/>
      <c r="C524"/>
      <c r="D524"/>
      <c r="E524"/>
      <c r="F524"/>
      <c r="G524"/>
      <c r="H524"/>
      <c r="I524"/>
      <c r="J524"/>
      <c r="K524"/>
      <c r="L524"/>
      <c r="M524"/>
      <c r="N524"/>
      <c r="O524"/>
      <c r="P524" s="168"/>
      <c r="Q524" s="168"/>
      <c r="R524" s="168"/>
      <c r="S524" s="169"/>
      <c r="T524" s="169"/>
      <c r="U524" s="169"/>
      <c r="V524" s="168"/>
      <c r="W524" s="168"/>
      <c r="X524" s="168"/>
      <c r="Y524" s="170"/>
      <c r="Z524" s="171"/>
      <c r="AA524" s="171"/>
      <c r="AB524" s="171"/>
      <c r="AC524" s="171"/>
      <c r="AD524" s="171"/>
      <c r="AE524" s="168"/>
      <c r="AF524" s="170"/>
      <c r="AG524" s="172"/>
      <c r="AH524"/>
      <c r="AI524"/>
    </row>
    <row r="525" spans="1:35" x14ac:dyDescent="0.25">
      <c r="A525"/>
      <c r="B525"/>
      <c r="C525"/>
      <c r="D525"/>
      <c r="E525"/>
      <c r="F525"/>
      <c r="G525"/>
      <c r="H525"/>
      <c r="I525"/>
      <c r="J525"/>
      <c r="K525"/>
      <c r="L525"/>
      <c r="M525"/>
      <c r="N525"/>
      <c r="O525"/>
      <c r="P525" s="168"/>
      <c r="Q525" s="168"/>
      <c r="R525" s="168"/>
      <c r="S525" s="169"/>
      <c r="T525" s="169"/>
      <c r="U525" s="169"/>
      <c r="V525" s="168"/>
      <c r="W525" s="168"/>
      <c r="X525" s="168"/>
      <c r="Y525" s="170"/>
      <c r="Z525" s="171"/>
      <c r="AA525" s="171"/>
      <c r="AB525" s="171"/>
      <c r="AC525" s="171"/>
      <c r="AD525" s="171"/>
      <c r="AE525" s="168"/>
      <c r="AF525" s="170"/>
      <c r="AG525" s="172"/>
      <c r="AH525"/>
      <c r="AI525"/>
    </row>
    <row r="526" spans="1:35" x14ac:dyDescent="0.25">
      <c r="A526"/>
      <c r="B526"/>
      <c r="C526"/>
      <c r="D526"/>
      <c r="E526"/>
      <c r="F526"/>
      <c r="G526"/>
      <c r="H526"/>
      <c r="I526"/>
      <c r="J526"/>
      <c r="K526"/>
      <c r="L526"/>
      <c r="M526"/>
      <c r="N526"/>
      <c r="O526"/>
      <c r="P526" s="168"/>
      <c r="Q526" s="168"/>
      <c r="R526" s="168"/>
      <c r="S526" s="169"/>
      <c r="T526" s="169"/>
      <c r="U526" s="169"/>
      <c r="V526" s="168"/>
      <c r="W526" s="168"/>
      <c r="X526" s="168"/>
      <c r="Y526" s="170"/>
      <c r="Z526" s="171"/>
      <c r="AA526" s="171"/>
      <c r="AB526" s="171"/>
      <c r="AC526" s="171"/>
      <c r="AD526" s="171"/>
      <c r="AE526" s="168"/>
      <c r="AF526" s="170"/>
      <c r="AG526" s="172"/>
      <c r="AH526"/>
      <c r="AI526"/>
    </row>
    <row r="527" spans="1:35" x14ac:dyDescent="0.25">
      <c r="A527"/>
      <c r="B527"/>
      <c r="C527"/>
      <c r="D527"/>
      <c r="E527"/>
      <c r="F527"/>
      <c r="G527"/>
      <c r="H527"/>
      <c r="I527"/>
      <c r="J527"/>
      <c r="K527"/>
      <c r="L527"/>
      <c r="M527"/>
      <c r="N527"/>
      <c r="O527"/>
      <c r="P527" s="168"/>
      <c r="Q527" s="168"/>
      <c r="R527" s="168"/>
      <c r="S527" s="169"/>
      <c r="T527" s="169"/>
      <c r="U527" s="169"/>
      <c r="V527" s="168"/>
      <c r="W527" s="168"/>
      <c r="X527" s="168"/>
      <c r="Y527" s="170"/>
      <c r="Z527" s="171"/>
      <c r="AA527" s="171"/>
      <c r="AB527" s="171"/>
      <c r="AC527" s="171"/>
      <c r="AD527" s="171"/>
      <c r="AE527" s="168"/>
      <c r="AF527" s="170"/>
      <c r="AG527" s="172"/>
      <c r="AH527"/>
      <c r="AI527"/>
    </row>
    <row r="528" spans="1:35" x14ac:dyDescent="0.25">
      <c r="A528"/>
      <c r="B528"/>
      <c r="C528"/>
      <c r="D528"/>
      <c r="E528"/>
      <c r="F528"/>
      <c r="G528"/>
      <c r="H528"/>
      <c r="I528"/>
      <c r="J528"/>
      <c r="K528"/>
      <c r="L528"/>
      <c r="M528"/>
      <c r="N528"/>
      <c r="O528"/>
      <c r="P528" s="168"/>
      <c r="Q528" s="168"/>
      <c r="R528" s="168"/>
      <c r="S528" s="169"/>
      <c r="T528" s="169"/>
      <c r="U528" s="169"/>
      <c r="V528" s="168"/>
      <c r="W528" s="168"/>
      <c r="X528" s="168"/>
      <c r="Y528" s="170"/>
      <c r="Z528" s="171"/>
      <c r="AA528" s="171"/>
      <c r="AB528" s="171"/>
      <c r="AC528" s="171"/>
      <c r="AD528" s="171"/>
      <c r="AE528" s="168"/>
      <c r="AF528" s="170"/>
      <c r="AG528" s="172"/>
      <c r="AH528"/>
      <c r="AI528"/>
    </row>
    <row r="529" spans="1:35" x14ac:dyDescent="0.25">
      <c r="A529"/>
      <c r="B529"/>
      <c r="C529"/>
      <c r="D529"/>
      <c r="E529"/>
      <c r="F529"/>
      <c r="G529"/>
      <c r="H529"/>
      <c r="I529"/>
      <c r="J529"/>
      <c r="K529"/>
      <c r="L529"/>
      <c r="M529"/>
      <c r="N529"/>
      <c r="O529"/>
      <c r="P529" s="168"/>
      <c r="Q529" s="168"/>
      <c r="R529" s="168"/>
      <c r="S529" s="169"/>
      <c r="T529" s="169"/>
      <c r="U529" s="169"/>
      <c r="V529" s="168"/>
      <c r="W529" s="168"/>
      <c r="X529" s="168"/>
      <c r="Y529" s="170"/>
      <c r="Z529" s="171"/>
      <c r="AA529" s="171"/>
      <c r="AB529" s="171"/>
      <c r="AC529" s="171"/>
      <c r="AD529" s="171"/>
      <c r="AE529" s="168"/>
      <c r="AF529" s="170"/>
      <c r="AG529" s="172"/>
      <c r="AH529"/>
      <c r="AI529"/>
    </row>
    <row r="530" spans="1:35" x14ac:dyDescent="0.25">
      <c r="A530"/>
      <c r="B530"/>
      <c r="C530"/>
      <c r="D530"/>
      <c r="E530"/>
      <c r="F530"/>
      <c r="G530"/>
      <c r="H530"/>
      <c r="I530"/>
      <c r="J530"/>
      <c r="K530"/>
      <c r="L530"/>
      <c r="M530"/>
      <c r="N530"/>
      <c r="O530"/>
      <c r="P530" s="168"/>
      <c r="Q530" s="168"/>
      <c r="R530" s="168"/>
      <c r="S530" s="169"/>
      <c r="T530" s="169"/>
      <c r="U530" s="169"/>
      <c r="V530" s="168"/>
      <c r="W530" s="168"/>
      <c r="X530" s="168"/>
      <c r="Y530" s="170"/>
      <c r="Z530" s="171"/>
      <c r="AA530" s="171"/>
      <c r="AB530" s="171"/>
      <c r="AC530" s="171"/>
      <c r="AD530" s="171"/>
      <c r="AE530" s="168"/>
      <c r="AF530" s="170"/>
      <c r="AG530" s="172"/>
      <c r="AH530"/>
      <c r="AI530"/>
    </row>
    <row r="531" spans="1:35" x14ac:dyDescent="0.25">
      <c r="A531"/>
      <c r="B531"/>
      <c r="C531"/>
      <c r="D531"/>
      <c r="E531"/>
      <c r="F531"/>
      <c r="G531"/>
      <c r="H531"/>
      <c r="I531"/>
      <c r="J531"/>
      <c r="K531"/>
      <c r="L531"/>
      <c r="M531"/>
      <c r="N531"/>
      <c r="O531"/>
      <c r="P531" s="168"/>
      <c r="Q531" s="168"/>
      <c r="R531" s="168"/>
      <c r="S531" s="169"/>
      <c r="T531" s="169"/>
      <c r="U531" s="169"/>
      <c r="V531" s="168"/>
      <c r="W531" s="168"/>
      <c r="X531" s="168"/>
      <c r="Y531" s="170"/>
      <c r="Z531" s="171"/>
      <c r="AA531" s="171"/>
      <c r="AB531" s="171"/>
      <c r="AC531" s="171"/>
      <c r="AD531" s="171"/>
      <c r="AE531" s="168"/>
      <c r="AF531" s="170"/>
      <c r="AG531" s="172"/>
      <c r="AH531"/>
      <c r="AI531"/>
    </row>
    <row r="532" spans="1:35" x14ac:dyDescent="0.25">
      <c r="A532"/>
      <c r="B532"/>
      <c r="C532"/>
      <c r="D532"/>
      <c r="E532"/>
      <c r="F532"/>
      <c r="G532"/>
      <c r="H532"/>
      <c r="I532"/>
      <c r="J532"/>
      <c r="K532"/>
      <c r="L532"/>
      <c r="M532"/>
      <c r="N532"/>
      <c r="O532"/>
      <c r="P532" s="168"/>
      <c r="Q532" s="168"/>
      <c r="R532" s="168"/>
      <c r="S532" s="169"/>
      <c r="T532" s="169"/>
      <c r="U532" s="169"/>
      <c r="V532" s="168"/>
      <c r="W532" s="168"/>
      <c r="X532" s="168"/>
      <c r="Y532" s="170"/>
      <c r="Z532" s="171"/>
      <c r="AA532" s="171"/>
      <c r="AB532" s="171"/>
      <c r="AC532" s="171"/>
      <c r="AD532" s="171"/>
      <c r="AE532" s="168"/>
      <c r="AF532" s="170"/>
      <c r="AG532" s="172"/>
      <c r="AH532"/>
      <c r="AI532"/>
    </row>
    <row r="533" spans="1:35" x14ac:dyDescent="0.25">
      <c r="A533"/>
      <c r="B533"/>
      <c r="C533"/>
      <c r="D533"/>
      <c r="E533"/>
      <c r="F533"/>
      <c r="G533"/>
      <c r="H533"/>
      <c r="I533"/>
      <c r="J533"/>
      <c r="K533"/>
      <c r="L533"/>
      <c r="M533"/>
      <c r="N533"/>
      <c r="O533"/>
      <c r="P533" s="168"/>
      <c r="Q533" s="168"/>
      <c r="R533" s="168"/>
      <c r="S533" s="169"/>
      <c r="T533" s="169"/>
      <c r="U533" s="169"/>
      <c r="V533" s="168"/>
      <c r="W533" s="168"/>
      <c r="X533" s="168"/>
      <c r="Y533" s="170"/>
      <c r="Z533" s="171"/>
      <c r="AA533" s="171"/>
      <c r="AB533" s="171"/>
      <c r="AC533" s="171"/>
      <c r="AD533" s="171"/>
      <c r="AE533" s="168"/>
      <c r="AF533" s="170"/>
      <c r="AG533" s="172"/>
      <c r="AH533"/>
      <c r="AI533"/>
    </row>
    <row r="534" spans="1:35" x14ac:dyDescent="0.25">
      <c r="A534"/>
      <c r="B534"/>
      <c r="C534"/>
      <c r="D534"/>
      <c r="E534"/>
      <c r="F534"/>
      <c r="G534"/>
      <c r="H534"/>
      <c r="I534"/>
      <c r="J534"/>
      <c r="K534"/>
      <c r="L534"/>
      <c r="M534"/>
      <c r="N534"/>
      <c r="O534"/>
      <c r="P534" s="168"/>
      <c r="Q534" s="168"/>
      <c r="R534" s="168"/>
      <c r="S534" s="169"/>
      <c r="T534" s="169"/>
      <c r="U534" s="169"/>
      <c r="V534" s="168"/>
      <c r="W534" s="168"/>
      <c r="X534" s="168"/>
      <c r="Y534" s="170"/>
      <c r="Z534" s="171"/>
      <c r="AA534" s="171"/>
      <c r="AB534" s="171"/>
      <c r="AC534" s="171"/>
      <c r="AD534" s="171"/>
      <c r="AE534" s="168"/>
      <c r="AF534" s="170"/>
      <c r="AG534" s="172"/>
      <c r="AH534"/>
      <c r="AI534"/>
    </row>
    <row r="535" spans="1:35" x14ac:dyDescent="0.25">
      <c r="A535"/>
      <c r="B535"/>
      <c r="C535"/>
      <c r="D535"/>
      <c r="E535"/>
      <c r="F535"/>
      <c r="G535"/>
      <c r="H535"/>
      <c r="I535"/>
      <c r="J535"/>
      <c r="K535"/>
      <c r="L535"/>
      <c r="M535"/>
      <c r="N535"/>
      <c r="O535"/>
      <c r="P535" s="168"/>
      <c r="Q535" s="168"/>
      <c r="R535" s="168"/>
      <c r="S535" s="169"/>
      <c r="T535" s="169"/>
      <c r="U535" s="169"/>
      <c r="V535" s="168"/>
      <c r="W535" s="168"/>
      <c r="X535" s="168"/>
      <c r="Y535" s="170"/>
      <c r="Z535" s="171"/>
      <c r="AA535" s="171"/>
      <c r="AB535" s="171"/>
      <c r="AC535" s="171"/>
      <c r="AD535" s="171"/>
      <c r="AE535" s="168"/>
      <c r="AF535" s="170"/>
      <c r="AG535" s="172"/>
      <c r="AH535"/>
      <c r="AI535"/>
    </row>
    <row r="536" spans="1:35" x14ac:dyDescent="0.25">
      <c r="A536"/>
      <c r="B536"/>
      <c r="C536"/>
      <c r="D536"/>
      <c r="E536"/>
      <c r="F536"/>
      <c r="G536"/>
      <c r="H536"/>
      <c r="I536"/>
      <c r="J536"/>
      <c r="K536"/>
      <c r="L536"/>
      <c r="M536"/>
      <c r="N536"/>
      <c r="O536"/>
      <c r="P536" s="168"/>
      <c r="Q536" s="168"/>
      <c r="R536" s="168"/>
      <c r="S536" s="169"/>
      <c r="T536" s="169"/>
      <c r="U536" s="169"/>
      <c r="V536" s="168"/>
      <c r="W536" s="168"/>
      <c r="X536" s="168"/>
      <c r="Y536" s="170"/>
      <c r="Z536" s="171"/>
      <c r="AA536" s="171"/>
      <c r="AB536" s="171"/>
      <c r="AC536" s="171"/>
      <c r="AD536" s="171"/>
      <c r="AE536" s="168"/>
      <c r="AF536" s="170"/>
      <c r="AG536" s="172"/>
      <c r="AH536"/>
      <c r="AI536"/>
    </row>
    <row r="537" spans="1:35" x14ac:dyDescent="0.25">
      <c r="A537"/>
      <c r="B537"/>
      <c r="C537"/>
      <c r="D537"/>
      <c r="E537"/>
      <c r="F537"/>
      <c r="G537"/>
      <c r="H537"/>
      <c r="I537"/>
      <c r="J537"/>
      <c r="K537"/>
      <c r="L537"/>
      <c r="M537"/>
      <c r="N537"/>
      <c r="O537"/>
      <c r="P537" s="168"/>
      <c r="Q537" s="168"/>
      <c r="R537" s="168"/>
      <c r="S537" s="169"/>
      <c r="T537" s="169"/>
      <c r="U537" s="169"/>
      <c r="V537" s="168"/>
      <c r="W537" s="168"/>
      <c r="X537" s="168"/>
      <c r="Y537" s="170"/>
      <c r="Z537" s="171"/>
      <c r="AA537" s="171"/>
      <c r="AB537" s="171"/>
      <c r="AC537" s="171"/>
      <c r="AD537" s="171"/>
      <c r="AE537" s="168"/>
      <c r="AF537" s="170"/>
      <c r="AG537" s="172"/>
      <c r="AH537"/>
      <c r="AI537"/>
    </row>
    <row r="538" spans="1:35" x14ac:dyDescent="0.25">
      <c r="A538"/>
      <c r="B538"/>
      <c r="C538"/>
      <c r="D538"/>
      <c r="E538"/>
      <c r="F538"/>
      <c r="G538"/>
      <c r="H538"/>
      <c r="I538"/>
      <c r="J538"/>
      <c r="K538"/>
      <c r="L538"/>
      <c r="M538"/>
      <c r="N538"/>
      <c r="O538"/>
      <c r="P538" s="168"/>
      <c r="Q538" s="168"/>
      <c r="R538" s="168"/>
      <c r="S538" s="169"/>
      <c r="T538" s="169"/>
      <c r="U538" s="169"/>
      <c r="V538" s="168"/>
      <c r="W538" s="168"/>
      <c r="X538" s="168"/>
      <c r="Y538" s="170"/>
      <c r="Z538" s="171"/>
      <c r="AA538" s="171"/>
      <c r="AB538" s="171"/>
      <c r="AC538" s="171"/>
      <c r="AD538" s="171"/>
      <c r="AE538" s="168"/>
      <c r="AF538" s="170"/>
      <c r="AG538" s="172"/>
      <c r="AH538"/>
      <c r="AI538"/>
    </row>
    <row r="539" spans="1:35" x14ac:dyDescent="0.25">
      <c r="A539"/>
      <c r="B539"/>
      <c r="C539"/>
      <c r="D539"/>
      <c r="E539"/>
      <c r="F539"/>
      <c r="G539"/>
      <c r="H539"/>
      <c r="I539"/>
      <c r="J539"/>
      <c r="K539"/>
      <c r="L539"/>
      <c r="M539"/>
      <c r="N539"/>
      <c r="O539"/>
      <c r="P539" s="168"/>
      <c r="Q539" s="168"/>
      <c r="R539" s="168"/>
      <c r="S539" s="169"/>
      <c r="T539" s="169"/>
      <c r="U539" s="169"/>
      <c r="V539" s="168"/>
      <c r="W539" s="168"/>
      <c r="X539" s="168"/>
      <c r="Y539" s="170"/>
      <c r="Z539" s="171"/>
      <c r="AA539" s="171"/>
      <c r="AB539" s="171"/>
      <c r="AC539" s="171"/>
      <c r="AD539" s="171"/>
      <c r="AE539" s="168"/>
      <c r="AF539" s="170"/>
      <c r="AG539" s="172"/>
      <c r="AH539"/>
      <c r="AI539"/>
    </row>
    <row r="540" spans="1:35" x14ac:dyDescent="0.25">
      <c r="A540"/>
      <c r="B540"/>
      <c r="C540"/>
      <c r="D540"/>
      <c r="E540"/>
      <c r="F540"/>
      <c r="G540"/>
      <c r="H540"/>
      <c r="I540"/>
      <c r="J540"/>
      <c r="K540"/>
      <c r="L540"/>
      <c r="M540"/>
      <c r="N540"/>
      <c r="O540"/>
      <c r="P540" s="168"/>
      <c r="Q540" s="168"/>
      <c r="R540" s="168"/>
      <c r="S540" s="169"/>
      <c r="T540" s="169"/>
      <c r="U540" s="169"/>
      <c r="V540" s="168"/>
      <c r="W540" s="168"/>
      <c r="X540" s="168"/>
      <c r="Y540" s="170"/>
      <c r="Z540" s="171"/>
      <c r="AA540" s="171"/>
      <c r="AB540" s="171"/>
      <c r="AC540" s="171"/>
      <c r="AD540" s="171"/>
      <c r="AE540" s="168"/>
      <c r="AF540" s="170"/>
      <c r="AG540" s="172"/>
      <c r="AH540"/>
      <c r="AI540"/>
    </row>
    <row r="541" spans="1:35" x14ac:dyDescent="0.25">
      <c r="A541"/>
      <c r="B541"/>
      <c r="C541"/>
      <c r="D541"/>
      <c r="E541"/>
      <c r="F541"/>
      <c r="G541"/>
      <c r="H541"/>
      <c r="I541"/>
      <c r="J541"/>
      <c r="K541"/>
      <c r="L541"/>
      <c r="M541"/>
      <c r="N541"/>
      <c r="O541"/>
      <c r="P541" s="168"/>
      <c r="Q541" s="168"/>
      <c r="R541" s="168"/>
      <c r="S541" s="169"/>
      <c r="T541" s="169"/>
      <c r="U541" s="169"/>
      <c r="V541" s="168"/>
      <c r="W541" s="168"/>
      <c r="X541" s="168"/>
      <c r="Y541" s="170"/>
      <c r="Z541" s="171"/>
      <c r="AA541" s="171"/>
      <c r="AB541" s="171"/>
      <c r="AC541" s="171"/>
      <c r="AD541" s="171"/>
      <c r="AE541" s="168"/>
      <c r="AF541" s="170"/>
      <c r="AG541" s="172"/>
      <c r="AH541"/>
      <c r="AI541"/>
    </row>
    <row r="542" spans="1:35" x14ac:dyDescent="0.25">
      <c r="A542"/>
      <c r="B542"/>
      <c r="C542"/>
      <c r="D542"/>
      <c r="E542"/>
      <c r="F542"/>
      <c r="G542"/>
      <c r="H542"/>
      <c r="I542"/>
      <c r="J542"/>
      <c r="K542"/>
      <c r="L542"/>
      <c r="M542"/>
      <c r="N542"/>
      <c r="O542"/>
      <c r="P542" s="168"/>
      <c r="Q542" s="168"/>
      <c r="R542" s="168"/>
      <c r="S542" s="169"/>
      <c r="T542" s="169"/>
      <c r="U542" s="169"/>
      <c r="V542" s="168"/>
      <c r="W542" s="168"/>
      <c r="X542" s="168"/>
      <c r="Y542" s="170"/>
      <c r="Z542" s="171"/>
      <c r="AA542" s="171"/>
      <c r="AB542" s="171"/>
      <c r="AC542" s="171"/>
      <c r="AD542" s="171"/>
      <c r="AE542" s="168"/>
      <c r="AF542" s="170"/>
      <c r="AG542" s="172"/>
      <c r="AH542"/>
      <c r="AI542"/>
    </row>
    <row r="543" spans="1:35" x14ac:dyDescent="0.25">
      <c r="A543"/>
      <c r="B543"/>
      <c r="C543"/>
      <c r="D543"/>
      <c r="E543"/>
      <c r="F543"/>
      <c r="G543"/>
      <c r="H543"/>
      <c r="I543"/>
      <c r="J543"/>
      <c r="K543"/>
      <c r="L543"/>
      <c r="M543"/>
      <c r="N543"/>
      <c r="O543"/>
      <c r="P543" s="168"/>
      <c r="Q543" s="168"/>
      <c r="R543" s="168"/>
      <c r="S543" s="169"/>
      <c r="T543" s="169"/>
      <c r="U543" s="169"/>
      <c r="V543" s="168"/>
      <c r="W543" s="168"/>
      <c r="X543" s="168"/>
      <c r="Y543" s="170"/>
      <c r="Z543" s="171"/>
      <c r="AA543" s="171"/>
      <c r="AB543" s="171"/>
      <c r="AC543" s="171"/>
      <c r="AD543" s="171"/>
      <c r="AE543" s="168"/>
      <c r="AF543" s="170"/>
      <c r="AG543" s="172"/>
      <c r="AH543"/>
      <c r="AI543"/>
    </row>
    <row r="544" spans="1:35" x14ac:dyDescent="0.25">
      <c r="A544"/>
      <c r="B544"/>
      <c r="C544"/>
      <c r="D544"/>
      <c r="E544"/>
      <c r="F544"/>
      <c r="G544"/>
      <c r="H544"/>
      <c r="I544"/>
      <c r="J544"/>
      <c r="K544"/>
      <c r="L544"/>
      <c r="M544"/>
      <c r="N544"/>
      <c r="O544"/>
      <c r="P544" s="168"/>
      <c r="Q544" s="168"/>
      <c r="R544" s="168"/>
      <c r="S544" s="169"/>
      <c r="T544" s="169"/>
      <c r="U544" s="169"/>
      <c r="V544" s="168"/>
      <c r="W544" s="168"/>
      <c r="X544" s="168"/>
      <c r="Y544" s="170"/>
      <c r="Z544" s="171"/>
      <c r="AA544" s="171"/>
      <c r="AB544" s="171"/>
      <c r="AC544" s="171"/>
      <c r="AD544" s="171"/>
      <c r="AE544" s="168"/>
      <c r="AF544" s="170"/>
      <c r="AG544" s="172"/>
      <c r="AH544"/>
      <c r="AI544"/>
    </row>
    <row r="545" spans="1:35" x14ac:dyDescent="0.25">
      <c r="A545"/>
      <c r="B545"/>
      <c r="C545"/>
      <c r="D545"/>
      <c r="E545"/>
      <c r="F545"/>
      <c r="G545"/>
      <c r="H545"/>
      <c r="I545"/>
      <c r="J545"/>
      <c r="K545"/>
      <c r="L545"/>
      <c r="M545"/>
      <c r="N545"/>
      <c r="O545"/>
      <c r="P545" s="168"/>
      <c r="Q545" s="168"/>
      <c r="R545" s="168"/>
      <c r="S545" s="169"/>
      <c r="T545" s="169"/>
      <c r="U545" s="169"/>
      <c r="V545" s="168"/>
      <c r="W545" s="168"/>
      <c r="X545" s="168"/>
      <c r="Y545" s="170"/>
      <c r="Z545" s="171"/>
      <c r="AA545" s="171"/>
      <c r="AB545" s="171"/>
      <c r="AC545" s="171"/>
      <c r="AD545" s="171"/>
      <c r="AE545" s="168"/>
      <c r="AF545" s="170"/>
      <c r="AG545" s="172"/>
      <c r="AH545"/>
      <c r="AI545"/>
    </row>
    <row r="546" spans="1:35" x14ac:dyDescent="0.25">
      <c r="A546"/>
      <c r="B546"/>
      <c r="C546"/>
      <c r="D546"/>
      <c r="E546"/>
      <c r="F546"/>
      <c r="G546"/>
      <c r="H546"/>
      <c r="I546"/>
      <c r="J546"/>
      <c r="K546"/>
      <c r="L546"/>
      <c r="M546"/>
      <c r="N546"/>
      <c r="O546"/>
      <c r="P546" s="168"/>
      <c r="Q546" s="168"/>
      <c r="R546" s="168"/>
      <c r="S546" s="169"/>
      <c r="T546" s="169"/>
      <c r="U546" s="169"/>
      <c r="V546" s="168"/>
      <c r="W546" s="168"/>
      <c r="X546" s="168"/>
      <c r="Y546" s="170"/>
      <c r="Z546" s="171"/>
      <c r="AA546" s="171"/>
      <c r="AB546" s="171"/>
      <c r="AC546" s="171"/>
      <c r="AD546" s="171"/>
      <c r="AE546" s="168"/>
      <c r="AF546" s="170"/>
      <c r="AG546" s="172"/>
      <c r="AH546"/>
      <c r="AI546"/>
    </row>
    <row r="547" spans="1:35" x14ac:dyDescent="0.25">
      <c r="A547"/>
      <c r="B547"/>
      <c r="C547"/>
      <c r="D547"/>
      <c r="E547"/>
      <c r="F547"/>
      <c r="G547"/>
      <c r="H547"/>
      <c r="I547"/>
      <c r="J547"/>
      <c r="K547"/>
      <c r="L547"/>
      <c r="M547"/>
      <c r="N547"/>
      <c r="O547"/>
      <c r="P547" s="168"/>
      <c r="Q547" s="168"/>
      <c r="R547" s="168"/>
      <c r="S547" s="169"/>
      <c r="T547" s="169"/>
      <c r="U547" s="169"/>
      <c r="V547" s="168"/>
      <c r="W547" s="168"/>
      <c r="X547" s="168"/>
      <c r="Y547" s="170"/>
      <c r="Z547" s="171"/>
      <c r="AA547" s="171"/>
      <c r="AB547" s="171"/>
      <c r="AC547" s="171"/>
      <c r="AD547" s="171"/>
      <c r="AE547" s="168"/>
      <c r="AF547" s="170"/>
      <c r="AG547" s="172"/>
      <c r="AH547"/>
      <c r="AI547"/>
    </row>
    <row r="548" spans="1:35" x14ac:dyDescent="0.25">
      <c r="A548"/>
      <c r="B548"/>
      <c r="C548"/>
      <c r="D548"/>
      <c r="E548"/>
      <c r="F548"/>
      <c r="G548"/>
      <c r="H548"/>
      <c r="I548"/>
      <c r="J548"/>
      <c r="K548"/>
      <c r="L548"/>
      <c r="M548"/>
      <c r="N548"/>
      <c r="O548"/>
      <c r="P548" s="168"/>
      <c r="Q548" s="168"/>
      <c r="R548" s="168"/>
      <c r="S548" s="169"/>
      <c r="T548" s="169"/>
      <c r="U548" s="169"/>
      <c r="V548" s="168"/>
      <c r="W548" s="168"/>
      <c r="X548" s="168"/>
      <c r="Y548" s="170"/>
      <c r="Z548" s="171"/>
      <c r="AA548" s="171"/>
      <c r="AB548" s="171"/>
      <c r="AC548" s="171"/>
      <c r="AD548" s="171"/>
      <c r="AE548" s="168"/>
      <c r="AF548" s="170"/>
      <c r="AG548" s="172"/>
      <c r="AH548"/>
      <c r="AI548"/>
    </row>
    <row r="549" spans="1:35" x14ac:dyDescent="0.25">
      <c r="A549"/>
      <c r="B549"/>
      <c r="C549"/>
      <c r="D549"/>
      <c r="E549"/>
      <c r="F549"/>
      <c r="G549"/>
      <c r="H549"/>
      <c r="I549"/>
      <c r="J549"/>
      <c r="K549"/>
      <c r="L549"/>
      <c r="M549"/>
      <c r="N549"/>
      <c r="O549"/>
      <c r="P549" s="168"/>
      <c r="Q549" s="168"/>
      <c r="R549" s="168"/>
      <c r="S549" s="169"/>
      <c r="T549" s="169"/>
      <c r="U549" s="169"/>
      <c r="V549" s="168"/>
      <c r="W549" s="168"/>
      <c r="X549" s="168"/>
      <c r="Y549" s="170"/>
      <c r="Z549" s="171"/>
      <c r="AA549" s="171"/>
      <c r="AB549" s="171"/>
      <c r="AC549" s="171"/>
      <c r="AD549" s="171"/>
      <c r="AE549" s="168"/>
      <c r="AF549" s="170"/>
      <c r="AG549" s="172"/>
      <c r="AH549"/>
      <c r="AI549"/>
    </row>
    <row r="550" spans="1:35" x14ac:dyDescent="0.25">
      <c r="A550"/>
      <c r="B550"/>
      <c r="C550"/>
      <c r="D550"/>
      <c r="E550"/>
      <c r="F550"/>
      <c r="G550"/>
      <c r="H550"/>
      <c r="I550"/>
      <c r="J550"/>
      <c r="K550"/>
      <c r="L550"/>
      <c r="M550"/>
      <c r="N550"/>
      <c r="O550"/>
      <c r="P550" s="168"/>
      <c r="Q550" s="168"/>
      <c r="R550" s="168"/>
      <c r="S550" s="169"/>
      <c r="T550" s="169"/>
      <c r="U550" s="169"/>
      <c r="V550" s="168"/>
      <c r="W550" s="168"/>
      <c r="X550" s="168"/>
      <c r="Y550" s="170"/>
      <c r="Z550" s="171"/>
      <c r="AA550" s="171"/>
      <c r="AB550" s="171"/>
      <c r="AC550" s="171"/>
      <c r="AD550" s="171"/>
      <c r="AE550" s="168"/>
      <c r="AF550" s="170"/>
      <c r="AG550" s="172"/>
      <c r="AH550"/>
      <c r="AI550"/>
    </row>
    <row r="551" spans="1:35" x14ac:dyDescent="0.25">
      <c r="A551"/>
      <c r="B551"/>
      <c r="C551"/>
      <c r="D551"/>
      <c r="E551"/>
      <c r="F551"/>
      <c r="G551"/>
      <c r="H551"/>
      <c r="I551"/>
      <c r="J551"/>
      <c r="K551"/>
      <c r="L551"/>
      <c r="M551"/>
      <c r="N551"/>
      <c r="O551"/>
      <c r="P551" s="168"/>
      <c r="Q551" s="168"/>
      <c r="R551" s="168"/>
      <c r="S551" s="169"/>
      <c r="T551" s="169"/>
      <c r="U551" s="169"/>
      <c r="V551" s="168"/>
      <c r="W551" s="168"/>
      <c r="X551" s="168"/>
      <c r="Y551" s="170"/>
      <c r="Z551" s="171"/>
      <c r="AA551" s="171"/>
      <c r="AB551" s="171"/>
      <c r="AC551" s="171"/>
      <c r="AD551" s="171"/>
      <c r="AE551" s="168"/>
      <c r="AF551" s="170"/>
      <c r="AG551" s="172"/>
      <c r="AH551"/>
      <c r="AI551"/>
    </row>
    <row r="552" spans="1:35" x14ac:dyDescent="0.25">
      <c r="A552"/>
      <c r="B552"/>
      <c r="C552"/>
      <c r="D552"/>
      <c r="E552"/>
      <c r="F552"/>
      <c r="G552"/>
      <c r="H552"/>
      <c r="I552"/>
      <c r="J552"/>
      <c r="K552"/>
      <c r="L552"/>
      <c r="M552"/>
      <c r="N552"/>
      <c r="O552"/>
      <c r="P552" s="168"/>
      <c r="Q552" s="168"/>
      <c r="R552" s="168"/>
      <c r="S552" s="169"/>
      <c r="T552" s="169"/>
      <c r="U552" s="169"/>
      <c r="V552" s="168"/>
      <c r="W552" s="168"/>
      <c r="X552" s="168"/>
      <c r="Y552" s="170"/>
      <c r="Z552" s="171"/>
      <c r="AA552" s="171"/>
      <c r="AB552" s="171"/>
      <c r="AC552" s="171"/>
      <c r="AD552" s="171"/>
      <c r="AE552" s="168"/>
      <c r="AF552" s="170"/>
      <c r="AG552" s="172"/>
      <c r="AH552"/>
      <c r="AI552"/>
    </row>
    <row r="553" spans="1:35" x14ac:dyDescent="0.25">
      <c r="A553"/>
      <c r="B553"/>
      <c r="C553"/>
      <c r="D553"/>
      <c r="E553"/>
      <c r="F553"/>
      <c r="G553"/>
      <c r="H553"/>
      <c r="I553"/>
      <c r="J553"/>
      <c r="K553"/>
      <c r="L553"/>
      <c r="M553"/>
      <c r="N553"/>
      <c r="O553"/>
      <c r="P553" s="168"/>
      <c r="Q553" s="168"/>
      <c r="R553" s="168"/>
      <c r="S553" s="169"/>
      <c r="T553" s="169"/>
      <c r="U553" s="169"/>
      <c r="V553" s="168"/>
      <c r="W553" s="168"/>
      <c r="X553" s="168"/>
      <c r="Y553" s="170"/>
      <c r="Z553" s="171"/>
      <c r="AA553" s="171"/>
      <c r="AB553" s="171"/>
      <c r="AC553" s="171"/>
      <c r="AD553" s="171"/>
      <c r="AE553" s="168"/>
      <c r="AF553" s="170"/>
      <c r="AG553" s="172"/>
      <c r="AH553"/>
      <c r="AI553"/>
    </row>
    <row r="554" spans="1:35" x14ac:dyDescent="0.25">
      <c r="A554"/>
      <c r="B554"/>
      <c r="C554"/>
      <c r="D554"/>
      <c r="E554"/>
      <c r="F554"/>
      <c r="G554"/>
      <c r="H554"/>
      <c r="I554"/>
      <c r="J554"/>
      <c r="K554"/>
      <c r="L554"/>
      <c r="M554"/>
      <c r="N554"/>
      <c r="O554"/>
      <c r="P554" s="168"/>
      <c r="Q554" s="168"/>
      <c r="R554" s="168"/>
      <c r="S554" s="169"/>
      <c r="T554" s="169"/>
      <c r="U554" s="169"/>
      <c r="V554" s="168"/>
      <c r="W554" s="168"/>
      <c r="X554" s="168"/>
      <c r="Y554" s="170"/>
      <c r="Z554" s="171"/>
      <c r="AA554" s="171"/>
      <c r="AB554" s="171"/>
      <c r="AC554" s="171"/>
      <c r="AD554" s="171"/>
      <c r="AE554" s="168"/>
      <c r="AF554" s="170"/>
      <c r="AG554" s="172"/>
      <c r="AH554"/>
      <c r="AI554"/>
    </row>
    <row r="555" spans="1:35" x14ac:dyDescent="0.25">
      <c r="A555"/>
      <c r="B555"/>
      <c r="C555"/>
      <c r="D555"/>
      <c r="E555"/>
      <c r="F555"/>
      <c r="G555"/>
      <c r="H555"/>
      <c r="I555"/>
      <c r="J555"/>
      <c r="K555"/>
      <c r="L555"/>
      <c r="M555"/>
      <c r="N555"/>
      <c r="O555"/>
      <c r="P555" s="168"/>
      <c r="Q555" s="168"/>
      <c r="R555" s="168"/>
      <c r="S555" s="169"/>
      <c r="T555" s="169"/>
      <c r="U555" s="169"/>
      <c r="V555" s="168"/>
      <c r="W555" s="168"/>
      <c r="X555" s="168"/>
      <c r="Y555" s="170"/>
      <c r="Z555" s="171"/>
      <c r="AA555" s="171"/>
      <c r="AB555" s="171"/>
      <c r="AC555" s="171"/>
      <c r="AD555" s="171"/>
      <c r="AE555" s="168"/>
      <c r="AF555" s="170"/>
      <c r="AG555" s="172"/>
      <c r="AH555"/>
      <c r="AI555"/>
    </row>
    <row r="556" spans="1:35" x14ac:dyDescent="0.25">
      <c r="A556"/>
      <c r="B556"/>
      <c r="C556"/>
      <c r="D556"/>
      <c r="E556"/>
      <c r="F556"/>
      <c r="G556"/>
      <c r="H556"/>
      <c r="I556"/>
      <c r="J556"/>
      <c r="K556"/>
      <c r="L556"/>
      <c r="M556"/>
      <c r="N556"/>
      <c r="O556"/>
      <c r="P556" s="168"/>
      <c r="Q556" s="168"/>
      <c r="R556" s="168"/>
      <c r="S556" s="169"/>
      <c r="T556" s="169"/>
      <c r="U556" s="169"/>
      <c r="V556" s="168"/>
      <c r="W556" s="168"/>
      <c r="X556" s="168"/>
      <c r="Y556" s="170"/>
      <c r="Z556" s="171"/>
      <c r="AA556" s="171"/>
      <c r="AB556" s="171"/>
      <c r="AC556" s="171"/>
      <c r="AD556" s="171"/>
      <c r="AE556" s="168"/>
      <c r="AF556" s="170"/>
      <c r="AG556" s="172"/>
      <c r="AH556"/>
      <c r="AI556"/>
    </row>
    <row r="557" spans="1:35" x14ac:dyDescent="0.25">
      <c r="A557"/>
      <c r="B557"/>
      <c r="C557"/>
      <c r="D557"/>
      <c r="E557"/>
      <c r="F557"/>
      <c r="G557"/>
      <c r="H557"/>
      <c r="I557"/>
      <c r="J557"/>
      <c r="K557"/>
      <c r="L557"/>
      <c r="M557"/>
      <c r="N557"/>
      <c r="O557"/>
      <c r="P557" s="168"/>
      <c r="Q557" s="168"/>
      <c r="R557" s="168"/>
      <c r="S557" s="169"/>
      <c r="T557" s="169"/>
      <c r="U557" s="169"/>
      <c r="V557" s="168"/>
      <c r="W557" s="168"/>
      <c r="X557" s="168"/>
      <c r="Y557" s="170"/>
      <c r="Z557" s="171"/>
      <c r="AA557" s="171"/>
      <c r="AB557" s="171"/>
      <c r="AC557" s="171"/>
      <c r="AD557" s="171"/>
      <c r="AE557" s="168"/>
      <c r="AF557" s="170"/>
      <c r="AG557" s="172"/>
      <c r="AH557"/>
      <c r="AI557"/>
    </row>
    <row r="558" spans="1:35" x14ac:dyDescent="0.25">
      <c r="A558"/>
      <c r="B558"/>
      <c r="C558"/>
      <c r="D558"/>
      <c r="E558"/>
      <c r="F558"/>
      <c r="G558"/>
      <c r="H558"/>
      <c r="I558"/>
      <c r="J558"/>
      <c r="K558"/>
      <c r="L558"/>
      <c r="M558"/>
      <c r="N558"/>
      <c r="O558"/>
      <c r="P558" s="168"/>
      <c r="Q558" s="168"/>
      <c r="R558" s="168"/>
      <c r="S558" s="169"/>
      <c r="T558" s="169"/>
      <c r="U558" s="169"/>
      <c r="V558" s="168"/>
      <c r="W558" s="168"/>
      <c r="X558" s="168"/>
      <c r="Y558" s="170"/>
      <c r="Z558" s="171"/>
      <c r="AA558" s="171"/>
      <c r="AB558" s="171"/>
      <c r="AC558" s="171"/>
      <c r="AD558" s="171"/>
      <c r="AE558" s="168"/>
      <c r="AF558" s="170"/>
      <c r="AG558" s="172"/>
      <c r="AH558"/>
      <c r="AI558"/>
    </row>
    <row r="559" spans="1:35" x14ac:dyDescent="0.25">
      <c r="A559"/>
      <c r="B559"/>
      <c r="C559"/>
      <c r="D559"/>
      <c r="E559"/>
      <c r="F559"/>
      <c r="G559"/>
      <c r="H559"/>
      <c r="I559"/>
      <c r="J559"/>
      <c r="K559"/>
      <c r="L559"/>
      <c r="M559"/>
      <c r="N559"/>
      <c r="O559"/>
      <c r="P559" s="168"/>
      <c r="Q559" s="168"/>
      <c r="R559" s="168"/>
      <c r="S559" s="169"/>
      <c r="T559" s="169"/>
      <c r="U559" s="169"/>
      <c r="V559" s="168"/>
      <c r="W559" s="168"/>
      <c r="X559" s="168"/>
      <c r="Y559" s="170"/>
      <c r="Z559" s="171"/>
      <c r="AA559" s="171"/>
      <c r="AB559" s="171"/>
      <c r="AC559" s="171"/>
      <c r="AD559" s="171"/>
      <c r="AE559" s="168"/>
      <c r="AF559" s="170"/>
      <c r="AG559" s="172"/>
      <c r="AH559"/>
      <c r="AI559"/>
    </row>
    <row r="560" spans="1:35" x14ac:dyDescent="0.25">
      <c r="A560"/>
      <c r="B560"/>
      <c r="C560"/>
      <c r="D560"/>
      <c r="E560"/>
      <c r="F560"/>
      <c r="G560"/>
      <c r="H560"/>
      <c r="I560"/>
      <c r="J560"/>
      <c r="K560"/>
      <c r="L560"/>
      <c r="M560"/>
      <c r="N560"/>
      <c r="O560"/>
      <c r="P560" s="168"/>
      <c r="Q560" s="168"/>
      <c r="R560" s="168"/>
      <c r="S560" s="169"/>
      <c r="T560" s="169"/>
      <c r="U560" s="169"/>
      <c r="V560" s="168"/>
      <c r="W560" s="168"/>
      <c r="X560" s="168"/>
      <c r="Y560" s="170"/>
      <c r="Z560" s="171"/>
      <c r="AA560" s="171"/>
      <c r="AB560" s="171"/>
      <c r="AC560" s="171"/>
      <c r="AD560" s="171"/>
      <c r="AE560" s="168"/>
      <c r="AF560" s="170"/>
      <c r="AG560" s="172"/>
      <c r="AH560"/>
      <c r="AI560"/>
    </row>
    <row r="561" spans="1:35" x14ac:dyDescent="0.25">
      <c r="A561"/>
      <c r="B561"/>
      <c r="C561"/>
      <c r="D561"/>
      <c r="E561"/>
      <c r="F561"/>
      <c r="G561"/>
      <c r="H561"/>
      <c r="I561"/>
      <c r="J561"/>
      <c r="K561"/>
      <c r="L561"/>
      <c r="M561"/>
      <c r="N561"/>
      <c r="O561"/>
      <c r="P561" s="168"/>
      <c r="Q561" s="168"/>
      <c r="R561" s="168"/>
      <c r="S561" s="169"/>
      <c r="T561" s="169"/>
      <c r="U561" s="169"/>
      <c r="V561" s="168"/>
      <c r="W561" s="168"/>
      <c r="X561" s="168"/>
      <c r="Y561" s="170"/>
      <c r="Z561" s="171"/>
      <c r="AA561" s="171"/>
      <c r="AB561" s="171"/>
      <c r="AC561" s="171"/>
      <c r="AD561" s="171"/>
      <c r="AE561" s="168"/>
      <c r="AF561" s="170"/>
      <c r="AG561" s="172"/>
      <c r="AH561"/>
      <c r="AI561"/>
    </row>
    <row r="562" spans="1:35" x14ac:dyDescent="0.25">
      <c r="A562"/>
      <c r="B562"/>
      <c r="C562"/>
      <c r="D562"/>
      <c r="E562"/>
      <c r="F562"/>
      <c r="G562"/>
      <c r="H562"/>
      <c r="I562"/>
      <c r="J562"/>
      <c r="K562"/>
      <c r="L562"/>
      <c r="M562"/>
      <c r="N562"/>
      <c r="O562"/>
      <c r="P562" s="168"/>
      <c r="Q562" s="168"/>
      <c r="R562" s="168"/>
      <c r="S562" s="169"/>
      <c r="T562" s="169"/>
      <c r="U562" s="169"/>
      <c r="V562" s="168"/>
      <c r="W562" s="168"/>
      <c r="X562" s="168"/>
      <c r="Y562" s="170"/>
      <c r="Z562" s="171"/>
      <c r="AA562" s="171"/>
      <c r="AB562" s="171"/>
      <c r="AC562" s="171"/>
      <c r="AD562" s="171"/>
      <c r="AE562" s="168"/>
      <c r="AF562" s="170"/>
      <c r="AG562" s="172"/>
      <c r="AH562"/>
      <c r="AI562"/>
    </row>
    <row r="563" spans="1:35" x14ac:dyDescent="0.25">
      <c r="A563"/>
      <c r="B563"/>
      <c r="C563"/>
      <c r="D563"/>
      <c r="E563"/>
      <c r="F563"/>
      <c r="G563"/>
      <c r="H563"/>
      <c r="I563"/>
      <c r="J563"/>
      <c r="K563"/>
      <c r="L563"/>
      <c r="M563"/>
      <c r="N563"/>
      <c r="O563"/>
      <c r="P563" s="168"/>
      <c r="Q563" s="168"/>
      <c r="R563" s="168"/>
      <c r="S563" s="169"/>
      <c r="T563" s="169"/>
      <c r="U563" s="169"/>
      <c r="V563" s="168"/>
      <c r="W563" s="168"/>
      <c r="X563" s="168"/>
      <c r="Y563" s="170"/>
      <c r="Z563" s="171"/>
      <c r="AA563" s="171"/>
      <c r="AB563" s="171"/>
      <c r="AC563" s="171"/>
      <c r="AD563" s="171"/>
      <c r="AE563" s="168"/>
      <c r="AF563" s="170"/>
      <c r="AG563" s="172"/>
      <c r="AH563"/>
      <c r="AI563"/>
    </row>
    <row r="564" spans="1:35" x14ac:dyDescent="0.25">
      <c r="A564"/>
      <c r="B564"/>
      <c r="C564"/>
      <c r="D564"/>
      <c r="E564"/>
      <c r="F564"/>
      <c r="G564"/>
      <c r="H564"/>
      <c r="I564"/>
      <c r="J564"/>
      <c r="K564"/>
      <c r="L564"/>
      <c r="M564"/>
      <c r="N564"/>
      <c r="O564"/>
      <c r="P564" s="168"/>
      <c r="Q564" s="168"/>
      <c r="R564" s="168"/>
      <c r="S564" s="169"/>
      <c r="T564" s="169"/>
      <c r="U564" s="169"/>
      <c r="V564" s="168"/>
      <c r="W564" s="168"/>
      <c r="X564" s="168"/>
      <c r="Y564" s="170"/>
      <c r="Z564" s="171"/>
      <c r="AA564" s="171"/>
      <c r="AB564" s="171"/>
      <c r="AC564" s="171"/>
      <c r="AD564" s="171"/>
      <c r="AE564" s="168"/>
      <c r="AF564" s="170"/>
      <c r="AG564" s="172"/>
      <c r="AH564"/>
      <c r="AI564"/>
    </row>
    <row r="565" spans="1:35" x14ac:dyDescent="0.25">
      <c r="A565"/>
      <c r="B565"/>
      <c r="C565"/>
      <c r="D565"/>
      <c r="E565"/>
      <c r="F565"/>
      <c r="G565"/>
      <c r="H565"/>
      <c r="I565"/>
      <c r="J565"/>
      <c r="K565"/>
      <c r="L565"/>
      <c r="M565"/>
      <c r="N565"/>
      <c r="O565"/>
      <c r="P565" s="168"/>
      <c r="Q565" s="168"/>
      <c r="R565" s="168"/>
      <c r="S565" s="169"/>
      <c r="T565" s="169"/>
      <c r="U565" s="169"/>
      <c r="V565" s="168"/>
      <c r="W565" s="168"/>
      <c r="X565" s="168"/>
      <c r="Y565" s="170"/>
      <c r="Z565" s="171"/>
      <c r="AA565" s="171"/>
      <c r="AB565" s="171"/>
      <c r="AC565" s="171"/>
      <c r="AD565" s="171"/>
      <c r="AE565" s="168"/>
      <c r="AF565" s="170"/>
      <c r="AG565" s="172"/>
      <c r="AH565"/>
      <c r="AI565"/>
    </row>
    <row r="566" spans="1:35" x14ac:dyDescent="0.25">
      <c r="A566"/>
      <c r="B566"/>
      <c r="C566"/>
      <c r="D566"/>
      <c r="E566"/>
      <c r="F566"/>
      <c r="G566"/>
      <c r="H566"/>
      <c r="I566"/>
      <c r="J566"/>
      <c r="K566"/>
      <c r="L566"/>
      <c r="M566"/>
      <c r="N566"/>
      <c r="O566"/>
      <c r="P566" s="168"/>
      <c r="Q566" s="168"/>
      <c r="R566" s="168"/>
      <c r="S566" s="169"/>
      <c r="T566" s="169"/>
      <c r="U566" s="169"/>
      <c r="V566" s="168"/>
      <c r="W566" s="168"/>
      <c r="X566" s="168"/>
      <c r="Y566" s="170"/>
      <c r="Z566" s="171"/>
      <c r="AA566" s="171"/>
      <c r="AB566" s="171"/>
      <c r="AC566" s="171"/>
      <c r="AD566" s="171"/>
      <c r="AE566" s="168"/>
      <c r="AF566" s="170"/>
      <c r="AG566" s="172"/>
      <c r="AH566"/>
      <c r="AI566"/>
    </row>
    <row r="567" spans="1:35" x14ac:dyDescent="0.25">
      <c r="A567"/>
      <c r="B567"/>
      <c r="C567"/>
      <c r="D567"/>
      <c r="E567"/>
      <c r="F567"/>
      <c r="G567"/>
      <c r="H567"/>
      <c r="I567"/>
      <c r="J567"/>
      <c r="K567"/>
      <c r="L567"/>
      <c r="M567"/>
      <c r="N567"/>
      <c r="O567"/>
      <c r="P567" s="168"/>
      <c r="Q567" s="168"/>
      <c r="R567" s="168"/>
      <c r="S567" s="169"/>
      <c r="T567" s="169"/>
      <c r="U567" s="169"/>
      <c r="V567" s="168"/>
      <c r="W567" s="168"/>
      <c r="X567" s="168"/>
      <c r="Y567" s="170"/>
      <c r="Z567" s="171"/>
      <c r="AA567" s="171"/>
      <c r="AB567" s="171"/>
      <c r="AC567" s="171"/>
      <c r="AD567" s="171"/>
      <c r="AE567" s="168"/>
      <c r="AF567" s="170"/>
      <c r="AG567" s="172"/>
      <c r="AH567"/>
      <c r="AI567"/>
    </row>
    <row r="568" spans="1:35" x14ac:dyDescent="0.25">
      <c r="A568"/>
      <c r="B568"/>
      <c r="C568"/>
      <c r="D568"/>
      <c r="E568"/>
      <c r="F568"/>
      <c r="G568"/>
      <c r="H568"/>
      <c r="I568"/>
      <c r="J568"/>
      <c r="K568"/>
      <c r="L568"/>
      <c r="M568"/>
      <c r="N568"/>
      <c r="O568"/>
      <c r="P568" s="168"/>
      <c r="Q568" s="168"/>
      <c r="R568" s="168"/>
      <c r="S568" s="169"/>
      <c r="T568" s="169"/>
      <c r="U568" s="169"/>
      <c r="V568" s="168"/>
      <c r="W568" s="168"/>
      <c r="X568" s="168"/>
      <c r="Y568" s="170"/>
      <c r="Z568" s="171"/>
      <c r="AA568" s="171"/>
      <c r="AB568" s="171"/>
      <c r="AC568" s="171"/>
      <c r="AD568" s="171"/>
      <c r="AE568" s="168"/>
      <c r="AF568" s="170"/>
      <c r="AG568" s="172"/>
      <c r="AH568"/>
      <c r="AI568"/>
    </row>
    <row r="569" spans="1:35" x14ac:dyDescent="0.25">
      <c r="A569"/>
      <c r="B569"/>
      <c r="C569"/>
      <c r="D569"/>
      <c r="E569"/>
      <c r="F569"/>
      <c r="G569"/>
      <c r="H569"/>
      <c r="I569"/>
      <c r="J569"/>
      <c r="K569"/>
      <c r="L569"/>
      <c r="M569"/>
      <c r="N569"/>
      <c r="O569"/>
      <c r="P569" s="168"/>
      <c r="Q569" s="168"/>
      <c r="R569" s="168"/>
      <c r="S569" s="169"/>
      <c r="T569" s="169"/>
      <c r="U569" s="169"/>
      <c r="V569" s="168"/>
      <c r="W569" s="168"/>
      <c r="X569" s="168"/>
      <c r="Y569" s="170"/>
      <c r="Z569" s="171"/>
      <c r="AA569" s="171"/>
      <c r="AB569" s="171"/>
      <c r="AC569" s="171"/>
      <c r="AD569" s="171"/>
      <c r="AE569" s="168"/>
      <c r="AF569" s="170"/>
      <c r="AG569" s="172"/>
      <c r="AH569"/>
      <c r="AI569"/>
    </row>
    <row r="570" spans="1:35" x14ac:dyDescent="0.25">
      <c r="A570"/>
      <c r="B570"/>
      <c r="C570"/>
      <c r="D570"/>
      <c r="E570"/>
      <c r="F570"/>
      <c r="G570"/>
      <c r="H570"/>
      <c r="I570"/>
      <c r="J570"/>
      <c r="K570"/>
      <c r="L570"/>
      <c r="M570"/>
      <c r="N570"/>
      <c r="O570"/>
      <c r="P570" s="168"/>
      <c r="Q570" s="168"/>
      <c r="R570" s="168"/>
      <c r="S570" s="169"/>
      <c r="T570" s="169"/>
      <c r="U570" s="169"/>
      <c r="V570" s="168"/>
      <c r="W570" s="168"/>
      <c r="X570" s="168"/>
      <c r="Y570" s="170"/>
      <c r="Z570" s="171"/>
      <c r="AA570" s="171"/>
      <c r="AB570" s="171"/>
      <c r="AC570" s="171"/>
      <c r="AD570" s="171"/>
      <c r="AE570" s="168"/>
      <c r="AF570" s="170"/>
      <c r="AG570" s="172"/>
      <c r="AH570"/>
      <c r="AI570"/>
    </row>
    <row r="571" spans="1:35" x14ac:dyDescent="0.25">
      <c r="A571"/>
      <c r="B571"/>
      <c r="C571"/>
      <c r="D571"/>
      <c r="E571"/>
      <c r="F571"/>
      <c r="G571"/>
      <c r="H571"/>
      <c r="I571"/>
      <c r="J571"/>
      <c r="K571"/>
      <c r="L571"/>
      <c r="M571"/>
      <c r="N571"/>
      <c r="O571"/>
      <c r="P571" s="168"/>
      <c r="Q571" s="168"/>
      <c r="R571" s="168"/>
      <c r="S571" s="169"/>
      <c r="T571" s="169"/>
      <c r="U571" s="169"/>
      <c r="V571" s="168"/>
      <c r="W571" s="168"/>
      <c r="X571" s="168"/>
      <c r="Y571" s="170"/>
      <c r="Z571" s="171"/>
      <c r="AA571" s="171"/>
      <c r="AB571" s="171"/>
      <c r="AC571" s="171"/>
      <c r="AD571" s="171"/>
      <c r="AE571" s="168"/>
      <c r="AF571" s="170"/>
      <c r="AG571" s="172"/>
      <c r="AH571"/>
      <c r="AI571"/>
    </row>
    <row r="572" spans="1:35" x14ac:dyDescent="0.25">
      <c r="A572"/>
      <c r="B572"/>
      <c r="C572"/>
      <c r="D572"/>
      <c r="E572"/>
      <c r="F572"/>
      <c r="G572"/>
      <c r="H572"/>
      <c r="I572"/>
      <c r="J572"/>
      <c r="K572"/>
      <c r="L572"/>
      <c r="M572"/>
      <c r="N572"/>
      <c r="O572"/>
      <c r="P572" s="168"/>
      <c r="Q572" s="168"/>
      <c r="R572" s="168"/>
      <c r="S572" s="169"/>
      <c r="T572" s="169"/>
      <c r="U572" s="169"/>
      <c r="V572" s="168"/>
      <c r="W572" s="168"/>
      <c r="X572" s="168"/>
      <c r="Y572" s="170"/>
      <c r="Z572" s="171"/>
      <c r="AA572" s="171"/>
      <c r="AB572" s="171"/>
      <c r="AC572" s="171"/>
      <c r="AD572" s="171"/>
      <c r="AE572" s="168"/>
      <c r="AF572" s="170"/>
      <c r="AG572" s="172"/>
      <c r="AH572"/>
      <c r="AI572"/>
    </row>
    <row r="573" spans="1:35" x14ac:dyDescent="0.25">
      <c r="A573"/>
      <c r="B573"/>
      <c r="C573"/>
      <c r="D573"/>
      <c r="E573"/>
      <c r="F573"/>
      <c r="G573"/>
      <c r="H573"/>
      <c r="I573"/>
      <c r="J573"/>
      <c r="K573"/>
      <c r="L573"/>
      <c r="M573"/>
      <c r="N573"/>
      <c r="O573"/>
      <c r="P573" s="168"/>
      <c r="Q573" s="168"/>
      <c r="R573" s="168"/>
      <c r="S573" s="169"/>
      <c r="T573" s="169"/>
      <c r="U573" s="169"/>
      <c r="V573" s="168"/>
      <c r="W573" s="168"/>
      <c r="X573" s="168"/>
      <c r="Y573" s="170"/>
      <c r="Z573" s="171"/>
      <c r="AA573" s="171"/>
      <c r="AB573" s="171"/>
      <c r="AC573" s="171"/>
      <c r="AD573" s="171"/>
      <c r="AE573" s="168"/>
      <c r="AF573" s="170"/>
      <c r="AG573" s="172"/>
      <c r="AH573"/>
      <c r="AI573"/>
    </row>
    <row r="574" spans="1:35" x14ac:dyDescent="0.25">
      <c r="A574"/>
      <c r="B574"/>
      <c r="C574"/>
      <c r="D574"/>
      <c r="E574"/>
      <c r="F574"/>
      <c r="G574"/>
      <c r="H574"/>
      <c r="I574"/>
      <c r="J574"/>
      <c r="K574"/>
      <c r="L574"/>
      <c r="M574"/>
      <c r="N574"/>
      <c r="O574"/>
      <c r="P574" s="168"/>
      <c r="Q574" s="168"/>
      <c r="R574" s="168"/>
      <c r="S574" s="169"/>
      <c r="T574" s="169"/>
      <c r="U574" s="169"/>
      <c r="V574" s="168"/>
      <c r="W574" s="168"/>
      <c r="X574" s="168"/>
      <c r="Y574" s="170"/>
      <c r="Z574" s="171"/>
      <c r="AA574" s="171"/>
      <c r="AB574" s="171"/>
      <c r="AC574" s="171"/>
      <c r="AD574" s="171"/>
      <c r="AE574" s="168"/>
      <c r="AF574" s="170"/>
      <c r="AG574" s="172"/>
      <c r="AH574"/>
      <c r="AI574"/>
    </row>
    <row r="575" spans="1:35" x14ac:dyDescent="0.25">
      <c r="A575"/>
      <c r="B575"/>
      <c r="C575"/>
      <c r="D575"/>
      <c r="E575"/>
      <c r="F575"/>
      <c r="G575"/>
      <c r="H575"/>
      <c r="I575"/>
      <c r="J575"/>
      <c r="K575"/>
      <c r="L575"/>
      <c r="M575"/>
      <c r="N575"/>
      <c r="O575"/>
      <c r="P575" s="168"/>
      <c r="Q575" s="168"/>
      <c r="R575" s="168"/>
      <c r="S575" s="169"/>
      <c r="T575" s="169"/>
      <c r="U575" s="169"/>
      <c r="V575" s="168"/>
      <c r="W575" s="168"/>
      <c r="X575" s="168"/>
      <c r="Y575" s="170"/>
      <c r="Z575" s="171"/>
      <c r="AA575" s="171"/>
      <c r="AB575" s="171"/>
      <c r="AC575" s="171"/>
      <c r="AD575" s="171"/>
      <c r="AE575" s="168"/>
      <c r="AF575" s="170"/>
      <c r="AG575" s="172"/>
      <c r="AH575"/>
      <c r="AI575"/>
    </row>
    <row r="576" spans="1:35" x14ac:dyDescent="0.25">
      <c r="A576"/>
      <c r="B576"/>
      <c r="C576"/>
      <c r="D576"/>
      <c r="E576"/>
      <c r="F576"/>
      <c r="G576"/>
      <c r="H576"/>
      <c r="I576"/>
      <c r="J576"/>
      <c r="K576"/>
      <c r="L576"/>
      <c r="M576"/>
      <c r="N576"/>
      <c r="O576"/>
      <c r="P576" s="168"/>
      <c r="Q576" s="168"/>
      <c r="R576" s="168"/>
      <c r="S576" s="169"/>
      <c r="T576" s="169"/>
      <c r="U576" s="169"/>
      <c r="V576" s="168"/>
      <c r="W576" s="168"/>
      <c r="X576" s="168"/>
      <c r="Y576" s="170"/>
      <c r="Z576" s="171"/>
      <c r="AA576" s="171"/>
      <c r="AB576" s="171"/>
      <c r="AC576" s="171"/>
      <c r="AD576" s="171"/>
      <c r="AE576" s="168"/>
      <c r="AF576" s="170"/>
      <c r="AG576" s="172"/>
      <c r="AH576"/>
      <c r="AI576"/>
    </row>
    <row r="577" spans="1:35" x14ac:dyDescent="0.25">
      <c r="A577"/>
      <c r="B577"/>
      <c r="C577"/>
      <c r="D577"/>
      <c r="E577"/>
      <c r="F577"/>
      <c r="G577"/>
      <c r="H577"/>
      <c r="I577"/>
      <c r="J577"/>
      <c r="K577"/>
      <c r="L577"/>
      <c r="M577"/>
      <c r="N577"/>
      <c r="O577"/>
      <c r="P577" s="168"/>
      <c r="Q577" s="168"/>
      <c r="R577" s="168"/>
      <c r="S577" s="169"/>
      <c r="T577" s="169"/>
      <c r="U577" s="169"/>
      <c r="V577" s="168"/>
      <c r="W577" s="168"/>
      <c r="X577" s="168"/>
      <c r="Y577" s="170"/>
      <c r="Z577" s="171"/>
      <c r="AA577" s="171"/>
      <c r="AB577" s="171"/>
      <c r="AC577" s="171"/>
      <c r="AD577" s="171"/>
      <c r="AE577" s="168"/>
      <c r="AF577" s="170"/>
      <c r="AG577" s="172"/>
      <c r="AH577"/>
      <c r="AI577"/>
    </row>
    <row r="578" spans="1:35" x14ac:dyDescent="0.25">
      <c r="A578"/>
      <c r="B578"/>
      <c r="C578"/>
      <c r="D578"/>
      <c r="E578"/>
      <c r="F578"/>
      <c r="G578"/>
      <c r="H578"/>
      <c r="I578"/>
      <c r="J578"/>
      <c r="K578"/>
      <c r="L578"/>
      <c r="M578"/>
      <c r="N578"/>
      <c r="O578"/>
      <c r="P578" s="168"/>
      <c r="Q578" s="168"/>
      <c r="R578" s="168"/>
      <c r="S578" s="169"/>
      <c r="T578" s="169"/>
      <c r="U578" s="169"/>
      <c r="V578" s="168"/>
      <c r="W578" s="168"/>
      <c r="X578" s="168"/>
      <c r="Y578" s="170"/>
      <c r="Z578" s="171"/>
      <c r="AA578" s="171"/>
      <c r="AB578" s="171"/>
      <c r="AC578" s="171"/>
      <c r="AD578" s="171"/>
      <c r="AE578" s="168"/>
      <c r="AF578" s="170"/>
      <c r="AG578" s="172"/>
      <c r="AH578"/>
      <c r="AI578"/>
    </row>
    <row r="579" spans="1:35" x14ac:dyDescent="0.25">
      <c r="A579"/>
      <c r="B579"/>
      <c r="C579"/>
      <c r="D579"/>
      <c r="E579"/>
      <c r="F579"/>
      <c r="G579"/>
      <c r="H579"/>
      <c r="I579"/>
      <c r="J579"/>
      <c r="K579"/>
      <c r="L579"/>
      <c r="M579"/>
      <c r="N579"/>
      <c r="O579"/>
      <c r="P579" s="168"/>
      <c r="Q579" s="168"/>
      <c r="R579" s="168"/>
      <c r="S579" s="169"/>
      <c r="T579" s="169"/>
      <c r="U579" s="169"/>
      <c r="V579" s="168"/>
      <c r="W579" s="168"/>
      <c r="X579" s="168"/>
      <c r="Y579" s="170"/>
      <c r="Z579" s="171"/>
      <c r="AA579" s="171"/>
      <c r="AB579" s="171"/>
      <c r="AC579" s="171"/>
      <c r="AD579" s="171"/>
      <c r="AE579" s="168"/>
      <c r="AF579" s="170"/>
      <c r="AG579" s="172"/>
      <c r="AH579"/>
      <c r="AI579"/>
    </row>
    <row r="580" spans="1:35" x14ac:dyDescent="0.25">
      <c r="A580"/>
      <c r="B580"/>
      <c r="C580"/>
      <c r="D580"/>
      <c r="E580"/>
      <c r="F580"/>
      <c r="G580"/>
      <c r="H580"/>
      <c r="I580"/>
      <c r="J580"/>
      <c r="K580"/>
      <c r="L580"/>
      <c r="M580"/>
      <c r="N580"/>
      <c r="O580"/>
      <c r="P580" s="168"/>
      <c r="Q580" s="168"/>
      <c r="R580" s="168"/>
      <c r="S580" s="169"/>
      <c r="T580" s="169"/>
      <c r="U580" s="169"/>
      <c r="V580" s="168"/>
      <c r="W580" s="168"/>
      <c r="X580" s="168"/>
      <c r="Y580" s="170"/>
      <c r="Z580" s="171"/>
      <c r="AA580" s="171"/>
      <c r="AB580" s="171"/>
      <c r="AC580" s="171"/>
      <c r="AD580" s="171"/>
      <c r="AE580" s="168"/>
      <c r="AF580" s="170"/>
      <c r="AG580" s="172"/>
      <c r="AH580"/>
      <c r="AI580"/>
    </row>
    <row r="581" spans="1:35" x14ac:dyDescent="0.25">
      <c r="A581"/>
      <c r="B581"/>
      <c r="C581"/>
      <c r="D581"/>
      <c r="E581"/>
      <c r="F581"/>
      <c r="G581"/>
      <c r="H581"/>
      <c r="I581"/>
      <c r="J581"/>
      <c r="K581"/>
      <c r="L581"/>
      <c r="M581"/>
      <c r="N581"/>
      <c r="O581"/>
      <c r="P581" s="168"/>
      <c r="Q581" s="168"/>
      <c r="R581" s="168"/>
      <c r="S581" s="169"/>
      <c r="T581" s="169"/>
      <c r="U581" s="169"/>
      <c r="V581" s="168"/>
      <c r="W581" s="168"/>
      <c r="X581" s="168"/>
      <c r="Y581" s="170"/>
      <c r="Z581" s="171"/>
      <c r="AA581" s="171"/>
      <c r="AB581" s="171"/>
      <c r="AC581" s="171"/>
      <c r="AD581" s="171"/>
      <c r="AE581" s="168"/>
      <c r="AF581" s="170"/>
      <c r="AG581" s="172"/>
      <c r="AH581"/>
      <c r="AI581"/>
    </row>
    <row r="582" spans="1:35" x14ac:dyDescent="0.25">
      <c r="A582"/>
      <c r="B582"/>
      <c r="C582"/>
      <c r="D582"/>
      <c r="E582"/>
      <c r="F582"/>
      <c r="G582"/>
      <c r="H582"/>
      <c r="I582"/>
      <c r="J582"/>
      <c r="K582"/>
      <c r="L582"/>
      <c r="M582"/>
      <c r="N582"/>
      <c r="O582"/>
      <c r="P582" s="168"/>
      <c r="Q582" s="168"/>
      <c r="R582" s="168"/>
      <c r="S582" s="169"/>
      <c r="T582" s="169"/>
      <c r="U582" s="169"/>
      <c r="V582" s="168"/>
      <c r="W582" s="168"/>
      <c r="X582" s="168"/>
      <c r="Y582" s="170"/>
      <c r="Z582" s="171"/>
      <c r="AA582" s="171"/>
      <c r="AB582" s="171"/>
      <c r="AC582" s="171"/>
      <c r="AD582" s="171"/>
      <c r="AE582" s="168"/>
      <c r="AF582" s="170"/>
      <c r="AG582" s="172"/>
      <c r="AH582"/>
      <c r="AI582"/>
    </row>
    <row r="583" spans="1:35" x14ac:dyDescent="0.25">
      <c r="A583"/>
      <c r="B583"/>
      <c r="C583"/>
      <c r="D583"/>
      <c r="E583"/>
      <c r="F583"/>
      <c r="G583"/>
      <c r="H583"/>
      <c r="I583"/>
      <c r="J583"/>
      <c r="K583"/>
      <c r="L583"/>
      <c r="M583"/>
      <c r="N583"/>
      <c r="O583"/>
      <c r="P583" s="168"/>
      <c r="Q583" s="168"/>
      <c r="R583" s="168"/>
      <c r="S583" s="169"/>
      <c r="T583" s="169"/>
      <c r="U583" s="169"/>
      <c r="V583" s="168"/>
      <c r="W583" s="168"/>
      <c r="X583" s="168"/>
      <c r="Y583" s="170"/>
      <c r="Z583" s="171"/>
      <c r="AA583" s="171"/>
      <c r="AB583" s="171"/>
      <c r="AC583" s="171"/>
      <c r="AD583" s="171"/>
      <c r="AE583" s="168"/>
      <c r="AF583" s="170"/>
      <c r="AG583" s="172"/>
      <c r="AH583"/>
      <c r="AI583"/>
    </row>
    <row r="584" spans="1:35" x14ac:dyDescent="0.25">
      <c r="A584"/>
      <c r="B584"/>
      <c r="C584"/>
      <c r="D584"/>
      <c r="E584"/>
      <c r="F584"/>
      <c r="G584"/>
      <c r="H584"/>
      <c r="I584"/>
      <c r="J584"/>
      <c r="K584"/>
      <c r="L584"/>
      <c r="M584"/>
      <c r="N584"/>
      <c r="O584"/>
      <c r="P584" s="168"/>
      <c r="Q584" s="168"/>
      <c r="R584" s="168"/>
      <c r="S584" s="169"/>
      <c r="T584" s="169"/>
      <c r="U584" s="169"/>
      <c r="V584" s="168"/>
      <c r="W584" s="168"/>
      <c r="X584" s="168"/>
      <c r="Y584" s="170"/>
      <c r="Z584" s="171"/>
      <c r="AA584" s="171"/>
      <c r="AB584" s="171"/>
      <c r="AC584" s="171"/>
      <c r="AD584" s="171"/>
      <c r="AE584" s="168"/>
      <c r="AF584" s="170"/>
      <c r="AG584" s="172"/>
      <c r="AH584"/>
      <c r="AI584"/>
    </row>
    <row r="585" spans="1:35" x14ac:dyDescent="0.25">
      <c r="A585"/>
      <c r="B585"/>
      <c r="C585"/>
      <c r="D585"/>
      <c r="E585"/>
      <c r="F585"/>
      <c r="G585"/>
      <c r="H585"/>
      <c r="I585"/>
      <c r="J585"/>
      <c r="K585"/>
      <c r="L585"/>
      <c r="M585"/>
      <c r="N585"/>
      <c r="O585"/>
      <c r="P585" s="168"/>
      <c r="Q585" s="168"/>
      <c r="R585" s="168"/>
      <c r="S585" s="169"/>
      <c r="T585" s="169"/>
      <c r="U585" s="169"/>
      <c r="V585" s="168"/>
      <c r="W585" s="168"/>
      <c r="X585" s="168"/>
      <c r="Y585" s="170"/>
      <c r="Z585" s="171"/>
      <c r="AA585" s="171"/>
      <c r="AB585" s="171"/>
      <c r="AC585" s="171"/>
      <c r="AD585" s="171"/>
      <c r="AE585" s="168"/>
      <c r="AF585" s="170"/>
      <c r="AG585" s="172"/>
      <c r="AH585"/>
      <c r="AI585"/>
    </row>
    <row r="586" spans="1:35" x14ac:dyDescent="0.25">
      <c r="A586"/>
      <c r="B586"/>
      <c r="C586"/>
      <c r="D586"/>
      <c r="E586"/>
      <c r="F586"/>
      <c r="G586"/>
      <c r="H586"/>
      <c r="I586"/>
      <c r="J586"/>
      <c r="K586"/>
      <c r="L586"/>
      <c r="M586"/>
      <c r="N586"/>
      <c r="O586"/>
      <c r="P586" s="168"/>
      <c r="Q586" s="168"/>
      <c r="R586" s="168"/>
      <c r="S586" s="169"/>
      <c r="T586" s="169"/>
      <c r="U586" s="169"/>
      <c r="V586" s="168"/>
      <c r="W586" s="168"/>
      <c r="X586" s="168"/>
      <c r="Y586" s="170"/>
      <c r="Z586" s="171"/>
      <c r="AA586" s="171"/>
      <c r="AB586" s="171"/>
      <c r="AC586" s="171"/>
      <c r="AD586" s="171"/>
      <c r="AE586" s="168"/>
      <c r="AF586" s="170"/>
      <c r="AG586" s="172"/>
      <c r="AH586"/>
      <c r="AI586"/>
    </row>
    <row r="587" spans="1:35" x14ac:dyDescent="0.25">
      <c r="A587"/>
      <c r="B587"/>
      <c r="C587"/>
      <c r="D587"/>
      <c r="E587"/>
      <c r="F587"/>
      <c r="G587"/>
      <c r="H587"/>
      <c r="I587"/>
      <c r="J587"/>
      <c r="K587"/>
      <c r="L587"/>
      <c r="M587"/>
      <c r="N587"/>
      <c r="O587"/>
      <c r="P587" s="168"/>
      <c r="Q587" s="168"/>
      <c r="R587" s="168"/>
      <c r="S587" s="169"/>
      <c r="T587" s="169"/>
      <c r="U587" s="169"/>
      <c r="V587" s="168"/>
      <c r="W587" s="168"/>
      <c r="X587" s="168"/>
      <c r="Y587" s="170"/>
      <c r="Z587" s="171"/>
      <c r="AA587" s="171"/>
      <c r="AB587" s="171"/>
      <c r="AC587" s="171"/>
      <c r="AD587" s="171"/>
      <c r="AE587" s="168"/>
      <c r="AF587" s="170"/>
      <c r="AG587" s="172"/>
      <c r="AH587"/>
      <c r="AI587"/>
    </row>
    <row r="588" spans="1:35" x14ac:dyDescent="0.25">
      <c r="A588"/>
      <c r="B588"/>
      <c r="C588"/>
      <c r="D588"/>
      <c r="E588"/>
      <c r="F588"/>
      <c r="G588"/>
      <c r="H588"/>
      <c r="I588"/>
      <c r="J588"/>
      <c r="K588"/>
      <c r="L588"/>
      <c r="M588"/>
      <c r="N588"/>
      <c r="O588"/>
      <c r="P588" s="168"/>
      <c r="Q588" s="168"/>
      <c r="R588" s="168"/>
      <c r="S588" s="169"/>
      <c r="T588" s="169"/>
      <c r="U588" s="169"/>
      <c r="V588" s="168"/>
      <c r="W588" s="168"/>
      <c r="X588" s="168"/>
      <c r="Y588" s="170"/>
      <c r="Z588" s="171"/>
      <c r="AA588" s="171"/>
      <c r="AB588" s="171"/>
      <c r="AC588" s="171"/>
      <c r="AD588" s="171"/>
      <c r="AE588" s="168"/>
      <c r="AF588" s="170"/>
      <c r="AG588" s="172"/>
      <c r="AH588"/>
      <c r="AI588"/>
    </row>
    <row r="589" spans="1:35" x14ac:dyDescent="0.25">
      <c r="A589"/>
      <c r="B589"/>
      <c r="C589"/>
      <c r="D589"/>
      <c r="E589"/>
      <c r="F589"/>
      <c r="G589"/>
      <c r="H589"/>
      <c r="I589"/>
      <c r="J589"/>
      <c r="K589"/>
      <c r="L589"/>
      <c r="M589"/>
      <c r="N589"/>
      <c r="O589"/>
      <c r="P589" s="168"/>
      <c r="Q589" s="168"/>
      <c r="R589" s="168"/>
      <c r="S589" s="169"/>
      <c r="T589" s="169"/>
      <c r="U589" s="169"/>
      <c r="V589" s="168"/>
      <c r="W589" s="168"/>
      <c r="X589" s="168"/>
      <c r="Y589" s="170"/>
      <c r="Z589" s="171"/>
      <c r="AA589" s="171"/>
      <c r="AB589" s="171"/>
      <c r="AC589" s="171"/>
      <c r="AD589" s="171"/>
      <c r="AE589" s="168"/>
      <c r="AF589" s="170"/>
      <c r="AG589" s="172"/>
      <c r="AH589"/>
      <c r="AI589"/>
    </row>
    <row r="590" spans="1:35" x14ac:dyDescent="0.25">
      <c r="A590"/>
      <c r="B590"/>
      <c r="C590"/>
      <c r="D590"/>
      <c r="E590"/>
      <c r="F590"/>
      <c r="G590"/>
      <c r="H590"/>
      <c r="I590"/>
      <c r="J590"/>
      <c r="K590"/>
      <c r="L590"/>
      <c r="M590"/>
      <c r="N590"/>
      <c r="O590"/>
      <c r="P590" s="168"/>
      <c r="Q590" s="168"/>
      <c r="R590" s="168"/>
      <c r="S590" s="169"/>
      <c r="T590" s="169"/>
      <c r="U590" s="169"/>
      <c r="V590" s="168"/>
      <c r="W590" s="168"/>
      <c r="X590" s="168"/>
      <c r="Y590" s="170"/>
      <c r="Z590" s="171"/>
      <c r="AA590" s="171"/>
      <c r="AB590" s="171"/>
      <c r="AC590" s="171"/>
      <c r="AD590" s="171"/>
      <c r="AE590" s="168"/>
      <c r="AF590" s="170"/>
      <c r="AG590" s="172"/>
      <c r="AH590"/>
      <c r="AI590"/>
    </row>
    <row r="591" spans="1:35" x14ac:dyDescent="0.25">
      <c r="A591"/>
      <c r="B591"/>
      <c r="C591"/>
      <c r="D591"/>
      <c r="E591"/>
      <c r="F591"/>
      <c r="G591"/>
      <c r="H591"/>
      <c r="I591"/>
      <c r="J591"/>
      <c r="K591"/>
      <c r="L591"/>
      <c r="M591"/>
      <c r="N591"/>
      <c r="O591"/>
      <c r="P591" s="168"/>
      <c r="Q591" s="168"/>
      <c r="R591" s="168"/>
      <c r="S591" s="169"/>
      <c r="T591" s="169"/>
      <c r="U591" s="169"/>
      <c r="V591" s="168"/>
      <c r="W591" s="168"/>
      <c r="X591" s="168"/>
      <c r="Y591" s="170"/>
      <c r="Z591" s="171"/>
      <c r="AA591" s="171"/>
      <c r="AB591" s="171"/>
      <c r="AC591" s="171"/>
      <c r="AD591" s="171"/>
      <c r="AE591" s="168"/>
      <c r="AF591" s="170"/>
      <c r="AG591" s="172"/>
      <c r="AH591"/>
      <c r="AI591"/>
    </row>
    <row r="592" spans="1:35" x14ac:dyDescent="0.25">
      <c r="A592"/>
      <c r="B592"/>
      <c r="C592"/>
      <c r="D592"/>
      <c r="E592"/>
      <c r="F592"/>
      <c r="G592"/>
      <c r="H592"/>
      <c r="I592"/>
      <c r="J592"/>
      <c r="K592"/>
      <c r="L592"/>
      <c r="M592"/>
      <c r="N592"/>
      <c r="O592"/>
      <c r="P592" s="168"/>
      <c r="Q592" s="168"/>
      <c r="R592" s="168"/>
      <c r="S592" s="169"/>
      <c r="T592" s="169"/>
      <c r="U592" s="169"/>
      <c r="V592" s="168"/>
      <c r="W592" s="168"/>
      <c r="X592" s="168"/>
      <c r="Y592" s="170"/>
      <c r="Z592" s="171"/>
      <c r="AA592" s="171"/>
      <c r="AB592" s="171"/>
      <c r="AC592" s="171"/>
      <c r="AD592" s="171"/>
      <c r="AE592" s="168"/>
      <c r="AF592" s="170"/>
      <c r="AG592" s="172"/>
      <c r="AH592"/>
      <c r="AI592"/>
    </row>
    <row r="593" spans="1:35" x14ac:dyDescent="0.25">
      <c r="A593"/>
      <c r="B593"/>
      <c r="C593"/>
      <c r="D593"/>
      <c r="E593"/>
      <c r="F593"/>
      <c r="G593"/>
      <c r="H593"/>
      <c r="I593"/>
      <c r="J593"/>
      <c r="K593"/>
      <c r="L593"/>
      <c r="M593"/>
      <c r="N593"/>
      <c r="O593"/>
      <c r="P593" s="168"/>
      <c r="Q593" s="168"/>
      <c r="R593" s="168"/>
      <c r="S593" s="169"/>
      <c r="T593" s="169"/>
      <c r="U593" s="169"/>
      <c r="V593" s="168"/>
      <c r="W593" s="168"/>
      <c r="X593" s="168"/>
      <c r="Y593" s="170"/>
      <c r="Z593" s="171"/>
      <c r="AA593" s="171"/>
      <c r="AB593" s="171"/>
      <c r="AC593" s="171"/>
      <c r="AD593" s="171"/>
      <c r="AE593" s="168"/>
      <c r="AF593" s="170"/>
      <c r="AG593" s="172"/>
      <c r="AH593"/>
      <c r="AI593"/>
    </row>
    <row r="594" spans="1:35" x14ac:dyDescent="0.25">
      <c r="A594"/>
      <c r="B594"/>
      <c r="C594"/>
      <c r="D594"/>
      <c r="E594"/>
      <c r="F594"/>
      <c r="G594"/>
      <c r="H594"/>
      <c r="I594"/>
      <c r="J594"/>
      <c r="K594"/>
      <c r="L594"/>
      <c r="M594"/>
      <c r="N594"/>
      <c r="O594"/>
      <c r="P594" s="168"/>
      <c r="Q594" s="168"/>
      <c r="R594" s="168"/>
      <c r="S594" s="169"/>
      <c r="T594" s="169"/>
      <c r="U594" s="169"/>
      <c r="V594" s="168"/>
      <c r="W594" s="168"/>
      <c r="X594" s="168"/>
      <c r="Y594" s="170"/>
      <c r="Z594" s="171"/>
      <c r="AA594" s="171"/>
      <c r="AB594" s="171"/>
      <c r="AC594" s="171"/>
      <c r="AD594" s="171"/>
      <c r="AE594" s="168"/>
      <c r="AF594" s="170"/>
      <c r="AG594" s="172"/>
      <c r="AH594"/>
      <c r="AI594"/>
    </row>
    <row r="595" spans="1:35" x14ac:dyDescent="0.25">
      <c r="A595"/>
      <c r="B595"/>
      <c r="C595"/>
      <c r="D595"/>
      <c r="E595"/>
      <c r="F595"/>
      <c r="G595"/>
      <c r="H595"/>
      <c r="I595"/>
      <c r="J595"/>
      <c r="K595"/>
      <c r="L595"/>
      <c r="M595"/>
      <c r="N595"/>
      <c r="O595"/>
      <c r="P595" s="168"/>
      <c r="Q595" s="168"/>
      <c r="R595" s="168"/>
      <c r="S595" s="169"/>
      <c r="T595" s="169"/>
      <c r="U595" s="169"/>
      <c r="V595" s="168"/>
      <c r="W595" s="168"/>
      <c r="X595" s="168"/>
      <c r="Y595" s="170"/>
      <c r="Z595" s="171"/>
      <c r="AA595" s="171"/>
      <c r="AB595" s="171"/>
      <c r="AC595" s="171"/>
      <c r="AD595" s="171"/>
      <c r="AE595" s="168"/>
      <c r="AF595" s="170"/>
      <c r="AG595" s="172"/>
      <c r="AH595"/>
      <c r="AI595"/>
    </row>
    <row r="596" spans="1:35" x14ac:dyDescent="0.25">
      <c r="A596"/>
      <c r="B596"/>
      <c r="C596"/>
      <c r="D596"/>
      <c r="E596"/>
      <c r="F596"/>
      <c r="G596"/>
      <c r="H596"/>
      <c r="I596"/>
      <c r="J596"/>
      <c r="K596"/>
      <c r="L596"/>
      <c r="M596"/>
      <c r="N596"/>
      <c r="O596"/>
      <c r="P596" s="168"/>
      <c r="Q596" s="168"/>
      <c r="R596" s="168"/>
      <c r="S596" s="169"/>
      <c r="T596" s="169"/>
      <c r="U596" s="169"/>
      <c r="V596" s="168"/>
      <c r="W596" s="168"/>
      <c r="X596" s="168"/>
      <c r="Y596" s="170"/>
      <c r="Z596" s="171"/>
      <c r="AA596" s="171"/>
      <c r="AB596" s="171"/>
      <c r="AC596" s="171"/>
      <c r="AD596" s="171"/>
      <c r="AE596" s="168"/>
      <c r="AF596" s="170"/>
      <c r="AG596" s="172"/>
      <c r="AH596"/>
      <c r="AI596"/>
    </row>
    <row r="597" spans="1:35" x14ac:dyDescent="0.25">
      <c r="A597"/>
      <c r="B597"/>
      <c r="C597"/>
      <c r="D597"/>
      <c r="E597"/>
      <c r="F597"/>
      <c r="G597"/>
      <c r="H597"/>
      <c r="I597"/>
      <c r="J597"/>
      <c r="K597"/>
      <c r="L597"/>
      <c r="M597"/>
      <c r="N597"/>
      <c r="O597"/>
      <c r="P597" s="168"/>
      <c r="Q597" s="168"/>
      <c r="R597" s="168"/>
      <c r="S597" s="169"/>
      <c r="T597" s="169"/>
      <c r="U597" s="169"/>
      <c r="V597" s="168"/>
      <c r="W597" s="168"/>
      <c r="X597" s="168"/>
      <c r="Y597" s="170"/>
      <c r="Z597" s="171"/>
      <c r="AA597" s="171"/>
      <c r="AB597" s="171"/>
      <c r="AC597" s="171"/>
      <c r="AD597" s="171"/>
      <c r="AE597" s="168"/>
      <c r="AF597" s="170"/>
      <c r="AG597" s="172"/>
      <c r="AH597"/>
      <c r="AI597"/>
    </row>
    <row r="598" spans="1:35" x14ac:dyDescent="0.25">
      <c r="A598"/>
      <c r="B598"/>
      <c r="C598"/>
      <c r="D598"/>
      <c r="E598"/>
      <c r="F598"/>
      <c r="G598"/>
      <c r="H598"/>
      <c r="I598"/>
      <c r="J598"/>
      <c r="K598"/>
      <c r="L598"/>
      <c r="M598"/>
      <c r="N598"/>
      <c r="O598"/>
      <c r="P598" s="168"/>
      <c r="Q598" s="168"/>
      <c r="R598" s="168"/>
      <c r="S598" s="169"/>
      <c r="T598" s="169"/>
      <c r="U598" s="169"/>
      <c r="V598" s="168"/>
      <c r="W598" s="168"/>
      <c r="X598" s="168"/>
      <c r="Y598" s="170"/>
      <c r="Z598" s="171"/>
      <c r="AA598" s="171"/>
      <c r="AB598" s="171"/>
      <c r="AC598" s="171"/>
      <c r="AD598" s="171"/>
      <c r="AE598" s="168"/>
      <c r="AF598" s="170"/>
      <c r="AG598" s="172"/>
      <c r="AH598"/>
      <c r="AI598"/>
    </row>
    <row r="599" spans="1:35" x14ac:dyDescent="0.25">
      <c r="A599"/>
      <c r="B599"/>
      <c r="C599"/>
      <c r="D599"/>
      <c r="E599"/>
      <c r="F599"/>
      <c r="G599"/>
      <c r="H599"/>
      <c r="I599"/>
      <c r="J599"/>
      <c r="K599"/>
      <c r="L599"/>
      <c r="M599"/>
      <c r="N599"/>
      <c r="O599"/>
      <c r="P599" s="168"/>
      <c r="Q599" s="168"/>
      <c r="R599" s="168"/>
      <c r="S599" s="169"/>
      <c r="T599" s="169"/>
      <c r="U599" s="169"/>
      <c r="V599" s="168"/>
      <c r="W599" s="168"/>
      <c r="X599" s="168"/>
      <c r="Y599" s="170"/>
      <c r="Z599" s="171"/>
      <c r="AA599" s="171"/>
      <c r="AB599" s="171"/>
      <c r="AC599" s="171"/>
      <c r="AD599" s="171"/>
      <c r="AE599" s="168"/>
      <c r="AF599" s="170"/>
      <c r="AG599" s="172"/>
      <c r="AH599"/>
      <c r="AI599"/>
    </row>
    <row r="600" spans="1:35" x14ac:dyDescent="0.25">
      <c r="A600"/>
      <c r="B600"/>
      <c r="C600"/>
      <c r="D600"/>
      <c r="E600"/>
      <c r="F600"/>
      <c r="G600"/>
      <c r="H600"/>
      <c r="I600"/>
      <c r="J600"/>
      <c r="K600"/>
      <c r="L600"/>
      <c r="M600"/>
      <c r="N600"/>
      <c r="O600"/>
      <c r="P600" s="168"/>
      <c r="Q600" s="168"/>
      <c r="R600" s="168"/>
      <c r="S600" s="169"/>
      <c r="T600" s="169"/>
      <c r="U600" s="169"/>
      <c r="V600" s="168"/>
      <c r="W600" s="168"/>
      <c r="X600" s="168"/>
      <c r="Y600" s="170"/>
      <c r="Z600" s="171"/>
      <c r="AA600" s="171"/>
      <c r="AB600" s="171"/>
      <c r="AC600" s="171"/>
      <c r="AD600" s="171"/>
      <c r="AE600" s="168"/>
      <c r="AF600" s="170"/>
      <c r="AG600" s="172"/>
      <c r="AH600"/>
      <c r="AI600"/>
    </row>
    <row r="601" spans="1:35" x14ac:dyDescent="0.25">
      <c r="A601"/>
      <c r="B601"/>
      <c r="C601"/>
      <c r="D601"/>
      <c r="E601"/>
      <c r="F601"/>
      <c r="G601"/>
      <c r="H601"/>
      <c r="I601"/>
      <c r="J601"/>
      <c r="K601"/>
      <c r="L601"/>
      <c r="M601"/>
      <c r="N601"/>
      <c r="O601"/>
      <c r="P601" s="168"/>
      <c r="Q601" s="168"/>
      <c r="R601" s="168"/>
      <c r="S601" s="169"/>
      <c r="T601" s="169"/>
      <c r="U601" s="169"/>
      <c r="V601" s="168"/>
      <c r="W601" s="168"/>
      <c r="X601" s="168"/>
      <c r="Y601" s="170"/>
      <c r="Z601" s="171"/>
      <c r="AA601" s="171"/>
      <c r="AB601" s="171"/>
      <c r="AC601" s="171"/>
      <c r="AD601" s="171"/>
      <c r="AE601" s="168"/>
      <c r="AF601" s="170"/>
      <c r="AG601" s="172"/>
      <c r="AH601"/>
      <c r="AI601"/>
    </row>
    <row r="602" spans="1:35" x14ac:dyDescent="0.25">
      <c r="A602"/>
      <c r="B602"/>
      <c r="C602"/>
      <c r="D602"/>
      <c r="E602"/>
      <c r="F602"/>
      <c r="G602"/>
      <c r="H602"/>
      <c r="I602"/>
      <c r="J602"/>
      <c r="K602"/>
      <c r="L602"/>
      <c r="M602"/>
      <c r="N602"/>
      <c r="O602"/>
      <c r="P602" s="168"/>
      <c r="Q602" s="168"/>
      <c r="R602" s="168"/>
      <c r="S602" s="169"/>
      <c r="T602" s="169"/>
      <c r="U602" s="169"/>
      <c r="V602" s="168"/>
      <c r="W602" s="168"/>
      <c r="X602" s="168"/>
      <c r="Y602" s="170"/>
      <c r="Z602" s="171"/>
      <c r="AA602" s="171"/>
      <c r="AB602" s="171"/>
      <c r="AC602" s="171"/>
      <c r="AD602" s="171"/>
      <c r="AE602" s="168"/>
      <c r="AF602" s="170"/>
      <c r="AG602" s="172"/>
      <c r="AH602"/>
      <c r="AI602"/>
    </row>
    <row r="603" spans="1:35" x14ac:dyDescent="0.25">
      <c r="A603"/>
      <c r="B603"/>
      <c r="C603"/>
      <c r="D603"/>
      <c r="E603"/>
      <c r="F603"/>
      <c r="G603"/>
      <c r="H603"/>
      <c r="I603"/>
      <c r="J603"/>
      <c r="K603"/>
      <c r="L603"/>
      <c r="M603"/>
      <c r="N603"/>
      <c r="O603"/>
      <c r="P603" s="168"/>
      <c r="Q603" s="168"/>
      <c r="R603" s="168"/>
      <c r="S603" s="169"/>
      <c r="T603" s="169"/>
      <c r="U603" s="169"/>
      <c r="V603" s="168"/>
      <c r="W603" s="168"/>
      <c r="X603" s="168"/>
      <c r="AH603"/>
      <c r="AI603"/>
    </row>
    <row r="604" spans="1:35" x14ac:dyDescent="0.25">
      <c r="A604"/>
      <c r="B604"/>
      <c r="C604"/>
      <c r="D604"/>
      <c r="E604"/>
      <c r="F604"/>
      <c r="G604"/>
      <c r="H604"/>
      <c r="I604"/>
      <c r="J604"/>
      <c r="K604"/>
      <c r="L604"/>
      <c r="M604"/>
      <c r="N604"/>
      <c r="O604"/>
      <c r="P604" s="168"/>
      <c r="Q604" s="168"/>
      <c r="R604" s="168"/>
      <c r="S604" s="169"/>
      <c r="T604" s="169"/>
      <c r="U604" s="169"/>
      <c r="V604" s="168"/>
      <c r="W604" s="168"/>
      <c r="X604" s="168"/>
      <c r="AH604"/>
      <c r="AI604"/>
    </row>
    <row r="605" spans="1:35" x14ac:dyDescent="0.25">
      <c r="A605"/>
      <c r="B605"/>
      <c r="C605"/>
      <c r="D605"/>
      <c r="E605"/>
      <c r="F605"/>
      <c r="G605"/>
      <c r="H605"/>
      <c r="I605"/>
      <c r="J605"/>
      <c r="K605"/>
      <c r="L605"/>
      <c r="M605"/>
      <c r="N605"/>
      <c r="O605"/>
      <c r="P605" s="168"/>
      <c r="Q605" s="168"/>
      <c r="R605" s="168"/>
      <c r="S605" s="169"/>
      <c r="T605" s="169"/>
      <c r="U605" s="169"/>
      <c r="V605" s="168"/>
      <c r="W605" s="168"/>
      <c r="X605" s="168"/>
      <c r="AH605"/>
      <c r="AI605"/>
    </row>
    <row r="606" spans="1:35" x14ac:dyDescent="0.25">
      <c r="A606"/>
      <c r="B606"/>
      <c r="C606"/>
      <c r="D606"/>
      <c r="E606"/>
      <c r="F606"/>
      <c r="G606"/>
      <c r="H606"/>
      <c r="I606"/>
      <c r="J606"/>
      <c r="K606"/>
      <c r="L606"/>
      <c r="M606"/>
      <c r="N606"/>
      <c r="O606"/>
      <c r="P606" s="168"/>
      <c r="Q606" s="168"/>
      <c r="R606" s="168"/>
      <c r="S606" s="169"/>
      <c r="T606" s="169"/>
      <c r="U606" s="169"/>
      <c r="V606" s="168"/>
      <c r="W606" s="168"/>
      <c r="X606" s="168"/>
      <c r="AH606"/>
      <c r="AI606"/>
    </row>
    <row r="607" spans="1:35" x14ac:dyDescent="0.25">
      <c r="A607"/>
      <c r="B607"/>
      <c r="C607"/>
      <c r="D607"/>
      <c r="E607"/>
      <c r="F607"/>
      <c r="G607"/>
      <c r="H607"/>
      <c r="I607"/>
      <c r="J607"/>
      <c r="K607"/>
      <c r="L607"/>
      <c r="M607"/>
      <c r="N607"/>
      <c r="O607"/>
      <c r="P607" s="168"/>
      <c r="Q607" s="168"/>
      <c r="R607" s="168"/>
      <c r="S607" s="169"/>
      <c r="T607" s="169"/>
      <c r="U607" s="169"/>
      <c r="V607" s="168"/>
      <c r="W607" s="168"/>
      <c r="X607" s="168"/>
      <c r="AH607"/>
      <c r="AI607"/>
    </row>
    <row r="608" spans="1:35" x14ac:dyDescent="0.25">
      <c r="A608"/>
      <c r="B608"/>
      <c r="C608"/>
      <c r="D608"/>
      <c r="E608"/>
      <c r="F608"/>
      <c r="G608"/>
      <c r="H608"/>
      <c r="I608"/>
      <c r="J608"/>
      <c r="K608"/>
      <c r="L608"/>
      <c r="M608"/>
      <c r="N608"/>
      <c r="O608"/>
      <c r="P608" s="168"/>
      <c r="Q608" s="168"/>
      <c r="R608" s="168"/>
      <c r="S608" s="169"/>
      <c r="T608" s="169"/>
      <c r="U608" s="169"/>
      <c r="V608" s="168"/>
      <c r="W608" s="168"/>
      <c r="X608" s="168"/>
      <c r="AH608"/>
      <c r="AI608"/>
    </row>
    <row r="609" spans="1:35" x14ac:dyDescent="0.25">
      <c r="A609"/>
      <c r="B609"/>
      <c r="C609"/>
      <c r="D609"/>
      <c r="E609"/>
      <c r="F609"/>
      <c r="G609"/>
      <c r="H609"/>
      <c r="I609"/>
      <c r="J609"/>
      <c r="K609"/>
      <c r="L609"/>
      <c r="M609"/>
      <c r="N609"/>
      <c r="O609"/>
      <c r="P609" s="168"/>
      <c r="Q609" s="168"/>
      <c r="R609" s="168"/>
      <c r="S609" s="169"/>
      <c r="T609" s="169"/>
      <c r="U609" s="169"/>
      <c r="V609" s="168"/>
      <c r="W609" s="168"/>
      <c r="X609" s="168"/>
      <c r="AH609"/>
      <c r="AI609"/>
    </row>
    <row r="610" spans="1:35" x14ac:dyDescent="0.25">
      <c r="A610"/>
      <c r="B610"/>
      <c r="C610"/>
      <c r="D610"/>
      <c r="E610"/>
      <c r="F610"/>
      <c r="G610"/>
      <c r="H610"/>
      <c r="I610"/>
      <c r="J610"/>
      <c r="K610"/>
      <c r="L610"/>
      <c r="M610"/>
      <c r="N610"/>
      <c r="O610"/>
      <c r="P610" s="168"/>
      <c r="Q610" s="168"/>
      <c r="R610" s="168"/>
      <c r="S610" s="169"/>
      <c r="T610" s="169"/>
      <c r="U610" s="169"/>
      <c r="V610" s="168"/>
      <c r="W610" s="168"/>
      <c r="X610" s="168"/>
      <c r="AH610"/>
      <c r="AI610"/>
    </row>
    <row r="611" spans="1:35" customFormat="1" x14ac:dyDescent="0.25">
      <c r="P611" s="168"/>
      <c r="Q611" s="168"/>
      <c r="R611" s="168"/>
      <c r="S611" s="169"/>
      <c r="T611" s="169"/>
      <c r="U611" s="169"/>
      <c r="V611" s="168"/>
      <c r="W611" s="168"/>
      <c r="X611" s="168"/>
    </row>
    <row r="612" spans="1:35" customFormat="1" x14ac:dyDescent="0.25">
      <c r="P612" s="168"/>
      <c r="Q612" s="168"/>
      <c r="R612" s="168"/>
      <c r="S612" s="169"/>
      <c r="T612" s="169"/>
      <c r="U612" s="169"/>
      <c r="V612" s="168"/>
      <c r="W612" s="168"/>
      <c r="X612" s="168"/>
    </row>
    <row r="613" spans="1:35" customFormat="1" x14ac:dyDescent="0.25">
      <c r="P613" s="168"/>
      <c r="Q613" s="168"/>
      <c r="R613" s="168"/>
      <c r="S613" s="169"/>
      <c r="T613" s="169"/>
      <c r="U613" s="169"/>
      <c r="V613" s="168"/>
      <c r="W613" s="168"/>
      <c r="X613" s="168"/>
    </row>
    <row r="614" spans="1:35" customFormat="1" x14ac:dyDescent="0.25">
      <c r="P614" s="168"/>
      <c r="Q614" s="168"/>
      <c r="R614" s="168"/>
      <c r="S614" s="169"/>
      <c r="T614" s="169"/>
      <c r="U614" s="169"/>
      <c r="V614" s="168"/>
      <c r="W614" s="168"/>
      <c r="X614" s="168"/>
    </row>
    <row r="615" spans="1:35" customFormat="1" x14ac:dyDescent="0.25">
      <c r="P615" s="168"/>
      <c r="Q615" s="168"/>
      <c r="R615" s="168"/>
      <c r="S615" s="169"/>
      <c r="T615" s="169"/>
      <c r="U615" s="169"/>
      <c r="V615" s="168"/>
      <c r="W615" s="168"/>
      <c r="X615" s="168"/>
    </row>
    <row r="616" spans="1:35" customFormat="1" x14ac:dyDescent="0.25">
      <c r="P616" s="168"/>
      <c r="Q616" s="168"/>
      <c r="R616" s="168"/>
      <c r="S616" s="169"/>
      <c r="T616" s="169"/>
      <c r="U616" s="169"/>
      <c r="V616" s="168"/>
      <c r="W616" s="168"/>
      <c r="X616" s="168"/>
    </row>
    <row r="617" spans="1:35" customFormat="1" x14ac:dyDescent="0.25">
      <c r="P617" s="168"/>
      <c r="Q617" s="168"/>
      <c r="R617" s="168"/>
      <c r="S617" s="169"/>
      <c r="T617" s="169"/>
      <c r="U617" s="169"/>
      <c r="V617" s="168"/>
      <c r="W617" s="168"/>
      <c r="X617" s="168"/>
    </row>
    <row r="618" spans="1:35" customFormat="1" x14ac:dyDescent="0.25">
      <c r="P618" s="168"/>
      <c r="Q618" s="168"/>
      <c r="R618" s="168"/>
      <c r="S618" s="169"/>
      <c r="T618" s="169"/>
      <c r="U618" s="169"/>
      <c r="V618" s="168"/>
      <c r="W618" s="168"/>
      <c r="X618" s="168"/>
    </row>
    <row r="619" spans="1:35" customFormat="1" x14ac:dyDescent="0.25">
      <c r="P619" s="168"/>
      <c r="Q619" s="168"/>
      <c r="R619" s="168"/>
      <c r="S619" s="169"/>
      <c r="T619" s="169"/>
      <c r="U619" s="169"/>
      <c r="V619" s="168"/>
      <c r="W619" s="168"/>
      <c r="X619" s="168"/>
    </row>
    <row r="620" spans="1:35" customFormat="1" x14ac:dyDescent="0.25">
      <c r="P620" s="168"/>
      <c r="Q620" s="168"/>
      <c r="R620" s="168"/>
      <c r="S620" s="169"/>
      <c r="T620" s="169"/>
      <c r="U620" s="169"/>
      <c r="V620" s="168"/>
      <c r="W620" s="168"/>
      <c r="X620" s="168"/>
    </row>
    <row r="621" spans="1:35" customFormat="1" x14ac:dyDescent="0.25">
      <c r="P621" s="168"/>
      <c r="Q621" s="168"/>
      <c r="R621" s="168"/>
      <c r="S621" s="169"/>
      <c r="T621" s="169"/>
      <c r="U621" s="169"/>
      <c r="V621" s="168"/>
      <c r="W621" s="168"/>
      <c r="X621" s="168"/>
    </row>
    <row r="622" spans="1:35" customFormat="1" x14ac:dyDescent="0.25">
      <c r="P622" s="168"/>
      <c r="Q622" s="168"/>
      <c r="R622" s="168"/>
      <c r="S622" s="169"/>
      <c r="T622" s="169"/>
      <c r="U622" s="169"/>
      <c r="V622" s="168"/>
      <c r="W622" s="168"/>
      <c r="X622" s="168"/>
    </row>
    <row r="623" spans="1:35" customFormat="1" x14ac:dyDescent="0.25">
      <c r="P623" s="168"/>
      <c r="Q623" s="168"/>
      <c r="R623" s="168"/>
      <c r="S623" s="169"/>
      <c r="T623" s="169"/>
      <c r="U623" s="169"/>
      <c r="V623" s="168"/>
      <c r="W623" s="168"/>
      <c r="X623" s="168"/>
    </row>
    <row r="624" spans="1:35" customFormat="1" x14ac:dyDescent="0.25">
      <c r="P624" s="168"/>
      <c r="Q624" s="168"/>
      <c r="R624" s="168"/>
      <c r="S624" s="169"/>
      <c r="T624" s="169"/>
      <c r="U624" s="169"/>
      <c r="V624" s="168"/>
      <c r="W624" s="168"/>
      <c r="X624" s="168"/>
    </row>
    <row r="625" spans="16:24" customFormat="1" x14ac:dyDescent="0.25">
      <c r="P625" s="168"/>
      <c r="Q625" s="168"/>
      <c r="R625" s="168"/>
      <c r="S625" s="169"/>
      <c r="T625" s="169"/>
      <c r="U625" s="169"/>
      <c r="V625" s="168"/>
      <c r="W625" s="168"/>
      <c r="X625" s="168"/>
    </row>
    <row r="626" spans="16:24" customFormat="1" x14ac:dyDescent="0.25">
      <c r="P626" s="168"/>
      <c r="Q626" s="168"/>
      <c r="R626" s="168"/>
      <c r="S626" s="169"/>
      <c r="T626" s="169"/>
      <c r="U626" s="169"/>
      <c r="V626" s="168"/>
      <c r="W626" s="168"/>
      <c r="X626" s="168"/>
    </row>
    <row r="627" spans="16:24" customFormat="1" x14ac:dyDescent="0.25">
      <c r="P627" s="168"/>
      <c r="Q627" s="168"/>
      <c r="R627" s="168"/>
      <c r="S627" s="169"/>
      <c r="T627" s="169"/>
      <c r="U627" s="169"/>
      <c r="V627" s="168"/>
      <c r="W627" s="168"/>
      <c r="X627" s="168"/>
    </row>
    <row r="628" spans="16:24" customFormat="1" x14ac:dyDescent="0.25">
      <c r="P628" s="168"/>
      <c r="Q628" s="168"/>
      <c r="R628" s="168"/>
      <c r="S628" s="169"/>
      <c r="T628" s="169"/>
      <c r="U628" s="169"/>
      <c r="V628" s="168"/>
      <c r="W628" s="168"/>
      <c r="X628" s="168"/>
    </row>
    <row r="629" spans="16:24" customFormat="1" x14ac:dyDescent="0.25">
      <c r="P629" s="168"/>
      <c r="Q629" s="168"/>
      <c r="R629" s="168"/>
      <c r="S629" s="169"/>
      <c r="T629" s="169"/>
      <c r="U629" s="169"/>
      <c r="V629" s="168"/>
      <c r="W629" s="168"/>
      <c r="X629" s="168"/>
    </row>
    <row r="630" spans="16:24" customFormat="1" x14ac:dyDescent="0.25">
      <c r="P630" s="168"/>
      <c r="Q630" s="168"/>
      <c r="R630" s="168"/>
      <c r="S630" s="169"/>
      <c r="T630" s="169"/>
      <c r="U630" s="169"/>
      <c r="V630" s="168"/>
      <c r="W630" s="168"/>
      <c r="X630" s="168"/>
    </row>
    <row r="631" spans="16:24" customFormat="1" x14ac:dyDescent="0.25">
      <c r="P631" s="168"/>
      <c r="Q631" s="168"/>
      <c r="R631" s="168"/>
      <c r="S631" s="169"/>
      <c r="T631" s="169"/>
      <c r="U631" s="169"/>
      <c r="V631" s="168"/>
      <c r="W631" s="168"/>
      <c r="X631" s="168"/>
    </row>
    <row r="632" spans="16:24" customFormat="1" x14ac:dyDescent="0.25">
      <c r="P632" s="168"/>
      <c r="Q632" s="168"/>
      <c r="R632" s="168"/>
      <c r="S632" s="169"/>
      <c r="T632" s="169"/>
      <c r="U632" s="169"/>
      <c r="V632" s="168"/>
      <c r="W632" s="168"/>
      <c r="X632" s="168"/>
    </row>
    <row r="633" spans="16:24" customFormat="1" x14ac:dyDescent="0.25">
      <c r="P633" s="168"/>
      <c r="Q633" s="168"/>
      <c r="R633" s="168"/>
      <c r="S633" s="169"/>
      <c r="T633" s="169"/>
      <c r="U633" s="169"/>
      <c r="V633" s="168"/>
      <c r="W633" s="168"/>
      <c r="X633" s="168"/>
    </row>
    <row r="634" spans="16:24" customFormat="1" x14ac:dyDescent="0.25">
      <c r="P634" s="168"/>
      <c r="Q634" s="168"/>
      <c r="R634" s="168"/>
      <c r="S634" s="169"/>
      <c r="T634" s="169"/>
      <c r="U634" s="169"/>
      <c r="V634" s="168"/>
      <c r="W634" s="168"/>
      <c r="X634" s="168"/>
    </row>
    <row r="635" spans="16:24" customFormat="1" x14ac:dyDescent="0.25">
      <c r="P635" s="168"/>
      <c r="Q635" s="168"/>
      <c r="R635" s="168"/>
      <c r="S635" s="169"/>
      <c r="T635" s="169"/>
      <c r="U635" s="169"/>
      <c r="V635" s="168"/>
      <c r="W635" s="168"/>
      <c r="X635" s="168"/>
    </row>
    <row r="636" spans="16:24" customFormat="1" x14ac:dyDescent="0.25">
      <c r="P636" s="168"/>
      <c r="Q636" s="168"/>
      <c r="R636" s="168"/>
      <c r="S636" s="169"/>
      <c r="T636" s="169"/>
      <c r="U636" s="169"/>
      <c r="V636" s="168"/>
      <c r="W636" s="168"/>
      <c r="X636" s="168"/>
    </row>
    <row r="637" spans="16:24" customFormat="1" x14ac:dyDescent="0.25">
      <c r="P637" s="168"/>
      <c r="Q637" s="168"/>
      <c r="R637" s="168"/>
      <c r="S637" s="169"/>
      <c r="T637" s="169"/>
      <c r="U637" s="169"/>
      <c r="V637" s="168"/>
      <c r="W637" s="168"/>
      <c r="X637" s="168"/>
    </row>
    <row r="638" spans="16:24" customFormat="1" x14ac:dyDescent="0.25">
      <c r="P638" s="168"/>
      <c r="Q638" s="168"/>
      <c r="R638" s="168"/>
      <c r="S638" s="169"/>
      <c r="T638" s="169"/>
      <c r="U638" s="169"/>
      <c r="V638" s="168"/>
      <c r="W638" s="168"/>
      <c r="X638" s="168"/>
    </row>
    <row r="639" spans="16:24" customFormat="1" x14ac:dyDescent="0.25">
      <c r="P639" s="168"/>
      <c r="Q639" s="168"/>
      <c r="R639" s="168"/>
      <c r="S639" s="169"/>
      <c r="T639" s="169"/>
      <c r="U639" s="169"/>
      <c r="V639" s="168"/>
      <c r="W639" s="168"/>
      <c r="X639" s="168"/>
    </row>
    <row r="640" spans="16:24" customFormat="1" x14ac:dyDescent="0.25">
      <c r="P640" s="168"/>
      <c r="Q640" s="168"/>
      <c r="R640" s="168"/>
      <c r="S640" s="169"/>
      <c r="T640" s="169"/>
      <c r="U640" s="169"/>
      <c r="V640" s="168"/>
      <c r="W640" s="168"/>
      <c r="X640" s="168"/>
    </row>
    <row r="641" spans="16:24" customFormat="1" x14ac:dyDescent="0.25">
      <c r="P641" s="168"/>
      <c r="Q641" s="168"/>
      <c r="R641" s="168"/>
      <c r="S641" s="169"/>
      <c r="T641" s="169"/>
      <c r="U641" s="169"/>
      <c r="V641" s="168"/>
      <c r="W641" s="168"/>
      <c r="X641" s="168"/>
    </row>
    <row r="642" spans="16:24" customFormat="1" x14ac:dyDescent="0.25">
      <c r="P642" s="168"/>
      <c r="Q642" s="168"/>
      <c r="R642" s="168"/>
      <c r="S642" s="169"/>
      <c r="T642" s="169"/>
      <c r="U642" s="169"/>
      <c r="V642" s="168"/>
      <c r="W642" s="168"/>
      <c r="X642" s="168"/>
    </row>
    <row r="643" spans="16:24" customFormat="1" x14ac:dyDescent="0.25">
      <c r="P643" s="168"/>
      <c r="Q643" s="168"/>
      <c r="R643" s="168"/>
      <c r="S643" s="169"/>
      <c r="T643" s="169"/>
      <c r="U643" s="169"/>
      <c r="V643" s="168"/>
      <c r="W643" s="168"/>
      <c r="X643" s="168"/>
    </row>
    <row r="644" spans="16:24" customFormat="1" x14ac:dyDescent="0.25">
      <c r="P644" s="168"/>
      <c r="Q644" s="168"/>
      <c r="R644" s="168"/>
      <c r="S644" s="169"/>
      <c r="T644" s="169"/>
      <c r="U644" s="169"/>
      <c r="V644" s="168"/>
      <c r="W644" s="168"/>
      <c r="X644" s="168"/>
    </row>
    <row r="645" spans="16:24" customFormat="1" x14ac:dyDescent="0.25">
      <c r="P645" s="168"/>
      <c r="Q645" s="168"/>
      <c r="R645" s="168"/>
      <c r="S645" s="169"/>
      <c r="T645" s="169"/>
      <c r="U645" s="169"/>
      <c r="V645" s="168"/>
      <c r="W645" s="168"/>
      <c r="X645" s="168"/>
    </row>
    <row r="646" spans="16:24" customFormat="1" x14ac:dyDescent="0.25">
      <c r="P646" s="168"/>
      <c r="Q646" s="168"/>
      <c r="R646" s="168"/>
      <c r="S646" s="169"/>
      <c r="T646" s="169"/>
      <c r="U646" s="169"/>
      <c r="V646" s="168"/>
      <c r="W646" s="168"/>
      <c r="X646" s="168"/>
    </row>
    <row r="647" spans="16:24" customFormat="1" x14ac:dyDescent="0.25">
      <c r="P647" s="168"/>
      <c r="Q647" s="168"/>
      <c r="R647" s="168"/>
      <c r="S647" s="169"/>
      <c r="T647" s="169"/>
      <c r="U647" s="169"/>
      <c r="V647" s="168"/>
      <c r="W647" s="168"/>
      <c r="X647" s="168"/>
    </row>
    <row r="648" spans="16:24" customFormat="1" x14ac:dyDescent="0.25">
      <c r="P648" s="168"/>
      <c r="Q648" s="168"/>
      <c r="R648" s="168"/>
      <c r="S648" s="169"/>
      <c r="T648" s="169"/>
      <c r="U648" s="169"/>
      <c r="V648" s="168"/>
      <c r="W648" s="168"/>
      <c r="X648" s="168"/>
    </row>
    <row r="649" spans="16:24" customFormat="1" x14ac:dyDescent="0.25">
      <c r="P649" s="168"/>
      <c r="Q649" s="168"/>
      <c r="R649" s="168"/>
      <c r="S649" s="169"/>
      <c r="T649" s="169"/>
      <c r="U649" s="169"/>
      <c r="V649" s="168"/>
      <c r="W649" s="168"/>
      <c r="X649" s="168"/>
    </row>
    <row r="650" spans="16:24" customFormat="1" x14ac:dyDescent="0.25">
      <c r="P650" s="168"/>
      <c r="Q650" s="168"/>
      <c r="R650" s="168"/>
      <c r="S650" s="169"/>
      <c r="T650" s="169"/>
      <c r="U650" s="169"/>
      <c r="V650" s="168"/>
      <c r="W650" s="168"/>
      <c r="X650" s="168"/>
    </row>
    <row r="651" spans="16:24" customFormat="1" x14ac:dyDescent="0.25">
      <c r="P651" s="168"/>
      <c r="Q651" s="168"/>
      <c r="R651" s="168"/>
      <c r="S651" s="169"/>
      <c r="T651" s="169"/>
      <c r="U651" s="169"/>
      <c r="V651" s="168"/>
      <c r="W651" s="168"/>
      <c r="X651" s="168"/>
    </row>
    <row r="652" spans="16:24" customFormat="1" x14ac:dyDescent="0.25">
      <c r="P652" s="168"/>
      <c r="Q652" s="168"/>
      <c r="R652" s="168"/>
      <c r="S652" s="169"/>
      <c r="T652" s="169"/>
      <c r="U652" s="169"/>
      <c r="V652" s="168"/>
      <c r="W652" s="168"/>
      <c r="X652" s="168"/>
    </row>
    <row r="653" spans="16:24" customFormat="1" x14ac:dyDescent="0.25">
      <c r="P653" s="168"/>
      <c r="Q653" s="168"/>
      <c r="R653" s="168"/>
      <c r="S653" s="169"/>
      <c r="T653" s="169"/>
      <c r="U653" s="169"/>
      <c r="V653" s="168"/>
      <c r="W653" s="168"/>
      <c r="X653" s="168"/>
    </row>
    <row r="654" spans="16:24" customFormat="1" x14ac:dyDescent="0.25">
      <c r="P654" s="168"/>
      <c r="Q654" s="168"/>
      <c r="R654" s="168"/>
      <c r="S654" s="169"/>
      <c r="T654" s="169"/>
      <c r="U654" s="169"/>
      <c r="V654" s="168"/>
      <c r="W654" s="168"/>
      <c r="X654" s="168"/>
    </row>
    <row r="655" spans="16:24" customFormat="1" x14ac:dyDescent="0.25">
      <c r="P655" s="168"/>
      <c r="Q655" s="168"/>
      <c r="R655" s="168"/>
      <c r="S655" s="169"/>
      <c r="T655" s="169"/>
      <c r="U655" s="169"/>
      <c r="V655" s="168"/>
      <c r="W655" s="168"/>
      <c r="X655" s="168"/>
    </row>
    <row r="656" spans="16:24" customFormat="1" x14ac:dyDescent="0.25">
      <c r="P656" s="168"/>
      <c r="Q656" s="168"/>
      <c r="R656" s="168"/>
      <c r="S656" s="169"/>
      <c r="T656" s="169"/>
      <c r="U656" s="169"/>
      <c r="V656" s="168"/>
      <c r="W656" s="168"/>
      <c r="X656" s="168"/>
    </row>
    <row r="657" spans="16:24" customFormat="1" x14ac:dyDescent="0.25">
      <c r="P657" s="168"/>
      <c r="Q657" s="168"/>
      <c r="R657" s="168"/>
      <c r="S657" s="169"/>
      <c r="T657" s="169"/>
      <c r="U657" s="169"/>
      <c r="V657" s="168"/>
      <c r="W657" s="168"/>
      <c r="X657" s="168"/>
    </row>
    <row r="658" spans="16:24" customFormat="1" x14ac:dyDescent="0.25">
      <c r="P658" s="168"/>
      <c r="Q658" s="168"/>
      <c r="R658" s="168"/>
      <c r="S658" s="169"/>
      <c r="T658" s="169"/>
      <c r="U658" s="169"/>
      <c r="V658" s="168"/>
      <c r="W658" s="168"/>
      <c r="X658" s="168"/>
    </row>
    <row r="659" spans="16:24" customFormat="1" x14ac:dyDescent="0.25">
      <c r="P659" s="168"/>
      <c r="Q659" s="168"/>
      <c r="R659" s="168"/>
      <c r="S659" s="169"/>
      <c r="T659" s="169"/>
      <c r="U659" s="169"/>
      <c r="V659" s="168"/>
      <c r="W659" s="168"/>
      <c r="X659" s="168"/>
    </row>
    <row r="660" spans="16:24" customFormat="1" x14ac:dyDescent="0.25">
      <c r="P660" s="168"/>
      <c r="Q660" s="168"/>
      <c r="R660" s="168"/>
      <c r="S660" s="169"/>
      <c r="T660" s="169"/>
      <c r="U660" s="169"/>
      <c r="V660" s="168"/>
      <c r="W660" s="168"/>
      <c r="X660" s="168"/>
    </row>
    <row r="661" spans="16:24" customFormat="1" x14ac:dyDescent="0.25">
      <c r="P661" s="168"/>
      <c r="Q661" s="168"/>
      <c r="R661" s="168"/>
      <c r="S661" s="169"/>
      <c r="T661" s="169"/>
      <c r="U661" s="169"/>
      <c r="V661" s="168"/>
      <c r="W661" s="168"/>
      <c r="X661" s="168"/>
    </row>
    <row r="662" spans="16:24" customFormat="1" x14ac:dyDescent="0.25">
      <c r="P662" s="168"/>
      <c r="Q662" s="168"/>
      <c r="R662" s="168"/>
      <c r="S662" s="169"/>
      <c r="T662" s="169"/>
      <c r="U662" s="169"/>
      <c r="V662" s="168"/>
      <c r="W662" s="168"/>
      <c r="X662" s="168"/>
    </row>
    <row r="663" spans="16:24" customFormat="1" x14ac:dyDescent="0.25">
      <c r="P663" s="168"/>
      <c r="Q663" s="168"/>
      <c r="R663" s="168"/>
      <c r="S663" s="169"/>
      <c r="T663" s="169"/>
      <c r="U663" s="169"/>
      <c r="V663" s="168"/>
      <c r="W663" s="168"/>
      <c r="X663" s="168"/>
    </row>
    <row r="664" spans="16:24" customFormat="1" x14ac:dyDescent="0.25">
      <c r="P664" s="168"/>
      <c r="Q664" s="168"/>
      <c r="R664" s="168"/>
      <c r="S664" s="169"/>
      <c r="T664" s="169"/>
      <c r="U664" s="169"/>
      <c r="V664" s="168"/>
      <c r="W664" s="168"/>
      <c r="X664" s="168"/>
    </row>
    <row r="665" spans="16:24" customFormat="1" x14ac:dyDescent="0.25">
      <c r="P665" s="168"/>
      <c r="Q665" s="168"/>
      <c r="R665" s="168"/>
      <c r="S665" s="169"/>
      <c r="T665" s="169"/>
      <c r="U665" s="169"/>
      <c r="V665" s="168"/>
      <c r="W665" s="168"/>
      <c r="X665" s="168"/>
    </row>
    <row r="666" spans="16:24" customFormat="1" x14ac:dyDescent="0.25">
      <c r="P666" s="168"/>
      <c r="Q666" s="168"/>
      <c r="R666" s="168"/>
      <c r="S666" s="169"/>
      <c r="T666" s="169"/>
      <c r="U666" s="169"/>
      <c r="V666" s="168"/>
      <c r="W666" s="168"/>
      <c r="X666" s="168"/>
    </row>
    <row r="667" spans="16:24" customFormat="1" x14ac:dyDescent="0.25">
      <c r="P667" s="168"/>
      <c r="Q667" s="168"/>
      <c r="R667" s="168"/>
      <c r="S667" s="169"/>
      <c r="T667" s="169"/>
      <c r="U667" s="169"/>
      <c r="V667" s="168"/>
      <c r="W667" s="168"/>
      <c r="X667" s="168"/>
    </row>
    <row r="668" spans="16:24" customFormat="1" x14ac:dyDescent="0.25">
      <c r="P668" s="168"/>
      <c r="Q668" s="168"/>
      <c r="R668" s="168"/>
      <c r="S668" s="169"/>
      <c r="T668" s="169"/>
      <c r="U668" s="169"/>
      <c r="V668" s="168"/>
      <c r="W668" s="168"/>
      <c r="X668" s="168"/>
    </row>
    <row r="669" spans="16:24" customFormat="1" x14ac:dyDescent="0.25">
      <c r="P669" s="168"/>
      <c r="Q669" s="168"/>
      <c r="R669" s="168"/>
      <c r="S669" s="169"/>
      <c r="T669" s="169"/>
      <c r="U669" s="169"/>
      <c r="V669" s="168"/>
      <c r="W669" s="168"/>
      <c r="X669" s="168"/>
    </row>
    <row r="670" spans="16:24" customFormat="1" x14ac:dyDescent="0.25">
      <c r="P670" s="168"/>
      <c r="Q670" s="168"/>
      <c r="R670" s="168"/>
      <c r="S670" s="169"/>
      <c r="T670" s="169"/>
      <c r="U670" s="169"/>
      <c r="V670" s="168"/>
      <c r="W670" s="168"/>
      <c r="X670" s="168"/>
    </row>
    <row r="671" spans="16:24" customFormat="1" x14ac:dyDescent="0.25">
      <c r="P671" s="168"/>
      <c r="Q671" s="168"/>
      <c r="R671" s="168"/>
      <c r="S671" s="169"/>
      <c r="T671" s="169"/>
      <c r="U671" s="169"/>
      <c r="V671" s="168"/>
      <c r="W671" s="168"/>
      <c r="X671" s="168"/>
    </row>
    <row r="672" spans="16:24" customFormat="1" x14ac:dyDescent="0.25">
      <c r="P672" s="168"/>
      <c r="Q672" s="168"/>
      <c r="R672" s="168"/>
      <c r="S672" s="169"/>
      <c r="T672" s="169"/>
      <c r="U672" s="169"/>
      <c r="V672" s="168"/>
      <c r="W672" s="168"/>
      <c r="X672" s="168"/>
    </row>
    <row r="673" spans="16:24" customFormat="1" x14ac:dyDescent="0.25">
      <c r="P673" s="168"/>
      <c r="Q673" s="168"/>
      <c r="R673" s="168"/>
      <c r="S673" s="169"/>
      <c r="T673" s="169"/>
      <c r="U673" s="169"/>
      <c r="V673" s="168"/>
      <c r="W673" s="168"/>
      <c r="X673" s="168"/>
    </row>
    <row r="674" spans="16:24" customFormat="1" x14ac:dyDescent="0.25">
      <c r="P674" s="168"/>
      <c r="Q674" s="168"/>
      <c r="R674" s="168"/>
      <c r="S674" s="169"/>
      <c r="T674" s="169"/>
      <c r="U674" s="169"/>
      <c r="V674" s="168"/>
      <c r="W674" s="168"/>
      <c r="X674" s="168"/>
    </row>
    <row r="675" spans="16:24" customFormat="1" x14ac:dyDescent="0.25">
      <c r="P675" s="168"/>
      <c r="Q675" s="168"/>
      <c r="R675" s="168"/>
      <c r="S675" s="169"/>
      <c r="T675" s="169"/>
      <c r="U675" s="169"/>
      <c r="V675" s="168"/>
      <c r="W675" s="168"/>
      <c r="X675" s="168"/>
    </row>
    <row r="676" spans="16:24" customFormat="1" x14ac:dyDescent="0.25">
      <c r="P676" s="168"/>
      <c r="Q676" s="168"/>
      <c r="R676" s="168"/>
      <c r="S676" s="169"/>
      <c r="T676" s="169"/>
      <c r="U676" s="169"/>
      <c r="V676" s="168"/>
      <c r="W676" s="168"/>
      <c r="X676" s="168"/>
    </row>
    <row r="677" spans="16:24" customFormat="1" x14ac:dyDescent="0.25">
      <c r="P677" s="168"/>
      <c r="Q677" s="168"/>
      <c r="R677" s="168"/>
      <c r="S677" s="169"/>
      <c r="T677" s="169"/>
      <c r="U677" s="169"/>
      <c r="V677" s="168"/>
      <c r="W677" s="168"/>
      <c r="X677" s="168"/>
    </row>
    <row r="678" spans="16:24" customFormat="1" x14ac:dyDescent="0.25">
      <c r="P678" s="168"/>
      <c r="Q678" s="168"/>
      <c r="R678" s="168"/>
      <c r="S678" s="169"/>
      <c r="T678" s="169"/>
      <c r="U678" s="169"/>
      <c r="V678" s="168"/>
      <c r="W678" s="168"/>
      <c r="X678" s="168"/>
    </row>
    <row r="679" spans="16:24" customFormat="1" x14ac:dyDescent="0.25">
      <c r="P679" s="168"/>
      <c r="Q679" s="168"/>
      <c r="R679" s="168"/>
      <c r="S679" s="169"/>
      <c r="T679" s="169"/>
      <c r="U679" s="169"/>
      <c r="V679" s="168"/>
      <c r="W679" s="168"/>
      <c r="X679" s="168"/>
    </row>
    <row r="680" spans="16:24" customFormat="1" x14ac:dyDescent="0.25">
      <c r="P680" s="168"/>
      <c r="Q680" s="168"/>
      <c r="R680" s="168"/>
      <c r="S680" s="169"/>
      <c r="T680" s="169"/>
      <c r="U680" s="169"/>
      <c r="V680" s="168"/>
      <c r="W680" s="168"/>
      <c r="X680" s="168"/>
    </row>
    <row r="681" spans="16:24" customFormat="1" x14ac:dyDescent="0.25">
      <c r="P681" s="168"/>
      <c r="Q681" s="168"/>
      <c r="R681" s="168"/>
      <c r="S681" s="169"/>
      <c r="T681" s="169"/>
      <c r="U681" s="169"/>
      <c r="V681" s="168"/>
      <c r="W681" s="168"/>
      <c r="X681" s="168"/>
    </row>
    <row r="682" spans="16:24" customFormat="1" x14ac:dyDescent="0.25">
      <c r="P682" s="168"/>
      <c r="Q682" s="168"/>
      <c r="R682" s="168"/>
      <c r="S682" s="169"/>
      <c r="T682" s="169"/>
      <c r="U682" s="169"/>
      <c r="V682" s="168"/>
      <c r="W682" s="168"/>
      <c r="X682" s="168"/>
    </row>
    <row r="683" spans="16:24" customFormat="1" x14ac:dyDescent="0.25">
      <c r="P683" s="168"/>
      <c r="Q683" s="168"/>
      <c r="R683" s="168"/>
      <c r="S683" s="169"/>
      <c r="T683" s="169"/>
      <c r="U683" s="169"/>
      <c r="V683" s="168"/>
      <c r="W683" s="168"/>
      <c r="X683" s="168"/>
    </row>
    <row r="684" spans="16:24" customFormat="1" x14ac:dyDescent="0.25">
      <c r="P684" s="168"/>
      <c r="Q684" s="168"/>
      <c r="R684" s="168"/>
      <c r="S684" s="169"/>
      <c r="T684" s="169"/>
      <c r="U684" s="169"/>
      <c r="V684" s="168"/>
      <c r="W684" s="168"/>
      <c r="X684" s="168"/>
    </row>
    <row r="685" spans="16:24" customFormat="1" x14ac:dyDescent="0.25">
      <c r="P685" s="168"/>
      <c r="Q685" s="168"/>
      <c r="R685" s="168"/>
      <c r="S685" s="169"/>
      <c r="T685" s="169"/>
      <c r="U685" s="169"/>
      <c r="V685" s="168"/>
      <c r="W685" s="168"/>
      <c r="X685" s="168"/>
    </row>
    <row r="686" spans="16:24" customFormat="1" x14ac:dyDescent="0.25">
      <c r="P686" s="168"/>
      <c r="Q686" s="168"/>
      <c r="R686" s="168"/>
      <c r="S686" s="169"/>
      <c r="T686" s="169"/>
      <c r="U686" s="169"/>
      <c r="V686" s="168"/>
      <c r="W686" s="168"/>
      <c r="X686" s="168"/>
    </row>
    <row r="687" spans="16:24" customFormat="1" x14ac:dyDescent="0.25">
      <c r="P687" s="168"/>
      <c r="Q687" s="168"/>
      <c r="R687" s="168"/>
      <c r="S687" s="169"/>
      <c r="T687" s="169"/>
      <c r="U687" s="169"/>
      <c r="V687" s="168"/>
      <c r="W687" s="168"/>
      <c r="X687" s="168"/>
    </row>
    <row r="688" spans="16:24" customFormat="1" x14ac:dyDescent="0.25">
      <c r="P688" s="168"/>
      <c r="Q688" s="168"/>
      <c r="R688" s="168"/>
      <c r="S688" s="169"/>
      <c r="T688" s="169"/>
      <c r="U688" s="169"/>
      <c r="V688" s="168"/>
      <c r="W688" s="168"/>
      <c r="X688" s="168"/>
    </row>
    <row r="689" spans="16:24" customFormat="1" x14ac:dyDescent="0.25">
      <c r="P689" s="168"/>
      <c r="Q689" s="168"/>
      <c r="R689" s="168"/>
      <c r="S689" s="169"/>
      <c r="T689" s="169"/>
      <c r="U689" s="169"/>
      <c r="V689" s="168"/>
      <c r="W689" s="168"/>
      <c r="X689" s="168"/>
    </row>
    <row r="690" spans="16:24" customFormat="1" x14ac:dyDescent="0.25">
      <c r="P690" s="168"/>
      <c r="Q690" s="168"/>
      <c r="R690" s="168"/>
      <c r="S690" s="169"/>
      <c r="T690" s="169"/>
      <c r="U690" s="169"/>
      <c r="V690" s="168"/>
      <c r="W690" s="168"/>
      <c r="X690" s="168"/>
    </row>
    <row r="691" spans="16:24" customFormat="1" x14ac:dyDescent="0.25">
      <c r="P691" s="168"/>
      <c r="Q691" s="168"/>
      <c r="R691" s="168"/>
      <c r="S691" s="169"/>
      <c r="T691" s="169"/>
      <c r="U691" s="169"/>
      <c r="V691" s="168"/>
      <c r="W691" s="168"/>
      <c r="X691" s="168"/>
    </row>
    <row r="692" spans="16:24" customFormat="1" x14ac:dyDescent="0.25">
      <c r="P692" s="168"/>
      <c r="Q692" s="168"/>
      <c r="R692" s="168"/>
      <c r="S692" s="169"/>
      <c r="T692" s="169"/>
      <c r="U692" s="169"/>
      <c r="V692" s="168"/>
      <c r="W692" s="168"/>
      <c r="X692" s="168"/>
    </row>
    <row r="693" spans="16:24" customFormat="1" x14ac:dyDescent="0.25">
      <c r="P693" s="168"/>
      <c r="Q693" s="168"/>
      <c r="R693" s="168"/>
      <c r="S693" s="169"/>
      <c r="T693" s="169"/>
      <c r="U693" s="169"/>
      <c r="V693" s="168"/>
      <c r="W693" s="168"/>
      <c r="X693" s="168"/>
    </row>
    <row r="694" spans="16:24" customFormat="1" x14ac:dyDescent="0.25">
      <c r="P694" s="168"/>
      <c r="Q694" s="168"/>
      <c r="R694" s="168"/>
      <c r="S694" s="169"/>
      <c r="T694" s="169"/>
      <c r="U694" s="169"/>
      <c r="V694" s="168"/>
      <c r="W694" s="168"/>
      <c r="X694" s="168"/>
    </row>
    <row r="695" spans="16:24" customFormat="1" x14ac:dyDescent="0.25">
      <c r="P695" s="168"/>
      <c r="Q695" s="168"/>
      <c r="R695" s="168"/>
      <c r="S695" s="169"/>
      <c r="T695" s="169"/>
      <c r="U695" s="169"/>
      <c r="V695" s="168"/>
      <c r="W695" s="168"/>
      <c r="X695" s="168"/>
    </row>
    <row r="696" spans="16:24" customFormat="1" x14ac:dyDescent="0.25">
      <c r="P696" s="168"/>
      <c r="Q696" s="168"/>
      <c r="R696" s="168"/>
      <c r="S696" s="169"/>
      <c r="T696" s="169"/>
      <c r="U696" s="169"/>
      <c r="V696" s="168"/>
      <c r="W696" s="168"/>
      <c r="X696" s="168"/>
    </row>
    <row r="697" spans="16:24" customFormat="1" x14ac:dyDescent="0.25">
      <c r="P697" s="168"/>
      <c r="Q697" s="168"/>
      <c r="R697" s="168"/>
      <c r="S697" s="169"/>
      <c r="T697" s="169"/>
      <c r="U697" s="169"/>
      <c r="V697" s="168"/>
      <c r="W697" s="168"/>
      <c r="X697" s="168"/>
    </row>
    <row r="698" spans="16:24" customFormat="1" x14ac:dyDescent="0.25">
      <c r="P698" s="168"/>
      <c r="Q698" s="168"/>
      <c r="R698" s="168"/>
      <c r="S698" s="169"/>
      <c r="T698" s="169"/>
      <c r="U698" s="169"/>
      <c r="V698" s="168"/>
      <c r="W698" s="168"/>
      <c r="X698" s="168"/>
    </row>
    <row r="699" spans="16:24" customFormat="1" x14ac:dyDescent="0.25">
      <c r="P699" s="168"/>
      <c r="Q699" s="168"/>
      <c r="R699" s="168"/>
      <c r="S699" s="169"/>
      <c r="T699" s="169"/>
      <c r="U699" s="169"/>
      <c r="V699" s="168"/>
      <c r="W699" s="168"/>
      <c r="X699" s="168"/>
    </row>
    <row r="700" spans="16:24" customFormat="1" x14ac:dyDescent="0.25">
      <c r="P700" s="168"/>
      <c r="Q700" s="168"/>
      <c r="R700" s="168"/>
      <c r="S700" s="169"/>
      <c r="T700" s="169"/>
      <c r="U700" s="169"/>
      <c r="V700" s="168"/>
      <c r="W700" s="168"/>
      <c r="X700" s="168"/>
    </row>
    <row r="701" spans="16:24" customFormat="1" x14ac:dyDescent="0.25">
      <c r="P701" s="168"/>
      <c r="Q701" s="168"/>
      <c r="R701" s="168"/>
      <c r="S701" s="169"/>
      <c r="T701" s="169"/>
      <c r="U701" s="169"/>
      <c r="V701" s="168"/>
      <c r="W701" s="168"/>
      <c r="X701" s="168"/>
    </row>
    <row r="702" spans="16:24" customFormat="1" x14ac:dyDescent="0.25">
      <c r="P702" s="168"/>
      <c r="Q702" s="168"/>
      <c r="R702" s="168"/>
      <c r="S702" s="169"/>
      <c r="T702" s="169"/>
      <c r="U702" s="169"/>
      <c r="V702" s="168"/>
      <c r="W702" s="168"/>
      <c r="X702" s="168"/>
    </row>
    <row r="703" spans="16:24" customFormat="1" x14ac:dyDescent="0.25">
      <c r="P703" s="168"/>
      <c r="Q703" s="168"/>
      <c r="R703" s="168"/>
      <c r="S703" s="169"/>
      <c r="T703" s="169"/>
      <c r="U703" s="169"/>
      <c r="V703" s="168"/>
      <c r="W703" s="168"/>
      <c r="X703" s="168"/>
    </row>
    <row r="704" spans="16:24" customFormat="1" x14ac:dyDescent="0.25">
      <c r="P704" s="168"/>
      <c r="Q704" s="168"/>
      <c r="R704" s="168"/>
      <c r="S704" s="169"/>
      <c r="T704" s="169"/>
      <c r="U704" s="169"/>
      <c r="V704" s="168"/>
      <c r="W704" s="168"/>
      <c r="X704" s="168"/>
    </row>
    <row r="705" spans="16:24" customFormat="1" x14ac:dyDescent="0.25">
      <c r="P705" s="168"/>
      <c r="Q705" s="168"/>
      <c r="R705" s="168"/>
      <c r="S705" s="169"/>
      <c r="T705" s="169"/>
      <c r="U705" s="169"/>
      <c r="V705" s="168"/>
      <c r="W705" s="168"/>
      <c r="X705" s="168"/>
    </row>
    <row r="706" spans="16:24" customFormat="1" x14ac:dyDescent="0.25">
      <c r="P706" s="168"/>
      <c r="Q706" s="168"/>
      <c r="R706" s="168"/>
      <c r="S706" s="169"/>
      <c r="T706" s="169"/>
      <c r="U706" s="169"/>
      <c r="V706" s="168"/>
      <c r="W706" s="168"/>
      <c r="X706" s="168"/>
    </row>
    <row r="707" spans="16:24" customFormat="1" x14ac:dyDescent="0.25">
      <c r="P707" s="168"/>
      <c r="Q707" s="168"/>
      <c r="R707" s="168"/>
      <c r="S707" s="169"/>
      <c r="T707" s="169"/>
      <c r="U707" s="169"/>
      <c r="V707" s="168"/>
      <c r="W707" s="168"/>
      <c r="X707" s="168"/>
    </row>
    <row r="708" spans="16:24" customFormat="1" x14ac:dyDescent="0.25">
      <c r="P708" s="168"/>
      <c r="Q708" s="168"/>
      <c r="R708" s="168"/>
      <c r="S708" s="169"/>
      <c r="T708" s="169"/>
      <c r="U708" s="169"/>
      <c r="V708" s="168"/>
      <c r="W708" s="168"/>
      <c r="X708" s="168"/>
    </row>
    <row r="709" spans="16:24" customFormat="1" x14ac:dyDescent="0.25">
      <c r="P709" s="168"/>
      <c r="Q709" s="168"/>
      <c r="R709" s="168"/>
      <c r="S709" s="169"/>
      <c r="T709" s="169"/>
      <c r="U709" s="169"/>
      <c r="V709" s="168"/>
      <c r="W709" s="168"/>
      <c r="X709" s="168"/>
    </row>
    <row r="710" spans="16:24" customFormat="1" x14ac:dyDescent="0.25">
      <c r="P710" s="168"/>
      <c r="Q710" s="168"/>
      <c r="R710" s="168"/>
      <c r="S710" s="169"/>
      <c r="T710" s="169"/>
      <c r="U710" s="169"/>
      <c r="V710" s="168"/>
      <c r="W710" s="168"/>
      <c r="X710" s="168"/>
    </row>
    <row r="711" spans="16:24" customFormat="1" x14ac:dyDescent="0.25">
      <c r="P711" s="168"/>
      <c r="Q711" s="168"/>
      <c r="R711" s="168"/>
      <c r="S711" s="169"/>
      <c r="T711" s="169"/>
      <c r="U711" s="169"/>
      <c r="V711" s="168"/>
      <c r="W711" s="168"/>
      <c r="X711" s="168"/>
    </row>
    <row r="712" spans="16:24" customFormat="1" x14ac:dyDescent="0.25">
      <c r="P712" s="168"/>
      <c r="Q712" s="168"/>
      <c r="R712" s="168"/>
      <c r="S712" s="169"/>
      <c r="T712" s="169"/>
      <c r="U712" s="169"/>
      <c r="V712" s="168"/>
      <c r="W712" s="168"/>
      <c r="X712" s="168"/>
    </row>
    <row r="713" spans="16:24" customFormat="1" x14ac:dyDescent="0.25">
      <c r="P713" s="168"/>
      <c r="Q713" s="168"/>
      <c r="R713" s="168"/>
      <c r="S713" s="169"/>
      <c r="T713" s="169"/>
      <c r="U713" s="169"/>
      <c r="V713" s="168"/>
      <c r="W713" s="168"/>
      <c r="X713" s="168"/>
    </row>
    <row r="714" spans="16:24" customFormat="1" x14ac:dyDescent="0.25">
      <c r="P714" s="168"/>
      <c r="Q714" s="168"/>
      <c r="R714" s="168"/>
      <c r="S714" s="169"/>
      <c r="T714" s="169"/>
      <c r="U714" s="169"/>
      <c r="V714" s="168"/>
      <c r="W714" s="168"/>
      <c r="X714" s="168"/>
    </row>
    <row r="715" spans="16:24" customFormat="1" x14ac:dyDescent="0.25">
      <c r="P715" s="168"/>
      <c r="Q715" s="168"/>
      <c r="R715" s="168"/>
      <c r="S715" s="169"/>
      <c r="T715" s="169"/>
      <c r="U715" s="169"/>
      <c r="V715" s="168"/>
      <c r="W715" s="168"/>
      <c r="X715" s="168"/>
    </row>
    <row r="716" spans="16:24" customFormat="1" x14ac:dyDescent="0.25">
      <c r="P716" s="168"/>
      <c r="Q716" s="168"/>
      <c r="R716" s="168"/>
      <c r="S716" s="169"/>
      <c r="T716" s="169"/>
      <c r="U716" s="169"/>
      <c r="V716" s="168"/>
      <c r="W716" s="168"/>
      <c r="X716" s="168"/>
    </row>
    <row r="717" spans="16:24" customFormat="1" x14ac:dyDescent="0.25">
      <c r="P717" s="168"/>
      <c r="Q717" s="168"/>
      <c r="R717" s="168"/>
      <c r="S717" s="169"/>
      <c r="T717" s="169"/>
      <c r="U717" s="169"/>
      <c r="V717" s="168"/>
      <c r="W717" s="168"/>
      <c r="X717" s="168"/>
    </row>
    <row r="718" spans="16:24" customFormat="1" x14ac:dyDescent="0.25">
      <c r="P718" s="168"/>
      <c r="Q718" s="168"/>
      <c r="R718" s="168"/>
      <c r="S718" s="169"/>
      <c r="T718" s="169"/>
      <c r="U718" s="169"/>
      <c r="V718" s="168"/>
      <c r="W718" s="168"/>
      <c r="X718" s="168"/>
    </row>
    <row r="719" spans="16:24" customFormat="1" x14ac:dyDescent="0.25">
      <c r="P719" s="168"/>
      <c r="Q719" s="168"/>
      <c r="R719" s="168"/>
      <c r="S719" s="169"/>
      <c r="T719" s="169"/>
      <c r="U719" s="169"/>
      <c r="V719" s="168"/>
      <c r="W719" s="168"/>
      <c r="X719" s="168"/>
    </row>
    <row r="720" spans="16:24" customFormat="1" x14ac:dyDescent="0.25">
      <c r="P720" s="168"/>
      <c r="Q720" s="168"/>
      <c r="R720" s="168"/>
      <c r="S720" s="169"/>
      <c r="T720" s="169"/>
      <c r="U720" s="169"/>
      <c r="V720" s="168"/>
      <c r="W720" s="168"/>
      <c r="X720" s="168"/>
    </row>
    <row r="721" spans="16:24" customFormat="1" x14ac:dyDescent="0.25">
      <c r="P721" s="168"/>
      <c r="Q721" s="168"/>
      <c r="R721" s="168"/>
      <c r="S721" s="169"/>
      <c r="T721" s="169"/>
      <c r="U721" s="169"/>
      <c r="V721" s="168"/>
      <c r="W721" s="168"/>
      <c r="X721" s="168"/>
    </row>
    <row r="722" spans="16:24" customFormat="1" x14ac:dyDescent="0.25">
      <c r="P722" s="168"/>
      <c r="Q722" s="168"/>
      <c r="R722" s="168"/>
      <c r="S722" s="169"/>
      <c r="T722" s="169"/>
      <c r="U722" s="169"/>
      <c r="V722" s="168"/>
      <c r="W722" s="168"/>
      <c r="X722" s="168"/>
    </row>
    <row r="723" spans="16:24" customFormat="1" x14ac:dyDescent="0.25">
      <c r="P723" s="168"/>
      <c r="Q723" s="168"/>
      <c r="R723" s="168"/>
      <c r="S723" s="169"/>
      <c r="T723" s="169"/>
      <c r="U723" s="169"/>
      <c r="V723" s="168"/>
      <c r="W723" s="168"/>
      <c r="X723" s="168"/>
    </row>
    <row r="724" spans="16:24" customFormat="1" x14ac:dyDescent="0.25">
      <c r="P724" s="168"/>
      <c r="Q724" s="168"/>
      <c r="R724" s="168"/>
      <c r="S724" s="169"/>
      <c r="T724" s="169"/>
      <c r="U724" s="169"/>
      <c r="V724" s="168"/>
      <c r="W724" s="168"/>
      <c r="X724" s="168"/>
    </row>
    <row r="725" spans="16:24" customFormat="1" x14ac:dyDescent="0.25">
      <c r="P725" s="168"/>
      <c r="Q725" s="168"/>
      <c r="R725" s="168"/>
      <c r="S725" s="169"/>
      <c r="T725" s="169"/>
      <c r="U725" s="169"/>
      <c r="V725" s="168"/>
      <c r="W725" s="168"/>
      <c r="X725" s="168"/>
    </row>
    <row r="726" spans="16:24" customFormat="1" x14ac:dyDescent="0.25">
      <c r="P726" s="168"/>
      <c r="Q726" s="168"/>
      <c r="R726" s="168"/>
      <c r="S726" s="169"/>
      <c r="T726" s="169"/>
      <c r="U726" s="169"/>
      <c r="V726" s="168"/>
      <c r="W726" s="168"/>
      <c r="X726" s="168"/>
    </row>
    <row r="727" spans="16:24" customFormat="1" x14ac:dyDescent="0.25">
      <c r="P727" s="168"/>
      <c r="Q727" s="168"/>
      <c r="R727" s="168"/>
      <c r="S727" s="169"/>
      <c r="T727" s="169"/>
      <c r="U727" s="169"/>
      <c r="V727" s="168"/>
      <c r="W727" s="168"/>
      <c r="X727" s="168"/>
    </row>
    <row r="728" spans="16:24" customFormat="1" x14ac:dyDescent="0.25">
      <c r="P728" s="168"/>
      <c r="Q728" s="168"/>
      <c r="R728" s="168"/>
      <c r="S728" s="169"/>
      <c r="T728" s="169"/>
      <c r="U728" s="169"/>
      <c r="V728" s="168"/>
      <c r="W728" s="168"/>
      <c r="X728" s="168"/>
    </row>
    <row r="729" spans="16:24" customFormat="1" x14ac:dyDescent="0.25">
      <c r="P729" s="168"/>
      <c r="Q729" s="168"/>
      <c r="R729" s="168"/>
      <c r="S729" s="169"/>
      <c r="T729" s="169"/>
      <c r="U729" s="169"/>
      <c r="V729" s="168"/>
      <c r="W729" s="168"/>
      <c r="X729" s="168"/>
    </row>
    <row r="730" spans="16:24" customFormat="1" x14ac:dyDescent="0.25">
      <c r="P730" s="168"/>
      <c r="Q730" s="168"/>
      <c r="R730" s="168"/>
      <c r="S730" s="169"/>
      <c r="T730" s="169"/>
      <c r="U730" s="169"/>
      <c r="V730" s="168"/>
      <c r="W730" s="168"/>
      <c r="X730" s="168"/>
    </row>
    <row r="731" spans="16:24" customFormat="1" x14ac:dyDescent="0.25">
      <c r="P731" s="168"/>
      <c r="Q731" s="168"/>
      <c r="R731" s="168"/>
      <c r="S731" s="169"/>
      <c r="T731" s="169"/>
      <c r="U731" s="169"/>
      <c r="V731" s="168"/>
      <c r="W731" s="168"/>
      <c r="X731" s="168"/>
    </row>
    <row r="732" spans="16:24" customFormat="1" x14ac:dyDescent="0.25">
      <c r="P732" s="168"/>
      <c r="Q732" s="168"/>
      <c r="R732" s="168"/>
      <c r="S732" s="169"/>
      <c r="T732" s="169"/>
      <c r="U732" s="169"/>
      <c r="V732" s="168"/>
      <c r="W732" s="168"/>
      <c r="X732" s="168"/>
    </row>
    <row r="733" spans="16:24" customFormat="1" x14ac:dyDescent="0.25">
      <c r="P733" s="168"/>
      <c r="Q733" s="168"/>
      <c r="R733" s="168"/>
      <c r="S733" s="169"/>
      <c r="T733" s="169"/>
      <c r="U733" s="169"/>
      <c r="V733" s="168"/>
      <c r="W733" s="168"/>
      <c r="X733" s="168"/>
    </row>
    <row r="734" spans="16:24" customFormat="1" x14ac:dyDescent="0.25">
      <c r="P734" s="168"/>
      <c r="Q734" s="168"/>
      <c r="R734" s="168"/>
      <c r="S734" s="169"/>
      <c r="T734" s="169"/>
      <c r="U734" s="169"/>
      <c r="V734" s="168"/>
      <c r="W734" s="168"/>
      <c r="X734" s="168"/>
    </row>
    <row r="735" spans="16:24" customFormat="1" x14ac:dyDescent="0.25">
      <c r="P735" s="168"/>
      <c r="Q735" s="168"/>
      <c r="R735" s="168"/>
      <c r="S735" s="169"/>
      <c r="T735" s="169"/>
      <c r="U735" s="169"/>
      <c r="V735" s="168"/>
      <c r="W735" s="168"/>
      <c r="X735" s="168"/>
    </row>
    <row r="736" spans="16:24" customFormat="1" x14ac:dyDescent="0.25">
      <c r="P736" s="168"/>
      <c r="Q736" s="168"/>
      <c r="R736" s="168"/>
      <c r="S736" s="169"/>
      <c r="T736" s="169"/>
      <c r="U736" s="169"/>
      <c r="V736" s="168"/>
      <c r="W736" s="168"/>
      <c r="X736" s="168"/>
    </row>
    <row r="737" spans="16:24" customFormat="1" x14ac:dyDescent="0.25">
      <c r="P737" s="168"/>
      <c r="Q737" s="168"/>
      <c r="R737" s="168"/>
      <c r="S737" s="169"/>
      <c r="T737" s="169"/>
      <c r="U737" s="169"/>
      <c r="V737" s="168"/>
      <c r="W737" s="168"/>
      <c r="X737" s="168"/>
    </row>
    <row r="738" spans="16:24" customFormat="1" x14ac:dyDescent="0.25">
      <c r="P738" s="168"/>
      <c r="Q738" s="168"/>
      <c r="R738" s="168"/>
      <c r="S738" s="169"/>
      <c r="T738" s="169"/>
      <c r="U738" s="169"/>
      <c r="V738" s="168"/>
      <c r="W738" s="168"/>
      <c r="X738" s="168"/>
    </row>
    <row r="739" spans="16:24" customFormat="1" x14ac:dyDescent="0.25">
      <c r="P739" s="168"/>
      <c r="Q739" s="168"/>
      <c r="R739" s="168"/>
      <c r="S739" s="169"/>
      <c r="T739" s="169"/>
      <c r="U739" s="169"/>
      <c r="V739" s="168"/>
      <c r="W739" s="168"/>
      <c r="X739" s="168"/>
    </row>
    <row r="740" spans="16:24" customFormat="1" x14ac:dyDescent="0.25">
      <c r="P740" s="168"/>
      <c r="Q740" s="168"/>
      <c r="R740" s="168"/>
      <c r="S740" s="169"/>
      <c r="T740" s="169"/>
      <c r="U740" s="169"/>
      <c r="V740" s="168"/>
      <c r="W740" s="168"/>
      <c r="X740" s="168"/>
    </row>
    <row r="741" spans="16:24" customFormat="1" x14ac:dyDescent="0.25">
      <c r="P741" s="168"/>
      <c r="Q741" s="168"/>
      <c r="R741" s="168"/>
      <c r="S741" s="169"/>
      <c r="T741" s="169"/>
      <c r="U741" s="169"/>
      <c r="V741" s="168"/>
      <c r="W741" s="168"/>
      <c r="X741" s="168"/>
    </row>
    <row r="742" spans="16:24" customFormat="1" x14ac:dyDescent="0.25">
      <c r="P742" s="168"/>
      <c r="Q742" s="168"/>
      <c r="R742" s="168"/>
      <c r="S742" s="169"/>
      <c r="T742" s="169"/>
      <c r="U742" s="169"/>
      <c r="V742" s="168"/>
      <c r="W742" s="168"/>
      <c r="X742" s="168"/>
    </row>
    <row r="743" spans="16:24" customFormat="1" x14ac:dyDescent="0.25">
      <c r="P743" s="168"/>
      <c r="Q743" s="168"/>
      <c r="R743" s="168"/>
      <c r="S743" s="169"/>
      <c r="T743" s="169"/>
      <c r="U743" s="169"/>
      <c r="V743" s="168"/>
      <c r="W743" s="168"/>
      <c r="X743" s="168"/>
    </row>
    <row r="744" spans="16:24" customFormat="1" x14ac:dyDescent="0.25">
      <c r="P744" s="168"/>
      <c r="Q744" s="168"/>
      <c r="R744" s="168"/>
      <c r="S744" s="169"/>
      <c r="T744" s="169"/>
      <c r="U744" s="169"/>
      <c r="V744" s="168"/>
      <c r="W744" s="168"/>
      <c r="X744" s="168"/>
    </row>
    <row r="745" spans="16:24" customFormat="1" x14ac:dyDescent="0.25">
      <c r="P745" s="168"/>
      <c r="Q745" s="168"/>
      <c r="R745" s="168"/>
      <c r="S745" s="169"/>
      <c r="T745" s="169"/>
      <c r="U745" s="169"/>
      <c r="V745" s="168"/>
      <c r="W745" s="168"/>
      <c r="X745" s="168"/>
    </row>
    <row r="746" spans="16:24" customFormat="1" x14ac:dyDescent="0.25">
      <c r="P746" s="168"/>
      <c r="Q746" s="168"/>
      <c r="R746" s="168"/>
      <c r="S746" s="169"/>
      <c r="T746" s="169"/>
      <c r="U746" s="169"/>
      <c r="V746" s="168"/>
      <c r="W746" s="168"/>
      <c r="X746" s="168"/>
    </row>
    <row r="747" spans="16:24" customFormat="1" x14ac:dyDescent="0.25">
      <c r="P747" s="168"/>
      <c r="Q747" s="168"/>
      <c r="R747" s="168"/>
      <c r="S747" s="169"/>
      <c r="T747" s="169"/>
      <c r="U747" s="169"/>
      <c r="V747" s="168"/>
      <c r="W747" s="168"/>
      <c r="X747" s="168"/>
    </row>
    <row r="748" spans="16:24" customFormat="1" x14ac:dyDescent="0.25">
      <c r="P748" s="168"/>
      <c r="Q748" s="168"/>
      <c r="R748" s="168"/>
      <c r="S748" s="169"/>
      <c r="T748" s="169"/>
      <c r="U748" s="169"/>
      <c r="V748" s="168"/>
      <c r="W748" s="168"/>
      <c r="X748" s="168"/>
    </row>
    <row r="749" spans="16:24" customFormat="1" x14ac:dyDescent="0.25">
      <c r="P749" s="168"/>
      <c r="Q749" s="168"/>
      <c r="R749" s="168"/>
      <c r="S749" s="169"/>
      <c r="T749" s="169"/>
      <c r="U749" s="169"/>
      <c r="V749" s="168"/>
      <c r="W749" s="168"/>
      <c r="X749" s="168"/>
    </row>
    <row r="750" spans="16:24" customFormat="1" x14ac:dyDescent="0.25">
      <c r="P750" s="168"/>
      <c r="Q750" s="168"/>
      <c r="R750" s="168"/>
      <c r="S750" s="169"/>
      <c r="T750" s="169"/>
      <c r="U750" s="169"/>
      <c r="V750" s="168"/>
      <c r="W750" s="168"/>
      <c r="X750" s="168"/>
    </row>
    <row r="751" spans="16:24" customFormat="1" x14ac:dyDescent="0.25">
      <c r="P751" s="168"/>
      <c r="Q751" s="168"/>
      <c r="R751" s="168"/>
      <c r="S751" s="169"/>
      <c r="T751" s="169"/>
      <c r="U751" s="169"/>
      <c r="V751" s="168"/>
      <c r="W751" s="168"/>
      <c r="X751" s="168"/>
    </row>
    <row r="752" spans="16:24" customFormat="1" x14ac:dyDescent="0.25">
      <c r="P752" s="168"/>
      <c r="Q752" s="168"/>
      <c r="R752" s="168"/>
      <c r="S752" s="169"/>
      <c r="T752" s="169"/>
      <c r="U752" s="169"/>
      <c r="V752" s="168"/>
      <c r="W752" s="168"/>
      <c r="X752" s="168"/>
    </row>
    <row r="753" spans="16:24" customFormat="1" x14ac:dyDescent="0.25">
      <c r="P753" s="168"/>
      <c r="Q753" s="168"/>
      <c r="R753" s="168"/>
      <c r="S753" s="169"/>
      <c r="T753" s="169"/>
      <c r="U753" s="169"/>
      <c r="V753" s="168"/>
      <c r="W753" s="168"/>
      <c r="X753" s="168"/>
    </row>
    <row r="754" spans="16:24" customFormat="1" x14ac:dyDescent="0.25">
      <c r="P754" s="168"/>
      <c r="Q754" s="168"/>
      <c r="R754" s="168"/>
      <c r="S754" s="169"/>
      <c r="T754" s="169"/>
      <c r="U754" s="169"/>
      <c r="V754" s="168"/>
      <c r="W754" s="168"/>
      <c r="X754" s="168"/>
    </row>
    <row r="755" spans="16:24" customFormat="1" x14ac:dyDescent="0.25">
      <c r="P755" s="168"/>
      <c r="Q755" s="168"/>
      <c r="R755" s="168"/>
      <c r="S755" s="169"/>
      <c r="T755" s="169"/>
      <c r="U755" s="169"/>
      <c r="V755" s="168"/>
      <c r="W755" s="168"/>
      <c r="X755" s="168"/>
    </row>
    <row r="756" spans="16:24" customFormat="1" x14ac:dyDescent="0.25">
      <c r="P756" s="168"/>
      <c r="Q756" s="168"/>
      <c r="R756" s="168"/>
      <c r="S756" s="169"/>
      <c r="T756" s="169"/>
      <c r="U756" s="169"/>
      <c r="V756" s="168"/>
      <c r="W756" s="168"/>
      <c r="X756" s="168"/>
    </row>
    <row r="757" spans="16:24" customFormat="1" x14ac:dyDescent="0.25">
      <c r="P757" s="168"/>
      <c r="Q757" s="168"/>
      <c r="R757" s="168"/>
      <c r="S757" s="169"/>
      <c r="T757" s="169"/>
      <c r="U757" s="169"/>
      <c r="V757" s="168"/>
      <c r="W757" s="168"/>
      <c r="X757" s="168"/>
    </row>
    <row r="758" spans="16:24" customFormat="1" x14ac:dyDescent="0.25">
      <c r="P758" s="168"/>
      <c r="Q758" s="168"/>
      <c r="R758" s="168"/>
      <c r="S758" s="169"/>
      <c r="T758" s="169"/>
      <c r="U758" s="169"/>
      <c r="V758" s="168"/>
      <c r="W758" s="168"/>
      <c r="X758" s="168"/>
    </row>
    <row r="759" spans="16:24" customFormat="1" x14ac:dyDescent="0.25">
      <c r="P759" s="168"/>
      <c r="Q759" s="168"/>
      <c r="R759" s="168"/>
      <c r="S759" s="169"/>
      <c r="T759" s="169"/>
      <c r="U759" s="169"/>
      <c r="V759" s="168"/>
      <c r="W759" s="168"/>
      <c r="X759" s="168"/>
    </row>
    <row r="760" spans="16:24" customFormat="1" x14ac:dyDescent="0.25">
      <c r="P760" s="168"/>
      <c r="Q760" s="168"/>
      <c r="R760" s="168"/>
      <c r="S760" s="169"/>
      <c r="T760" s="169"/>
      <c r="U760" s="169"/>
      <c r="V760" s="168"/>
      <c r="W760" s="168"/>
      <c r="X760" s="168"/>
    </row>
    <row r="761" spans="16:24" customFormat="1" x14ac:dyDescent="0.25">
      <c r="P761" s="168"/>
      <c r="Q761" s="168"/>
      <c r="R761" s="168"/>
      <c r="S761" s="169"/>
      <c r="T761" s="169"/>
      <c r="U761" s="169"/>
      <c r="V761" s="168"/>
      <c r="W761" s="168"/>
      <c r="X761" s="168"/>
    </row>
    <row r="762" spans="16:24" customFormat="1" x14ac:dyDescent="0.25">
      <c r="P762" s="168"/>
      <c r="Q762" s="168"/>
      <c r="R762" s="168"/>
      <c r="S762" s="169"/>
      <c r="T762" s="169"/>
      <c r="U762" s="169"/>
      <c r="V762" s="168"/>
      <c r="W762" s="168"/>
      <c r="X762" s="168"/>
    </row>
    <row r="763" spans="16:24" customFormat="1" x14ac:dyDescent="0.25">
      <c r="P763" s="168"/>
      <c r="Q763" s="168"/>
      <c r="R763" s="168"/>
      <c r="S763" s="169"/>
      <c r="T763" s="169"/>
      <c r="U763" s="169"/>
      <c r="V763" s="168"/>
      <c r="W763" s="168"/>
      <c r="X763" s="168"/>
    </row>
    <row r="764" spans="16:24" customFormat="1" x14ac:dyDescent="0.25">
      <c r="P764" s="168"/>
      <c r="Q764" s="168"/>
      <c r="R764" s="168"/>
      <c r="S764" s="169"/>
      <c r="T764" s="169"/>
      <c r="U764" s="169"/>
      <c r="V764" s="168"/>
      <c r="W764" s="168"/>
      <c r="X764" s="168"/>
    </row>
    <row r="765" spans="16:24" customFormat="1" x14ac:dyDescent="0.25">
      <c r="P765" s="168"/>
      <c r="Q765" s="168"/>
      <c r="R765" s="168"/>
      <c r="S765" s="169"/>
      <c r="T765" s="169"/>
      <c r="U765" s="169"/>
      <c r="V765" s="168"/>
      <c r="W765" s="168"/>
      <c r="X765" s="168"/>
    </row>
    <row r="766" spans="16:24" customFormat="1" x14ac:dyDescent="0.25">
      <c r="P766" s="168"/>
      <c r="Q766" s="168"/>
      <c r="R766" s="168"/>
      <c r="S766" s="169"/>
      <c r="T766" s="169"/>
      <c r="U766" s="169"/>
      <c r="V766" s="168"/>
      <c r="W766" s="168"/>
      <c r="X766" s="168"/>
    </row>
    <row r="767" spans="16:24" customFormat="1" x14ac:dyDescent="0.25">
      <c r="P767" s="168"/>
      <c r="Q767" s="168"/>
      <c r="R767" s="168"/>
      <c r="S767" s="169"/>
      <c r="T767" s="169"/>
      <c r="U767" s="169"/>
      <c r="V767" s="168"/>
      <c r="W767" s="168"/>
      <c r="X767" s="168"/>
    </row>
    <row r="768" spans="16:24" customFormat="1" x14ac:dyDescent="0.25">
      <c r="P768" s="168"/>
      <c r="Q768" s="168"/>
      <c r="R768" s="168"/>
      <c r="S768" s="169"/>
      <c r="T768" s="169"/>
      <c r="U768" s="169"/>
      <c r="V768" s="168"/>
      <c r="W768" s="168"/>
      <c r="X768" s="168"/>
    </row>
    <row r="769" spans="16:24" customFormat="1" x14ac:dyDescent="0.25">
      <c r="P769" s="168"/>
      <c r="Q769" s="168"/>
      <c r="R769" s="168"/>
      <c r="S769" s="169"/>
      <c r="T769" s="169"/>
      <c r="U769" s="169"/>
      <c r="V769" s="168"/>
      <c r="W769" s="168"/>
      <c r="X769" s="168"/>
    </row>
    <row r="770" spans="16:24" customFormat="1" x14ac:dyDescent="0.25">
      <c r="P770" s="168"/>
      <c r="Q770" s="168"/>
      <c r="R770" s="168"/>
      <c r="S770" s="169"/>
      <c r="T770" s="169"/>
      <c r="U770" s="169"/>
      <c r="V770" s="168"/>
      <c r="W770" s="168"/>
      <c r="X770" s="168"/>
    </row>
    <row r="771" spans="16:24" customFormat="1" x14ac:dyDescent="0.25">
      <c r="P771" s="168"/>
      <c r="Q771" s="168"/>
      <c r="R771" s="168"/>
      <c r="S771" s="169"/>
      <c r="T771" s="169"/>
      <c r="U771" s="169"/>
      <c r="V771" s="168"/>
      <c r="W771" s="168"/>
      <c r="X771" s="168"/>
    </row>
    <row r="772" spans="16:24" customFormat="1" x14ac:dyDescent="0.25">
      <c r="P772" s="168"/>
      <c r="Q772" s="168"/>
      <c r="R772" s="168"/>
      <c r="S772" s="169"/>
      <c r="T772" s="169"/>
      <c r="U772" s="169"/>
      <c r="V772" s="168"/>
      <c r="W772" s="168"/>
      <c r="X772" s="168"/>
    </row>
    <row r="773" spans="16:24" customFormat="1" x14ac:dyDescent="0.25">
      <c r="P773" s="168"/>
      <c r="Q773" s="168"/>
      <c r="R773" s="168"/>
      <c r="S773" s="169"/>
      <c r="T773" s="169"/>
      <c r="U773" s="169"/>
      <c r="V773" s="168"/>
      <c r="W773" s="168"/>
      <c r="X773" s="168"/>
    </row>
    <row r="774" spans="16:24" customFormat="1" x14ac:dyDescent="0.25">
      <c r="P774" s="168"/>
      <c r="Q774" s="168"/>
      <c r="R774" s="168"/>
      <c r="S774" s="169"/>
      <c r="T774" s="169"/>
      <c r="U774" s="169"/>
      <c r="V774" s="168"/>
      <c r="W774" s="168"/>
      <c r="X774" s="168"/>
    </row>
    <row r="775" spans="16:24" customFormat="1" x14ac:dyDescent="0.25">
      <c r="P775" s="168"/>
      <c r="Q775" s="168"/>
      <c r="R775" s="168"/>
      <c r="S775" s="169"/>
      <c r="T775" s="169"/>
      <c r="U775" s="169"/>
      <c r="V775" s="168"/>
      <c r="W775" s="168"/>
      <c r="X775" s="168"/>
    </row>
    <row r="776" spans="16:24" customFormat="1" x14ac:dyDescent="0.25">
      <c r="P776" s="168"/>
      <c r="Q776" s="168"/>
      <c r="R776" s="168"/>
      <c r="S776" s="169"/>
      <c r="T776" s="169"/>
      <c r="U776" s="169"/>
      <c r="V776" s="168"/>
      <c r="W776" s="168"/>
      <c r="X776" s="168"/>
    </row>
    <row r="777" spans="16:24" customFormat="1" x14ac:dyDescent="0.25">
      <c r="P777" s="168"/>
      <c r="Q777" s="168"/>
      <c r="R777" s="168"/>
      <c r="S777" s="169"/>
      <c r="T777" s="169"/>
      <c r="U777" s="169"/>
      <c r="V777" s="168"/>
      <c r="W777" s="168"/>
      <c r="X777" s="168"/>
    </row>
    <row r="778" spans="16:24" customFormat="1" x14ac:dyDescent="0.25">
      <c r="P778" s="168"/>
      <c r="Q778" s="168"/>
      <c r="R778" s="168"/>
      <c r="S778" s="169"/>
      <c r="T778" s="169"/>
      <c r="U778" s="169"/>
      <c r="V778" s="168"/>
      <c r="W778" s="168"/>
      <c r="X778" s="168"/>
    </row>
    <row r="779" spans="16:24" customFormat="1" x14ac:dyDescent="0.25">
      <c r="P779" s="168"/>
      <c r="Q779" s="168"/>
      <c r="R779" s="168"/>
      <c r="S779" s="169"/>
      <c r="T779" s="169"/>
      <c r="U779" s="169"/>
      <c r="V779" s="168"/>
      <c r="W779" s="168"/>
      <c r="X779" s="168"/>
    </row>
    <row r="780" spans="16:24" customFormat="1" x14ac:dyDescent="0.25">
      <c r="P780" s="168"/>
      <c r="Q780" s="168"/>
      <c r="R780" s="168"/>
      <c r="S780" s="169"/>
      <c r="T780" s="169"/>
      <c r="U780" s="169"/>
      <c r="V780" s="168"/>
      <c r="W780" s="168"/>
      <c r="X780" s="168"/>
    </row>
    <row r="781" spans="16:24" customFormat="1" x14ac:dyDescent="0.25">
      <c r="P781" s="168"/>
      <c r="Q781" s="168"/>
      <c r="R781" s="168"/>
      <c r="S781" s="169"/>
      <c r="T781" s="169"/>
      <c r="U781" s="169"/>
      <c r="V781" s="168"/>
      <c r="W781" s="168"/>
      <c r="X781" s="168"/>
    </row>
    <row r="782" spans="16:24" customFormat="1" x14ac:dyDescent="0.25">
      <c r="P782" s="168"/>
      <c r="Q782" s="168"/>
      <c r="R782" s="168"/>
      <c r="S782" s="169"/>
      <c r="T782" s="169"/>
      <c r="U782" s="169"/>
      <c r="V782" s="168"/>
      <c r="W782" s="168"/>
      <c r="X782" s="168"/>
    </row>
    <row r="783" spans="16:24" customFormat="1" x14ac:dyDescent="0.25">
      <c r="P783" s="168"/>
      <c r="Q783" s="168"/>
      <c r="R783" s="168"/>
      <c r="S783" s="169"/>
      <c r="T783" s="169"/>
      <c r="U783" s="169"/>
      <c r="V783" s="168"/>
      <c r="W783" s="168"/>
      <c r="X783" s="168"/>
    </row>
    <row r="784" spans="16:24" customFormat="1" x14ac:dyDescent="0.25">
      <c r="P784" s="168"/>
      <c r="Q784" s="168"/>
      <c r="R784" s="168"/>
      <c r="S784" s="169"/>
      <c r="T784" s="169"/>
      <c r="U784" s="169"/>
      <c r="V784" s="168"/>
      <c r="W784" s="168"/>
      <c r="X784" s="168"/>
    </row>
    <row r="785" spans="16:24" customFormat="1" x14ac:dyDescent="0.25">
      <c r="P785" s="168"/>
      <c r="Q785" s="168"/>
      <c r="R785" s="168"/>
      <c r="S785" s="169"/>
      <c r="T785" s="169"/>
      <c r="U785" s="169"/>
      <c r="V785" s="168"/>
      <c r="W785" s="168"/>
      <c r="X785" s="168"/>
    </row>
    <row r="786" spans="16:24" customFormat="1" x14ac:dyDescent="0.25">
      <c r="P786" s="168"/>
      <c r="Q786" s="168"/>
      <c r="R786" s="168"/>
      <c r="S786" s="169"/>
      <c r="T786" s="169"/>
      <c r="U786" s="169"/>
      <c r="V786" s="168"/>
      <c r="W786" s="168"/>
      <c r="X786" s="168"/>
    </row>
    <row r="787" spans="16:24" customFormat="1" x14ac:dyDescent="0.25">
      <c r="P787" s="168"/>
      <c r="Q787" s="168"/>
      <c r="R787" s="168"/>
      <c r="S787" s="169"/>
      <c r="T787" s="169"/>
      <c r="U787" s="169"/>
      <c r="V787" s="168"/>
      <c r="W787" s="168"/>
      <c r="X787" s="168"/>
    </row>
    <row r="788" spans="16:24" customFormat="1" x14ac:dyDescent="0.25">
      <c r="P788" s="168"/>
      <c r="Q788" s="168"/>
      <c r="R788" s="168"/>
      <c r="S788" s="169"/>
      <c r="T788" s="169"/>
      <c r="U788" s="169"/>
      <c r="V788" s="168"/>
      <c r="W788" s="168"/>
      <c r="X788" s="168"/>
    </row>
    <row r="789" spans="16:24" customFormat="1" x14ac:dyDescent="0.25">
      <c r="P789" s="168"/>
      <c r="Q789" s="168"/>
      <c r="R789" s="168"/>
      <c r="S789" s="169"/>
      <c r="T789" s="169"/>
      <c r="U789" s="169"/>
      <c r="V789" s="168"/>
      <c r="W789" s="168"/>
      <c r="X789" s="168"/>
    </row>
    <row r="790" spans="16:24" customFormat="1" x14ac:dyDescent="0.25">
      <c r="P790" s="168"/>
      <c r="Q790" s="168"/>
      <c r="R790" s="168"/>
      <c r="S790" s="169"/>
      <c r="T790" s="169"/>
      <c r="U790" s="169"/>
      <c r="V790" s="168"/>
      <c r="W790" s="168"/>
      <c r="X790" s="168"/>
    </row>
    <row r="791" spans="16:24" customFormat="1" x14ac:dyDescent="0.25">
      <c r="P791" s="168"/>
      <c r="Q791" s="168"/>
      <c r="R791" s="168"/>
      <c r="S791" s="169"/>
      <c r="T791" s="169"/>
      <c r="U791" s="169"/>
      <c r="V791" s="168"/>
      <c r="W791" s="168"/>
      <c r="X791" s="168"/>
    </row>
    <row r="792" spans="16:24" customFormat="1" x14ac:dyDescent="0.25">
      <c r="P792" s="168"/>
      <c r="Q792" s="168"/>
      <c r="R792" s="168"/>
      <c r="S792" s="169"/>
      <c r="T792" s="169"/>
      <c r="U792" s="169"/>
      <c r="V792" s="168"/>
      <c r="W792" s="168"/>
      <c r="X792" s="168"/>
    </row>
    <row r="793" spans="16:24" customFormat="1" x14ac:dyDescent="0.25">
      <c r="P793" s="168"/>
      <c r="Q793" s="168"/>
      <c r="R793" s="168"/>
      <c r="S793" s="169"/>
      <c r="T793" s="169"/>
      <c r="U793" s="169"/>
      <c r="V793" s="168"/>
      <c r="W793" s="168"/>
      <c r="X793" s="168"/>
    </row>
  </sheetData>
  <autoFilter ref="A17:GB117" xr:uid="{00000000-0009-0000-0000-00000D000000}"/>
  <mergeCells count="42">
    <mergeCell ref="L4:M4"/>
    <mergeCell ref="N4:O4"/>
    <mergeCell ref="F5:G5"/>
    <mergeCell ref="H5:I5"/>
    <mergeCell ref="J5:K5"/>
    <mergeCell ref="L5:M5"/>
    <mergeCell ref="E2:E3"/>
    <mergeCell ref="E4:E6"/>
    <mergeCell ref="E8:E13"/>
    <mergeCell ref="H6:I6"/>
    <mergeCell ref="J6:K6"/>
    <mergeCell ref="F4:G4"/>
    <mergeCell ref="H4:I4"/>
    <mergeCell ref="J4:K4"/>
    <mergeCell ref="G9:K9"/>
    <mergeCell ref="L6:M6"/>
    <mergeCell ref="K16:O16"/>
    <mergeCell ref="N6:O6"/>
    <mergeCell ref="F6:G6"/>
    <mergeCell ref="A16:F16"/>
    <mergeCell ref="M8:O8"/>
    <mergeCell ref="V16:X16"/>
    <mergeCell ref="AL6:AN6"/>
    <mergeCell ref="AA16:AE16"/>
    <mergeCell ref="Y16:Z16"/>
    <mergeCell ref="AH16:AI16"/>
    <mergeCell ref="B2:C2"/>
    <mergeCell ref="B5:C5"/>
    <mergeCell ref="FW16:GB16"/>
    <mergeCell ref="AR16:AS16"/>
    <mergeCell ref="AU16:CK16"/>
    <mergeCell ref="P15:R15"/>
    <mergeCell ref="P16:R16"/>
    <mergeCell ref="V15:X15"/>
    <mergeCell ref="AK16:AQ16"/>
    <mergeCell ref="S15:U15"/>
    <mergeCell ref="N5:O5"/>
    <mergeCell ref="I16:J16"/>
    <mergeCell ref="G16:H16"/>
    <mergeCell ref="AP6:AR6"/>
    <mergeCell ref="AF16:AG16"/>
    <mergeCell ref="S16:U16"/>
  </mergeCells>
  <phoneticPr fontId="42" type="noConversion"/>
  <conditionalFormatting sqref="G9">
    <cfRule type="expression" dxfId="42" priority="30" stopIfTrue="1">
      <formula>LEFT(F9,3)="Cer"</formula>
    </cfRule>
  </conditionalFormatting>
  <conditionalFormatting sqref="G9:K9">
    <cfRule type="expression" dxfId="41" priority="31" stopIfTrue="1">
      <formula>LEFT(G9,1)="H"</formula>
    </cfRule>
    <cfRule type="expression" dxfId="40" priority="32" stopIfTrue="1">
      <formula>LEFT(G9,1)="M"</formula>
    </cfRule>
    <cfRule type="expression" dxfId="39" priority="33" stopIfTrue="1">
      <formula>LEFT(G9,1)="L"</formula>
    </cfRule>
  </conditionalFormatting>
  <conditionalFormatting sqref="G10:K13">
    <cfRule type="expression" dxfId="38" priority="38" stopIfTrue="1">
      <formula>LEFT(G10,1)="H"</formula>
    </cfRule>
    <cfRule type="expression" dxfId="37" priority="39" stopIfTrue="1">
      <formula>LEFT(G10,1)="M"</formula>
    </cfRule>
    <cfRule type="expression" dxfId="36" priority="40" stopIfTrue="1">
      <formula>LEFT(G10,1)="L"</formula>
    </cfRule>
  </conditionalFormatting>
  <conditionalFormatting sqref="H18:H117">
    <cfRule type="expression" dxfId="35" priority="22" stopIfTrue="1">
      <formula>LEFT(H18,1)="H"</formula>
    </cfRule>
    <cfRule type="expression" dxfId="34" priority="23" stopIfTrue="1">
      <formula>LEFT(H18,1)="M"</formula>
    </cfRule>
    <cfRule type="expression" dxfId="33" priority="24" stopIfTrue="1">
      <formula>LEFT(H18,1)="L"</formula>
    </cfRule>
    <cfRule type="expression" dxfId="32" priority="25" stopIfTrue="1">
      <formula>LEFT(F18,3)="Cer"</formula>
    </cfRule>
  </conditionalFormatting>
  <conditionalFormatting sqref="J18:J117">
    <cfRule type="expression" dxfId="31" priority="26" stopIfTrue="1">
      <formula>LEFT(J18,1)="H"</formula>
    </cfRule>
    <cfRule type="expression" dxfId="30" priority="27" stopIfTrue="1">
      <formula>LEFT(J18,1)="M"</formula>
    </cfRule>
    <cfRule type="expression" dxfId="29" priority="28" stopIfTrue="1">
      <formula>LEFT(J18,1)="L"</formula>
    </cfRule>
    <cfRule type="expression" dxfId="28" priority="29" stopIfTrue="1">
      <formula>LEFT(F18,3)="Cer"</formula>
    </cfRule>
  </conditionalFormatting>
  <conditionalFormatting sqref="M10:M12">
    <cfRule type="expression" dxfId="27" priority="15" stopIfTrue="1">
      <formula>LEFT(M10,1)="L"</formula>
    </cfRule>
  </conditionalFormatting>
  <conditionalFormatting sqref="M10:M13">
    <cfRule type="expression" dxfId="26" priority="13" stopIfTrue="1">
      <formula>LEFT(M10,1)="H"</formula>
    </cfRule>
    <cfRule type="expression" dxfId="25" priority="14" stopIfTrue="1">
      <formula>LEFT(M10,1)="M"</formula>
    </cfRule>
  </conditionalFormatting>
  <conditionalFormatting sqref="S10:S12">
    <cfRule type="expression" dxfId="24" priority="4" stopIfTrue="1">
      <formula>LEFT(S10,1)="H"</formula>
    </cfRule>
    <cfRule type="expression" dxfId="23" priority="5" stopIfTrue="1">
      <formula>LEFT(S10,1)="M"</formula>
    </cfRule>
    <cfRule type="expression" dxfId="22" priority="6" stopIfTrue="1">
      <formula>LEFT(S10,1)="L"</formula>
    </cfRule>
  </conditionalFormatting>
  <conditionalFormatting sqref="AR18:AS117">
    <cfRule type="cellIs" dxfId="21" priority="41" operator="equal">
      <formula>"Check Impact"</formula>
    </cfRule>
  </conditionalFormatting>
  <dataValidations count="7">
    <dataValidation allowBlank="1" showInputMessage="1" showErrorMessage="1" prompt="See &quot;1-Drop Down List&quot; for source of information which can be adjusted &amp; edited." sqref="K17:L17 N17:O17" xr:uid="{00000000-0002-0000-0D00-000000000000}"/>
    <dataValidation type="list" showInputMessage="1" showErrorMessage="1" sqref="B18:B117" xr:uid="{00000000-0002-0000-0D00-000001000000}">
      <formula1>RT</formula1>
    </dataValidation>
    <dataValidation type="list" allowBlank="1" showInputMessage="1" showErrorMessage="1" sqref="K18:L117" xr:uid="{00000000-0002-0000-0D00-000002000000}">
      <formula1>Distri</formula1>
    </dataValidation>
    <dataValidation type="list" allowBlank="1" showInputMessage="1" showErrorMessage="1" sqref="G18:G117 I18:I117" xr:uid="{00000000-0002-0000-0D00-000003000000}">
      <formula1>Impact</formula1>
    </dataValidation>
    <dataValidation type="list" allowBlank="1" showInputMessage="1" showErrorMessage="1" sqref="F18:F117" xr:uid="{00000000-0002-0000-0D00-000004000000}">
      <formula1>LikeH</formula1>
    </dataValidation>
    <dataValidation type="list" allowBlank="1" showInputMessage="1" showErrorMessage="1" sqref="O18:O117" xr:uid="{00000000-0002-0000-0D00-000005000000}">
      <formula1>APC</formula1>
    </dataValidation>
    <dataValidation type="list" allowBlank="1" showInputMessage="1" showErrorMessage="1" sqref="N18:N117" xr:uid="{00000000-0002-0000-0D00-000006000000}">
      <formula1>POC</formula1>
    </dataValidation>
  </dataValidations>
  <pageMargins left="0.25" right="0.25" top="0.25" bottom="0.5" header="0.25" footer="0.25"/>
  <pageSetup paperSize="3" scale="30" fitToHeight="0" orientation="landscape" horizontalDpi="1200" verticalDpi="1200" r:id="rId1"/>
  <headerFooter>
    <oddFooter>&amp;CPage &amp;P of &amp;N</oddFooter>
  </headerFooter>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T108"/>
  <sheetViews>
    <sheetView showGridLines="0" zoomScaleNormal="100" workbookViewId="0">
      <pane ySplit="15" topLeftCell="A60" activePane="bottomLeft" state="frozen"/>
      <selection pane="bottomLeft" activeCell="A16" sqref="A16"/>
    </sheetView>
  </sheetViews>
  <sheetFormatPr defaultColWidth="8.85546875" defaultRowHeight="15" x14ac:dyDescent="0.25"/>
  <cols>
    <col min="1" max="1" width="2.85546875" customWidth="1"/>
    <col min="2" max="2" width="5.5703125" style="76" customWidth="1"/>
    <col min="3" max="3" width="15.85546875" customWidth="1"/>
    <col min="4" max="6" width="20.85546875" customWidth="1"/>
    <col min="7" max="8" width="30.85546875" style="181" customWidth="1"/>
    <col min="9" max="9" width="30.85546875" customWidth="1"/>
    <col min="10" max="10" width="10.85546875" customWidth="1"/>
    <col min="11" max="11" width="2.85546875" customWidth="1"/>
    <col min="12" max="12" width="5.85546875" customWidth="1"/>
    <col min="13" max="13" width="9.140625" style="182"/>
    <col min="14" max="14" width="22" style="182" bestFit="1" customWidth="1"/>
    <col min="15" max="15" width="25.5703125" bestFit="1" customWidth="1"/>
    <col min="16" max="17" width="9.140625"/>
    <col min="18" max="18" width="12.5703125" style="183" bestFit="1" customWidth="1"/>
    <col min="19" max="20" width="8.85546875" style="183"/>
  </cols>
  <sheetData>
    <row r="1" spans="1:20" s="7" customFormat="1" ht="21" x14ac:dyDescent="0.35">
      <c r="A1" s="980" t="s">
        <v>1161</v>
      </c>
      <c r="B1" s="980"/>
      <c r="C1" s="980"/>
      <c r="D1" s="980"/>
      <c r="E1" s="980"/>
      <c r="F1" s="980"/>
      <c r="G1" s="980"/>
      <c r="H1" s="980"/>
      <c r="I1" s="980"/>
      <c r="J1" s="980"/>
      <c r="K1" s="980"/>
      <c r="M1" s="539"/>
      <c r="N1" s="539"/>
      <c r="R1" s="540"/>
      <c r="S1" s="540"/>
      <c r="T1" s="540"/>
    </row>
    <row r="2" spans="1:20" ht="15.75" thickBot="1" x14ac:dyDescent="0.3">
      <c r="A2" s="256"/>
      <c r="B2" s="296"/>
      <c r="C2" s="256"/>
      <c r="D2" s="256"/>
      <c r="E2" s="256"/>
      <c r="F2" s="256"/>
      <c r="G2" s="297"/>
      <c r="H2" s="297"/>
      <c r="I2" s="256"/>
      <c r="J2" s="256"/>
      <c r="K2" s="256"/>
    </row>
    <row r="3" spans="1:20" ht="15.75" thickBot="1" x14ac:dyDescent="0.3">
      <c r="A3" s="256"/>
      <c r="B3" s="981" t="str">
        <f>'D-Project Data'!C13&amp;CHAR(10)&amp;CHAR(10)&amp;TEXT('D-Project Data'!C17,"mmmm yyyy")</f>
        <v>Project Name
August 2024</v>
      </c>
      <c r="C3" s="981"/>
      <c r="D3" s="981"/>
      <c r="E3" s="981"/>
      <c r="F3" s="256"/>
      <c r="G3" s="974" t="s">
        <v>847</v>
      </c>
      <c r="H3" s="975"/>
      <c r="I3" s="955">
        <f>'D-Project Data'!C6</f>
        <v>0.85</v>
      </c>
      <c r="J3" s="956"/>
      <c r="K3" s="302"/>
      <c r="M3" s="295" t="s">
        <v>846</v>
      </c>
    </row>
    <row r="4" spans="1:20" x14ac:dyDescent="0.25">
      <c r="A4" s="256"/>
      <c r="B4" s="981"/>
      <c r="C4" s="981"/>
      <c r="D4" s="981"/>
      <c r="E4" s="981"/>
      <c r="F4" s="256"/>
      <c r="G4" s="976" t="s">
        <v>672</v>
      </c>
      <c r="H4" s="977"/>
      <c r="I4" s="219">
        <f>'E-Cost &amp; Schedule Summary'!D50</f>
        <v>9000000</v>
      </c>
      <c r="J4" s="220"/>
      <c r="K4" s="299"/>
      <c r="N4" s="182" t="s">
        <v>792</v>
      </c>
      <c r="O4" s="188">
        <f>'H-Risk Register-Model'!AE1</f>
        <v>0</v>
      </c>
      <c r="P4" t="s">
        <v>659</v>
      </c>
    </row>
    <row r="5" spans="1:20" x14ac:dyDescent="0.25">
      <c r="A5" s="256"/>
      <c r="B5" s="981"/>
      <c r="C5" s="981"/>
      <c r="D5" s="981"/>
      <c r="E5" s="981"/>
      <c r="F5" s="256"/>
      <c r="G5" s="987" t="s">
        <v>869</v>
      </c>
      <c r="H5" s="988"/>
      <c r="I5" s="221">
        <f>VLOOKUP(G6,$C$61:$F$81,4,FALSE)</f>
        <v>3780000</v>
      </c>
      <c r="J5" s="222">
        <f>ROUNDUP(I5/I4,2)</f>
        <v>0.42</v>
      </c>
      <c r="K5" s="303"/>
      <c r="N5" s="182" t="s">
        <v>791</v>
      </c>
      <c r="O5" s="191">
        <f>'H-Risk Register-Model'!AG1</f>
        <v>0</v>
      </c>
    </row>
    <row r="6" spans="1:20" ht="15.75" thickBot="1" x14ac:dyDescent="0.3">
      <c r="A6" s="256"/>
      <c r="B6" s="981"/>
      <c r="C6" s="981"/>
      <c r="D6" s="981"/>
      <c r="E6" s="981"/>
      <c r="F6" s="256"/>
      <c r="G6" s="989">
        <f>'D-Project Data'!C6</f>
        <v>0.85</v>
      </c>
      <c r="H6" s="990"/>
      <c r="I6" s="223">
        <f>I4+I5</f>
        <v>12780000</v>
      </c>
      <c r="J6" s="224"/>
      <c r="K6" s="299"/>
    </row>
    <row r="7" spans="1:20" ht="15.75" thickBot="1" x14ac:dyDescent="0.3">
      <c r="A7" s="256"/>
      <c r="B7" s="981"/>
      <c r="C7" s="981"/>
      <c r="D7" s="981"/>
      <c r="E7" s="981"/>
      <c r="F7" s="256"/>
      <c r="G7" s="298"/>
      <c r="H7" s="298"/>
      <c r="I7" s="299"/>
      <c r="J7" s="256"/>
      <c r="K7" s="256"/>
      <c r="N7"/>
    </row>
    <row r="8" spans="1:20" ht="15.75" thickBot="1" x14ac:dyDescent="0.3">
      <c r="A8" s="256"/>
      <c r="B8" s="981"/>
      <c r="C8" s="981"/>
      <c r="D8" s="981"/>
      <c r="E8" s="981"/>
      <c r="F8" s="256"/>
      <c r="G8" s="974" t="s">
        <v>845</v>
      </c>
      <c r="H8" s="975"/>
      <c r="I8" s="957">
        <f>'D-Project Data'!C6</f>
        <v>0.85</v>
      </c>
      <c r="J8" s="958"/>
      <c r="K8" s="304"/>
      <c r="N8"/>
    </row>
    <row r="9" spans="1:20" x14ac:dyDescent="0.25">
      <c r="A9" s="256"/>
      <c r="B9" s="981"/>
      <c r="C9" s="981"/>
      <c r="D9" s="981"/>
      <c r="E9" s="981"/>
      <c r="F9" s="256"/>
      <c r="G9" s="962" t="s">
        <v>870</v>
      </c>
      <c r="H9" s="963"/>
      <c r="I9" s="225">
        <f>'E-Cost &amp; Schedule Summary'!C6</f>
        <v>45566</v>
      </c>
      <c r="J9" s="226" t="s">
        <v>659</v>
      </c>
      <c r="K9" s="305"/>
      <c r="N9"/>
    </row>
    <row r="10" spans="1:20" x14ac:dyDescent="0.25">
      <c r="A10" s="256"/>
      <c r="B10" s="981"/>
      <c r="C10" s="981"/>
      <c r="D10" s="981"/>
      <c r="E10" s="981"/>
      <c r="F10" s="256"/>
      <c r="G10" s="964" t="s">
        <v>871</v>
      </c>
      <c r="H10" s="965"/>
      <c r="I10" s="227">
        <f>'E-Cost &amp; Schedule Summary'!C7</f>
        <v>46296</v>
      </c>
      <c r="J10" s="228"/>
      <c r="K10" s="305"/>
    </row>
    <row r="11" spans="1:20" x14ac:dyDescent="0.25">
      <c r="A11" s="256"/>
      <c r="B11" s="981"/>
      <c r="C11" s="981"/>
      <c r="D11" s="981"/>
      <c r="E11" s="981"/>
      <c r="F11" s="256"/>
      <c r="G11" s="964" t="s">
        <v>872</v>
      </c>
      <c r="H11" s="965"/>
      <c r="I11" s="229">
        <f>YEARFRAC(I9,I10,1)*12</f>
        <v>23.978102189781023</v>
      </c>
      <c r="J11" s="228"/>
      <c r="K11" s="305"/>
    </row>
    <row r="12" spans="1:20" x14ac:dyDescent="0.25">
      <c r="A12" s="256"/>
      <c r="B12" s="981"/>
      <c r="C12" s="981"/>
      <c r="D12" s="981"/>
      <c r="E12" s="981"/>
      <c r="F12" s="256"/>
      <c r="G12" s="964" t="s">
        <v>873</v>
      </c>
      <c r="H12" s="965"/>
      <c r="I12" s="229">
        <f>VLOOKUP(G6,$C$86:$F$106,4,FALSE)</f>
        <v>6.9536496350364976</v>
      </c>
      <c r="J12" s="230">
        <f>I12/I11</f>
        <v>0.29000000000000004</v>
      </c>
      <c r="K12" s="303"/>
    </row>
    <row r="13" spans="1:20" x14ac:dyDescent="0.25">
      <c r="A13" s="256"/>
      <c r="B13" s="981"/>
      <c r="C13" s="981"/>
      <c r="D13" s="981"/>
      <c r="E13" s="981"/>
      <c r="F13" s="256"/>
      <c r="G13" s="991">
        <f>'D-Project Data'!C6</f>
        <v>0.85</v>
      </c>
      <c r="H13" s="992"/>
      <c r="I13" s="229">
        <f>I11+I12</f>
        <v>30.931751824817521</v>
      </c>
      <c r="J13" s="228"/>
      <c r="K13" s="305"/>
    </row>
    <row r="14" spans="1:20" ht="15.75" thickBot="1" x14ac:dyDescent="0.3">
      <c r="A14" s="256"/>
      <c r="B14" s="981"/>
      <c r="C14" s="981"/>
      <c r="D14" s="981"/>
      <c r="E14" s="981"/>
      <c r="F14" s="256"/>
      <c r="G14" s="993">
        <f>'D-Project Data'!C6</f>
        <v>0.85</v>
      </c>
      <c r="H14" s="994"/>
      <c r="I14" s="231">
        <f>EDATE(I10,TRUNC(I12,1))+CEILING((EDATE(I10,CEILING(I12,1))-EDATE(I10,FLOOR(I12,1)))*(I12-TRUNC(I12)),1)</f>
        <v>46507</v>
      </c>
      <c r="J14" s="232"/>
      <c r="K14" s="305"/>
    </row>
    <row r="15" spans="1:20" ht="15.75" thickBot="1" x14ac:dyDescent="0.3">
      <c r="A15" s="256"/>
      <c r="B15" s="296"/>
      <c r="C15" s="256"/>
      <c r="D15" s="256"/>
      <c r="E15" s="256"/>
      <c r="F15" s="256"/>
      <c r="G15" s="298"/>
      <c r="H15" s="298"/>
      <c r="I15" s="311"/>
      <c r="J15" s="256"/>
      <c r="K15" s="256"/>
      <c r="L15" s="194"/>
      <c r="M15" s="184"/>
    </row>
    <row r="16" spans="1:20" ht="19.5" thickBot="1" x14ac:dyDescent="0.3">
      <c r="A16" s="256"/>
      <c r="B16" s="966" t="s">
        <v>850</v>
      </c>
      <c r="C16" s="967"/>
      <c r="D16" s="967"/>
      <c r="E16" s="967"/>
      <c r="F16" s="967"/>
      <c r="G16" s="967"/>
      <c r="H16" s="967"/>
      <c r="I16" s="967"/>
      <c r="J16" s="968"/>
      <c r="K16" s="306"/>
    </row>
    <row r="17" spans="1:20" x14ac:dyDescent="0.25">
      <c r="A17" s="256"/>
      <c r="B17" s="312"/>
      <c r="C17" s="195"/>
      <c r="D17" s="195"/>
      <c r="E17" s="195"/>
      <c r="F17" s="195"/>
      <c r="G17" s="195"/>
      <c r="H17" s="195"/>
      <c r="I17" s="195"/>
      <c r="J17" s="313"/>
      <c r="K17" s="300"/>
      <c r="N17"/>
      <c r="R17"/>
      <c r="S17"/>
      <c r="T17"/>
    </row>
    <row r="18" spans="1:20" x14ac:dyDescent="0.25">
      <c r="A18" s="256"/>
      <c r="B18" s="234"/>
      <c r="C18" s="961"/>
      <c r="D18" s="961"/>
      <c r="E18" s="961"/>
      <c r="F18" s="510"/>
      <c r="G18" s="511"/>
      <c r="H18" s="511"/>
      <c r="I18" s="511"/>
      <c r="J18" s="512"/>
      <c r="K18" s="256"/>
      <c r="N18"/>
      <c r="R18"/>
      <c r="S18"/>
      <c r="T18"/>
    </row>
    <row r="19" spans="1:20" ht="15.75" thickBot="1" x14ac:dyDescent="0.3">
      <c r="A19" s="256"/>
      <c r="B19" s="234"/>
      <c r="C19" s="982" t="s">
        <v>852</v>
      </c>
      <c r="D19" s="982"/>
      <c r="E19" s="982"/>
      <c r="F19" s="982"/>
      <c r="G19" s="513"/>
      <c r="H19" s="513"/>
      <c r="I19" s="513"/>
      <c r="J19" s="512"/>
      <c r="K19" s="256"/>
      <c r="N19"/>
      <c r="R19"/>
      <c r="S19"/>
      <c r="T19"/>
    </row>
    <row r="20" spans="1:20" ht="15.75" thickBot="1" x14ac:dyDescent="0.3">
      <c r="A20" s="256"/>
      <c r="B20" s="234"/>
      <c r="C20" s="985" t="str">
        <f>G4</f>
        <v>Base Estimate</v>
      </c>
      <c r="D20" s="986"/>
      <c r="E20" s="972">
        <f>I4</f>
        <v>9000000</v>
      </c>
      <c r="F20" s="973"/>
      <c r="I20" s="513"/>
      <c r="J20" s="512"/>
      <c r="K20" s="307"/>
      <c r="N20"/>
      <c r="R20"/>
      <c r="S20"/>
      <c r="T20"/>
    </row>
    <row r="21" spans="1:20" ht="15.75" thickBot="1" x14ac:dyDescent="0.3">
      <c r="A21" s="256"/>
      <c r="B21" s="234"/>
      <c r="C21" s="995">
        <f>'D-Project Data'!C6</f>
        <v>0.85</v>
      </c>
      <c r="D21" s="996"/>
      <c r="E21" s="997">
        <f>I5</f>
        <v>3780000</v>
      </c>
      <c r="F21" s="998"/>
      <c r="G21" s="533"/>
      <c r="H21" s="533"/>
      <c r="I21" s="513"/>
      <c r="J21" s="512"/>
      <c r="K21" s="307"/>
      <c r="N21"/>
      <c r="R21"/>
      <c r="S21"/>
      <c r="T21"/>
    </row>
    <row r="22" spans="1:20" ht="30" x14ac:dyDescent="0.25">
      <c r="A22" s="256"/>
      <c r="B22" s="234"/>
      <c r="C22" s="411" t="s">
        <v>848</v>
      </c>
      <c r="D22" s="522" t="s">
        <v>849</v>
      </c>
      <c r="E22" s="412" t="s">
        <v>842</v>
      </c>
      <c r="F22" s="519" t="s">
        <v>1157</v>
      </c>
      <c r="G22" s="632" t="s">
        <v>1155</v>
      </c>
      <c r="H22" s="534"/>
      <c r="I22" s="513"/>
      <c r="J22" s="512"/>
      <c r="K22" s="307"/>
      <c r="L22" s="197" t="s">
        <v>844</v>
      </c>
      <c r="N22"/>
      <c r="R22"/>
      <c r="S22"/>
      <c r="T22"/>
    </row>
    <row r="23" spans="1:20" x14ac:dyDescent="0.25">
      <c r="A23" s="256"/>
      <c r="B23" s="234"/>
      <c r="C23" s="804">
        <v>0</v>
      </c>
      <c r="D23" s="528">
        <f t="shared" ref="D23:D33" si="0">VLOOKUP(C23,$C$61:$F$81,4,FALSE)</f>
        <v>-270000</v>
      </c>
      <c r="E23" s="520">
        <f t="shared" ref="E23:E33" si="1">ROUNDUP(((D23)/$E$20),2)</f>
        <v>-0.03</v>
      </c>
      <c r="F23" s="529">
        <f t="shared" ref="F23:F33" si="2">D23+$E$20</f>
        <v>8730000</v>
      </c>
      <c r="G23" s="634">
        <f>+E20</f>
        <v>9000000</v>
      </c>
      <c r="H23" s="535"/>
      <c r="I23" s="535"/>
      <c r="J23" s="314"/>
      <c r="K23" s="308"/>
      <c r="L23" s="198">
        <f>'E-Cost &amp; Schedule Summary'!$G$52</f>
        <v>0</v>
      </c>
      <c r="N23"/>
      <c r="R23"/>
      <c r="S23"/>
      <c r="T23"/>
    </row>
    <row r="24" spans="1:20" x14ac:dyDescent="0.25">
      <c r="A24" s="256"/>
      <c r="B24" s="234"/>
      <c r="C24" s="804">
        <v>0.1</v>
      </c>
      <c r="D24" s="528">
        <f t="shared" si="0"/>
        <v>270000</v>
      </c>
      <c r="E24" s="520">
        <f t="shared" si="1"/>
        <v>0.03</v>
      </c>
      <c r="F24" s="529">
        <f t="shared" si="2"/>
        <v>9270000</v>
      </c>
      <c r="G24" s="634">
        <f t="shared" ref="G24:G33" si="3">$E$20</f>
        <v>9000000</v>
      </c>
      <c r="H24" s="535"/>
      <c r="I24" s="535"/>
      <c r="J24" s="314"/>
      <c r="K24" s="308"/>
      <c r="L24" s="198">
        <f>'E-Cost &amp; Schedule Summary'!$G$52</f>
        <v>0</v>
      </c>
      <c r="N24"/>
      <c r="R24"/>
      <c r="S24"/>
      <c r="T24"/>
    </row>
    <row r="25" spans="1:20" x14ac:dyDescent="0.25">
      <c r="A25" s="256"/>
      <c r="B25" s="234"/>
      <c r="C25" s="804">
        <v>0.2</v>
      </c>
      <c r="D25" s="528">
        <f t="shared" si="0"/>
        <v>540000</v>
      </c>
      <c r="E25" s="520">
        <f t="shared" si="1"/>
        <v>0.06</v>
      </c>
      <c r="F25" s="529">
        <f t="shared" si="2"/>
        <v>9540000</v>
      </c>
      <c r="G25" s="634">
        <f t="shared" si="3"/>
        <v>9000000</v>
      </c>
      <c r="H25" s="535"/>
      <c r="I25" s="535"/>
      <c r="J25" s="314"/>
      <c r="K25" s="308"/>
      <c r="L25" s="198">
        <f>'E-Cost &amp; Schedule Summary'!$G$52</f>
        <v>0</v>
      </c>
      <c r="M25"/>
      <c r="N25"/>
      <c r="R25"/>
      <c r="S25"/>
      <c r="T25"/>
    </row>
    <row r="26" spans="1:20" x14ac:dyDescent="0.25">
      <c r="A26" s="256"/>
      <c r="B26" s="234"/>
      <c r="C26" s="804">
        <v>0.3</v>
      </c>
      <c r="D26" s="528">
        <f t="shared" si="0"/>
        <v>899999.99999999988</v>
      </c>
      <c r="E26" s="520">
        <f t="shared" si="1"/>
        <v>0.1</v>
      </c>
      <c r="F26" s="529">
        <f t="shared" si="2"/>
        <v>9900000</v>
      </c>
      <c r="G26" s="634">
        <f t="shared" si="3"/>
        <v>9000000</v>
      </c>
      <c r="H26" s="535"/>
      <c r="I26" s="535"/>
      <c r="J26" s="314"/>
      <c r="K26" s="308"/>
      <c r="L26" s="198">
        <f>'E-Cost &amp; Schedule Summary'!$G$52</f>
        <v>0</v>
      </c>
      <c r="M26"/>
      <c r="N26"/>
      <c r="R26"/>
      <c r="S26"/>
      <c r="T26"/>
    </row>
    <row r="27" spans="1:20" x14ac:dyDescent="0.25">
      <c r="A27" s="256"/>
      <c r="B27" s="234"/>
      <c r="C27" s="804">
        <v>0.4</v>
      </c>
      <c r="D27" s="528">
        <f t="shared" si="0"/>
        <v>1350000.0000000002</v>
      </c>
      <c r="E27" s="520">
        <f t="shared" si="1"/>
        <v>0.15</v>
      </c>
      <c r="F27" s="529">
        <f t="shared" si="2"/>
        <v>10350000</v>
      </c>
      <c r="G27" s="634">
        <f t="shared" si="3"/>
        <v>9000000</v>
      </c>
      <c r="H27" s="535"/>
      <c r="I27" s="535"/>
      <c r="J27" s="314"/>
      <c r="K27" s="308"/>
      <c r="L27" s="198">
        <f>'E-Cost &amp; Schedule Summary'!$G$52</f>
        <v>0</v>
      </c>
      <c r="M27"/>
      <c r="N27"/>
      <c r="R27"/>
      <c r="S27"/>
      <c r="T27"/>
    </row>
    <row r="28" spans="1:20" x14ac:dyDescent="0.25">
      <c r="A28" s="256"/>
      <c r="B28" s="315"/>
      <c r="C28" s="804">
        <v>0.5</v>
      </c>
      <c r="D28" s="528">
        <f t="shared" si="0"/>
        <v>1710000</v>
      </c>
      <c r="E28" s="520">
        <f t="shared" si="1"/>
        <v>0.19</v>
      </c>
      <c r="F28" s="529">
        <f t="shared" si="2"/>
        <v>10710000</v>
      </c>
      <c r="G28" s="634">
        <f t="shared" si="3"/>
        <v>9000000</v>
      </c>
      <c r="H28" s="535"/>
      <c r="I28" s="535"/>
      <c r="J28" s="314"/>
      <c r="K28" s="308"/>
      <c r="L28" s="198">
        <f>'E-Cost &amp; Schedule Summary'!$G$52</f>
        <v>0</v>
      </c>
      <c r="M28"/>
      <c r="N28"/>
      <c r="R28"/>
      <c r="S28"/>
      <c r="T28"/>
    </row>
    <row r="29" spans="1:20" x14ac:dyDescent="0.25">
      <c r="A29" s="256"/>
      <c r="B29" s="315"/>
      <c r="C29" s="804">
        <v>0.6</v>
      </c>
      <c r="D29" s="528">
        <f t="shared" si="0"/>
        <v>2250000</v>
      </c>
      <c r="E29" s="520">
        <f t="shared" si="1"/>
        <v>0.25</v>
      </c>
      <c r="F29" s="529">
        <f t="shared" si="2"/>
        <v>11250000</v>
      </c>
      <c r="G29" s="634">
        <f t="shared" si="3"/>
        <v>9000000</v>
      </c>
      <c r="H29" s="535"/>
      <c r="I29" s="535"/>
      <c r="J29" s="314"/>
      <c r="K29" s="308"/>
      <c r="L29" s="198">
        <f>'E-Cost &amp; Schedule Summary'!$G$52</f>
        <v>0</v>
      </c>
      <c r="M29"/>
      <c r="N29"/>
      <c r="R29"/>
      <c r="S29"/>
      <c r="T29"/>
    </row>
    <row r="30" spans="1:20" x14ac:dyDescent="0.25">
      <c r="A30" s="256"/>
      <c r="B30" s="315"/>
      <c r="C30" s="804">
        <v>0.7</v>
      </c>
      <c r="D30" s="528">
        <f t="shared" si="0"/>
        <v>2790000</v>
      </c>
      <c r="E30" s="520">
        <f t="shared" si="1"/>
        <v>0.31</v>
      </c>
      <c r="F30" s="529">
        <f t="shared" si="2"/>
        <v>11790000</v>
      </c>
      <c r="G30" s="634">
        <f t="shared" si="3"/>
        <v>9000000</v>
      </c>
      <c r="H30" s="535"/>
      <c r="I30" s="535"/>
      <c r="J30" s="314"/>
      <c r="K30" s="308"/>
      <c r="L30" s="198">
        <f>'E-Cost &amp; Schedule Summary'!$G$52</f>
        <v>0</v>
      </c>
      <c r="M30"/>
      <c r="N30"/>
      <c r="R30"/>
      <c r="S30"/>
      <c r="T30"/>
    </row>
    <row r="31" spans="1:20" x14ac:dyDescent="0.25">
      <c r="A31" s="256"/>
      <c r="B31" s="315"/>
      <c r="C31" s="804">
        <v>0.8</v>
      </c>
      <c r="D31" s="528">
        <f t="shared" si="0"/>
        <v>3330000</v>
      </c>
      <c r="E31" s="520">
        <f t="shared" si="1"/>
        <v>0.37</v>
      </c>
      <c r="F31" s="529">
        <f t="shared" si="2"/>
        <v>12330000</v>
      </c>
      <c r="G31" s="634">
        <f t="shared" si="3"/>
        <v>9000000</v>
      </c>
      <c r="H31" s="535"/>
      <c r="I31" s="535"/>
      <c r="J31" s="314"/>
      <c r="K31" s="308"/>
      <c r="L31" s="198">
        <f>'E-Cost &amp; Schedule Summary'!$G$52</f>
        <v>0</v>
      </c>
      <c r="M31"/>
      <c r="N31"/>
      <c r="R31"/>
      <c r="S31"/>
      <c r="T31"/>
    </row>
    <row r="32" spans="1:20" x14ac:dyDescent="0.25">
      <c r="A32" s="256"/>
      <c r="B32" s="315"/>
      <c r="C32" s="804">
        <v>0.9</v>
      </c>
      <c r="D32" s="528">
        <f t="shared" si="0"/>
        <v>4230000</v>
      </c>
      <c r="E32" s="520">
        <f t="shared" si="1"/>
        <v>0.47</v>
      </c>
      <c r="F32" s="529">
        <f t="shared" si="2"/>
        <v>13230000</v>
      </c>
      <c r="G32" s="634">
        <f t="shared" si="3"/>
        <v>9000000</v>
      </c>
      <c r="H32" s="535"/>
      <c r="I32" s="535"/>
      <c r="J32" s="314"/>
      <c r="K32" s="308"/>
      <c r="L32" s="198">
        <f>'E-Cost &amp; Schedule Summary'!$G$52</f>
        <v>0</v>
      </c>
      <c r="M32"/>
      <c r="N32"/>
      <c r="R32"/>
      <c r="S32"/>
      <c r="T32"/>
    </row>
    <row r="33" spans="1:20" ht="15.75" thickBot="1" x14ac:dyDescent="0.3">
      <c r="A33" s="256"/>
      <c r="B33" s="315"/>
      <c r="C33" s="805">
        <v>1</v>
      </c>
      <c r="D33" s="217">
        <f t="shared" si="0"/>
        <v>6030000</v>
      </c>
      <c r="E33" s="524">
        <f t="shared" si="1"/>
        <v>0.67</v>
      </c>
      <c r="F33" s="530">
        <f t="shared" si="2"/>
        <v>15030000</v>
      </c>
      <c r="G33" s="634">
        <f t="shared" si="3"/>
        <v>9000000</v>
      </c>
      <c r="H33" s="535"/>
      <c r="I33" s="535"/>
      <c r="J33" s="314"/>
      <c r="K33" s="308"/>
      <c r="L33" s="198">
        <f>'E-Cost &amp; Schedule Summary'!$G$52</f>
        <v>0</v>
      </c>
      <c r="M33"/>
      <c r="N33"/>
      <c r="R33"/>
      <c r="S33"/>
      <c r="T33"/>
    </row>
    <row r="34" spans="1:20" x14ac:dyDescent="0.25">
      <c r="A34" s="256"/>
      <c r="B34" s="234"/>
      <c r="D34" s="316"/>
      <c r="E34" s="316"/>
      <c r="F34" s="536"/>
      <c r="G34" s="513"/>
      <c r="H34" s="513"/>
      <c r="I34" s="513"/>
      <c r="J34" s="512"/>
      <c r="K34" s="256"/>
      <c r="L34" s="197"/>
      <c r="M34"/>
      <c r="N34"/>
      <c r="R34"/>
      <c r="S34"/>
      <c r="T34"/>
    </row>
    <row r="35" spans="1:20" ht="15.75" thickBot="1" x14ac:dyDescent="0.3">
      <c r="A35" s="256"/>
      <c r="B35" s="317"/>
      <c r="C35" s="235"/>
      <c r="D35" s="235"/>
      <c r="E35" s="235"/>
      <c r="F35" s="526"/>
      <c r="G35" s="526"/>
      <c r="H35" s="526"/>
      <c r="I35" s="526"/>
      <c r="J35" s="527"/>
      <c r="K35" s="256"/>
      <c r="M35"/>
      <c r="N35"/>
      <c r="R35"/>
      <c r="S35"/>
      <c r="T35"/>
    </row>
    <row r="36" spans="1:20" ht="15.75" thickBot="1" x14ac:dyDescent="0.3">
      <c r="A36" s="256"/>
      <c r="B36" s="301"/>
      <c r="C36" s="256"/>
      <c r="D36" s="256"/>
      <c r="E36" s="256"/>
      <c r="F36" s="256"/>
      <c r="G36" s="256"/>
      <c r="H36" s="256"/>
      <c r="I36" s="256"/>
      <c r="J36" s="256"/>
      <c r="K36" s="256"/>
      <c r="N36"/>
      <c r="R36"/>
      <c r="S36"/>
      <c r="T36"/>
    </row>
    <row r="37" spans="1:20" ht="19.5" thickBot="1" x14ac:dyDescent="0.3">
      <c r="A37" s="256"/>
      <c r="B37" s="969" t="s">
        <v>851</v>
      </c>
      <c r="C37" s="970"/>
      <c r="D37" s="970"/>
      <c r="E37" s="970"/>
      <c r="F37" s="970"/>
      <c r="G37" s="970"/>
      <c r="H37" s="970"/>
      <c r="I37" s="970"/>
      <c r="J37" s="971"/>
      <c r="K37" s="309"/>
      <c r="N37"/>
      <c r="R37"/>
      <c r="S37"/>
      <c r="T37"/>
    </row>
    <row r="38" spans="1:20" x14ac:dyDescent="0.25">
      <c r="A38" s="256"/>
      <c r="B38" s="312"/>
      <c r="C38" s="195"/>
      <c r="D38" s="195" t="s">
        <v>659</v>
      </c>
      <c r="E38" s="195"/>
      <c r="F38" s="195"/>
      <c r="G38" s="195"/>
      <c r="H38" s="195"/>
      <c r="I38" s="195"/>
      <c r="J38" s="313"/>
      <c r="K38" s="300"/>
      <c r="N38"/>
      <c r="R38"/>
      <c r="S38"/>
      <c r="T38"/>
    </row>
    <row r="39" spans="1:20" x14ac:dyDescent="0.25">
      <c r="A39" s="256"/>
      <c r="B39" s="234"/>
      <c r="C39" s="961"/>
      <c r="D39" s="961"/>
      <c r="E39" s="961"/>
      <c r="F39" s="510"/>
      <c r="G39" s="511"/>
      <c r="H39" s="511"/>
      <c r="I39" s="511"/>
      <c r="J39" s="512"/>
      <c r="K39" s="256"/>
      <c r="N39"/>
      <c r="R39"/>
      <c r="S39"/>
      <c r="T39"/>
    </row>
    <row r="40" spans="1:20" ht="15.75" thickBot="1" x14ac:dyDescent="0.3">
      <c r="A40" s="256"/>
      <c r="B40" s="234"/>
      <c r="C40" s="982" t="s">
        <v>853</v>
      </c>
      <c r="D40" s="982"/>
      <c r="E40" s="982"/>
      <c r="F40" s="982"/>
      <c r="G40" s="513"/>
      <c r="H40" s="513"/>
      <c r="I40" s="513"/>
      <c r="J40" s="512"/>
      <c r="K40" s="256"/>
      <c r="N40"/>
      <c r="R40"/>
      <c r="S40"/>
      <c r="T40"/>
    </row>
    <row r="41" spans="1:20" ht="15.75" thickBot="1" x14ac:dyDescent="0.3">
      <c r="A41" s="256"/>
      <c r="B41" s="234"/>
      <c r="C41" s="983" t="str">
        <f>G11</f>
        <v>Base Schedule Duration</v>
      </c>
      <c r="D41" s="984"/>
      <c r="E41" s="959">
        <f>I11</f>
        <v>23.978102189781023</v>
      </c>
      <c r="F41" s="960"/>
      <c r="I41" s="513"/>
      <c r="J41" s="512"/>
      <c r="K41" s="256"/>
      <c r="N41"/>
      <c r="R41"/>
      <c r="S41"/>
      <c r="T41"/>
    </row>
    <row r="42" spans="1:20" ht="15.75" thickBot="1" x14ac:dyDescent="0.3">
      <c r="A42" s="256"/>
      <c r="B42" s="234"/>
      <c r="C42" s="999">
        <f>'D-Project Data'!C6</f>
        <v>0.85</v>
      </c>
      <c r="D42" s="1000"/>
      <c r="E42" s="978">
        <f>I12</f>
        <v>6.9536496350364976</v>
      </c>
      <c r="F42" s="979"/>
      <c r="G42" s="513"/>
      <c r="H42" s="513"/>
      <c r="I42" s="513"/>
      <c r="J42" s="512"/>
      <c r="K42" s="256"/>
      <c r="N42"/>
      <c r="R42"/>
      <c r="S42"/>
      <c r="T42"/>
    </row>
    <row r="43" spans="1:20" ht="30" x14ac:dyDescent="0.25">
      <c r="A43" s="256"/>
      <c r="B43" s="234"/>
      <c r="C43" s="411" t="s">
        <v>848</v>
      </c>
      <c r="D43" s="522" t="s">
        <v>849</v>
      </c>
      <c r="E43" s="412" t="s">
        <v>842</v>
      </c>
      <c r="F43" s="519" t="s">
        <v>1154</v>
      </c>
      <c r="G43" s="632" t="s">
        <v>1156</v>
      </c>
      <c r="H43" s="514"/>
      <c r="I43" s="513"/>
      <c r="J43" s="512"/>
      <c r="K43" s="256"/>
      <c r="N43"/>
      <c r="R43"/>
      <c r="S43"/>
      <c r="T43"/>
    </row>
    <row r="44" spans="1:20" x14ac:dyDescent="0.25">
      <c r="A44" s="256"/>
      <c r="B44" s="234"/>
      <c r="C44" s="804">
        <v>0</v>
      </c>
      <c r="D44" s="521">
        <f t="shared" ref="D44:D54" si="4">VLOOKUP(C44,$C$86:$F$106,4,FALSE)</f>
        <v>-1.1989051094890513</v>
      </c>
      <c r="E44" s="802">
        <f t="shared" ref="E44:E54" si="5">ROUNDUP(((D44)/$E$41),2)</f>
        <v>-0.05</v>
      </c>
      <c r="F44" s="523">
        <f t="shared" ref="F44:F54" si="6">D44+$E$41</f>
        <v>22.779197080291972</v>
      </c>
      <c r="G44" s="633">
        <f t="shared" ref="G44:G54" si="7">+$E$41</f>
        <v>23.978102189781023</v>
      </c>
      <c r="H44" s="515"/>
      <c r="I44" s="516"/>
      <c r="J44" s="517"/>
      <c r="K44" s="310"/>
      <c r="N44"/>
      <c r="R44"/>
      <c r="S44"/>
      <c r="T44"/>
    </row>
    <row r="45" spans="1:20" x14ac:dyDescent="0.25">
      <c r="A45" s="256"/>
      <c r="B45" s="234"/>
      <c r="C45" s="804">
        <f>C44+10%</f>
        <v>0.1</v>
      </c>
      <c r="D45" s="521">
        <f t="shared" si="4"/>
        <v>0.23978102189781023</v>
      </c>
      <c r="E45" s="802">
        <f t="shared" si="5"/>
        <v>0.01</v>
      </c>
      <c r="F45" s="523">
        <f t="shared" si="6"/>
        <v>24.217883211678831</v>
      </c>
      <c r="G45" s="633">
        <f t="shared" si="7"/>
        <v>23.978102189781023</v>
      </c>
      <c r="H45" s="515"/>
      <c r="I45" s="516"/>
      <c r="J45" s="517"/>
      <c r="K45" s="310"/>
      <c r="N45"/>
      <c r="R45"/>
      <c r="S45"/>
      <c r="T45"/>
    </row>
    <row r="46" spans="1:20" x14ac:dyDescent="0.25">
      <c r="A46" s="256"/>
      <c r="B46" s="234"/>
      <c r="C46" s="804">
        <f t="shared" ref="C46" si="8">C45+10%</f>
        <v>0.2</v>
      </c>
      <c r="D46" s="521">
        <f t="shared" si="4"/>
        <v>0.9591240875912409</v>
      </c>
      <c r="E46" s="802">
        <f t="shared" si="5"/>
        <v>0.04</v>
      </c>
      <c r="F46" s="523">
        <f t="shared" si="6"/>
        <v>24.937226277372265</v>
      </c>
      <c r="G46" s="633">
        <f t="shared" si="7"/>
        <v>23.978102189781023</v>
      </c>
      <c r="H46" s="515"/>
      <c r="I46" s="516"/>
      <c r="J46" s="517"/>
      <c r="K46" s="310"/>
      <c r="N46"/>
      <c r="R46"/>
      <c r="S46"/>
      <c r="T46"/>
    </row>
    <row r="47" spans="1:20" x14ac:dyDescent="0.25">
      <c r="A47" s="256"/>
      <c r="B47" s="234"/>
      <c r="C47" s="804">
        <v>0.3</v>
      </c>
      <c r="D47" s="521">
        <f t="shared" si="4"/>
        <v>1.6784671532846713</v>
      </c>
      <c r="E47" s="802">
        <f t="shared" si="5"/>
        <v>7.0000000000000007E-2</v>
      </c>
      <c r="F47" s="523">
        <f t="shared" si="6"/>
        <v>25.656569343065694</v>
      </c>
      <c r="G47" s="633">
        <f t="shared" si="7"/>
        <v>23.978102189781023</v>
      </c>
      <c r="H47" s="515"/>
      <c r="I47" s="516"/>
      <c r="J47" s="517"/>
      <c r="K47" s="310"/>
      <c r="N47"/>
      <c r="R47"/>
      <c r="S47"/>
      <c r="T47"/>
    </row>
    <row r="48" spans="1:20" x14ac:dyDescent="0.25">
      <c r="A48" s="256"/>
      <c r="B48" s="234"/>
      <c r="C48" s="804">
        <v>0.4</v>
      </c>
      <c r="D48" s="521">
        <f t="shared" si="4"/>
        <v>2.3978102189781021</v>
      </c>
      <c r="E48" s="802">
        <f t="shared" si="5"/>
        <v>0.1</v>
      </c>
      <c r="F48" s="523">
        <f t="shared" si="6"/>
        <v>26.375912408759124</v>
      </c>
      <c r="G48" s="633">
        <f t="shared" si="7"/>
        <v>23.978102189781023</v>
      </c>
      <c r="H48" s="515"/>
      <c r="I48" s="516"/>
      <c r="J48" s="517"/>
      <c r="K48" s="310"/>
      <c r="N48"/>
      <c r="R48"/>
      <c r="S48"/>
      <c r="T48"/>
    </row>
    <row r="49" spans="1:20" x14ac:dyDescent="0.25">
      <c r="A49" s="256"/>
      <c r="B49" s="315"/>
      <c r="C49" s="804">
        <v>0.5</v>
      </c>
      <c r="D49" s="521">
        <f t="shared" si="4"/>
        <v>3.1171532846715331</v>
      </c>
      <c r="E49" s="802">
        <f t="shared" si="5"/>
        <v>0.13</v>
      </c>
      <c r="F49" s="523">
        <f t="shared" si="6"/>
        <v>27.095255474452557</v>
      </c>
      <c r="G49" s="633">
        <f t="shared" si="7"/>
        <v>23.978102189781023</v>
      </c>
      <c r="H49" s="515"/>
      <c r="I49" s="516"/>
      <c r="J49" s="517"/>
      <c r="K49" s="310"/>
      <c r="N49"/>
      <c r="R49"/>
      <c r="S49"/>
      <c r="T49"/>
    </row>
    <row r="50" spans="1:20" x14ac:dyDescent="0.25">
      <c r="A50" s="256"/>
      <c r="B50" s="315"/>
      <c r="C50" s="804">
        <v>0.6</v>
      </c>
      <c r="D50" s="521">
        <f t="shared" si="4"/>
        <v>4.0762773722627745</v>
      </c>
      <c r="E50" s="802">
        <f t="shared" si="5"/>
        <v>0.17</v>
      </c>
      <c r="F50" s="523">
        <f t="shared" si="6"/>
        <v>28.054379562043799</v>
      </c>
      <c r="G50" s="633">
        <f t="shared" si="7"/>
        <v>23.978102189781023</v>
      </c>
      <c r="H50" s="515"/>
      <c r="I50" s="516"/>
      <c r="J50" s="517"/>
      <c r="K50" s="310"/>
      <c r="N50"/>
      <c r="R50"/>
      <c r="S50"/>
      <c r="T50"/>
    </row>
    <row r="51" spans="1:20" x14ac:dyDescent="0.25">
      <c r="A51" s="256"/>
      <c r="B51" s="315"/>
      <c r="C51" s="804">
        <v>0.7</v>
      </c>
      <c r="D51" s="521">
        <f t="shared" si="4"/>
        <v>5.0354014598540155</v>
      </c>
      <c r="E51" s="802">
        <f t="shared" si="5"/>
        <v>0.21</v>
      </c>
      <c r="F51" s="523">
        <f t="shared" si="6"/>
        <v>29.013503649635037</v>
      </c>
      <c r="G51" s="633">
        <f t="shared" si="7"/>
        <v>23.978102189781023</v>
      </c>
      <c r="H51" s="515"/>
      <c r="I51" s="516"/>
      <c r="J51" s="517"/>
      <c r="K51" s="310"/>
      <c r="N51"/>
      <c r="R51"/>
      <c r="S51"/>
      <c r="T51"/>
    </row>
    <row r="52" spans="1:20" x14ac:dyDescent="0.25">
      <c r="A52" s="256"/>
      <c r="B52" s="315"/>
      <c r="C52" s="804">
        <v>0.8</v>
      </c>
      <c r="D52" s="521">
        <f t="shared" si="4"/>
        <v>6.2343065693430662</v>
      </c>
      <c r="E52" s="802">
        <f t="shared" si="5"/>
        <v>0.26</v>
      </c>
      <c r="F52" s="523">
        <f t="shared" si="6"/>
        <v>30.212408759124088</v>
      </c>
      <c r="G52" s="633">
        <f t="shared" si="7"/>
        <v>23.978102189781023</v>
      </c>
      <c r="H52" s="515"/>
      <c r="I52" s="516"/>
      <c r="J52" s="517"/>
      <c r="K52" s="310"/>
      <c r="N52"/>
      <c r="R52"/>
      <c r="S52"/>
      <c r="T52"/>
    </row>
    <row r="53" spans="1:20" x14ac:dyDescent="0.25">
      <c r="A53" s="256"/>
      <c r="B53" s="315"/>
      <c r="C53" s="804">
        <v>0.9</v>
      </c>
      <c r="D53" s="521">
        <f t="shared" si="4"/>
        <v>7.6729927007299272</v>
      </c>
      <c r="E53" s="802">
        <f t="shared" si="5"/>
        <v>0.32</v>
      </c>
      <c r="F53" s="523">
        <f t="shared" si="6"/>
        <v>31.651094890510951</v>
      </c>
      <c r="G53" s="633">
        <f t="shared" si="7"/>
        <v>23.978102189781023</v>
      </c>
      <c r="H53" s="515"/>
      <c r="I53" s="516"/>
      <c r="J53" s="517"/>
      <c r="K53" s="310"/>
      <c r="N53"/>
      <c r="R53"/>
      <c r="S53"/>
      <c r="T53"/>
    </row>
    <row r="54" spans="1:20" ht="15.75" thickBot="1" x14ac:dyDescent="0.3">
      <c r="A54" s="256"/>
      <c r="B54" s="315"/>
      <c r="C54" s="804">
        <v>1</v>
      </c>
      <c r="D54" s="218">
        <f t="shared" si="4"/>
        <v>11.269708029197082</v>
      </c>
      <c r="E54" s="803">
        <f t="shared" si="5"/>
        <v>0.47</v>
      </c>
      <c r="F54" s="525">
        <f t="shared" si="6"/>
        <v>35.247810218978103</v>
      </c>
      <c r="G54" s="633">
        <f t="shared" si="7"/>
        <v>23.978102189781023</v>
      </c>
      <c r="H54" s="515"/>
      <c r="I54" s="516"/>
      <c r="J54" s="517"/>
      <c r="K54" s="310"/>
      <c r="N54"/>
      <c r="R54"/>
      <c r="S54"/>
      <c r="T54"/>
    </row>
    <row r="55" spans="1:20" x14ac:dyDescent="0.25">
      <c r="A55" s="256"/>
      <c r="B55" s="315"/>
      <c r="C55" s="531"/>
      <c r="D55" s="532"/>
      <c r="E55" s="531"/>
      <c r="F55" s="532"/>
      <c r="G55" s="518"/>
      <c r="H55" s="515"/>
      <c r="I55" s="516"/>
      <c r="J55" s="517"/>
      <c r="K55" s="310"/>
      <c r="N55"/>
      <c r="R55"/>
      <c r="S55"/>
      <c r="T55"/>
    </row>
    <row r="56" spans="1:20" ht="15.75" thickBot="1" x14ac:dyDescent="0.3">
      <c r="A56" s="256"/>
      <c r="B56" s="317"/>
      <c r="C56" s="235"/>
      <c r="D56" s="235"/>
      <c r="E56" s="235"/>
      <c r="F56" s="235"/>
      <c r="G56" s="235"/>
      <c r="H56" s="235"/>
      <c r="I56" s="235"/>
      <c r="J56" s="236"/>
      <c r="K56" s="256"/>
      <c r="N56"/>
      <c r="R56"/>
      <c r="S56"/>
      <c r="T56"/>
    </row>
    <row r="57" spans="1:20" x14ac:dyDescent="0.25">
      <c r="A57" s="256"/>
      <c r="B57" s="301"/>
      <c r="C57" s="256"/>
      <c r="D57" s="256"/>
      <c r="E57" s="256"/>
      <c r="F57" s="256"/>
      <c r="G57" s="256"/>
      <c r="H57" s="256"/>
      <c r="I57" s="256"/>
      <c r="J57" s="256"/>
      <c r="K57" s="256"/>
      <c r="N57"/>
      <c r="R57"/>
      <c r="S57"/>
      <c r="T57"/>
    </row>
    <row r="58" spans="1:20" x14ac:dyDescent="0.25">
      <c r="A58" s="199"/>
      <c r="B58" s="9"/>
      <c r="C58" s="173"/>
      <c r="D58" s="173"/>
      <c r="F58" s="9"/>
      <c r="G58"/>
      <c r="H58"/>
      <c r="I58" s="199"/>
      <c r="J58" s="199"/>
      <c r="K58" s="199"/>
      <c r="L58" s="199"/>
      <c r="M58" s="200"/>
      <c r="N58"/>
      <c r="R58"/>
      <c r="S58"/>
      <c r="T58"/>
    </row>
    <row r="59" spans="1:20" ht="15.75" thickBot="1" x14ac:dyDescent="0.3">
      <c r="B59" s="196" t="s">
        <v>841</v>
      </c>
      <c r="G59"/>
      <c r="H59"/>
      <c r="I59" s="185"/>
      <c r="N59"/>
      <c r="R59"/>
      <c r="S59"/>
      <c r="T59"/>
    </row>
    <row r="60" spans="1:20" ht="15.75" thickBot="1" x14ac:dyDescent="0.3">
      <c r="B60" s="952" t="s">
        <v>840</v>
      </c>
      <c r="C60" s="201" t="s">
        <v>835</v>
      </c>
      <c r="D60" s="201" t="s">
        <v>839</v>
      </c>
      <c r="E60" s="202" t="s">
        <v>833</v>
      </c>
      <c r="F60" s="203" t="s">
        <v>838</v>
      </c>
      <c r="G60" s="201" t="s">
        <v>831</v>
      </c>
      <c r="H60" s="204" t="s">
        <v>830</v>
      </c>
      <c r="N60"/>
      <c r="R60"/>
      <c r="S60"/>
      <c r="T60"/>
    </row>
    <row r="61" spans="1:20" x14ac:dyDescent="0.25">
      <c r="B61" s="953"/>
      <c r="C61" s="205">
        <v>0</v>
      </c>
      <c r="D61" s="206">
        <f>$E$20</f>
        <v>9000000</v>
      </c>
      <c r="E61" s="207">
        <v>-240515.59579276721</v>
      </c>
      <c r="F61" s="208">
        <f t="shared" ref="F61:F71" si="9">D61*H61</f>
        <v>-270000</v>
      </c>
      <c r="G61" s="209">
        <f t="shared" ref="G61:G71" si="10">D61+F61</f>
        <v>8730000</v>
      </c>
      <c r="H61" s="789">
        <f t="shared" ref="H61:H71" si="11">ROUNDUP(E61/D61,2)</f>
        <v>-0.03</v>
      </c>
      <c r="N61"/>
      <c r="R61"/>
      <c r="S61"/>
      <c r="T61"/>
    </row>
    <row r="62" spans="1:20" x14ac:dyDescent="0.25">
      <c r="B62" s="953"/>
      <c r="C62" s="205">
        <v>0.05</v>
      </c>
      <c r="D62" s="206">
        <f t="shared" ref="D62:D81" si="12">$E$20</f>
        <v>9000000</v>
      </c>
      <c r="E62" s="778">
        <v>28172.931401335634</v>
      </c>
      <c r="F62" s="208">
        <f t="shared" ref="F62" si="13">D62*H62</f>
        <v>90000</v>
      </c>
      <c r="G62" s="209">
        <f t="shared" ref="G62" si="14">D62+F62</f>
        <v>9090000</v>
      </c>
      <c r="H62" s="789">
        <f t="shared" ref="H62" si="15">ROUNDUP(E62/D62,2)</f>
        <v>0.01</v>
      </c>
      <c r="N62"/>
      <c r="R62"/>
      <c r="S62"/>
      <c r="T62"/>
    </row>
    <row r="63" spans="1:20" x14ac:dyDescent="0.25">
      <c r="B63" s="953"/>
      <c r="C63" s="205">
        <v>0.1</v>
      </c>
      <c r="D63" s="206">
        <f t="shared" si="12"/>
        <v>9000000</v>
      </c>
      <c r="E63" s="779">
        <v>193478.84467429668</v>
      </c>
      <c r="F63" s="208">
        <f t="shared" si="9"/>
        <v>270000</v>
      </c>
      <c r="G63" s="209">
        <f t="shared" si="10"/>
        <v>9270000</v>
      </c>
      <c r="H63" s="789">
        <f t="shared" si="11"/>
        <v>0.03</v>
      </c>
      <c r="N63"/>
      <c r="R63"/>
      <c r="S63"/>
      <c r="T63"/>
    </row>
    <row r="64" spans="1:20" x14ac:dyDescent="0.25">
      <c r="B64" s="953"/>
      <c r="C64" s="205">
        <v>0.15</v>
      </c>
      <c r="D64" s="206">
        <f t="shared" si="12"/>
        <v>9000000</v>
      </c>
      <c r="E64" s="779">
        <v>361668.20104834624</v>
      </c>
      <c r="F64" s="208">
        <f t="shared" ref="F64" si="16">D64*H64</f>
        <v>450000</v>
      </c>
      <c r="G64" s="209">
        <f t="shared" ref="G64" si="17">D64+F64</f>
        <v>9450000</v>
      </c>
      <c r="H64" s="789">
        <f t="shared" ref="H64" si="18">ROUNDUP(E64/D64,2)</f>
        <v>0.05</v>
      </c>
      <c r="N64"/>
      <c r="R64"/>
      <c r="S64"/>
      <c r="T64"/>
    </row>
    <row r="65" spans="2:20" x14ac:dyDescent="0.25">
      <c r="B65" s="953"/>
      <c r="C65" s="205">
        <v>0.2</v>
      </c>
      <c r="D65" s="206">
        <f t="shared" si="12"/>
        <v>9000000</v>
      </c>
      <c r="E65" s="779">
        <v>524446.91524262261</v>
      </c>
      <c r="F65" s="208">
        <f t="shared" si="9"/>
        <v>540000</v>
      </c>
      <c r="G65" s="209">
        <f t="shared" si="10"/>
        <v>9540000</v>
      </c>
      <c r="H65" s="789">
        <f t="shared" si="11"/>
        <v>6.0000000000000005E-2</v>
      </c>
      <c r="N65"/>
      <c r="R65"/>
      <c r="S65"/>
      <c r="T65"/>
    </row>
    <row r="66" spans="2:20" x14ac:dyDescent="0.25">
      <c r="B66" s="953"/>
      <c r="C66" s="205">
        <v>0.25</v>
      </c>
      <c r="D66" s="206">
        <f t="shared" si="12"/>
        <v>9000000</v>
      </c>
      <c r="E66" s="779">
        <v>704023.56387635041</v>
      </c>
      <c r="F66" s="208">
        <f t="shared" ref="F66" si="19">D66*H66</f>
        <v>720000</v>
      </c>
      <c r="G66" s="209">
        <f t="shared" ref="G66" si="20">D66+F66</f>
        <v>9720000</v>
      </c>
      <c r="H66" s="789">
        <f t="shared" ref="H66" si="21">ROUNDUP(E66/D66,2)</f>
        <v>0.08</v>
      </c>
      <c r="N66"/>
      <c r="R66"/>
      <c r="S66"/>
      <c r="T66"/>
    </row>
    <row r="67" spans="2:20" x14ac:dyDescent="0.25">
      <c r="B67" s="953"/>
      <c r="C67" s="205">
        <v>0.3</v>
      </c>
      <c r="D67" s="206">
        <f t="shared" si="12"/>
        <v>9000000</v>
      </c>
      <c r="E67" s="779">
        <v>886394.06956240814</v>
      </c>
      <c r="F67" s="208">
        <f t="shared" si="9"/>
        <v>899999.99999999988</v>
      </c>
      <c r="G67" s="209">
        <f t="shared" si="10"/>
        <v>9900000</v>
      </c>
      <c r="H67" s="789">
        <f t="shared" si="11"/>
        <v>9.9999999999999992E-2</v>
      </c>
      <c r="N67"/>
      <c r="R67"/>
      <c r="S67"/>
      <c r="T67"/>
    </row>
    <row r="68" spans="2:20" x14ac:dyDescent="0.25">
      <c r="B68" s="953"/>
      <c r="C68" s="205">
        <v>0.35</v>
      </c>
      <c r="D68" s="206">
        <f t="shared" si="12"/>
        <v>9000000</v>
      </c>
      <c r="E68" s="779">
        <v>1079363.7165157665</v>
      </c>
      <c r="F68" s="208">
        <f t="shared" ref="F68" si="22">D68*H68</f>
        <v>1080000</v>
      </c>
      <c r="G68" s="209">
        <f t="shared" ref="G68" si="23">D68+F68</f>
        <v>10080000</v>
      </c>
      <c r="H68" s="789">
        <f t="shared" ref="H68" si="24">ROUNDUP(E68/D68,2)</f>
        <v>0.12</v>
      </c>
      <c r="N68"/>
      <c r="R68"/>
      <c r="S68"/>
      <c r="T68"/>
    </row>
    <row r="69" spans="2:20" x14ac:dyDescent="0.25">
      <c r="B69" s="953"/>
      <c r="C69" s="205">
        <v>0.4</v>
      </c>
      <c r="D69" s="206">
        <f t="shared" si="12"/>
        <v>9000000</v>
      </c>
      <c r="E69" s="779">
        <v>1280180.1532065615</v>
      </c>
      <c r="F69" s="208">
        <f t="shared" si="9"/>
        <v>1350000.0000000002</v>
      </c>
      <c r="G69" s="209">
        <f t="shared" si="10"/>
        <v>10350000</v>
      </c>
      <c r="H69" s="789">
        <f t="shared" si="11"/>
        <v>0.15000000000000002</v>
      </c>
      <c r="N69"/>
      <c r="R69"/>
      <c r="S69"/>
      <c r="T69"/>
    </row>
    <row r="70" spans="2:20" x14ac:dyDescent="0.25">
      <c r="B70" s="953"/>
      <c r="C70" s="205">
        <v>0.45</v>
      </c>
      <c r="D70" s="206">
        <f t="shared" si="12"/>
        <v>9000000</v>
      </c>
      <c r="E70" s="779">
        <v>1485323.8019108465</v>
      </c>
      <c r="F70" s="208">
        <f t="shared" ref="F70" si="25">D70*H70</f>
        <v>1530000</v>
      </c>
      <c r="G70" s="209">
        <f t="shared" ref="G70" si="26">D70+F70</f>
        <v>10530000</v>
      </c>
      <c r="H70" s="789">
        <f t="shared" ref="H70" si="27">ROUNDUP(E70/D70,2)</f>
        <v>0.17</v>
      </c>
      <c r="N70"/>
      <c r="R70"/>
      <c r="S70"/>
      <c r="T70"/>
    </row>
    <row r="71" spans="2:20" x14ac:dyDescent="0.25">
      <c r="B71" s="953"/>
      <c r="C71" s="205">
        <v>0.5</v>
      </c>
      <c r="D71" s="206">
        <f t="shared" si="12"/>
        <v>9000000</v>
      </c>
      <c r="E71" s="779">
        <v>1703758.8827524669</v>
      </c>
      <c r="F71" s="208">
        <f t="shared" si="9"/>
        <v>1710000</v>
      </c>
      <c r="G71" s="209">
        <f t="shared" si="10"/>
        <v>10710000</v>
      </c>
      <c r="H71" s="789">
        <f t="shared" si="11"/>
        <v>0.19</v>
      </c>
      <c r="N71"/>
      <c r="R71"/>
      <c r="S71"/>
      <c r="T71"/>
    </row>
    <row r="72" spans="2:20" x14ac:dyDescent="0.25">
      <c r="B72" s="953"/>
      <c r="C72" s="205">
        <v>0.55000000000000004</v>
      </c>
      <c r="D72" s="206">
        <f t="shared" si="12"/>
        <v>9000000</v>
      </c>
      <c r="E72" s="779">
        <v>1949523.4346483489</v>
      </c>
      <c r="F72" s="208">
        <f t="shared" ref="F72:F81" si="28">D72*H72</f>
        <v>1980000</v>
      </c>
      <c r="G72" s="209">
        <f t="shared" ref="G72:G81" si="29">D72+F72</f>
        <v>10980000</v>
      </c>
      <c r="H72" s="789">
        <f t="shared" ref="H72:H81" si="30">ROUNDUP(E72/D72,2)</f>
        <v>0.22</v>
      </c>
      <c r="N72"/>
      <c r="R72"/>
      <c r="S72"/>
      <c r="T72"/>
    </row>
    <row r="73" spans="2:20" x14ac:dyDescent="0.25">
      <c r="B73" s="953"/>
      <c r="C73" s="205">
        <v>0.6</v>
      </c>
      <c r="D73" s="206">
        <f t="shared" si="12"/>
        <v>9000000</v>
      </c>
      <c r="E73" s="779">
        <v>2177897.1603371189</v>
      </c>
      <c r="F73" s="208">
        <f t="shared" si="28"/>
        <v>2250000</v>
      </c>
      <c r="G73" s="209">
        <f t="shared" si="29"/>
        <v>11250000</v>
      </c>
      <c r="H73" s="789">
        <f t="shared" si="30"/>
        <v>0.25</v>
      </c>
      <c r="N73"/>
      <c r="R73"/>
      <c r="S73"/>
      <c r="T73"/>
    </row>
    <row r="74" spans="2:20" x14ac:dyDescent="0.25">
      <c r="B74" s="953"/>
      <c r="C74" s="205">
        <v>0.65</v>
      </c>
      <c r="D74" s="206">
        <f t="shared" si="12"/>
        <v>9000000</v>
      </c>
      <c r="E74" s="779">
        <v>2429374.4260425912</v>
      </c>
      <c r="F74" s="208">
        <f t="shared" si="28"/>
        <v>2430000</v>
      </c>
      <c r="G74" s="209">
        <f t="shared" si="29"/>
        <v>11430000</v>
      </c>
      <c r="H74" s="789">
        <f t="shared" si="30"/>
        <v>0.27</v>
      </c>
      <c r="N74"/>
      <c r="R74"/>
      <c r="S74"/>
      <c r="T74"/>
    </row>
    <row r="75" spans="2:20" x14ac:dyDescent="0.25">
      <c r="B75" s="953"/>
      <c r="C75" s="205">
        <v>0.7</v>
      </c>
      <c r="D75" s="206">
        <f t="shared" si="12"/>
        <v>9000000</v>
      </c>
      <c r="E75" s="779">
        <v>2717092.7449284913</v>
      </c>
      <c r="F75" s="208">
        <f t="shared" si="28"/>
        <v>2790000</v>
      </c>
      <c r="G75" s="209">
        <f t="shared" si="29"/>
        <v>11790000</v>
      </c>
      <c r="H75" s="789">
        <f t="shared" si="30"/>
        <v>0.31</v>
      </c>
      <c r="N75"/>
      <c r="R75"/>
      <c r="S75"/>
      <c r="T75"/>
    </row>
    <row r="76" spans="2:20" x14ac:dyDescent="0.25">
      <c r="B76" s="953"/>
      <c r="C76" s="205">
        <v>0.75</v>
      </c>
      <c r="D76" s="206">
        <f t="shared" si="12"/>
        <v>9000000</v>
      </c>
      <c r="E76" s="779">
        <v>3010093.6968918457</v>
      </c>
      <c r="F76" s="208">
        <f t="shared" si="28"/>
        <v>3060000</v>
      </c>
      <c r="G76" s="209">
        <f t="shared" si="29"/>
        <v>12060000</v>
      </c>
      <c r="H76" s="789">
        <f t="shared" si="30"/>
        <v>0.34</v>
      </c>
      <c r="N76"/>
      <c r="R76"/>
      <c r="S76"/>
      <c r="T76"/>
    </row>
    <row r="77" spans="2:20" x14ac:dyDescent="0.25">
      <c r="B77" s="953"/>
      <c r="C77" s="205">
        <v>0.8</v>
      </c>
      <c r="D77" s="206">
        <f t="shared" si="12"/>
        <v>9000000</v>
      </c>
      <c r="E77" s="779">
        <v>3325414.5894657462</v>
      </c>
      <c r="F77" s="208">
        <f t="shared" si="28"/>
        <v>3330000</v>
      </c>
      <c r="G77" s="209">
        <f t="shared" si="29"/>
        <v>12330000</v>
      </c>
      <c r="H77" s="789">
        <f t="shared" si="30"/>
        <v>0.37</v>
      </c>
      <c r="N77"/>
      <c r="R77"/>
      <c r="S77"/>
      <c r="T77"/>
    </row>
    <row r="78" spans="2:20" x14ac:dyDescent="0.25">
      <c r="B78" s="953"/>
      <c r="C78" s="205">
        <v>0.85</v>
      </c>
      <c r="D78" s="206">
        <f t="shared" si="12"/>
        <v>9000000</v>
      </c>
      <c r="E78" s="779">
        <v>3690425.9159493577</v>
      </c>
      <c r="F78" s="208">
        <f t="shared" si="28"/>
        <v>3780000</v>
      </c>
      <c r="G78" s="209">
        <f t="shared" si="29"/>
        <v>12780000</v>
      </c>
      <c r="H78" s="789">
        <f t="shared" si="30"/>
        <v>0.42</v>
      </c>
      <c r="N78"/>
      <c r="R78"/>
      <c r="S78"/>
      <c r="T78"/>
    </row>
    <row r="79" spans="2:20" x14ac:dyDescent="0.25">
      <c r="B79" s="953"/>
      <c r="C79" s="205">
        <v>0.9</v>
      </c>
      <c r="D79" s="206">
        <f t="shared" si="12"/>
        <v>9000000</v>
      </c>
      <c r="E79" s="779">
        <v>4143935.1706127762</v>
      </c>
      <c r="F79" s="208">
        <f t="shared" si="28"/>
        <v>4230000</v>
      </c>
      <c r="G79" s="209">
        <f t="shared" si="29"/>
        <v>13230000</v>
      </c>
      <c r="H79" s="789">
        <f t="shared" si="30"/>
        <v>0.47000000000000003</v>
      </c>
      <c r="L79" s="123"/>
      <c r="N79"/>
      <c r="R79"/>
      <c r="S79"/>
      <c r="T79"/>
    </row>
    <row r="80" spans="2:20" x14ac:dyDescent="0.25">
      <c r="B80" s="953"/>
      <c r="C80" s="205">
        <v>0.95</v>
      </c>
      <c r="D80" s="206">
        <f t="shared" si="12"/>
        <v>9000000</v>
      </c>
      <c r="E80" s="780">
        <v>4722651.1159141911</v>
      </c>
      <c r="F80" s="208">
        <f t="shared" si="28"/>
        <v>4770000</v>
      </c>
      <c r="G80" s="209">
        <f t="shared" si="29"/>
        <v>13770000</v>
      </c>
      <c r="H80" s="789">
        <f t="shared" si="30"/>
        <v>0.53</v>
      </c>
      <c r="L80" s="123"/>
      <c r="N80"/>
      <c r="R80"/>
      <c r="S80"/>
      <c r="T80"/>
    </row>
    <row r="81" spans="2:20" ht="15.75" thickBot="1" x14ac:dyDescent="0.3">
      <c r="B81" s="954"/>
      <c r="C81" s="790">
        <v>1</v>
      </c>
      <c r="D81" s="791">
        <f t="shared" si="12"/>
        <v>9000000</v>
      </c>
      <c r="E81" s="792">
        <v>5992048.8629153483</v>
      </c>
      <c r="F81" s="793">
        <f t="shared" si="28"/>
        <v>6030000</v>
      </c>
      <c r="G81" s="794">
        <f t="shared" si="29"/>
        <v>15030000</v>
      </c>
      <c r="H81" s="795">
        <f t="shared" si="30"/>
        <v>0.67</v>
      </c>
      <c r="N81"/>
      <c r="R81"/>
      <c r="S81"/>
      <c r="T81"/>
    </row>
    <row r="82" spans="2:20" x14ac:dyDescent="0.25">
      <c r="B82"/>
      <c r="G82"/>
      <c r="H82" s="185"/>
      <c r="N82"/>
      <c r="R82"/>
      <c r="S82"/>
      <c r="T82"/>
    </row>
    <row r="83" spans="2:20" x14ac:dyDescent="0.25">
      <c r="B83"/>
      <c r="G83"/>
      <c r="H83" s="185"/>
      <c r="N83"/>
      <c r="R83"/>
      <c r="S83"/>
      <c r="T83"/>
    </row>
    <row r="84" spans="2:20" ht="15.75" thickBot="1" x14ac:dyDescent="0.3">
      <c r="B84" s="196" t="s">
        <v>837</v>
      </c>
      <c r="C84" s="79"/>
      <c r="D84" s="79"/>
      <c r="E84" s="79"/>
      <c r="G84" s="210"/>
      <c r="H84" s="211"/>
      <c r="N84"/>
      <c r="R84"/>
      <c r="S84"/>
      <c r="T84"/>
    </row>
    <row r="85" spans="2:20" ht="15.75" thickBot="1" x14ac:dyDescent="0.3">
      <c r="B85" s="952" t="s">
        <v>836</v>
      </c>
      <c r="C85" s="201" t="s">
        <v>835</v>
      </c>
      <c r="D85" s="201" t="s">
        <v>834</v>
      </c>
      <c r="E85" s="202" t="s">
        <v>833</v>
      </c>
      <c r="F85" s="203" t="s">
        <v>832</v>
      </c>
      <c r="G85" s="201" t="s">
        <v>831</v>
      </c>
      <c r="H85" s="204" t="s">
        <v>830</v>
      </c>
      <c r="N85"/>
      <c r="R85"/>
      <c r="S85"/>
      <c r="T85"/>
    </row>
    <row r="86" spans="2:20" x14ac:dyDescent="0.25">
      <c r="B86" s="953"/>
      <c r="C86" s="205">
        <v>0</v>
      </c>
      <c r="D86" s="212">
        <f>'E-Cost &amp; Schedule Summary'!$C$8</f>
        <v>23.978102189781023</v>
      </c>
      <c r="E86" s="213">
        <v>-0.98711802853447173</v>
      </c>
      <c r="F86" s="214">
        <f t="shared" ref="F86" si="31">D86*H86</f>
        <v>-1.1989051094890513</v>
      </c>
      <c r="G86" s="215">
        <f t="shared" ref="G86" si="32">D86+F86</f>
        <v>22.779197080291972</v>
      </c>
      <c r="H86" s="216">
        <f t="shared" ref="H86" si="33">ROUNDUP(E86/D86,2)</f>
        <v>-0.05</v>
      </c>
      <c r="N86"/>
      <c r="R86"/>
      <c r="S86"/>
      <c r="T86"/>
    </row>
    <row r="87" spans="2:20" x14ac:dyDescent="0.25">
      <c r="B87" s="953"/>
      <c r="C87" s="205">
        <v>0.05</v>
      </c>
      <c r="D87" s="212">
        <f>'E-Cost &amp; Schedule Summary'!$C$8</f>
        <v>23.978102189781023</v>
      </c>
      <c r="E87" s="781">
        <v>-0.19547704728364468</v>
      </c>
      <c r="F87" s="214">
        <f t="shared" ref="F87:F106" si="34">D87*H87</f>
        <v>-0.23978102189781023</v>
      </c>
      <c r="G87" s="215">
        <f t="shared" ref="G87:G106" si="35">D87+F87</f>
        <v>23.738321167883214</v>
      </c>
      <c r="H87" s="216">
        <f t="shared" ref="H87:H106" si="36">ROUNDUP(E87/D87,2)</f>
        <v>-0.01</v>
      </c>
      <c r="N87"/>
      <c r="R87"/>
      <c r="S87"/>
      <c r="T87"/>
    </row>
    <row r="88" spans="2:20" x14ac:dyDescent="0.25">
      <c r="B88" s="953"/>
      <c r="C88" s="205">
        <v>0.1</v>
      </c>
      <c r="D88" s="212">
        <f>'E-Cost &amp; Schedule Summary'!$C$8</f>
        <v>23.978102189781023</v>
      </c>
      <c r="E88" s="782">
        <v>0.126462150308498</v>
      </c>
      <c r="F88" s="214">
        <f t="shared" si="34"/>
        <v>0.23978102189781023</v>
      </c>
      <c r="G88" s="215">
        <f t="shared" si="35"/>
        <v>24.217883211678831</v>
      </c>
      <c r="H88" s="216">
        <f t="shared" si="36"/>
        <v>0.01</v>
      </c>
      <c r="N88"/>
      <c r="R88"/>
      <c r="S88"/>
      <c r="T88"/>
    </row>
    <row r="89" spans="2:20" x14ac:dyDescent="0.25">
      <c r="B89" s="953"/>
      <c r="C89" s="205">
        <v>0.15</v>
      </c>
      <c r="D89" s="212">
        <f>'E-Cost &amp; Schedule Summary'!$C$8</f>
        <v>23.978102189781023</v>
      </c>
      <c r="E89" s="782">
        <v>0.45967989154545902</v>
      </c>
      <c r="F89" s="214">
        <f t="shared" si="34"/>
        <v>0.47956204379562045</v>
      </c>
      <c r="G89" s="215">
        <f t="shared" si="35"/>
        <v>24.457664233576644</v>
      </c>
      <c r="H89" s="216">
        <f t="shared" si="36"/>
        <v>0.02</v>
      </c>
      <c r="N89"/>
      <c r="R89"/>
      <c r="S89"/>
      <c r="T89"/>
    </row>
    <row r="90" spans="2:20" x14ac:dyDescent="0.25">
      <c r="B90" s="953"/>
      <c r="C90" s="205">
        <v>0.2</v>
      </c>
      <c r="D90" s="212">
        <f>'E-Cost &amp; Schedule Summary'!$C$8</f>
        <v>23.978102189781023</v>
      </c>
      <c r="E90" s="782">
        <v>0.78297319902744</v>
      </c>
      <c r="F90" s="214">
        <f t="shared" si="34"/>
        <v>0.9591240875912409</v>
      </c>
      <c r="G90" s="215">
        <f t="shared" si="35"/>
        <v>24.937226277372265</v>
      </c>
      <c r="H90" s="216">
        <f t="shared" si="36"/>
        <v>0.04</v>
      </c>
    </row>
    <row r="91" spans="2:20" x14ac:dyDescent="0.25">
      <c r="B91" s="953"/>
      <c r="C91" s="205">
        <v>0.25</v>
      </c>
      <c r="D91" s="212">
        <f>'E-Cost &amp; Schedule Summary'!$C$8</f>
        <v>23.978102189781023</v>
      </c>
      <c r="E91" s="782">
        <v>1.0957191966482109</v>
      </c>
      <c r="F91" s="214">
        <f t="shared" si="34"/>
        <v>1.1989051094890513</v>
      </c>
      <c r="G91" s="215">
        <f t="shared" si="35"/>
        <v>25.177007299270073</v>
      </c>
      <c r="H91" s="216">
        <f t="shared" si="36"/>
        <v>0.05</v>
      </c>
    </row>
    <row r="92" spans="2:20" x14ac:dyDescent="0.25">
      <c r="B92" s="953"/>
      <c r="C92" s="205">
        <v>0.3</v>
      </c>
      <c r="D92" s="212">
        <f>'E-Cost &amp; Schedule Summary'!$C$8</f>
        <v>23.978102189781023</v>
      </c>
      <c r="E92" s="782">
        <v>1.4418405003536849</v>
      </c>
      <c r="F92" s="214">
        <f t="shared" si="34"/>
        <v>1.6784671532846713</v>
      </c>
      <c r="G92" s="215">
        <f t="shared" si="35"/>
        <v>25.656569343065694</v>
      </c>
      <c r="H92" s="216">
        <f t="shared" si="36"/>
        <v>6.9999999999999993E-2</v>
      </c>
    </row>
    <row r="93" spans="2:20" x14ac:dyDescent="0.25">
      <c r="B93" s="953"/>
      <c r="C93" s="205">
        <v>0.35</v>
      </c>
      <c r="D93" s="212">
        <f>'E-Cost &amp; Schedule Summary'!$C$8</f>
        <v>23.978102189781023</v>
      </c>
      <c r="E93" s="782">
        <v>1.801002404194165</v>
      </c>
      <c r="F93" s="214">
        <f t="shared" si="34"/>
        <v>1.9182481751824818</v>
      </c>
      <c r="G93" s="215">
        <f t="shared" si="35"/>
        <v>25.896350364963503</v>
      </c>
      <c r="H93" s="216">
        <f t="shared" si="36"/>
        <v>0.08</v>
      </c>
    </row>
    <row r="94" spans="2:20" x14ac:dyDescent="0.25">
      <c r="B94" s="953"/>
      <c r="C94" s="205">
        <v>0.4</v>
      </c>
      <c r="D94" s="212">
        <f>'E-Cost &amp; Schedule Summary'!$C$8</f>
        <v>23.978102189781023</v>
      </c>
      <c r="E94" s="782">
        <v>2.1797608166947349</v>
      </c>
      <c r="F94" s="214">
        <f t="shared" si="34"/>
        <v>2.3978102189781021</v>
      </c>
      <c r="G94" s="215">
        <f t="shared" si="35"/>
        <v>26.375912408759124</v>
      </c>
      <c r="H94" s="216">
        <f t="shared" si="36"/>
        <v>9.9999999999999992E-2</v>
      </c>
    </row>
    <row r="95" spans="2:20" x14ac:dyDescent="0.25">
      <c r="B95" s="953"/>
      <c r="C95" s="205">
        <v>0.45</v>
      </c>
      <c r="D95" s="212">
        <f>'E-Cost &amp; Schedule Summary'!$C$8</f>
        <v>23.978102189781023</v>
      </c>
      <c r="E95" s="782">
        <v>2.5671680610072478</v>
      </c>
      <c r="F95" s="214">
        <f t="shared" si="34"/>
        <v>2.6375912408759126</v>
      </c>
      <c r="G95" s="215">
        <f t="shared" si="35"/>
        <v>26.615693430656936</v>
      </c>
      <c r="H95" s="216">
        <f t="shared" si="36"/>
        <v>0.11</v>
      </c>
    </row>
    <row r="96" spans="2:20" x14ac:dyDescent="0.25">
      <c r="B96" s="953"/>
      <c r="C96" s="205">
        <v>0.5</v>
      </c>
      <c r="D96" s="212">
        <f>'E-Cost &amp; Schedule Summary'!$C$8</f>
        <v>23.978102189781023</v>
      </c>
      <c r="E96" s="782">
        <v>2.9690760644797152</v>
      </c>
      <c r="F96" s="214">
        <f t="shared" si="34"/>
        <v>3.1171532846715331</v>
      </c>
      <c r="G96" s="215">
        <f t="shared" si="35"/>
        <v>27.095255474452557</v>
      </c>
      <c r="H96" s="216">
        <f t="shared" si="36"/>
        <v>0.13</v>
      </c>
    </row>
    <row r="97" spans="2:9" x14ac:dyDescent="0.25">
      <c r="B97" s="953"/>
      <c r="C97" s="205">
        <v>0.55000000000000004</v>
      </c>
      <c r="D97" s="212">
        <f>'E-Cost &amp; Schedule Summary'!$C$8</f>
        <v>23.978102189781023</v>
      </c>
      <c r="E97" s="782">
        <v>3.3964145469774811</v>
      </c>
      <c r="F97" s="214">
        <f t="shared" si="34"/>
        <v>3.596715328467154</v>
      </c>
      <c r="G97" s="215">
        <f t="shared" si="35"/>
        <v>27.574817518248178</v>
      </c>
      <c r="H97" s="216">
        <f t="shared" si="36"/>
        <v>0.15000000000000002</v>
      </c>
    </row>
    <row r="98" spans="2:9" x14ac:dyDescent="0.25">
      <c r="B98" s="953"/>
      <c r="C98" s="205">
        <v>0.6</v>
      </c>
      <c r="D98" s="212">
        <f>'E-Cost &amp; Schedule Summary'!$C$8</f>
        <v>23.978102189781023</v>
      </c>
      <c r="E98" s="782">
        <v>3.864536087769562</v>
      </c>
      <c r="F98" s="214">
        <f t="shared" si="34"/>
        <v>4.0762773722627745</v>
      </c>
      <c r="G98" s="215">
        <f t="shared" si="35"/>
        <v>28.054379562043799</v>
      </c>
      <c r="H98" s="216">
        <f t="shared" si="36"/>
        <v>0.17</v>
      </c>
    </row>
    <row r="99" spans="2:9" x14ac:dyDescent="0.25">
      <c r="B99" s="953"/>
      <c r="C99" s="205">
        <v>0.65</v>
      </c>
      <c r="D99" s="212">
        <f>'E-Cost &amp; Schedule Summary'!$C$8</f>
        <v>23.978102189781023</v>
      </c>
      <c r="E99" s="782">
        <v>4.3569836138896116</v>
      </c>
      <c r="F99" s="214">
        <f t="shared" si="34"/>
        <v>4.5558394160583946</v>
      </c>
      <c r="G99" s="215">
        <f t="shared" si="35"/>
        <v>28.533941605839416</v>
      </c>
      <c r="H99" s="216">
        <f t="shared" si="36"/>
        <v>0.19</v>
      </c>
    </row>
    <row r="100" spans="2:9" x14ac:dyDescent="0.25">
      <c r="B100" s="953"/>
      <c r="C100" s="205">
        <v>0.7</v>
      </c>
      <c r="D100" s="212">
        <f>'E-Cost &amp; Schedule Summary'!$C$8</f>
        <v>23.978102189781023</v>
      </c>
      <c r="E100" s="782">
        <v>4.8862357851222598</v>
      </c>
      <c r="F100" s="214">
        <f t="shared" si="34"/>
        <v>5.0354014598540155</v>
      </c>
      <c r="G100" s="215">
        <f t="shared" si="35"/>
        <v>29.013503649635037</v>
      </c>
      <c r="H100" s="216">
        <f t="shared" si="36"/>
        <v>0.21000000000000002</v>
      </c>
    </row>
    <row r="101" spans="2:9" x14ac:dyDescent="0.25">
      <c r="B101" s="953"/>
      <c r="C101" s="205">
        <v>0.75</v>
      </c>
      <c r="D101" s="212">
        <f>'E-Cost &amp; Schedule Summary'!$C$8</f>
        <v>23.978102189781023</v>
      </c>
      <c r="E101" s="782">
        <v>5.438836997347547</v>
      </c>
      <c r="F101" s="214">
        <f t="shared" si="34"/>
        <v>5.5149635036496356</v>
      </c>
      <c r="G101" s="215">
        <f t="shared" si="35"/>
        <v>29.493065693430658</v>
      </c>
      <c r="H101" s="216">
        <f t="shared" si="36"/>
        <v>0.23</v>
      </c>
    </row>
    <row r="102" spans="2:9" x14ac:dyDescent="0.25">
      <c r="B102" s="953"/>
      <c r="C102" s="205">
        <v>0.8</v>
      </c>
      <c r="D102" s="212">
        <f>'E-Cost &amp; Schedule Summary'!$C$8</f>
        <v>23.978102189781023</v>
      </c>
      <c r="E102" s="782">
        <v>6.047993455908566</v>
      </c>
      <c r="F102" s="214">
        <f t="shared" si="34"/>
        <v>6.2343065693430662</v>
      </c>
      <c r="G102" s="215">
        <f t="shared" si="35"/>
        <v>30.212408759124088</v>
      </c>
      <c r="H102" s="216">
        <f t="shared" si="36"/>
        <v>0.26</v>
      </c>
    </row>
    <row r="103" spans="2:9" x14ac:dyDescent="0.25">
      <c r="B103" s="953"/>
      <c r="C103" s="205">
        <v>0.85</v>
      </c>
      <c r="D103" s="212">
        <f>'E-Cost &amp; Schedule Summary'!$C$8</f>
        <v>23.978102189781023</v>
      </c>
      <c r="E103" s="782">
        <v>6.720204953601761</v>
      </c>
      <c r="F103" s="214">
        <f t="shared" si="34"/>
        <v>6.9536496350364976</v>
      </c>
      <c r="G103" s="215">
        <f t="shared" si="35"/>
        <v>30.931751824817521</v>
      </c>
      <c r="H103" s="216">
        <f t="shared" si="36"/>
        <v>0.29000000000000004</v>
      </c>
    </row>
    <row r="104" spans="2:9" x14ac:dyDescent="0.25">
      <c r="B104" s="953"/>
      <c r="C104" s="205">
        <v>0.9</v>
      </c>
      <c r="D104" s="212">
        <f>'E-Cost &amp; Schedule Summary'!$C$8</f>
        <v>23.978102189781023</v>
      </c>
      <c r="E104" s="782">
        <v>7.55131678090412</v>
      </c>
      <c r="F104" s="214">
        <f t="shared" si="34"/>
        <v>7.6729927007299272</v>
      </c>
      <c r="G104" s="215">
        <f t="shared" si="35"/>
        <v>31.651094890510951</v>
      </c>
      <c r="H104" s="216">
        <f t="shared" si="36"/>
        <v>0.32</v>
      </c>
    </row>
    <row r="105" spans="2:9" x14ac:dyDescent="0.25">
      <c r="B105" s="953"/>
      <c r="C105" s="205">
        <v>0.95</v>
      </c>
      <c r="D105" s="212">
        <f>'E-Cost &amp; Schedule Summary'!$C$8</f>
        <v>23.978102189781023</v>
      </c>
      <c r="E105" s="783">
        <v>8.661446370835737</v>
      </c>
      <c r="F105" s="214">
        <f t="shared" si="34"/>
        <v>8.8718978102189787</v>
      </c>
      <c r="G105" s="215">
        <f t="shared" si="35"/>
        <v>32.85</v>
      </c>
      <c r="H105" s="216">
        <f t="shared" si="36"/>
        <v>0.37</v>
      </c>
    </row>
    <row r="106" spans="2:9" ht="15.75" thickBot="1" x14ac:dyDescent="0.3">
      <c r="B106" s="954"/>
      <c r="C106" s="790">
        <v>1</v>
      </c>
      <c r="D106" s="796">
        <f>'E-Cost &amp; Schedule Summary'!$C$8</f>
        <v>23.978102189781023</v>
      </c>
      <c r="E106" s="797">
        <v>11.206316207857133</v>
      </c>
      <c r="F106" s="798">
        <f t="shared" si="34"/>
        <v>11.269708029197082</v>
      </c>
      <c r="G106" s="799">
        <f t="shared" si="35"/>
        <v>35.247810218978103</v>
      </c>
      <c r="H106" s="800">
        <f t="shared" si="36"/>
        <v>0.47000000000000003</v>
      </c>
    </row>
    <row r="107" spans="2:9" x14ac:dyDescent="0.25">
      <c r="B107"/>
      <c r="G107"/>
      <c r="H107"/>
      <c r="I107" s="185"/>
    </row>
    <row r="108" spans="2:9" x14ac:dyDescent="0.25">
      <c r="B108"/>
      <c r="G108"/>
      <c r="H108"/>
      <c r="I108" s="185"/>
    </row>
  </sheetData>
  <mergeCells count="31">
    <mergeCell ref="E42:F42"/>
    <mergeCell ref="A1:K1"/>
    <mergeCell ref="B3:E14"/>
    <mergeCell ref="C19:F19"/>
    <mergeCell ref="C41:D41"/>
    <mergeCell ref="C20:D20"/>
    <mergeCell ref="C40:F40"/>
    <mergeCell ref="G5:H5"/>
    <mergeCell ref="G6:H6"/>
    <mergeCell ref="G13:H13"/>
    <mergeCell ref="G14:H14"/>
    <mergeCell ref="G8:H8"/>
    <mergeCell ref="C21:D21"/>
    <mergeCell ref="E21:F21"/>
    <mergeCell ref="C42:D42"/>
    <mergeCell ref="B85:B106"/>
    <mergeCell ref="I3:J3"/>
    <mergeCell ref="I8:J8"/>
    <mergeCell ref="E41:F41"/>
    <mergeCell ref="C39:E39"/>
    <mergeCell ref="G9:H9"/>
    <mergeCell ref="G10:H10"/>
    <mergeCell ref="G11:H11"/>
    <mergeCell ref="B60:B81"/>
    <mergeCell ref="B16:J16"/>
    <mergeCell ref="B37:J37"/>
    <mergeCell ref="E20:F20"/>
    <mergeCell ref="G3:H3"/>
    <mergeCell ref="G12:H12"/>
    <mergeCell ref="C18:E18"/>
    <mergeCell ref="G4:H4"/>
  </mergeCells>
  <pageMargins left="0.25" right="0.25" top="0.25" bottom="0.5" header="0.25" footer="0.25"/>
  <pageSetup scale="69" fitToHeight="0" orientation="landscape" horizontalDpi="1200" verticalDpi="1200" r:id="rId1"/>
  <headerFooter>
    <oddFooter>&amp;CPage &amp;P of &amp;N</oddFooter>
  </headerFooter>
  <rowBreaks count="1" manualBreakCount="1">
    <brk id="36" max="10"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0" id="{2FE302E6-096B-4335-8992-41113F463838}">
            <xm:f>$C23='D-Project Data'!$C$6</xm:f>
            <x14:dxf>
              <font>
                <b/>
                <i val="0"/>
              </font>
              <fill>
                <patternFill>
                  <bgColor rgb="FFFFFF00"/>
                </patternFill>
              </fill>
            </x14:dxf>
          </x14:cfRule>
          <xm:sqref>C23:F33 C44:F55</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AD147"/>
  <sheetViews>
    <sheetView showGridLines="0" zoomScaleNormal="100" workbookViewId="0">
      <pane ySplit="15" topLeftCell="A38" activePane="bottomLeft" state="frozen"/>
      <selection pane="bottomLeft" activeCell="B16" sqref="B16:J16"/>
    </sheetView>
  </sheetViews>
  <sheetFormatPr defaultColWidth="8.85546875" defaultRowHeight="15" x14ac:dyDescent="0.25"/>
  <cols>
    <col min="1" max="1" width="2.85546875" style="76" customWidth="1"/>
    <col min="2" max="2" width="5.5703125" customWidth="1"/>
    <col min="3" max="5" width="10.85546875" customWidth="1"/>
    <col min="6" max="6" width="5.85546875" customWidth="1"/>
    <col min="7" max="8" width="25.85546875" style="181" customWidth="1"/>
    <col min="9" max="9" width="25.85546875" customWidth="1"/>
    <col min="10" max="10" width="5.85546875" customWidth="1"/>
    <col min="11" max="11" width="2.85546875" customWidth="1"/>
    <col min="12" max="12" width="5.5703125" customWidth="1"/>
    <col min="13" max="13" width="24" bestFit="1" customWidth="1"/>
    <col min="14" max="14" width="17" customWidth="1"/>
    <col min="15" max="15" width="25.5703125" bestFit="1" customWidth="1"/>
    <col min="16" max="16" width="9.140625"/>
    <col min="17" max="18" width="15.85546875" customWidth="1"/>
    <col min="19" max="19" width="20.85546875" customWidth="1"/>
    <col min="20" max="24" width="15.85546875" customWidth="1"/>
    <col min="25" max="25" width="8.85546875" customWidth="1"/>
    <col min="26" max="26" width="9.42578125" customWidth="1"/>
    <col min="27" max="27" width="33.42578125" customWidth="1"/>
    <col min="28" max="28" width="8.85546875" customWidth="1"/>
  </cols>
  <sheetData>
    <row r="1" spans="1:27" s="7" customFormat="1" ht="21" x14ac:dyDescent="0.35">
      <c r="A1" s="980" t="s">
        <v>1162</v>
      </c>
      <c r="B1" s="980"/>
      <c r="C1" s="980"/>
      <c r="D1" s="980"/>
      <c r="E1" s="980"/>
      <c r="F1" s="980"/>
      <c r="G1" s="980"/>
      <c r="H1" s="980"/>
      <c r="I1" s="980"/>
      <c r="J1" s="980"/>
      <c r="K1" s="980"/>
      <c r="M1" s="539"/>
      <c r="N1" s="539"/>
      <c r="R1" s="540"/>
      <c r="S1" s="540"/>
      <c r="T1" s="540"/>
    </row>
    <row r="2" spans="1:27" ht="15.75" thickBot="1" x14ac:dyDescent="0.3">
      <c r="A2" s="296"/>
      <c r="B2" s="256"/>
      <c r="C2" s="256"/>
      <c r="D2" s="256"/>
      <c r="E2" s="256"/>
      <c r="F2" s="256"/>
      <c r="G2" s="297"/>
      <c r="H2" s="297"/>
      <c r="I2" s="256"/>
      <c r="J2" s="256"/>
      <c r="K2" s="256"/>
    </row>
    <row r="3" spans="1:27" ht="15" customHeight="1" thickBot="1" x14ac:dyDescent="0.3">
      <c r="A3" s="296"/>
      <c r="B3" s="981" t="str">
        <f>'D-Project Data'!C13&amp;CHAR(10)&amp;CHAR(10)&amp;TEXT('D-Project Data'!C17,"mmmm yyyy")</f>
        <v>Project Name
August 2024</v>
      </c>
      <c r="C3" s="981"/>
      <c r="D3" s="981"/>
      <c r="E3" s="981"/>
      <c r="F3" s="256"/>
      <c r="G3" s="974" t="str">
        <f>'I-Project Contingency'!G3</f>
        <v>Contingency on Base Estimate</v>
      </c>
      <c r="H3" s="975"/>
      <c r="I3" s="955">
        <f>'I-Project Contingency'!I3</f>
        <v>0.85</v>
      </c>
      <c r="J3" s="956"/>
      <c r="K3" s="256"/>
    </row>
    <row r="4" spans="1:27" x14ac:dyDescent="0.25">
      <c r="A4" s="296"/>
      <c r="B4" s="981"/>
      <c r="C4" s="981"/>
      <c r="D4" s="981"/>
      <c r="E4" s="981"/>
      <c r="F4" s="256"/>
      <c r="G4" s="1007" t="str">
        <f>'I-Project Contingency'!G4</f>
        <v>Base Estimate</v>
      </c>
      <c r="H4" s="1008"/>
      <c r="I4" s="186">
        <f>'I-Project Contingency'!I4</f>
        <v>9000000</v>
      </c>
      <c r="J4" s="187" t="s">
        <v>659</v>
      </c>
      <c r="K4" s="256"/>
      <c r="M4" s="123"/>
    </row>
    <row r="5" spans="1:27" x14ac:dyDescent="0.25">
      <c r="A5" s="296"/>
      <c r="B5" s="981"/>
      <c r="C5" s="981"/>
      <c r="D5" s="981"/>
      <c r="E5" s="981"/>
      <c r="F5" s="256"/>
      <c r="G5" s="1009" t="str">
        <f>'I-Project Contingency'!G5</f>
        <v>Estimate Contingency</v>
      </c>
      <c r="H5" s="1010"/>
      <c r="I5" s="189">
        <f>'I-Project Contingency'!I5</f>
        <v>3780000</v>
      </c>
      <c r="J5" s="190">
        <f>'I-Project Contingency'!J5</f>
        <v>0.42</v>
      </c>
      <c r="K5" s="256"/>
      <c r="M5" s="123"/>
    </row>
    <row r="6" spans="1:27" ht="15.75" thickBot="1" x14ac:dyDescent="0.3">
      <c r="A6" s="296"/>
      <c r="B6" s="981"/>
      <c r="C6" s="981"/>
      <c r="D6" s="981"/>
      <c r="E6" s="981"/>
      <c r="F6" s="256"/>
      <c r="G6" s="1011">
        <f>'I-Project Contingency'!G6</f>
        <v>0.85</v>
      </c>
      <c r="H6" s="1012"/>
      <c r="I6" s="192">
        <f>'I-Project Contingency'!I6</f>
        <v>12780000</v>
      </c>
      <c r="J6" s="193" t="s">
        <v>659</v>
      </c>
      <c r="K6" s="256"/>
    </row>
    <row r="7" spans="1:27" ht="15.75" thickBot="1" x14ac:dyDescent="0.3">
      <c r="A7" s="296"/>
      <c r="B7" s="981"/>
      <c r="C7" s="981"/>
      <c r="D7" s="981"/>
      <c r="E7" s="981"/>
      <c r="F7" s="256"/>
      <c r="G7" s="298" t="s">
        <v>659</v>
      </c>
      <c r="H7" s="298"/>
      <c r="I7" s="299" t="s">
        <v>659</v>
      </c>
      <c r="J7" s="266" t="s">
        <v>659</v>
      </c>
      <c r="K7" s="256" t="s">
        <v>659</v>
      </c>
      <c r="Q7" s="77">
        <f>RANK(R7,$R$7:$R$9)</f>
        <v>2</v>
      </c>
      <c r="R7" s="185">
        <f>'D-Project Data'!$C$6</f>
        <v>0.85</v>
      </c>
      <c r="S7" t="s">
        <v>1421</v>
      </c>
    </row>
    <row r="8" spans="1:27" ht="15.75" thickBot="1" x14ac:dyDescent="0.3">
      <c r="A8" s="296"/>
      <c r="B8" s="981"/>
      <c r="C8" s="981"/>
      <c r="D8" s="981"/>
      <c r="E8" s="981"/>
      <c r="F8" s="256"/>
      <c r="G8" s="974" t="str">
        <f>'I-Project Contingency'!G8</f>
        <v>Contingency on Base Schedule</v>
      </c>
      <c r="H8" s="975"/>
      <c r="I8" s="1002">
        <f>'I-Project Contingency'!I8</f>
        <v>0.85</v>
      </c>
      <c r="J8" s="1003"/>
      <c r="K8" s="256"/>
      <c r="Q8" s="77">
        <f>RANK(R8,$R$7:$R$9)</f>
        <v>3</v>
      </c>
      <c r="R8" s="809">
        <v>0.5</v>
      </c>
      <c r="S8" t="s">
        <v>1422</v>
      </c>
      <c r="W8" s="185"/>
    </row>
    <row r="9" spans="1:27" x14ac:dyDescent="0.25">
      <c r="A9" s="296"/>
      <c r="B9" s="981"/>
      <c r="C9" s="981"/>
      <c r="D9" s="981"/>
      <c r="E9" s="981"/>
      <c r="F9" s="256"/>
      <c r="G9" s="962" t="str">
        <f>'I-Project Contingency'!G9</f>
        <v>Base Schedule Start Date</v>
      </c>
      <c r="H9" s="963"/>
      <c r="I9" s="225">
        <f>'I-Project Contingency'!I9</f>
        <v>45566</v>
      </c>
      <c r="J9" s="226" t="str">
        <f>'I-Project Contingency'!J9</f>
        <v xml:space="preserve"> </v>
      </c>
      <c r="K9" s="256"/>
      <c r="Q9" s="77">
        <f>RANK(R9,$R$7:$R$9)</f>
        <v>1</v>
      </c>
      <c r="R9" s="809">
        <v>0.9</v>
      </c>
      <c r="S9" t="s">
        <v>1422</v>
      </c>
      <c r="W9" s="185"/>
    </row>
    <row r="10" spans="1:27" x14ac:dyDescent="0.25">
      <c r="A10" s="296"/>
      <c r="B10" s="981"/>
      <c r="C10" s="981"/>
      <c r="D10" s="981"/>
      <c r="E10" s="981"/>
      <c r="F10" s="256"/>
      <c r="G10" s="964" t="str">
        <f>'I-Project Contingency'!G10</f>
        <v>Base Schedule Finish Date</v>
      </c>
      <c r="H10" s="965"/>
      <c r="I10" s="227">
        <f>'I-Project Contingency'!I10</f>
        <v>46296</v>
      </c>
      <c r="J10" s="228"/>
      <c r="K10" s="256"/>
      <c r="W10" s="185"/>
    </row>
    <row r="11" spans="1:27" x14ac:dyDescent="0.25">
      <c r="A11" s="296"/>
      <c r="B11" s="981"/>
      <c r="C11" s="981"/>
      <c r="D11" s="981"/>
      <c r="E11" s="981"/>
      <c r="F11" s="256"/>
      <c r="G11" s="964" t="str">
        <f>'I-Project Contingency'!G11</f>
        <v>Base Schedule Duration</v>
      </c>
      <c r="H11" s="965"/>
      <c r="I11" s="229">
        <f>'I-Project Contingency'!I11</f>
        <v>23.978102189781023</v>
      </c>
      <c r="J11" s="228"/>
      <c r="K11" s="256"/>
    </row>
    <row r="12" spans="1:27" x14ac:dyDescent="0.25">
      <c r="A12" s="296"/>
      <c r="B12" s="981"/>
      <c r="C12" s="981"/>
      <c r="D12" s="981"/>
      <c r="E12" s="981"/>
      <c r="F12" s="256"/>
      <c r="G12" s="964" t="str">
        <f>'I-Project Contingency'!G12</f>
        <v>Schedule Contingency Duration</v>
      </c>
      <c r="H12" s="965"/>
      <c r="I12" s="229">
        <f>'I-Project Contingency'!I12</f>
        <v>6.9536496350364976</v>
      </c>
      <c r="J12" s="230">
        <f>'I-Project Contingency'!J12</f>
        <v>0.29000000000000004</v>
      </c>
      <c r="K12" s="256"/>
    </row>
    <row r="13" spans="1:27" x14ac:dyDescent="0.25">
      <c r="A13" s="296"/>
      <c r="B13" s="981"/>
      <c r="C13" s="981"/>
      <c r="D13" s="981"/>
      <c r="E13" s="981"/>
      <c r="F13" s="256"/>
      <c r="G13" s="991">
        <f>'I-Project Contingency'!G13</f>
        <v>0.85</v>
      </c>
      <c r="H13" s="992"/>
      <c r="I13" s="229">
        <f>'I-Project Contingency'!I13</f>
        <v>30.931751824817521</v>
      </c>
      <c r="J13" s="228"/>
      <c r="K13" s="256"/>
    </row>
    <row r="14" spans="1:27" ht="15.75" thickBot="1" x14ac:dyDescent="0.3">
      <c r="A14" s="296"/>
      <c r="B14" s="981"/>
      <c r="C14" s="981"/>
      <c r="D14" s="981"/>
      <c r="E14" s="981"/>
      <c r="F14" s="256"/>
      <c r="G14" s="993">
        <f>'I-Project Contingency'!G14</f>
        <v>0.85</v>
      </c>
      <c r="H14" s="994"/>
      <c r="I14" s="231">
        <f>'I-Project Contingency'!I14</f>
        <v>46507</v>
      </c>
      <c r="J14" s="232"/>
      <c r="K14" s="256"/>
      <c r="V14" s="808">
        <f>VLOOKUP(3,$Q$7:$R$9,2,FALSE)</f>
        <v>0.5</v>
      </c>
      <c r="W14" s="808">
        <f>VLOOKUP(2,$Q$7:$R$9,2,FALSE)</f>
        <v>0.85</v>
      </c>
      <c r="X14" s="808">
        <f>VLOOKUP(1,$Q$7:$R$9,2,FALSE)</f>
        <v>0.9</v>
      </c>
    </row>
    <row r="15" spans="1:27" ht="15.75" thickBot="1" x14ac:dyDescent="0.3">
      <c r="A15" s="296"/>
      <c r="B15" s="256"/>
      <c r="C15" s="256"/>
      <c r="D15" s="256"/>
      <c r="E15" s="256"/>
      <c r="F15" s="256"/>
      <c r="G15" s="298"/>
      <c r="H15" s="298"/>
      <c r="I15" s="299"/>
      <c r="J15" s="256"/>
      <c r="K15" s="256"/>
      <c r="Q15" s="1013" t="s">
        <v>861</v>
      </c>
      <c r="R15" s="1014"/>
      <c r="S15" s="1014"/>
      <c r="T15" s="1014"/>
      <c r="U15" s="1014"/>
      <c r="V15" s="1014"/>
      <c r="W15" s="1014"/>
      <c r="X15" s="1015"/>
    </row>
    <row r="16" spans="1:27" ht="30.75" thickBot="1" x14ac:dyDescent="0.3">
      <c r="A16" s="266"/>
      <c r="B16" s="1004" t="s">
        <v>862</v>
      </c>
      <c r="C16" s="1005"/>
      <c r="D16" s="1005"/>
      <c r="E16" s="1005"/>
      <c r="F16" s="1005"/>
      <c r="G16" s="1005"/>
      <c r="H16" s="1005"/>
      <c r="I16" s="1005"/>
      <c r="J16" s="1006"/>
      <c r="K16" s="256"/>
      <c r="Q16" s="244" t="s">
        <v>860</v>
      </c>
      <c r="R16" s="245" t="str">
        <f>'H-Risk Register-Model'!$FW$17</f>
        <v>Risk Item for Lookup</v>
      </c>
      <c r="S16" s="245" t="str">
        <f>'H-Risk Register-Model'!FX17</f>
        <v>Risk Item Name for Chart</v>
      </c>
      <c r="T16" s="245" t="str">
        <f>'H-Risk Register-Model'!FY17</f>
        <v>Cost LV</v>
      </c>
      <c r="U16" s="245" t="str">
        <f>'H-Risk Register-Model'!FZ17</f>
        <v>Cost HV</v>
      </c>
      <c r="V16" s="245" t="str">
        <f>"ROM Cost Risk @ "&amp;V14*100&amp;"%"</f>
        <v>ROM Cost Risk @ 50%</v>
      </c>
      <c r="W16" s="245" t="str">
        <f t="shared" ref="W16:X16" si="0">"ROM Cost Risk @ "&amp;W14*100&amp;"%"</f>
        <v>ROM Cost Risk @ 85%</v>
      </c>
      <c r="X16" s="246" t="str">
        <f t="shared" si="0"/>
        <v>ROM Cost Risk @ 90%</v>
      </c>
      <c r="Y16" s="8"/>
      <c r="Z16" s="8"/>
      <c r="AA16" s="237"/>
    </row>
    <row r="17" spans="1:30" x14ac:dyDescent="0.25">
      <c r="A17" s="266"/>
      <c r="B17" s="541"/>
      <c r="C17" s="300"/>
      <c r="D17" s="300"/>
      <c r="E17" s="300"/>
      <c r="F17" s="300"/>
      <c r="G17" s="300"/>
      <c r="H17" s="300"/>
      <c r="I17" s="300"/>
      <c r="J17" s="542"/>
      <c r="K17" s="256"/>
      <c r="Q17" s="247">
        <v>1</v>
      </c>
      <c r="R17" s="462">
        <f>IFERROR(IF((ABS(T17)+ABS(U17))=0,"N/A",VLOOKUP($Q17,'H-Risk Register-Model'!$ED:$GB,MATCH(R$16,'H-Risk Register-Model'!$ED$17:$GB$17,0),FALSE)),"N/A")</f>
        <v>1</v>
      </c>
      <c r="S17" s="8" t="str">
        <f>IFERROR(IF((U17+V17)=0,"N/A",VLOOKUP($Q17,'H-Risk Register-Model'!$ED:$GB,MATCH(S$16,'H-Risk Register-Model'!$ED$17:$GB$17,0),FALSE)),"N/A")</f>
        <v>1 - PLEASE TYPE FIRST RISK OVER THE TOP OF THIS ONE</v>
      </c>
      <c r="T17" s="465">
        <f>IFERROR(VLOOKUP($Q17,'H-Risk Register-Model'!$ED:$GB,MATCH(T$16,'H-Risk Register-Model'!$ED$17:$GB$17,0),FALSE),"N/A")</f>
        <v>-250000</v>
      </c>
      <c r="U17" s="465">
        <f>IFERROR(VLOOKUP($Q17,'H-Risk Register-Model'!$ED:$GB,MATCH(U$16,'H-Risk Register-Model'!$ED$17:$GB$17,0),FALSE),"N/A")</f>
        <v>3300000</v>
      </c>
      <c r="V17" s="465">
        <f>IFERROR(VLOOKUP($Q17,'H-Risk Register-Model'!$ED:$GB,MATCH(V$16,'H-Risk Register-Model'!$ED$17:$GB$17,0),FALSE),"N/A")</f>
        <v>1710000</v>
      </c>
      <c r="W17" s="465">
        <f>IFERROR(VLOOKUP($Q17,'H-Risk Register-Model'!$ED:$GB,MATCH(W$16,'H-Risk Register-Model'!$ED$17:$GB$17,0),FALSE),"N/A")</f>
        <v>3780000</v>
      </c>
      <c r="X17" s="248">
        <f>IFERROR(VLOOKUP($Q17,'H-Risk Register-Model'!$ED:$GB,MATCH(X$16,'H-Risk Register-Model'!$ED$17:$GB$17,0),FALSE),"N/A")</f>
        <v>4230000</v>
      </c>
      <c r="Y17" s="8"/>
      <c r="AB17" s="199"/>
      <c r="AC17" s="199"/>
    </row>
    <row r="18" spans="1:30" x14ac:dyDescent="0.25">
      <c r="A18" s="300"/>
      <c r="B18" s="543"/>
      <c r="C18" s="266"/>
      <c r="D18" s="266"/>
      <c r="E18" s="256"/>
      <c r="F18" s="300"/>
      <c r="G18" s="256"/>
      <c r="H18" s="256"/>
      <c r="I18" s="89"/>
      <c r="J18" s="544"/>
      <c r="K18" s="256"/>
      <c r="M18" s="238" t="s">
        <v>859</v>
      </c>
      <c r="N18" s="199"/>
      <c r="O18" s="199"/>
      <c r="P18" s="199"/>
      <c r="Q18" s="247">
        <f t="shared" ref="Q18:Q26" si="1">Q17+1</f>
        <v>2</v>
      </c>
      <c r="R18" s="462" t="str">
        <f>IFERROR(IF((ABS(T18)+ABS(U18))=0,"N/A",VLOOKUP($Q18,'H-Risk Register-Model'!$ED:$GB,MATCH(R$16,'H-Risk Register-Model'!$ED$17:$GB$17,0),FALSE)),"N/A")</f>
        <v>N/A</v>
      </c>
      <c r="S18" s="8" t="str">
        <f>IFERROR(IF((U18+V18)=0,"N/A",VLOOKUP($Q18,'H-Risk Register-Model'!$ED:$GB,MATCH(S$16,'H-Risk Register-Model'!$ED$17:$GB$17,0),FALSE)),"N/A")</f>
        <v>N/A</v>
      </c>
      <c r="T18" s="465">
        <f>IFERROR(VLOOKUP($Q18,'H-Risk Register-Model'!$ED:$GB,MATCH(T$16,'H-Risk Register-Model'!$ED$17:$GB$17,0),FALSE),"N/A")</f>
        <v>0</v>
      </c>
      <c r="U18" s="465">
        <f>IFERROR(VLOOKUP($Q18,'H-Risk Register-Model'!$ED:$GB,MATCH(U$16,'H-Risk Register-Model'!$ED$17:$GB$17,0),FALSE),"N/A")</f>
        <v>0</v>
      </c>
      <c r="V18" s="465">
        <f>IFERROR(VLOOKUP($Q18,'H-Risk Register-Model'!$ED:$GB,MATCH(V$16,'H-Risk Register-Model'!$ED$17:$GB$17,0),FALSE),"N/A")</f>
        <v>0</v>
      </c>
      <c r="W18" s="465">
        <f>IFERROR(VLOOKUP($Q18,'H-Risk Register-Model'!$ED:$GB,MATCH(W$16,'H-Risk Register-Model'!$ED$17:$GB$17,0),FALSE),"N/A")</f>
        <v>0</v>
      </c>
      <c r="X18" s="248">
        <f>IFERROR(VLOOKUP($Q18,'H-Risk Register-Model'!$ED:$GB,MATCH(X$16,'H-Risk Register-Model'!$ED$17:$GB$17,0),FALSE),"N/A")</f>
        <v>0</v>
      </c>
      <c r="Y18" s="8"/>
      <c r="Z18" s="1001" t="s">
        <v>1059</v>
      </c>
      <c r="AA18" s="1001"/>
      <c r="AB18" s="199"/>
      <c r="AC18" s="199"/>
      <c r="AD18" s="199"/>
    </row>
    <row r="19" spans="1:30" x14ac:dyDescent="0.25">
      <c r="A19" s="300"/>
      <c r="B19" s="543"/>
      <c r="C19" s="545"/>
      <c r="D19" s="545"/>
      <c r="E19" s="256"/>
      <c r="F19" s="300"/>
      <c r="G19" s="256"/>
      <c r="H19" s="256"/>
      <c r="I19" s="89"/>
      <c r="J19" s="544"/>
      <c r="K19" s="256"/>
      <c r="M19" s="743">
        <f t="shared" ref="M19:M28" si="2">R17</f>
        <v>1</v>
      </c>
      <c r="N19" s="240"/>
      <c r="O19" s="241"/>
      <c r="P19" s="199"/>
      <c r="Q19" s="247">
        <f t="shared" si="1"/>
        <v>3</v>
      </c>
      <c r="R19" s="462" t="str">
        <f>IFERROR(IF((ABS(T19)+ABS(U19))=0,"N/A",VLOOKUP($Q19,'H-Risk Register-Model'!$ED:$GB,MATCH(R$16,'H-Risk Register-Model'!$ED$17:$GB$17,0),FALSE)),"N/A")</f>
        <v>N/A</v>
      </c>
      <c r="S19" s="8" t="str">
        <f>IFERROR(IF((U19+V19)=0,"N/A",VLOOKUP($Q19,'H-Risk Register-Model'!$ED:$GB,MATCH(S$16,'H-Risk Register-Model'!$ED$17:$GB$17,0),FALSE)),"N/A")</f>
        <v>N/A</v>
      </c>
      <c r="T19" s="465">
        <f>IFERROR(VLOOKUP($Q19,'H-Risk Register-Model'!$ED:$GB,MATCH(T$16,'H-Risk Register-Model'!$ED$17:$GB$17,0),FALSE),"N/A")</f>
        <v>0</v>
      </c>
      <c r="U19" s="465">
        <f>IFERROR(VLOOKUP($Q19,'H-Risk Register-Model'!$ED:$GB,MATCH(U$16,'H-Risk Register-Model'!$ED$17:$GB$17,0),FALSE),"N/A")</f>
        <v>0</v>
      </c>
      <c r="V19" s="465">
        <f>IFERROR(VLOOKUP($Q19,'H-Risk Register-Model'!$ED:$GB,MATCH(V$16,'H-Risk Register-Model'!$ED$17:$GB$17,0),FALSE),"N/A")</f>
        <v>0</v>
      </c>
      <c r="W19" s="465">
        <f>IFERROR(VLOOKUP($Q19,'H-Risk Register-Model'!$ED:$GB,MATCH(W$16,'H-Risk Register-Model'!$ED$17:$GB$17,0),FALSE),"N/A")</f>
        <v>0</v>
      </c>
      <c r="X19" s="248">
        <f>IFERROR(VLOOKUP($Q19,'H-Risk Register-Model'!$ED:$GB,MATCH(X$16,'H-Risk Register-Model'!$ED$17:$GB$17,0),FALSE),"N/A")</f>
        <v>0</v>
      </c>
      <c r="Y19" s="8"/>
      <c r="Z19" s="239">
        <f>'J-Sensitivity Charts'!Z41</f>
        <v>0.85</v>
      </c>
      <c r="AA19" s="237" t="s">
        <v>843</v>
      </c>
      <c r="AB19" s="199"/>
      <c r="AC19" s="199"/>
      <c r="AD19" s="199"/>
    </row>
    <row r="20" spans="1:30" x14ac:dyDescent="0.25">
      <c r="A20" s="300"/>
      <c r="B20" s="546"/>
      <c r="C20" s="545"/>
      <c r="D20" s="545"/>
      <c r="E20" s="256"/>
      <c r="F20" s="300"/>
      <c r="G20" s="256"/>
      <c r="H20" s="256"/>
      <c r="I20" s="89"/>
      <c r="J20" s="544"/>
      <c r="K20" s="256"/>
      <c r="M20" s="743" t="str">
        <f t="shared" si="2"/>
        <v>N/A</v>
      </c>
      <c r="N20" s="240"/>
      <c r="O20" s="241"/>
      <c r="P20" s="199"/>
      <c r="Q20" s="247">
        <f t="shared" si="1"/>
        <v>4</v>
      </c>
      <c r="R20" s="462" t="str">
        <f>IFERROR(IF((ABS(T20)+ABS(U20))=0,"N/A",VLOOKUP($Q20,'H-Risk Register-Model'!$ED:$GB,MATCH(R$16,'H-Risk Register-Model'!$ED$17:$GB$17,0),FALSE)),"N/A")</f>
        <v>N/A</v>
      </c>
      <c r="S20" s="8" t="str">
        <f>IFERROR(IF((U20+V20)=0,"N/A",VLOOKUP($Q20,'H-Risk Register-Model'!$ED:$GB,MATCH(S$16,'H-Risk Register-Model'!$ED$17:$GB$17,0),FALSE)),"N/A")</f>
        <v>N/A</v>
      </c>
      <c r="T20" s="465">
        <f>IFERROR(VLOOKUP($Q20,'H-Risk Register-Model'!$ED:$GB,MATCH(T$16,'H-Risk Register-Model'!$ED$17:$GB$17,0),FALSE),"N/A")</f>
        <v>0</v>
      </c>
      <c r="U20" s="465">
        <f>IFERROR(VLOOKUP($Q20,'H-Risk Register-Model'!$ED:$GB,MATCH(U$16,'H-Risk Register-Model'!$ED$17:$GB$17,0),FALSE),"N/A")</f>
        <v>0</v>
      </c>
      <c r="V20" s="465">
        <f>IFERROR(VLOOKUP($Q20,'H-Risk Register-Model'!$ED:$GB,MATCH(V$16,'H-Risk Register-Model'!$ED$17:$GB$17,0),FALSE),"N/A")</f>
        <v>0</v>
      </c>
      <c r="W20" s="465">
        <f>IFERROR(VLOOKUP($Q20,'H-Risk Register-Model'!$ED:$GB,MATCH(W$16,'H-Risk Register-Model'!$ED$17:$GB$17,0),FALSE),"N/A")</f>
        <v>0</v>
      </c>
      <c r="X20" s="248">
        <f>IFERROR(VLOOKUP($Q20,'H-Risk Register-Model'!$ED:$GB,MATCH(X$16,'H-Risk Register-Model'!$ED$17:$GB$17,0),FALSE),"N/A")</f>
        <v>0</v>
      </c>
      <c r="Y20" s="8"/>
      <c r="Z20" s="242">
        <f>IF('J-Sensitivity Charts'!Z19=V14,SUM(V17:V26),IF('J-Sensitivity Charts'!Z19=W14,SUM(W17:W26),IF('J-Sensitivity Charts'!Z19=X14,SUM(X17:X26))))</f>
        <v>3780000</v>
      </c>
      <c r="AA20" s="237" t="s">
        <v>1057</v>
      </c>
      <c r="AB20" s="199"/>
      <c r="AC20" s="199"/>
      <c r="AD20" s="199"/>
    </row>
    <row r="21" spans="1:30" x14ac:dyDescent="0.25">
      <c r="A21" s="300"/>
      <c r="B21" s="546"/>
      <c r="C21" s="545"/>
      <c r="D21" s="545"/>
      <c r="E21" s="256"/>
      <c r="F21" s="300"/>
      <c r="G21" s="256"/>
      <c r="H21" s="256"/>
      <c r="I21" s="89"/>
      <c r="J21" s="544"/>
      <c r="K21" s="256"/>
      <c r="M21" s="743" t="str">
        <f t="shared" si="2"/>
        <v>N/A</v>
      </c>
      <c r="N21" s="240"/>
      <c r="O21" s="241"/>
      <c r="P21" s="199"/>
      <c r="Q21" s="247">
        <f t="shared" si="1"/>
        <v>5</v>
      </c>
      <c r="R21" s="462" t="str">
        <f>IFERROR(IF((ABS(T21)+ABS(U21))=0,"N/A",VLOOKUP($Q21,'H-Risk Register-Model'!$ED:$GB,MATCH(R$16,'H-Risk Register-Model'!$ED$17:$GB$17,0),FALSE)),"N/A")</f>
        <v>N/A</v>
      </c>
      <c r="S21" s="8" t="str">
        <f>IFERROR(IF((U21+V21)=0,"N/A",VLOOKUP($Q21,'H-Risk Register-Model'!$ED:$GB,MATCH(S$16,'H-Risk Register-Model'!$ED$17:$GB$17,0),FALSE)),"N/A")</f>
        <v>N/A</v>
      </c>
      <c r="T21" s="465">
        <f>IFERROR(VLOOKUP($Q21,'H-Risk Register-Model'!$ED:$GB,MATCH(T$16,'H-Risk Register-Model'!$ED$17:$GB$17,0),FALSE),"N/A")</f>
        <v>0</v>
      </c>
      <c r="U21" s="465">
        <f>IFERROR(VLOOKUP($Q21,'H-Risk Register-Model'!$ED:$GB,MATCH(U$16,'H-Risk Register-Model'!$ED$17:$GB$17,0),FALSE),"N/A")</f>
        <v>0</v>
      </c>
      <c r="V21" s="465">
        <f>IFERROR(VLOOKUP($Q21,'H-Risk Register-Model'!$ED:$GB,MATCH(V$16,'H-Risk Register-Model'!$ED$17:$GB$17,0),FALSE),"N/A")</f>
        <v>0</v>
      </c>
      <c r="W21" s="465">
        <f>IFERROR(VLOOKUP($Q21,'H-Risk Register-Model'!$ED:$GB,MATCH(W$16,'H-Risk Register-Model'!$ED$17:$GB$17,0),FALSE),"N/A")</f>
        <v>0</v>
      </c>
      <c r="X21" s="248">
        <f>IFERROR(VLOOKUP($Q21,'H-Risk Register-Model'!$ED:$GB,MATCH(X$16,'H-Risk Register-Model'!$ED$17:$GB$17,0),FALSE),"N/A")</f>
        <v>0</v>
      </c>
      <c r="Y21" s="8"/>
      <c r="Z21" s="242">
        <f>'J-Sensitivity Charts'!I5</f>
        <v>3780000</v>
      </c>
      <c r="AA21" s="237" t="s">
        <v>1056</v>
      </c>
      <c r="AB21" s="199"/>
      <c r="AC21" s="199"/>
      <c r="AD21" s="199"/>
    </row>
    <row r="22" spans="1:30" x14ac:dyDescent="0.25">
      <c r="A22" s="300"/>
      <c r="B22" s="546"/>
      <c r="C22" s="545"/>
      <c r="D22" s="545"/>
      <c r="E22" s="256"/>
      <c r="F22" s="300"/>
      <c r="G22" s="256"/>
      <c r="H22" s="256"/>
      <c r="I22" s="89"/>
      <c r="J22" s="544"/>
      <c r="K22" s="256"/>
      <c r="M22" s="743" t="str">
        <f t="shared" si="2"/>
        <v>N/A</v>
      </c>
      <c r="N22" s="240"/>
      <c r="O22" s="241"/>
      <c r="P22" s="199"/>
      <c r="Q22" s="247">
        <f t="shared" si="1"/>
        <v>6</v>
      </c>
      <c r="R22" s="462" t="str">
        <f>IFERROR(IF((ABS(T22)+ABS(U22))=0,"N/A",VLOOKUP($Q22,'H-Risk Register-Model'!$ED:$GB,MATCH(R$16,'H-Risk Register-Model'!$ED$17:$GB$17,0),FALSE)),"N/A")</f>
        <v>N/A</v>
      </c>
      <c r="S22" s="8" t="str">
        <f>IFERROR(IF((U22+V22)=0,"N/A",VLOOKUP($Q22,'H-Risk Register-Model'!$ED:$GB,MATCH(S$16,'H-Risk Register-Model'!$ED$17:$GB$17,0),FALSE)),"N/A")</f>
        <v>N/A</v>
      </c>
      <c r="T22" s="465">
        <f>IFERROR(VLOOKUP($Q22,'H-Risk Register-Model'!$ED:$GB,MATCH(T$16,'H-Risk Register-Model'!$ED$17:$GB$17,0),FALSE),"N/A")</f>
        <v>0</v>
      </c>
      <c r="U22" s="465">
        <f>IFERROR(VLOOKUP($Q22,'H-Risk Register-Model'!$ED:$GB,MATCH(U$16,'H-Risk Register-Model'!$ED$17:$GB$17,0),FALSE),"N/A")</f>
        <v>0</v>
      </c>
      <c r="V22" s="465">
        <f>IFERROR(VLOOKUP($Q22,'H-Risk Register-Model'!$ED:$GB,MATCH(V$16,'H-Risk Register-Model'!$ED$17:$GB$17,0),FALSE),"N/A")</f>
        <v>0</v>
      </c>
      <c r="W22" s="465">
        <f>IFERROR(VLOOKUP($Q22,'H-Risk Register-Model'!$ED:$GB,MATCH(W$16,'H-Risk Register-Model'!$ED$17:$GB$17,0),FALSE),"N/A")</f>
        <v>0</v>
      </c>
      <c r="X22" s="248">
        <f>IFERROR(VLOOKUP($Q22,'H-Risk Register-Model'!$ED:$GB,MATCH(X$16,'H-Risk Register-Model'!$ED$17:$GB$17,0),FALSE),"N/A")</f>
        <v>0</v>
      </c>
      <c r="Y22" s="8"/>
      <c r="Z22" s="233">
        <f>Z20/Z21</f>
        <v>1</v>
      </c>
      <c r="AA22" s="237" t="s">
        <v>1058</v>
      </c>
      <c r="AB22" s="199"/>
      <c r="AC22" s="199"/>
      <c r="AD22" s="199"/>
    </row>
    <row r="23" spans="1:30" x14ac:dyDescent="0.25">
      <c r="A23" s="300"/>
      <c r="B23" s="546"/>
      <c r="C23" s="545"/>
      <c r="D23" s="545"/>
      <c r="E23" s="256"/>
      <c r="F23" s="300"/>
      <c r="G23" s="256"/>
      <c r="H23" s="256"/>
      <c r="I23" s="89"/>
      <c r="J23" s="544"/>
      <c r="K23" s="256"/>
      <c r="M23" s="743" t="str">
        <f t="shared" si="2"/>
        <v>N/A</v>
      </c>
      <c r="N23" s="240"/>
      <c r="O23" s="241"/>
      <c r="P23" s="199"/>
      <c r="Q23" s="247">
        <f t="shared" si="1"/>
        <v>7</v>
      </c>
      <c r="R23" s="462" t="str">
        <f>IFERROR(IF((ABS(T23)+ABS(U23))=0,"N/A",VLOOKUP($Q23,'H-Risk Register-Model'!$ED:$GB,MATCH(R$16,'H-Risk Register-Model'!$ED$17:$GB$17,0),FALSE)),"N/A")</f>
        <v>N/A</v>
      </c>
      <c r="S23" s="8" t="str">
        <f>IFERROR(IF((U23+V23)=0,"N/A",VLOOKUP($Q23,'H-Risk Register-Model'!$ED:$GB,MATCH(S$16,'H-Risk Register-Model'!$ED$17:$GB$17,0),FALSE)),"N/A")</f>
        <v>N/A</v>
      </c>
      <c r="T23" s="465">
        <f>IFERROR(VLOOKUP($Q23,'H-Risk Register-Model'!$ED:$GB,MATCH(T$16,'H-Risk Register-Model'!$ED$17:$GB$17,0),FALSE),"N/A")</f>
        <v>0</v>
      </c>
      <c r="U23" s="465">
        <f>IFERROR(VLOOKUP($Q23,'H-Risk Register-Model'!$ED:$GB,MATCH(U$16,'H-Risk Register-Model'!$ED$17:$GB$17,0),FALSE),"N/A")</f>
        <v>0</v>
      </c>
      <c r="V23" s="465">
        <f>IFERROR(VLOOKUP($Q23,'H-Risk Register-Model'!$ED:$GB,MATCH(V$16,'H-Risk Register-Model'!$ED$17:$GB$17,0),FALSE),"N/A")</f>
        <v>0</v>
      </c>
      <c r="W23" s="465">
        <f>IFERROR(VLOOKUP($Q23,'H-Risk Register-Model'!$ED:$GB,MATCH(W$16,'H-Risk Register-Model'!$ED$17:$GB$17,0),FALSE),"N/A")</f>
        <v>0</v>
      </c>
      <c r="X23" s="248">
        <f>IFERROR(VLOOKUP($Q23,'H-Risk Register-Model'!$ED:$GB,MATCH(X$16,'H-Risk Register-Model'!$ED$17:$GB$17,0),FALSE),"N/A")</f>
        <v>0</v>
      </c>
      <c r="Y23" s="8"/>
      <c r="Z23" s="8"/>
      <c r="AA23" s="237"/>
      <c r="AB23" s="199"/>
      <c r="AC23" s="199"/>
      <c r="AD23" s="199"/>
    </row>
    <row r="24" spans="1:30" x14ac:dyDescent="0.25">
      <c r="A24" s="300"/>
      <c r="B24" s="546"/>
      <c r="C24" s="545"/>
      <c r="D24" s="545"/>
      <c r="E24" s="256"/>
      <c r="F24" s="300"/>
      <c r="G24" s="256"/>
      <c r="H24" s="256"/>
      <c r="I24" s="89"/>
      <c r="J24" s="544"/>
      <c r="K24" s="256"/>
      <c r="M24" s="743" t="str">
        <f t="shared" si="2"/>
        <v>N/A</v>
      </c>
      <c r="N24" s="240"/>
      <c r="O24" s="241"/>
      <c r="P24" s="199"/>
      <c r="Q24" s="247">
        <f t="shared" si="1"/>
        <v>8</v>
      </c>
      <c r="R24" s="462" t="str">
        <f>IFERROR(IF((ABS(T24)+ABS(U24))=0,"N/A",VLOOKUP($Q24,'H-Risk Register-Model'!$ED:$GB,MATCH(R$16,'H-Risk Register-Model'!$ED$17:$GB$17,0),FALSE)),"N/A")</f>
        <v>N/A</v>
      </c>
      <c r="S24" s="8" t="str">
        <f>IFERROR(IF((U24+V24)=0,"N/A",VLOOKUP($Q24,'H-Risk Register-Model'!$ED:$GB,MATCH(S$16,'H-Risk Register-Model'!$ED$17:$GB$17,0),FALSE)),"N/A")</f>
        <v>N/A</v>
      </c>
      <c r="T24" s="465">
        <f>IFERROR(VLOOKUP($Q24,'H-Risk Register-Model'!$ED:$GB,MATCH(T$16,'H-Risk Register-Model'!$ED$17:$GB$17,0),FALSE),"N/A")</f>
        <v>0</v>
      </c>
      <c r="U24" s="465">
        <f>IFERROR(VLOOKUP($Q24,'H-Risk Register-Model'!$ED:$GB,MATCH(U$16,'H-Risk Register-Model'!$ED$17:$GB$17,0),FALSE),"N/A")</f>
        <v>0</v>
      </c>
      <c r="V24" s="465">
        <f>IFERROR(VLOOKUP($Q24,'H-Risk Register-Model'!$ED:$GB,MATCH(V$16,'H-Risk Register-Model'!$ED$17:$GB$17,0),FALSE),"N/A")</f>
        <v>0</v>
      </c>
      <c r="W24" s="465">
        <f>IFERROR(VLOOKUP($Q24,'H-Risk Register-Model'!$ED:$GB,MATCH(W$16,'H-Risk Register-Model'!$ED$17:$GB$17,0),FALSE),"N/A")</f>
        <v>0</v>
      </c>
      <c r="X24" s="248">
        <f>IFERROR(VLOOKUP($Q24,'H-Risk Register-Model'!$ED:$GB,MATCH(X$16,'H-Risk Register-Model'!$ED$17:$GB$17,0),FALSE),"N/A")</f>
        <v>0</v>
      </c>
      <c r="Y24" s="8"/>
      <c r="Z24" s="8"/>
      <c r="AA24" s="237"/>
      <c r="AB24" s="199"/>
      <c r="AC24" s="199"/>
      <c r="AD24" s="199"/>
    </row>
    <row r="25" spans="1:30" x14ac:dyDescent="0.25">
      <c r="A25" s="300"/>
      <c r="B25" s="546"/>
      <c r="C25" s="545"/>
      <c r="D25" s="545"/>
      <c r="E25" s="256"/>
      <c r="F25" s="300"/>
      <c r="G25" s="256"/>
      <c r="H25" s="256"/>
      <c r="I25" s="89"/>
      <c r="J25" s="544"/>
      <c r="K25" s="256"/>
      <c r="M25" s="743" t="str">
        <f t="shared" si="2"/>
        <v>N/A</v>
      </c>
      <c r="N25" s="240"/>
      <c r="O25" s="241"/>
      <c r="P25" s="199"/>
      <c r="Q25" s="247">
        <f t="shared" si="1"/>
        <v>9</v>
      </c>
      <c r="R25" s="462" t="str">
        <f>IFERROR(IF((ABS(T25)+ABS(U25))=0,"N/A",VLOOKUP($Q25,'H-Risk Register-Model'!$ED:$GB,MATCH(R$16,'H-Risk Register-Model'!$ED$17:$GB$17,0),FALSE)),"N/A")</f>
        <v>N/A</v>
      </c>
      <c r="S25" s="8" t="str">
        <f>IFERROR(IF((U25+V25)=0,"N/A",VLOOKUP($Q25,'H-Risk Register-Model'!$ED:$GB,MATCH(S$16,'H-Risk Register-Model'!$ED$17:$GB$17,0),FALSE)),"N/A")</f>
        <v>N/A</v>
      </c>
      <c r="T25" s="465">
        <f>IFERROR(VLOOKUP($Q25,'H-Risk Register-Model'!$ED:$GB,MATCH(T$16,'H-Risk Register-Model'!$ED$17:$GB$17,0),FALSE),"N/A")</f>
        <v>0</v>
      </c>
      <c r="U25" s="465">
        <f>IFERROR(VLOOKUP($Q25,'H-Risk Register-Model'!$ED:$GB,MATCH(U$16,'H-Risk Register-Model'!$ED$17:$GB$17,0),FALSE),"N/A")</f>
        <v>0</v>
      </c>
      <c r="V25" s="465">
        <f>IFERROR(VLOOKUP($Q25,'H-Risk Register-Model'!$ED:$GB,MATCH(V$16,'H-Risk Register-Model'!$ED$17:$GB$17,0),FALSE),"N/A")</f>
        <v>0</v>
      </c>
      <c r="W25" s="465">
        <f>IFERROR(VLOOKUP($Q25,'H-Risk Register-Model'!$ED:$GB,MATCH(W$16,'H-Risk Register-Model'!$ED$17:$GB$17,0),FALSE),"N/A")</f>
        <v>0</v>
      </c>
      <c r="X25" s="248">
        <f>IFERROR(VLOOKUP($Q25,'H-Risk Register-Model'!$ED:$GB,MATCH(X$16,'H-Risk Register-Model'!$ED$17:$GB$17,0),FALSE),"N/A")</f>
        <v>0</v>
      </c>
      <c r="Y25" s="8"/>
      <c r="Z25" s="8"/>
      <c r="AA25" s="237"/>
      <c r="AB25" s="199"/>
      <c r="AC25" s="199"/>
      <c r="AD25" s="199"/>
    </row>
    <row r="26" spans="1:30" x14ac:dyDescent="0.25">
      <c r="A26" s="300"/>
      <c r="B26" s="546"/>
      <c r="C26" s="545"/>
      <c r="D26" s="545"/>
      <c r="E26" s="300"/>
      <c r="F26" s="300"/>
      <c r="G26" s="256"/>
      <c r="H26" s="256"/>
      <c r="I26" s="89"/>
      <c r="J26" s="544"/>
      <c r="K26" s="256"/>
      <c r="M26" s="743" t="str">
        <f t="shared" si="2"/>
        <v>N/A</v>
      </c>
      <c r="N26" s="240"/>
      <c r="O26" s="241"/>
      <c r="P26" s="199"/>
      <c r="Q26" s="247">
        <f t="shared" si="1"/>
        <v>10</v>
      </c>
      <c r="R26" s="462" t="str">
        <f>IFERROR(IF((ABS(T26)+ABS(U26))=0,"N/A",VLOOKUP($Q26,'H-Risk Register-Model'!$ED:$GB,MATCH(R$16,'H-Risk Register-Model'!$ED$17:$GB$17,0),FALSE)),"N/A")</f>
        <v>N/A</v>
      </c>
      <c r="S26" s="8" t="str">
        <f>IFERROR(IF((U26+V26)=0,"N/A",VLOOKUP($Q26,'H-Risk Register-Model'!$ED:$GB,MATCH(S$16,'H-Risk Register-Model'!$ED$17:$GB$17,0),FALSE)),"N/A")</f>
        <v>N/A</v>
      </c>
      <c r="T26" s="465">
        <f>IFERROR(VLOOKUP($Q26,'H-Risk Register-Model'!$ED:$GB,MATCH(T$16,'H-Risk Register-Model'!$ED$17:$GB$17,0),FALSE),"N/A")</f>
        <v>0</v>
      </c>
      <c r="U26" s="465">
        <f>IFERROR(VLOOKUP($Q26,'H-Risk Register-Model'!$ED:$GB,MATCH(U$16,'H-Risk Register-Model'!$ED$17:$GB$17,0),FALSE),"N/A")</f>
        <v>0</v>
      </c>
      <c r="V26" s="465">
        <f>IFERROR(VLOOKUP($Q26,'H-Risk Register-Model'!$ED:$GB,MATCH(V$16,'H-Risk Register-Model'!$ED$17:$GB$17,0),FALSE),"N/A")</f>
        <v>0</v>
      </c>
      <c r="W26" s="465">
        <f>IFERROR(VLOOKUP($Q26,'H-Risk Register-Model'!$ED:$GB,MATCH(W$16,'H-Risk Register-Model'!$ED$17:$GB$17,0),FALSE),"N/A")</f>
        <v>0</v>
      </c>
      <c r="X26" s="248">
        <f>IFERROR(VLOOKUP($Q26,'H-Risk Register-Model'!$ED:$GB,MATCH(X$16,'H-Risk Register-Model'!$ED$17:$GB$17,0),FALSE),"N/A")</f>
        <v>0</v>
      </c>
      <c r="Y26" s="8"/>
      <c r="Z26" s="8"/>
      <c r="AA26" s="237"/>
      <c r="AB26" s="199"/>
      <c r="AC26" s="199"/>
      <c r="AD26" s="199"/>
    </row>
    <row r="27" spans="1:30" ht="15.75" thickBot="1" x14ac:dyDescent="0.3">
      <c r="A27" s="300"/>
      <c r="B27" s="546"/>
      <c r="C27" s="547"/>
      <c r="D27" s="547"/>
      <c r="E27" s="300"/>
      <c r="F27" s="300"/>
      <c r="G27" s="256"/>
      <c r="H27" s="256"/>
      <c r="I27" s="89"/>
      <c r="J27" s="544"/>
      <c r="K27" s="256"/>
      <c r="M27" s="743" t="str">
        <f t="shared" si="2"/>
        <v>N/A</v>
      </c>
      <c r="N27" s="240"/>
      <c r="O27" s="241"/>
      <c r="P27" s="199"/>
      <c r="Q27" s="249"/>
      <c r="R27" s="250"/>
      <c r="S27" s="251" t="str">
        <f>IF(M30="Yes","Remaining Contingency","")</f>
        <v>Remaining Contingency</v>
      </c>
      <c r="T27" s="252"/>
      <c r="U27" s="252"/>
      <c r="V27" s="252">
        <f>IF($M30="Yes",VLOOKUP(V14,'I-Project Contingency'!$C$61:$F$81,4,FALSE)-SUM(V17:V26),"")</f>
        <v>0</v>
      </c>
      <c r="W27" s="252">
        <f>IF($M30="Yes",VLOOKUP(W14,'I-Project Contingency'!$C$61:$F$81,4,FALSE)-SUM(W17:W26),"")</f>
        <v>0</v>
      </c>
      <c r="X27" s="253">
        <f>IF($M30="Yes",VLOOKUP(X14,'I-Project Contingency'!$C$61:$F$81,4,FALSE)-SUM(X17:X26),"")</f>
        <v>0</v>
      </c>
      <c r="Y27" s="8"/>
      <c r="Z27" s="8"/>
      <c r="AA27" s="237"/>
      <c r="AB27" s="199"/>
      <c r="AC27" s="199"/>
      <c r="AD27" s="199"/>
    </row>
    <row r="28" spans="1:30" x14ac:dyDescent="0.25">
      <c r="A28" s="300"/>
      <c r="B28" s="546"/>
      <c r="C28" s="547"/>
      <c r="D28" s="547"/>
      <c r="E28" s="300"/>
      <c r="F28" s="300"/>
      <c r="G28" s="256"/>
      <c r="H28" s="256"/>
      <c r="I28" s="89"/>
      <c r="J28" s="544"/>
      <c r="K28" s="256"/>
      <c r="M28" s="743" t="str">
        <f t="shared" si="2"/>
        <v>N/A</v>
      </c>
      <c r="N28" s="240"/>
      <c r="O28" s="241"/>
      <c r="P28" s="199"/>
      <c r="Q28" s="8"/>
      <c r="R28" s="8"/>
      <c r="S28" s="8"/>
      <c r="T28" s="8"/>
      <c r="U28" s="8"/>
      <c r="V28" s="8"/>
      <c r="W28" s="8"/>
      <c r="X28" s="8"/>
      <c r="Y28" s="8"/>
      <c r="Z28" s="8"/>
      <c r="AA28" s="237"/>
      <c r="AB28" s="199"/>
      <c r="AC28" s="199"/>
      <c r="AD28" s="199"/>
    </row>
    <row r="29" spans="1:30" x14ac:dyDescent="0.25">
      <c r="A29" s="300"/>
      <c r="B29" s="546"/>
      <c r="C29" s="547"/>
      <c r="D29" s="547"/>
      <c r="E29" s="300"/>
      <c r="F29" s="300"/>
      <c r="G29" s="256"/>
      <c r="H29" s="256"/>
      <c r="I29" s="89"/>
      <c r="J29" s="544"/>
      <c r="K29" s="256"/>
      <c r="M29" s="199"/>
      <c r="N29" s="199"/>
      <c r="O29" s="199"/>
      <c r="P29" s="199"/>
      <c r="Q29" s="8"/>
      <c r="R29" s="8"/>
      <c r="S29" s="8"/>
      <c r="T29" s="8"/>
      <c r="U29" s="8"/>
      <c r="V29" s="8"/>
      <c r="W29" s="8"/>
      <c r="X29" s="8"/>
      <c r="Y29" s="8"/>
      <c r="Z29" s="8"/>
      <c r="AA29" s="237"/>
      <c r="AB29" s="199"/>
      <c r="AC29" s="199"/>
      <c r="AD29" s="199"/>
    </row>
    <row r="30" spans="1:30" x14ac:dyDescent="0.25">
      <c r="A30" s="300"/>
      <c r="B30" s="546"/>
      <c r="C30" s="547"/>
      <c r="D30" s="547"/>
      <c r="E30" s="300"/>
      <c r="F30" s="300"/>
      <c r="G30" s="256"/>
      <c r="H30" s="256"/>
      <c r="I30" s="89"/>
      <c r="J30" s="544"/>
      <c r="K30" s="256"/>
      <c r="M30" s="742" t="s">
        <v>1293</v>
      </c>
      <c r="N30" s="199"/>
      <c r="O30" s="199"/>
      <c r="P30" s="199"/>
      <c r="Q30" s="8"/>
      <c r="R30" s="8"/>
      <c r="S30" s="8"/>
      <c r="T30" s="8"/>
      <c r="U30" s="8"/>
      <c r="V30" s="8"/>
      <c r="W30" s="8"/>
      <c r="X30" s="8"/>
      <c r="Y30" s="8"/>
      <c r="Z30" s="8"/>
      <c r="AA30" s="237"/>
      <c r="AB30" s="199"/>
      <c r="AC30" s="199"/>
      <c r="AD30" s="199"/>
    </row>
    <row r="31" spans="1:30" x14ac:dyDescent="0.25">
      <c r="A31" s="300"/>
      <c r="B31" s="546"/>
      <c r="C31" s="547"/>
      <c r="D31" s="547"/>
      <c r="E31" s="300"/>
      <c r="F31" s="300"/>
      <c r="G31" s="256"/>
      <c r="H31" s="256"/>
      <c r="I31" s="89"/>
      <c r="J31" s="544"/>
      <c r="K31" s="256"/>
      <c r="M31" s="199"/>
      <c r="N31" s="199"/>
      <c r="O31" s="199"/>
      <c r="P31" s="199"/>
      <c r="Q31" s="8"/>
      <c r="R31" s="8"/>
      <c r="S31" s="8"/>
      <c r="T31" s="8"/>
      <c r="U31" s="8"/>
      <c r="V31" s="8"/>
      <c r="W31" s="8"/>
      <c r="X31" s="8"/>
      <c r="Y31" s="8"/>
      <c r="Z31" s="8"/>
      <c r="AA31" s="237"/>
      <c r="AB31" s="199"/>
      <c r="AC31" s="199"/>
      <c r="AD31" s="199"/>
    </row>
    <row r="32" spans="1:30" x14ac:dyDescent="0.25">
      <c r="A32" s="300"/>
      <c r="B32" s="546"/>
      <c r="C32" s="547"/>
      <c r="D32" s="547"/>
      <c r="E32" s="300"/>
      <c r="F32" s="300"/>
      <c r="G32" s="256"/>
      <c r="H32" s="256"/>
      <c r="I32" s="89"/>
      <c r="J32" s="544"/>
      <c r="K32" s="256"/>
      <c r="M32" s="199"/>
      <c r="N32" s="199"/>
      <c r="O32" s="199"/>
      <c r="P32" s="199"/>
      <c r="Q32" s="8"/>
      <c r="R32" s="8"/>
      <c r="S32" s="8"/>
      <c r="T32" s="8"/>
      <c r="U32" s="8"/>
      <c r="V32" s="8"/>
      <c r="W32" s="8"/>
      <c r="X32" s="8"/>
      <c r="Y32" s="8"/>
      <c r="Z32" s="8"/>
      <c r="AA32" s="237"/>
      <c r="AB32" s="199"/>
      <c r="AC32" s="199"/>
      <c r="AD32" s="199"/>
    </row>
    <row r="33" spans="1:30" x14ac:dyDescent="0.25">
      <c r="A33" s="300"/>
      <c r="B33" s="546"/>
      <c r="C33" s="547"/>
      <c r="D33" s="547"/>
      <c r="E33" s="300"/>
      <c r="F33" s="300"/>
      <c r="G33" s="256"/>
      <c r="H33" s="256"/>
      <c r="I33" s="89"/>
      <c r="J33" s="544"/>
      <c r="K33" s="256"/>
      <c r="M33" s="199"/>
      <c r="N33" s="199"/>
      <c r="O33" s="199"/>
      <c r="P33" s="199"/>
      <c r="Q33" s="8"/>
      <c r="R33" s="8"/>
      <c r="S33" s="8"/>
      <c r="T33" s="8"/>
      <c r="U33" s="8"/>
      <c r="V33" s="8"/>
      <c r="W33" s="8"/>
      <c r="X33" s="8"/>
      <c r="Y33" s="8"/>
      <c r="Z33" s="8"/>
      <c r="AA33" s="237"/>
      <c r="AB33" s="199"/>
      <c r="AC33" s="199"/>
      <c r="AD33" s="199"/>
    </row>
    <row r="34" spans="1:30" x14ac:dyDescent="0.25">
      <c r="A34" s="300"/>
      <c r="B34" s="546"/>
      <c r="C34" s="547"/>
      <c r="D34" s="547"/>
      <c r="E34" s="300"/>
      <c r="F34" s="300"/>
      <c r="G34" s="256"/>
      <c r="H34" s="256"/>
      <c r="I34" s="89"/>
      <c r="J34" s="544"/>
      <c r="K34" s="256"/>
      <c r="M34" s="199"/>
      <c r="N34" s="199"/>
      <c r="O34" s="199"/>
      <c r="P34" s="199"/>
      <c r="Q34" s="199"/>
      <c r="R34" s="199"/>
      <c r="S34" s="199"/>
      <c r="T34" s="199"/>
      <c r="U34" s="199"/>
      <c r="V34" s="199"/>
      <c r="W34" s="199"/>
      <c r="X34" s="199"/>
      <c r="Y34" s="199"/>
      <c r="Z34" s="199"/>
      <c r="AA34" s="199"/>
      <c r="AB34" s="199"/>
      <c r="AC34" s="199"/>
      <c r="AD34" s="199"/>
    </row>
    <row r="35" spans="1:30" x14ac:dyDescent="0.25">
      <c r="A35" s="300"/>
      <c r="B35" s="546"/>
      <c r="C35" s="547"/>
      <c r="D35" s="547"/>
      <c r="E35" s="300"/>
      <c r="F35" s="300"/>
      <c r="G35" s="256"/>
      <c r="H35" s="256"/>
      <c r="I35" s="89"/>
      <c r="J35" s="544"/>
      <c r="K35" s="256"/>
      <c r="N35" s="199"/>
      <c r="O35" s="199"/>
      <c r="P35" s="199"/>
      <c r="Q35" s="199"/>
      <c r="R35" s="199"/>
      <c r="S35" s="199"/>
      <c r="T35" s="199"/>
      <c r="U35" s="199"/>
      <c r="V35" s="199"/>
      <c r="W35" s="199"/>
      <c r="X35" s="199"/>
      <c r="Y35" s="199"/>
      <c r="Z35" s="199"/>
      <c r="AA35" s="199"/>
      <c r="AB35" s="199"/>
      <c r="AC35" s="199"/>
      <c r="AD35" s="199"/>
    </row>
    <row r="36" spans="1:30" ht="15.75" thickBot="1" x14ac:dyDescent="0.3">
      <c r="A36" s="300"/>
      <c r="B36" s="546"/>
      <c r="C36" s="547"/>
      <c r="D36" s="547"/>
      <c r="E36" s="300"/>
      <c r="F36" s="300"/>
      <c r="G36" s="256"/>
      <c r="H36" s="256"/>
      <c r="I36" s="89"/>
      <c r="J36" s="544"/>
      <c r="K36" s="256"/>
      <c r="N36" s="199"/>
      <c r="O36" s="199"/>
      <c r="P36" s="199"/>
      <c r="AD36" s="199"/>
    </row>
    <row r="37" spans="1:30" ht="15.75" thickBot="1" x14ac:dyDescent="0.3">
      <c r="A37" s="296"/>
      <c r="B37" s="548"/>
      <c r="C37" s="549"/>
      <c r="D37" s="549"/>
      <c r="E37" s="549"/>
      <c r="F37" s="549"/>
      <c r="G37" s="550"/>
      <c r="H37" s="550"/>
      <c r="I37" s="549"/>
      <c r="J37" s="551"/>
      <c r="K37" s="256"/>
      <c r="Q37" s="1016" t="s">
        <v>857</v>
      </c>
      <c r="R37" s="1017"/>
      <c r="S37" s="1017"/>
      <c r="T37" s="1017"/>
      <c r="U37" s="1017"/>
      <c r="V37" s="1017"/>
      <c r="W37" s="1017"/>
      <c r="X37" s="1018"/>
      <c r="AC37" s="199"/>
    </row>
    <row r="38" spans="1:30" ht="30.75" thickBot="1" x14ac:dyDescent="0.3">
      <c r="A38" s="266"/>
      <c r="B38" s="969" t="s">
        <v>858</v>
      </c>
      <c r="C38" s="967"/>
      <c r="D38" s="967"/>
      <c r="E38" s="967"/>
      <c r="F38" s="967"/>
      <c r="G38" s="967"/>
      <c r="H38" s="967"/>
      <c r="I38" s="967"/>
      <c r="J38" s="968"/>
      <c r="K38" s="256"/>
      <c r="Q38" s="244" t="str">
        <f>Q16</f>
        <v>Rank</v>
      </c>
      <c r="R38" s="245" t="str">
        <f>R16</f>
        <v>Risk Item for Lookup</v>
      </c>
      <c r="S38" s="245" t="str">
        <f>S16</f>
        <v>Risk Item Name for Chart</v>
      </c>
      <c r="T38" s="245" t="str">
        <f>'H-Risk Register-Model'!GA17</f>
        <v>Schedule LV</v>
      </c>
      <c r="U38" s="245" t="str">
        <f>'H-Risk Register-Model'!GB17</f>
        <v>Schedule HV</v>
      </c>
      <c r="V38" s="245" t="str">
        <f>"ROM Schedule Risk @ "&amp;V14*100&amp;"%"</f>
        <v>ROM Schedule Risk @ 50%</v>
      </c>
      <c r="W38" s="245" t="str">
        <f t="shared" ref="W38:X38" si="3">"ROM Schedule Risk @ "&amp;W14*100&amp;"%"</f>
        <v>ROM Schedule Risk @ 85%</v>
      </c>
      <c r="X38" s="246" t="str">
        <f t="shared" si="3"/>
        <v>ROM Schedule Risk @ 90%</v>
      </c>
      <c r="Y38" s="8"/>
      <c r="Z38" s="8"/>
      <c r="AA38" s="237"/>
      <c r="AB38" s="199"/>
      <c r="AC38" s="199"/>
      <c r="AD38" s="199"/>
    </row>
    <row r="39" spans="1:30" x14ac:dyDescent="0.25">
      <c r="A39" s="300"/>
      <c r="B39" s="543"/>
      <c r="C39" s="266"/>
      <c r="D39" s="266"/>
      <c r="E39" s="256"/>
      <c r="F39" s="300"/>
      <c r="G39" s="256"/>
      <c r="H39" s="256"/>
      <c r="I39" s="89"/>
      <c r="J39" s="544"/>
      <c r="K39" s="256"/>
      <c r="N39" s="199"/>
      <c r="O39" s="199"/>
      <c r="P39" s="199"/>
      <c r="Q39" s="247">
        <v>1</v>
      </c>
      <c r="R39" s="462">
        <f>IFERROR(IF((ABS(T39)+ABS(U39))=0,"N/A",VLOOKUP($Q39,'H-Risk Register-Model'!$FA:$GB,MATCH(R$16,'H-Risk Register-Model'!$FA$17:$GB$17,0),FALSE)),"N/A")</f>
        <v>1</v>
      </c>
      <c r="S39" s="8" t="str">
        <f>IFERROR(IF((U39+V39)=0,"N/A",VLOOKUP($Q39,'H-Risk Register-Model'!$FA:$GB,MATCH(S$16,'H-Risk Register-Model'!$FA$17:$GB$17,0),FALSE)),"N/A")</f>
        <v>1 - PLEASE TYPE FIRST RISK OVER THE TOP OF THIS ONE</v>
      </c>
      <c r="T39" s="466">
        <f>IFERROR(VLOOKUP($Q39,'H-Risk Register-Model'!$FA:$GB,MATCH(T$38,'H-Risk Register-Model'!$FA$17:$GB$17,0),FALSE),"N/A")</f>
        <v>-1</v>
      </c>
      <c r="U39" s="466">
        <f>IFERROR(VLOOKUP($Q39,'H-Risk Register-Model'!$FA:$GB,MATCH(U$38,'H-Risk Register-Model'!$FA$17:$GB$17,0),FALSE),"N/A")</f>
        <v>6</v>
      </c>
      <c r="V39" s="466">
        <f>IFERROR(VLOOKUP($Q39,'H-Risk Register-Model'!$FA:$GB,MATCH(V$38,'H-Risk Register-Model'!$FA$17:$GB$17,0),FALSE),"N/A")</f>
        <v>3.1171532846715331</v>
      </c>
      <c r="W39" s="466">
        <f>IFERROR(VLOOKUP($Q39,'H-Risk Register-Model'!$FA:$GB,MATCH(W$38,'H-Risk Register-Model'!$FA$17:$GB$17,0),FALSE),"N/A")</f>
        <v>6.9536496350364976</v>
      </c>
      <c r="X39" s="254">
        <f>IFERROR(VLOOKUP($Q39,'H-Risk Register-Model'!$FA:$GB,MATCH(X$38,'H-Risk Register-Model'!$FA$17:$GB$17,0),FALSE),"N/A")</f>
        <v>7.6729927007299272</v>
      </c>
      <c r="Y39" s="8"/>
      <c r="AB39" s="199"/>
      <c r="AC39" s="199"/>
      <c r="AD39" s="199"/>
    </row>
    <row r="40" spans="1:30" x14ac:dyDescent="0.25">
      <c r="A40" s="300"/>
      <c r="B40" s="543"/>
      <c r="C40" s="545"/>
      <c r="D40" s="545"/>
      <c r="E40" s="256"/>
      <c r="F40" s="300"/>
      <c r="G40" s="256"/>
      <c r="H40" s="256"/>
      <c r="I40" s="89"/>
      <c r="J40" s="544"/>
      <c r="K40" s="256"/>
      <c r="M40" s="238" t="s">
        <v>856</v>
      </c>
      <c r="N40" s="199"/>
      <c r="O40" s="199"/>
      <c r="P40" s="199"/>
      <c r="Q40" s="247">
        <f t="shared" ref="Q40:Q48" si="4">Q39+1</f>
        <v>2</v>
      </c>
      <c r="R40" s="462" t="str">
        <f>IFERROR(IF((ABS(T40)+ABS(U40))=0,"N/A",VLOOKUP($Q40,'H-Risk Register-Model'!$FA:$GB,MATCH(R$16,'H-Risk Register-Model'!$FA$17:$GB$17,0),FALSE)),"N/A")</f>
        <v>N/A</v>
      </c>
      <c r="S40" s="8" t="str">
        <f>IFERROR(IF((U40+V40)=0,"N/A",VLOOKUP($Q40,'H-Risk Register-Model'!$FA:$GB,MATCH(S$16,'H-Risk Register-Model'!$FA$17:$GB$17,0),FALSE)),"N/A")</f>
        <v>N/A</v>
      </c>
      <c r="T40" s="466">
        <f>IFERROR(VLOOKUP($Q40,'H-Risk Register-Model'!$FA:$GB,MATCH(T$38,'H-Risk Register-Model'!$FA$17:$GB$17,0),FALSE),"N/A")</f>
        <v>0</v>
      </c>
      <c r="U40" s="466">
        <f>IFERROR(VLOOKUP($Q40,'H-Risk Register-Model'!$FA:$GB,MATCH(U$38,'H-Risk Register-Model'!$FA$17:$GB$17,0),FALSE),"N/A")</f>
        <v>0</v>
      </c>
      <c r="V40" s="466">
        <f>IFERROR(VLOOKUP($Q40,'H-Risk Register-Model'!$FA:$GB,MATCH(V$38,'H-Risk Register-Model'!$FA$17:$GB$17,0),FALSE),"N/A")</f>
        <v>0</v>
      </c>
      <c r="W40" s="466">
        <f>IFERROR(VLOOKUP($Q40,'H-Risk Register-Model'!$FA:$GB,MATCH(W$38,'H-Risk Register-Model'!$FA$17:$GB$17,0),FALSE),"N/A")</f>
        <v>0</v>
      </c>
      <c r="X40" s="254">
        <f>IFERROR(VLOOKUP($Q40,'H-Risk Register-Model'!$FA:$GB,MATCH(X$38,'H-Risk Register-Model'!$FA$17:$GB$17,0),FALSE),"N/A")</f>
        <v>0</v>
      </c>
      <c r="Y40" s="8"/>
      <c r="Z40" s="1001" t="s">
        <v>1059</v>
      </c>
      <c r="AA40" s="1001"/>
      <c r="AB40" s="199"/>
      <c r="AC40" s="199"/>
      <c r="AD40" s="199"/>
    </row>
    <row r="41" spans="1:30" x14ac:dyDescent="0.25">
      <c r="A41" s="300"/>
      <c r="B41" s="546"/>
      <c r="C41" s="545"/>
      <c r="D41" s="545"/>
      <c r="E41" s="256"/>
      <c r="F41" s="300"/>
      <c r="G41" s="256"/>
      <c r="H41" s="256"/>
      <c r="I41" s="89"/>
      <c r="J41" s="544"/>
      <c r="K41" s="256"/>
      <c r="M41" s="743">
        <f t="shared" ref="M41:M50" si="5">R39</f>
        <v>1</v>
      </c>
      <c r="N41" s="240"/>
      <c r="O41" s="241"/>
      <c r="P41" s="199"/>
      <c r="Q41" s="247">
        <f t="shared" si="4"/>
        <v>3</v>
      </c>
      <c r="R41" s="462" t="str">
        <f>IFERROR(IF((ABS(T41)+ABS(U41))=0,"N/A",VLOOKUP($Q41,'H-Risk Register-Model'!$FA:$GB,MATCH(R$16,'H-Risk Register-Model'!$FA$17:$GB$17,0),FALSE)),"N/A")</f>
        <v>N/A</v>
      </c>
      <c r="S41" s="8" t="str">
        <f>IFERROR(IF((U41+V41)=0,"N/A",VLOOKUP($Q41,'H-Risk Register-Model'!$FA:$GB,MATCH(S$16,'H-Risk Register-Model'!$FA$17:$GB$17,0),FALSE)),"N/A")</f>
        <v>N/A</v>
      </c>
      <c r="T41" s="466">
        <f>IFERROR(VLOOKUP($Q41,'H-Risk Register-Model'!$FA:$GB,MATCH(T$38,'H-Risk Register-Model'!$FA$17:$GB$17,0),FALSE),"N/A")</f>
        <v>0</v>
      </c>
      <c r="U41" s="466">
        <f>IFERROR(VLOOKUP($Q41,'H-Risk Register-Model'!$FA:$GB,MATCH(U$38,'H-Risk Register-Model'!$FA$17:$GB$17,0),FALSE),"N/A")</f>
        <v>0</v>
      </c>
      <c r="V41" s="466">
        <f>IFERROR(VLOOKUP($Q41,'H-Risk Register-Model'!$FA:$GB,MATCH(V$38,'H-Risk Register-Model'!$FA$17:$GB$17,0),FALSE),"N/A")</f>
        <v>0</v>
      </c>
      <c r="W41" s="466">
        <f>IFERROR(VLOOKUP($Q41,'H-Risk Register-Model'!$FA:$GB,MATCH(W$38,'H-Risk Register-Model'!$FA$17:$GB$17,0),FALSE),"N/A")</f>
        <v>0</v>
      </c>
      <c r="X41" s="254">
        <f>IFERROR(VLOOKUP($Q41,'H-Risk Register-Model'!$FA:$GB,MATCH(X$38,'H-Risk Register-Model'!$FA$17:$GB$17,0),FALSE),"N/A")</f>
        <v>0</v>
      </c>
      <c r="Y41" s="8"/>
      <c r="Z41" s="239">
        <f>'D-Project Data'!$C$6</f>
        <v>0.85</v>
      </c>
      <c r="AA41" s="237" t="str">
        <f>AA19</f>
        <v>Confidence Level</v>
      </c>
      <c r="AB41" s="199"/>
      <c r="AC41" s="199"/>
      <c r="AD41" s="199"/>
    </row>
    <row r="42" spans="1:30" x14ac:dyDescent="0.25">
      <c r="A42" s="300"/>
      <c r="B42" s="546"/>
      <c r="C42" s="545"/>
      <c r="D42" s="545"/>
      <c r="E42" s="256"/>
      <c r="F42" s="300"/>
      <c r="G42" s="256"/>
      <c r="H42" s="256"/>
      <c r="I42" s="89"/>
      <c r="J42" s="544"/>
      <c r="K42" s="256"/>
      <c r="M42" s="743" t="str">
        <f>R40</f>
        <v>N/A</v>
      </c>
      <c r="N42" s="240"/>
      <c r="O42" s="241"/>
      <c r="P42" s="199"/>
      <c r="Q42" s="247">
        <f t="shared" si="4"/>
        <v>4</v>
      </c>
      <c r="R42" s="462" t="str">
        <f>IFERROR(IF((ABS(T42)+ABS(U42))=0,"N/A",VLOOKUP($Q42,'H-Risk Register-Model'!$FA:$GB,MATCH(R$16,'H-Risk Register-Model'!$FA$17:$GB$17,0),FALSE)),"N/A")</f>
        <v>N/A</v>
      </c>
      <c r="S42" s="8" t="str">
        <f>IFERROR(IF((U42+V42)=0,"N/A",VLOOKUP($Q42,'H-Risk Register-Model'!$FA:$GB,MATCH(S$16,'H-Risk Register-Model'!$FA$17:$GB$17,0),FALSE)),"N/A")</f>
        <v>N/A</v>
      </c>
      <c r="T42" s="466">
        <f>IFERROR(VLOOKUP($Q42,'H-Risk Register-Model'!$FA:$GB,MATCH(T$38,'H-Risk Register-Model'!$FA$17:$GB$17,0),FALSE),"N/A")</f>
        <v>0</v>
      </c>
      <c r="U42" s="466">
        <f>IFERROR(VLOOKUP($Q42,'H-Risk Register-Model'!$FA:$GB,MATCH(U$38,'H-Risk Register-Model'!$FA$17:$GB$17,0),FALSE),"N/A")</f>
        <v>0</v>
      </c>
      <c r="V42" s="466">
        <f>IFERROR(VLOOKUP($Q42,'H-Risk Register-Model'!$FA:$GB,MATCH(V$38,'H-Risk Register-Model'!$FA$17:$GB$17,0),FALSE),"N/A")</f>
        <v>0</v>
      </c>
      <c r="W42" s="466">
        <f>IFERROR(VLOOKUP($Q42,'H-Risk Register-Model'!$FA:$GB,MATCH(W$38,'H-Risk Register-Model'!$FA$17:$GB$17,0),FALSE),"N/A")</f>
        <v>0</v>
      </c>
      <c r="X42" s="254">
        <f>IFERROR(VLOOKUP($Q42,'H-Risk Register-Model'!$FA:$GB,MATCH(X$38,'H-Risk Register-Model'!$FA$17:$GB$17,0),FALSE),"N/A")</f>
        <v>0</v>
      </c>
      <c r="Y42" s="8"/>
      <c r="Z42" s="243">
        <f>IF('J-Sensitivity Charts'!Z41=V14,SUM(V39:V48),IF('J-Sensitivity Charts'!Z41=W14,SUM(W39:W48),IF('J-Sensitivity Charts'!Z41=Q15,SUM(X39:X48))))</f>
        <v>6.9536496350364976</v>
      </c>
      <c r="AA42" s="237" t="str">
        <f>AA20</f>
        <v>Sum of Contingency in Table to the Left</v>
      </c>
      <c r="AB42" s="199"/>
      <c r="AC42" s="199"/>
      <c r="AD42" s="199"/>
    </row>
    <row r="43" spans="1:30" x14ac:dyDescent="0.25">
      <c r="A43" s="300"/>
      <c r="B43" s="546"/>
      <c r="C43" s="545"/>
      <c r="D43" s="545"/>
      <c r="E43" s="256"/>
      <c r="F43" s="300"/>
      <c r="G43" s="256"/>
      <c r="H43" s="256"/>
      <c r="I43" s="89"/>
      <c r="J43" s="544"/>
      <c r="K43" s="256"/>
      <c r="M43" s="743" t="str">
        <f t="shared" si="5"/>
        <v>N/A</v>
      </c>
      <c r="N43" s="240"/>
      <c r="O43" s="241"/>
      <c r="P43" s="199"/>
      <c r="Q43" s="247">
        <f t="shared" si="4"/>
        <v>5</v>
      </c>
      <c r="R43" s="462" t="str">
        <f>IFERROR(IF((ABS(T43)+ABS(U43))=0,"N/A",VLOOKUP($Q43,'H-Risk Register-Model'!$FA:$GB,MATCH(R$16,'H-Risk Register-Model'!$FA$17:$GB$17,0),FALSE)),"N/A")</f>
        <v>N/A</v>
      </c>
      <c r="S43" s="8" t="str">
        <f>IFERROR(IF((U43+V43)=0,"N/A",VLOOKUP($Q43,'H-Risk Register-Model'!$FA:$GB,MATCH(S$16,'H-Risk Register-Model'!$FA$17:$GB$17,0),FALSE)),"N/A")</f>
        <v>N/A</v>
      </c>
      <c r="T43" s="466">
        <f>IFERROR(VLOOKUP($Q43,'H-Risk Register-Model'!$FA:$GB,MATCH(T$38,'H-Risk Register-Model'!$FA$17:$GB$17,0),FALSE),"N/A")</f>
        <v>0</v>
      </c>
      <c r="U43" s="466">
        <f>IFERROR(VLOOKUP($Q43,'H-Risk Register-Model'!$FA:$GB,MATCH(U$38,'H-Risk Register-Model'!$FA$17:$GB$17,0),FALSE),"N/A")</f>
        <v>0</v>
      </c>
      <c r="V43" s="466">
        <f>IFERROR(VLOOKUP($Q43,'H-Risk Register-Model'!$FA:$GB,MATCH(V$38,'H-Risk Register-Model'!$FA$17:$GB$17,0),FALSE),"N/A")</f>
        <v>0</v>
      </c>
      <c r="W43" s="466">
        <f>IFERROR(VLOOKUP($Q43,'H-Risk Register-Model'!$FA:$GB,MATCH(W$38,'H-Risk Register-Model'!$FA$17:$GB$17,0),FALSE),"N/A")</f>
        <v>0</v>
      </c>
      <c r="X43" s="254">
        <f>IFERROR(VLOOKUP($Q43,'H-Risk Register-Model'!$FA:$GB,MATCH(X$38,'H-Risk Register-Model'!$FA$17:$GB$17,0),FALSE),"N/A")</f>
        <v>0</v>
      </c>
      <c r="Y43" s="8"/>
      <c r="Z43" s="243">
        <f>'J-Sensitivity Charts'!I12</f>
        <v>6.9536496350364976</v>
      </c>
      <c r="AA43" s="237" t="str">
        <f>AA21</f>
        <v>Check with Project Contingency Total</v>
      </c>
      <c r="AB43" s="199"/>
      <c r="AC43" s="199"/>
      <c r="AD43" s="199"/>
    </row>
    <row r="44" spans="1:30" x14ac:dyDescent="0.25">
      <c r="A44" s="300"/>
      <c r="B44" s="546"/>
      <c r="C44" s="545"/>
      <c r="D44" s="545"/>
      <c r="E44" s="256"/>
      <c r="F44" s="300"/>
      <c r="G44" s="256"/>
      <c r="H44" s="256"/>
      <c r="I44" s="89"/>
      <c r="J44" s="544"/>
      <c r="K44" s="256"/>
      <c r="M44" s="743" t="str">
        <f t="shared" si="5"/>
        <v>N/A</v>
      </c>
      <c r="N44" s="240"/>
      <c r="O44" s="241"/>
      <c r="P44" s="199"/>
      <c r="Q44" s="247">
        <f t="shared" si="4"/>
        <v>6</v>
      </c>
      <c r="R44" s="462" t="str">
        <f>IFERROR(IF((ABS(T44)+ABS(U44))=0,"N/A",VLOOKUP($Q44,'H-Risk Register-Model'!$FA:$GB,MATCH(R$16,'H-Risk Register-Model'!$FA$17:$GB$17,0),FALSE)),"N/A")</f>
        <v>N/A</v>
      </c>
      <c r="S44" s="8" t="str">
        <f>IFERROR(IF((U44+V44)=0,"N/A",VLOOKUP($Q44,'H-Risk Register-Model'!$FA:$GB,MATCH(S$16,'H-Risk Register-Model'!$FA$17:$GB$17,0),FALSE)),"N/A")</f>
        <v>N/A</v>
      </c>
      <c r="T44" s="466">
        <f>IFERROR(VLOOKUP($Q44,'H-Risk Register-Model'!$FA:$GB,MATCH(T$38,'H-Risk Register-Model'!$FA$17:$GB$17,0),FALSE),"N/A")</f>
        <v>0</v>
      </c>
      <c r="U44" s="466">
        <f>IFERROR(VLOOKUP($Q44,'H-Risk Register-Model'!$FA:$GB,MATCH(U$38,'H-Risk Register-Model'!$FA$17:$GB$17,0),FALSE),"N/A")</f>
        <v>0</v>
      </c>
      <c r="V44" s="466">
        <f>IFERROR(VLOOKUP($Q44,'H-Risk Register-Model'!$FA:$GB,MATCH(V$38,'H-Risk Register-Model'!$FA$17:$GB$17,0),FALSE),"N/A")</f>
        <v>0</v>
      </c>
      <c r="W44" s="466">
        <f>IFERROR(VLOOKUP($Q44,'H-Risk Register-Model'!$FA:$GB,MATCH(W$38,'H-Risk Register-Model'!$FA$17:$GB$17,0),FALSE),"N/A")</f>
        <v>0</v>
      </c>
      <c r="X44" s="254">
        <f>IFERROR(VLOOKUP($Q44,'H-Risk Register-Model'!$FA:$GB,MATCH(X$38,'H-Risk Register-Model'!$FA$17:$GB$17,0),FALSE),"N/A")</f>
        <v>0</v>
      </c>
      <c r="Y44" s="8"/>
      <c r="Z44" s="233">
        <f>Z42/Z43</f>
        <v>1</v>
      </c>
      <c r="AA44" s="237" t="str">
        <f>AA22</f>
        <v>of Total Risk</v>
      </c>
      <c r="AB44" s="199"/>
      <c r="AC44" s="199"/>
      <c r="AD44" s="199"/>
    </row>
    <row r="45" spans="1:30" x14ac:dyDescent="0.25">
      <c r="A45" s="300"/>
      <c r="B45" s="546"/>
      <c r="C45" s="545"/>
      <c r="D45" s="545"/>
      <c r="E45" s="256"/>
      <c r="F45" s="300"/>
      <c r="G45" s="256"/>
      <c r="H45" s="256"/>
      <c r="I45" s="89"/>
      <c r="J45" s="544"/>
      <c r="K45" s="256"/>
      <c r="M45" s="743" t="str">
        <f t="shared" si="5"/>
        <v>N/A</v>
      </c>
      <c r="N45" s="240"/>
      <c r="O45" s="241"/>
      <c r="P45" s="199"/>
      <c r="Q45" s="247">
        <f t="shared" si="4"/>
        <v>7</v>
      </c>
      <c r="R45" s="462" t="str">
        <f>IFERROR(IF((ABS(T45)+ABS(U45))=0,"N/A",VLOOKUP($Q45,'H-Risk Register-Model'!$FA:$GB,MATCH(R$16,'H-Risk Register-Model'!$FA$17:$GB$17,0),FALSE)),"N/A")</f>
        <v>N/A</v>
      </c>
      <c r="S45" s="8" t="str">
        <f>IFERROR(IF((U45+V45)=0,"N/A",VLOOKUP($Q45,'H-Risk Register-Model'!$FA:$GB,MATCH(S$16,'H-Risk Register-Model'!$FA$17:$GB$17,0),FALSE)),"N/A")</f>
        <v>N/A</v>
      </c>
      <c r="T45" s="466">
        <f>IFERROR(VLOOKUP($Q45,'H-Risk Register-Model'!$FA:$GB,MATCH(T$38,'H-Risk Register-Model'!$FA$17:$GB$17,0),FALSE),"N/A")</f>
        <v>0</v>
      </c>
      <c r="U45" s="466">
        <f>IFERROR(VLOOKUP($Q45,'H-Risk Register-Model'!$FA:$GB,MATCH(U$38,'H-Risk Register-Model'!$FA$17:$GB$17,0),FALSE),"N/A")</f>
        <v>0</v>
      </c>
      <c r="V45" s="466">
        <f>IFERROR(VLOOKUP($Q45,'H-Risk Register-Model'!$FA:$GB,MATCH(V$38,'H-Risk Register-Model'!$FA$17:$GB$17,0),FALSE),"N/A")</f>
        <v>0</v>
      </c>
      <c r="W45" s="466">
        <f>IFERROR(VLOOKUP($Q45,'H-Risk Register-Model'!$FA:$GB,MATCH(W$38,'H-Risk Register-Model'!$FA$17:$GB$17,0),FALSE),"N/A")</f>
        <v>0</v>
      </c>
      <c r="X45" s="254">
        <f>IFERROR(VLOOKUP($Q45,'H-Risk Register-Model'!$FA:$GB,MATCH(X$38,'H-Risk Register-Model'!$FA$17:$GB$17,0),FALSE),"N/A")</f>
        <v>0</v>
      </c>
      <c r="Y45" s="8"/>
      <c r="Z45" s="8"/>
      <c r="AA45" s="237"/>
      <c r="AB45" s="199"/>
      <c r="AC45" s="199"/>
      <c r="AD45" s="199"/>
    </row>
    <row r="46" spans="1:30" x14ac:dyDescent="0.25">
      <c r="A46" s="300"/>
      <c r="B46" s="546"/>
      <c r="C46" s="545"/>
      <c r="D46" s="545"/>
      <c r="E46" s="256"/>
      <c r="F46" s="300"/>
      <c r="G46" s="256"/>
      <c r="H46" s="256"/>
      <c r="I46" s="89"/>
      <c r="J46" s="544"/>
      <c r="K46" s="256"/>
      <c r="M46" s="743" t="str">
        <f t="shared" si="5"/>
        <v>N/A</v>
      </c>
      <c r="N46" s="240"/>
      <c r="O46" s="241"/>
      <c r="P46" s="199"/>
      <c r="Q46" s="247">
        <f t="shared" si="4"/>
        <v>8</v>
      </c>
      <c r="R46" s="462" t="str">
        <f>IFERROR(IF((ABS(T46)+ABS(U46))=0,"N/A",VLOOKUP($Q46,'H-Risk Register-Model'!$FA:$GB,MATCH(R$16,'H-Risk Register-Model'!$FA$17:$GB$17,0),FALSE)),"N/A")</f>
        <v>N/A</v>
      </c>
      <c r="S46" s="8" t="str">
        <f>IFERROR(IF((U46+V46)=0,"N/A",VLOOKUP($Q46,'H-Risk Register-Model'!$FA:$GB,MATCH(S$16,'H-Risk Register-Model'!$FA$17:$GB$17,0),FALSE)),"N/A")</f>
        <v>N/A</v>
      </c>
      <c r="T46" s="466">
        <f>IFERROR(VLOOKUP($Q46,'H-Risk Register-Model'!$FA:$GB,MATCH(T$38,'H-Risk Register-Model'!$FA$17:$GB$17,0),FALSE),"N/A")</f>
        <v>0</v>
      </c>
      <c r="U46" s="466">
        <f>IFERROR(VLOOKUP($Q46,'H-Risk Register-Model'!$FA:$GB,MATCH(U$38,'H-Risk Register-Model'!$FA$17:$GB$17,0),FALSE),"N/A")</f>
        <v>0</v>
      </c>
      <c r="V46" s="466">
        <f>IFERROR(VLOOKUP($Q46,'H-Risk Register-Model'!$FA:$GB,MATCH(V$38,'H-Risk Register-Model'!$FA$17:$GB$17,0),FALSE),"N/A")</f>
        <v>0</v>
      </c>
      <c r="W46" s="466">
        <f>IFERROR(VLOOKUP($Q46,'H-Risk Register-Model'!$FA:$GB,MATCH(W$38,'H-Risk Register-Model'!$FA$17:$GB$17,0),FALSE),"N/A")</f>
        <v>0</v>
      </c>
      <c r="X46" s="254">
        <f>IFERROR(VLOOKUP($Q46,'H-Risk Register-Model'!$FA:$GB,MATCH(X$38,'H-Risk Register-Model'!$FA$17:$GB$17,0),FALSE),"N/A")</f>
        <v>0</v>
      </c>
      <c r="Y46" s="8"/>
      <c r="Z46" s="8"/>
      <c r="AA46" s="237"/>
      <c r="AB46" s="199"/>
      <c r="AC46" s="199"/>
      <c r="AD46" s="199"/>
    </row>
    <row r="47" spans="1:30" x14ac:dyDescent="0.25">
      <c r="A47" s="300"/>
      <c r="B47" s="546"/>
      <c r="C47" s="545"/>
      <c r="D47" s="545"/>
      <c r="E47" s="300"/>
      <c r="F47" s="300"/>
      <c r="G47" s="256"/>
      <c r="H47" s="256"/>
      <c r="I47" s="89"/>
      <c r="J47" s="544"/>
      <c r="K47" s="256"/>
      <c r="M47" s="743" t="str">
        <f t="shared" si="5"/>
        <v>N/A</v>
      </c>
      <c r="N47" s="240"/>
      <c r="O47" s="241"/>
      <c r="P47" s="199"/>
      <c r="Q47" s="247">
        <f t="shared" si="4"/>
        <v>9</v>
      </c>
      <c r="R47" s="462" t="str">
        <f>IFERROR(IF((ABS(T47)+ABS(U47))=0,"N/A",VLOOKUP($Q47,'H-Risk Register-Model'!$FA:$GB,MATCH(R$16,'H-Risk Register-Model'!$FA$17:$GB$17,0),FALSE)),"N/A")</f>
        <v>N/A</v>
      </c>
      <c r="S47" s="8" t="str">
        <f>IFERROR(IF((U47+V47)=0,"N/A",VLOOKUP($Q47,'H-Risk Register-Model'!$FA:$GB,MATCH(S$16,'H-Risk Register-Model'!$FA$17:$GB$17,0),FALSE)),"N/A")</f>
        <v>N/A</v>
      </c>
      <c r="T47" s="466">
        <f>IFERROR(VLOOKUP($Q47,'H-Risk Register-Model'!$FA:$GB,MATCH(T$38,'H-Risk Register-Model'!$FA$17:$GB$17,0),FALSE),"N/A")</f>
        <v>0</v>
      </c>
      <c r="U47" s="466">
        <f>IFERROR(VLOOKUP($Q47,'H-Risk Register-Model'!$FA:$GB,MATCH(U$38,'H-Risk Register-Model'!$FA$17:$GB$17,0),FALSE),"N/A")</f>
        <v>0</v>
      </c>
      <c r="V47" s="466">
        <f>IFERROR(VLOOKUP($Q47,'H-Risk Register-Model'!$FA:$GB,MATCH(V$38,'H-Risk Register-Model'!$FA$17:$GB$17,0),FALSE),"N/A")</f>
        <v>0</v>
      </c>
      <c r="W47" s="466">
        <f>IFERROR(VLOOKUP($Q47,'H-Risk Register-Model'!$FA:$GB,MATCH(W$38,'H-Risk Register-Model'!$FA$17:$GB$17,0),FALSE),"N/A")</f>
        <v>0</v>
      </c>
      <c r="X47" s="254">
        <f>IFERROR(VLOOKUP($Q47,'H-Risk Register-Model'!$FA:$GB,MATCH(X$38,'H-Risk Register-Model'!$FA$17:$GB$17,0),FALSE),"N/A")</f>
        <v>0</v>
      </c>
      <c r="Y47" s="8"/>
      <c r="Z47" s="8"/>
      <c r="AA47" s="237"/>
      <c r="AB47" s="199"/>
      <c r="AC47" s="199"/>
      <c r="AD47" s="199"/>
    </row>
    <row r="48" spans="1:30" x14ac:dyDescent="0.25">
      <c r="A48" s="300"/>
      <c r="B48" s="546"/>
      <c r="C48" s="547"/>
      <c r="D48" s="547"/>
      <c r="E48" s="300"/>
      <c r="F48" s="300"/>
      <c r="G48" s="256"/>
      <c r="H48" s="256"/>
      <c r="I48" s="89"/>
      <c r="J48" s="544"/>
      <c r="K48" s="256"/>
      <c r="M48" s="743" t="str">
        <f t="shared" si="5"/>
        <v>N/A</v>
      </c>
      <c r="N48" s="240"/>
      <c r="O48" s="241"/>
      <c r="P48" s="199"/>
      <c r="Q48" s="247">
        <f t="shared" si="4"/>
        <v>10</v>
      </c>
      <c r="R48" s="462" t="str">
        <f>IFERROR(IF((ABS(T48)+ABS(U48))=0,"N/A",VLOOKUP($Q48,'H-Risk Register-Model'!$FA:$GB,MATCH(R$16,'H-Risk Register-Model'!$FA$17:$GB$17,0),FALSE)),"N/A")</f>
        <v>N/A</v>
      </c>
      <c r="S48" s="8" t="str">
        <f>IFERROR(IF((U48+V48)=0,"N/A",VLOOKUP($Q48,'H-Risk Register-Model'!$FA:$GB,MATCH(S$16,'H-Risk Register-Model'!$FA$17:$GB$17,0),FALSE)),"N/A")</f>
        <v>N/A</v>
      </c>
      <c r="T48" s="466">
        <f>IFERROR(VLOOKUP($Q48,'H-Risk Register-Model'!$FA:$GB,MATCH(T$38,'H-Risk Register-Model'!$FA$17:$GB$17,0),FALSE),"N/A")</f>
        <v>0</v>
      </c>
      <c r="U48" s="466">
        <f>IFERROR(VLOOKUP($Q48,'H-Risk Register-Model'!$FA:$GB,MATCH(U$38,'H-Risk Register-Model'!$FA$17:$GB$17,0),FALSE),"N/A")</f>
        <v>0</v>
      </c>
      <c r="V48" s="466">
        <f>IFERROR(VLOOKUP($Q48,'H-Risk Register-Model'!$FA:$GB,MATCH(V$38,'H-Risk Register-Model'!$FA$17:$GB$17,0),FALSE),"N/A")</f>
        <v>0</v>
      </c>
      <c r="W48" s="466">
        <f>IFERROR(VLOOKUP($Q48,'H-Risk Register-Model'!$FA:$GB,MATCH(W$38,'H-Risk Register-Model'!$FA$17:$GB$17,0),FALSE),"N/A")</f>
        <v>0</v>
      </c>
      <c r="X48" s="254">
        <f>IFERROR(VLOOKUP($Q48,'H-Risk Register-Model'!$FA:$GB,MATCH(X$38,'H-Risk Register-Model'!$FA$17:$GB$17,0),FALSE),"N/A")</f>
        <v>0</v>
      </c>
      <c r="Y48" s="8"/>
      <c r="Z48" s="8"/>
      <c r="AA48" s="237"/>
      <c r="AB48" s="199"/>
      <c r="AC48" s="199"/>
      <c r="AD48" s="199"/>
    </row>
    <row r="49" spans="1:30" ht="15.75" thickBot="1" x14ac:dyDescent="0.3">
      <c r="A49" s="300"/>
      <c r="B49" s="546"/>
      <c r="C49" s="547"/>
      <c r="D49" s="547"/>
      <c r="E49" s="300"/>
      <c r="F49" s="300"/>
      <c r="G49" s="256"/>
      <c r="H49" s="256"/>
      <c r="I49" s="89"/>
      <c r="J49" s="544"/>
      <c r="K49" s="256"/>
      <c r="M49" s="743" t="str">
        <f t="shared" si="5"/>
        <v>N/A</v>
      </c>
      <c r="N49" s="240"/>
      <c r="O49" s="241"/>
      <c r="P49" s="199"/>
      <c r="Q49" s="249"/>
      <c r="R49" s="250"/>
      <c r="S49" s="251" t="str">
        <f>IF(M52="Yes","Remaining Contingency","")</f>
        <v>Remaining Contingency</v>
      </c>
      <c r="T49" s="255"/>
      <c r="U49" s="255"/>
      <c r="V49" s="255">
        <f>IF($M52="Yes",VLOOKUP(V14,'I-Project Contingency'!$C$86:$F$106,4,FALSE)-SUM(V39:V48),"")</f>
        <v>0</v>
      </c>
      <c r="W49" s="255">
        <f>IF($M52="Yes",VLOOKUP(W14,'I-Project Contingency'!$C$86:$F$106,4,FALSE)-SUM(W39:W48),"")</f>
        <v>0</v>
      </c>
      <c r="X49" s="467">
        <f>IF($M52="Yes",VLOOKUP(X14,'I-Project Contingency'!$C$86:$F$106,4,FALSE)-SUM(X39:X48),"")</f>
        <v>0</v>
      </c>
      <c r="Y49" s="8"/>
      <c r="Z49" s="8"/>
      <c r="AA49" s="237"/>
      <c r="AB49" s="199"/>
      <c r="AC49" s="199"/>
      <c r="AD49" s="199"/>
    </row>
    <row r="50" spans="1:30" x14ac:dyDescent="0.25">
      <c r="A50" s="300"/>
      <c r="B50" s="546"/>
      <c r="C50" s="547"/>
      <c r="D50" s="547"/>
      <c r="E50" s="300"/>
      <c r="F50" s="300"/>
      <c r="G50" s="256"/>
      <c r="H50" s="256"/>
      <c r="I50" s="89"/>
      <c r="J50" s="544"/>
      <c r="K50" s="256"/>
      <c r="M50" s="743" t="str">
        <f t="shared" si="5"/>
        <v>N/A</v>
      </c>
      <c r="N50" s="240"/>
      <c r="O50" s="241"/>
      <c r="P50" s="199"/>
      <c r="Q50" s="199"/>
      <c r="R50" s="199"/>
      <c r="S50" s="199"/>
      <c r="T50" s="199"/>
      <c r="U50" s="199"/>
      <c r="V50" s="199"/>
      <c r="W50" s="199"/>
      <c r="X50" s="199"/>
      <c r="Y50" s="199"/>
      <c r="Z50" s="199"/>
      <c r="AA50" s="199"/>
      <c r="AB50" s="199"/>
      <c r="AC50" s="199"/>
      <c r="AD50" s="199"/>
    </row>
    <row r="51" spans="1:30" x14ac:dyDescent="0.25">
      <c r="A51" s="300"/>
      <c r="B51" s="546"/>
      <c r="C51" s="547"/>
      <c r="D51" s="547"/>
      <c r="E51" s="300"/>
      <c r="F51" s="300"/>
      <c r="G51" s="256"/>
      <c r="H51" s="256"/>
      <c r="I51" s="89"/>
      <c r="J51" s="544"/>
      <c r="K51" s="256"/>
      <c r="M51" s="199"/>
      <c r="N51" s="199"/>
      <c r="O51" s="199"/>
      <c r="P51" s="199"/>
      <c r="Q51" s="199"/>
      <c r="R51" s="199"/>
      <c r="S51" s="199"/>
      <c r="T51" s="199"/>
      <c r="U51" s="199"/>
      <c r="V51" s="199"/>
      <c r="W51" s="199"/>
      <c r="X51" s="199"/>
      <c r="Y51" s="199"/>
      <c r="Z51" s="199"/>
      <c r="AA51" s="199"/>
      <c r="AB51" s="199"/>
      <c r="AC51" s="199"/>
      <c r="AD51" s="199"/>
    </row>
    <row r="52" spans="1:30" x14ac:dyDescent="0.25">
      <c r="A52" s="300"/>
      <c r="B52" s="546"/>
      <c r="C52" s="547"/>
      <c r="D52" s="547"/>
      <c r="E52" s="300"/>
      <c r="F52" s="300"/>
      <c r="G52" s="256"/>
      <c r="H52" s="256"/>
      <c r="I52" s="89"/>
      <c r="J52" s="544"/>
      <c r="K52" s="256"/>
      <c r="M52" s="742" t="str">
        <f>M30</f>
        <v>Yes</v>
      </c>
      <c r="N52" s="199"/>
      <c r="O52" s="199"/>
      <c r="P52" s="199"/>
      <c r="Q52" s="199"/>
      <c r="R52" s="199"/>
      <c r="S52" s="199"/>
      <c r="T52" s="199"/>
      <c r="U52" s="199"/>
      <c r="V52" s="199"/>
      <c r="W52" s="199"/>
      <c r="X52" s="199"/>
      <c r="Y52" s="199"/>
      <c r="Z52" s="199"/>
      <c r="AA52" s="199"/>
      <c r="AB52" s="199"/>
      <c r="AC52" s="199"/>
      <c r="AD52" s="199"/>
    </row>
    <row r="53" spans="1:30" x14ac:dyDescent="0.25">
      <c r="A53" s="300"/>
      <c r="B53" s="546"/>
      <c r="C53" s="547"/>
      <c r="D53" s="547"/>
      <c r="E53" s="300"/>
      <c r="F53" s="300"/>
      <c r="G53" s="256"/>
      <c r="H53" s="256"/>
      <c r="I53" s="89"/>
      <c r="J53" s="544"/>
      <c r="K53" s="256"/>
      <c r="M53" s="199"/>
      <c r="N53" s="199"/>
      <c r="O53" s="199"/>
      <c r="P53" s="199"/>
      <c r="Q53" s="199"/>
      <c r="R53" s="199"/>
      <c r="S53" s="199"/>
      <c r="T53" s="199"/>
      <c r="U53" s="199"/>
      <c r="V53" s="199"/>
      <c r="W53" s="199"/>
      <c r="X53" s="199"/>
      <c r="Y53" s="199"/>
      <c r="Z53" s="199"/>
      <c r="AA53" s="199"/>
      <c r="AB53" s="199"/>
      <c r="AC53" s="199"/>
      <c r="AD53" s="199"/>
    </row>
    <row r="54" spans="1:30" x14ac:dyDescent="0.25">
      <c r="A54" s="300"/>
      <c r="B54" s="546"/>
      <c r="C54" s="547"/>
      <c r="D54" s="547"/>
      <c r="E54" s="300"/>
      <c r="F54" s="300"/>
      <c r="G54" s="256"/>
      <c r="H54" s="256"/>
      <c r="I54" s="89"/>
      <c r="J54" s="544"/>
      <c r="K54" s="256"/>
      <c r="M54" s="199"/>
      <c r="N54" s="199"/>
      <c r="O54" s="199"/>
      <c r="P54" s="199"/>
      <c r="Q54" s="199"/>
      <c r="R54" s="199"/>
      <c r="S54" s="199"/>
      <c r="T54" s="199"/>
      <c r="U54" s="199"/>
      <c r="V54" s="199"/>
      <c r="W54" s="199"/>
      <c r="X54" s="199"/>
      <c r="Y54" s="199"/>
      <c r="Z54" s="199"/>
      <c r="AA54" s="199"/>
      <c r="AB54" s="199"/>
      <c r="AC54" s="199"/>
      <c r="AD54" s="199"/>
    </row>
    <row r="55" spans="1:30" x14ac:dyDescent="0.25">
      <c r="A55" s="300"/>
      <c r="B55" s="546"/>
      <c r="C55" s="547"/>
      <c r="D55" s="547"/>
      <c r="E55" s="300"/>
      <c r="F55" s="300"/>
      <c r="G55" s="256"/>
      <c r="H55" s="256"/>
      <c r="I55" s="89"/>
      <c r="J55" s="544"/>
      <c r="K55" s="256"/>
      <c r="M55" s="199"/>
      <c r="N55" s="199"/>
      <c r="O55" s="199"/>
      <c r="P55" s="199"/>
      <c r="Q55" s="199"/>
      <c r="R55" s="199"/>
      <c r="S55" s="199"/>
      <c r="T55" s="199"/>
      <c r="U55" s="199"/>
      <c r="V55" s="199"/>
      <c r="W55" s="199"/>
      <c r="X55" s="199"/>
      <c r="Y55" s="199"/>
      <c r="Z55" s="199"/>
      <c r="AA55" s="199"/>
      <c r="AB55" s="199"/>
      <c r="AC55" s="199"/>
      <c r="AD55" s="199"/>
    </row>
    <row r="56" spans="1:30" x14ac:dyDescent="0.25">
      <c r="A56" s="300"/>
      <c r="B56" s="546"/>
      <c r="C56" s="547"/>
      <c r="D56" s="547"/>
      <c r="E56" s="300"/>
      <c r="F56" s="300"/>
      <c r="G56" s="256"/>
      <c r="H56" s="256"/>
      <c r="I56" s="89"/>
      <c r="J56" s="544"/>
      <c r="K56" s="256"/>
      <c r="M56" s="199"/>
      <c r="N56" s="199"/>
      <c r="O56" s="199"/>
      <c r="P56" s="199"/>
      <c r="Q56" s="199"/>
      <c r="R56" s="199"/>
      <c r="S56" s="199"/>
      <c r="T56" s="199"/>
      <c r="U56" s="199"/>
      <c r="V56" s="199"/>
      <c r="W56" s="199"/>
      <c r="X56" s="199"/>
      <c r="Y56" s="199"/>
      <c r="Z56" s="199"/>
      <c r="AA56" s="199"/>
      <c r="AB56" s="199"/>
      <c r="AC56" s="199"/>
      <c r="AD56" s="199"/>
    </row>
    <row r="57" spans="1:30" x14ac:dyDescent="0.25">
      <c r="A57" s="300"/>
      <c r="B57" s="546"/>
      <c r="C57" s="547"/>
      <c r="D57" s="547"/>
      <c r="E57" s="300"/>
      <c r="F57" s="300"/>
      <c r="G57" s="256"/>
      <c r="H57" s="256"/>
      <c r="I57" s="89"/>
      <c r="J57" s="544"/>
      <c r="K57" s="256"/>
      <c r="M57" s="199"/>
      <c r="N57" s="199"/>
      <c r="O57" s="199"/>
      <c r="P57" s="199"/>
      <c r="Q57" s="199"/>
      <c r="R57" s="199"/>
      <c r="S57" s="199"/>
      <c r="T57" s="199"/>
      <c r="U57" s="199"/>
      <c r="V57" s="199"/>
      <c r="W57" s="199"/>
      <c r="X57" s="199"/>
      <c r="Y57" s="199"/>
      <c r="Z57" s="199"/>
      <c r="AA57" s="199"/>
      <c r="AB57" s="199"/>
      <c r="AC57" s="199"/>
      <c r="AD57" s="199"/>
    </row>
    <row r="58" spans="1:30" x14ac:dyDescent="0.25">
      <c r="A58" s="300"/>
      <c r="B58" s="546"/>
      <c r="C58" s="547"/>
      <c r="D58" s="547"/>
      <c r="E58" s="300"/>
      <c r="F58" s="300"/>
      <c r="G58" s="256"/>
      <c r="H58" s="256"/>
      <c r="I58" s="89"/>
      <c r="J58" s="544"/>
      <c r="K58" s="256"/>
      <c r="M58" s="199"/>
      <c r="N58" s="199"/>
      <c r="O58" s="199"/>
      <c r="P58" s="199"/>
      <c r="AC58" s="199"/>
      <c r="AD58" s="199"/>
    </row>
    <row r="59" spans="1:30" ht="15.75" thickBot="1" x14ac:dyDescent="0.3">
      <c r="A59" s="300"/>
      <c r="B59" s="552"/>
      <c r="C59" s="553"/>
      <c r="D59" s="553"/>
      <c r="E59" s="554"/>
      <c r="F59" s="554"/>
      <c r="G59" s="549"/>
      <c r="H59" s="549"/>
      <c r="I59" s="555"/>
      <c r="J59" s="556"/>
      <c r="K59" s="256"/>
      <c r="M59" s="199"/>
      <c r="N59" s="199"/>
      <c r="O59" s="199"/>
      <c r="P59" s="199"/>
      <c r="AC59" s="199"/>
      <c r="AD59" s="199"/>
    </row>
    <row r="60" spans="1:30" ht="29.45" customHeight="1" x14ac:dyDescent="0.25">
      <c r="A60" s="300"/>
      <c r="B60" s="1004" t="s">
        <v>855</v>
      </c>
      <c r="C60" s="1005"/>
      <c r="D60" s="1005"/>
      <c r="E60" s="1005"/>
      <c r="F60" s="1005"/>
      <c r="G60" s="1005"/>
      <c r="H60" s="1005"/>
      <c r="I60" s="1005"/>
      <c r="J60" s="1006"/>
      <c r="K60" s="89"/>
      <c r="L60" s="199"/>
      <c r="M60" s="199"/>
      <c r="N60" s="199"/>
      <c r="O60" s="199"/>
      <c r="P60" s="199"/>
      <c r="Q60" s="199"/>
      <c r="R60" s="199"/>
      <c r="S60" s="199"/>
      <c r="T60" s="199"/>
      <c r="U60" s="199"/>
      <c r="V60" s="199"/>
      <c r="W60" s="199"/>
      <c r="X60" s="199"/>
      <c r="Y60" s="199"/>
      <c r="Z60" s="199"/>
      <c r="AA60" s="199"/>
      <c r="AB60" s="199"/>
      <c r="AC60" s="199"/>
      <c r="AD60" s="199"/>
    </row>
    <row r="61" spans="1:30" x14ac:dyDescent="0.25">
      <c r="A61" s="300"/>
      <c r="B61" s="541"/>
      <c r="C61" s="300"/>
      <c r="D61" s="300"/>
      <c r="E61" s="300"/>
      <c r="F61" s="300"/>
      <c r="G61" s="300"/>
      <c r="H61" s="300"/>
      <c r="I61" s="300"/>
      <c r="J61" s="542"/>
      <c r="K61" s="256"/>
      <c r="M61" s="199"/>
      <c r="N61" s="199"/>
      <c r="O61" s="199"/>
      <c r="P61" s="199"/>
      <c r="Q61" s="199"/>
      <c r="R61" s="199"/>
      <c r="S61" s="199"/>
      <c r="T61" s="199"/>
      <c r="U61" s="199"/>
      <c r="V61" s="199"/>
      <c r="W61" s="199"/>
      <c r="X61" s="199"/>
      <c r="Y61" s="199"/>
      <c r="Z61" s="199"/>
      <c r="AA61" s="199"/>
      <c r="AB61" s="199"/>
      <c r="AC61" s="199"/>
      <c r="AD61" s="199"/>
    </row>
    <row r="62" spans="1:30" x14ac:dyDescent="0.25">
      <c r="A62" s="300"/>
      <c r="B62" s="543"/>
      <c r="C62" s="266"/>
      <c r="D62" s="266"/>
      <c r="E62" s="256"/>
      <c r="F62" s="300"/>
      <c r="G62" s="256"/>
      <c r="H62" s="256"/>
      <c r="I62" s="89"/>
      <c r="J62" s="544"/>
      <c r="K62" s="256"/>
      <c r="M62" s="199"/>
      <c r="N62" s="199"/>
      <c r="O62" s="199"/>
      <c r="P62" s="199"/>
      <c r="Q62" s="199"/>
      <c r="R62" s="199"/>
      <c r="S62" s="199"/>
      <c r="T62" s="199"/>
      <c r="U62" s="199"/>
      <c r="V62" s="199"/>
      <c r="W62" s="199"/>
      <c r="X62" s="199"/>
      <c r="Y62" s="199"/>
      <c r="Z62" s="199"/>
      <c r="AA62" s="199"/>
      <c r="AB62" s="199"/>
      <c r="AC62" s="199"/>
      <c r="AD62" s="199"/>
    </row>
    <row r="63" spans="1:30" x14ac:dyDescent="0.25">
      <c r="A63" s="300"/>
      <c r="B63" s="543"/>
      <c r="C63" s="545"/>
      <c r="D63" s="545"/>
      <c r="E63" s="256"/>
      <c r="F63" s="300"/>
      <c r="G63" s="256"/>
      <c r="H63" s="256"/>
      <c r="I63" s="89"/>
      <c r="J63" s="544"/>
      <c r="K63" s="256"/>
      <c r="M63" s="199"/>
      <c r="N63" s="199"/>
      <c r="O63" s="199"/>
      <c r="P63" s="199"/>
      <c r="Q63" s="199"/>
      <c r="R63" s="199"/>
      <c r="S63" s="199"/>
      <c r="T63" s="199"/>
      <c r="U63" s="199"/>
      <c r="V63" s="199"/>
      <c r="W63" s="199"/>
      <c r="X63" s="199"/>
      <c r="Y63" s="199"/>
      <c r="Z63" s="199"/>
      <c r="AA63" s="199"/>
      <c r="AB63" s="199"/>
      <c r="AC63" s="199"/>
      <c r="AD63" s="199"/>
    </row>
    <row r="64" spans="1:30" x14ac:dyDescent="0.25">
      <c r="A64" s="300"/>
      <c r="B64" s="546"/>
      <c r="C64" s="545"/>
      <c r="D64" s="545"/>
      <c r="E64" s="256"/>
      <c r="F64" s="300"/>
      <c r="G64" s="256"/>
      <c r="H64" s="256"/>
      <c r="I64" s="89"/>
      <c r="J64" s="544"/>
      <c r="K64" s="256"/>
      <c r="M64" s="199"/>
      <c r="N64" s="199"/>
      <c r="O64" s="199"/>
      <c r="P64" s="199"/>
      <c r="Q64" s="199"/>
      <c r="R64" s="199"/>
      <c r="S64" s="199"/>
      <c r="T64" s="199"/>
      <c r="U64" s="199"/>
      <c r="V64" s="199"/>
      <c r="W64" s="199"/>
      <c r="X64" s="199"/>
      <c r="Y64" s="199"/>
      <c r="Z64" s="199"/>
      <c r="AA64" s="199"/>
      <c r="AB64" s="199"/>
      <c r="AC64" s="199"/>
      <c r="AD64" s="199"/>
    </row>
    <row r="65" spans="1:30" x14ac:dyDescent="0.25">
      <c r="A65" s="300"/>
      <c r="B65" s="546"/>
      <c r="C65" s="545"/>
      <c r="D65" s="545"/>
      <c r="E65" s="256"/>
      <c r="F65" s="300"/>
      <c r="G65" s="256"/>
      <c r="H65" s="256"/>
      <c r="I65" s="89"/>
      <c r="J65" s="544"/>
      <c r="K65" s="256"/>
      <c r="M65" s="199"/>
      <c r="N65" s="199"/>
      <c r="O65" s="199"/>
      <c r="P65" s="199"/>
      <c r="Q65" s="199"/>
      <c r="R65" s="199"/>
      <c r="S65" s="199"/>
      <c r="T65" s="199"/>
      <c r="U65" s="199"/>
      <c r="V65" s="199"/>
      <c r="W65" s="199"/>
      <c r="X65" s="199"/>
      <c r="Y65" s="199"/>
      <c r="Z65" s="199"/>
      <c r="AA65" s="199"/>
      <c r="AB65" s="199"/>
      <c r="AC65" s="199"/>
      <c r="AD65" s="199"/>
    </row>
    <row r="66" spans="1:30" x14ac:dyDescent="0.25">
      <c r="A66" s="300"/>
      <c r="B66" s="546"/>
      <c r="C66" s="545"/>
      <c r="D66" s="545"/>
      <c r="E66" s="256"/>
      <c r="F66" s="300"/>
      <c r="G66" s="256"/>
      <c r="H66" s="256"/>
      <c r="I66" s="89"/>
      <c r="J66" s="544"/>
      <c r="K66" s="256"/>
      <c r="M66" s="199"/>
      <c r="N66" s="199"/>
      <c r="O66" s="199"/>
      <c r="P66" s="199"/>
      <c r="Q66" s="199"/>
      <c r="R66" s="199"/>
      <c r="S66" s="199"/>
      <c r="T66" s="199"/>
      <c r="U66" s="199"/>
      <c r="V66" s="199"/>
      <c r="W66" s="199"/>
      <c r="X66" s="199"/>
      <c r="Y66" s="199"/>
      <c r="Z66" s="199"/>
      <c r="AA66" s="199"/>
      <c r="AB66" s="199"/>
      <c r="AC66" s="199"/>
      <c r="AD66" s="199"/>
    </row>
    <row r="67" spans="1:30" x14ac:dyDescent="0.25">
      <c r="A67" s="300"/>
      <c r="B67" s="546"/>
      <c r="C67" s="545"/>
      <c r="D67" s="545"/>
      <c r="E67" s="256"/>
      <c r="F67" s="300"/>
      <c r="G67" s="256"/>
      <c r="H67" s="256"/>
      <c r="I67" s="89"/>
      <c r="J67" s="544"/>
      <c r="K67" s="256"/>
      <c r="M67" s="199"/>
      <c r="N67" s="199"/>
      <c r="O67" s="199"/>
      <c r="P67" s="199"/>
      <c r="Q67" s="199"/>
      <c r="R67" s="199"/>
      <c r="S67" s="199"/>
      <c r="T67" s="199"/>
      <c r="U67" s="199"/>
      <c r="V67" s="199"/>
      <c r="W67" s="199"/>
      <c r="X67" s="199"/>
      <c r="Y67" s="199"/>
      <c r="Z67" s="199"/>
      <c r="AA67" s="199"/>
      <c r="AB67" s="199"/>
      <c r="AC67" s="199"/>
      <c r="AD67" s="199"/>
    </row>
    <row r="68" spans="1:30" x14ac:dyDescent="0.25">
      <c r="A68" s="300"/>
      <c r="B68" s="546"/>
      <c r="C68" s="545"/>
      <c r="D68" s="545"/>
      <c r="E68" s="256"/>
      <c r="F68" s="300"/>
      <c r="G68" s="256"/>
      <c r="H68" s="256"/>
      <c r="I68" s="89"/>
      <c r="J68" s="544"/>
      <c r="K68" s="256"/>
      <c r="M68" s="199"/>
      <c r="N68" s="199"/>
      <c r="O68" s="199"/>
      <c r="P68" s="199"/>
      <c r="Q68" s="199"/>
      <c r="R68" s="199"/>
      <c r="S68" s="199"/>
      <c r="T68" s="199"/>
      <c r="U68" s="199"/>
      <c r="V68" s="199"/>
      <c r="W68" s="199"/>
      <c r="X68" s="199"/>
      <c r="Y68" s="199"/>
      <c r="Z68" s="199"/>
      <c r="AA68" s="199"/>
      <c r="AB68" s="199"/>
      <c r="AC68" s="199"/>
      <c r="AD68" s="199"/>
    </row>
    <row r="69" spans="1:30" x14ac:dyDescent="0.25">
      <c r="A69" s="300"/>
      <c r="B69" s="546"/>
      <c r="C69" s="545"/>
      <c r="D69" s="545"/>
      <c r="E69" s="256"/>
      <c r="F69" s="300"/>
      <c r="G69" s="256"/>
      <c r="H69" s="256"/>
      <c r="I69" s="89"/>
      <c r="J69" s="544"/>
      <c r="K69" s="256"/>
      <c r="M69" s="199"/>
      <c r="N69" s="199"/>
      <c r="O69" s="199"/>
      <c r="P69" s="199"/>
      <c r="Q69" s="199"/>
      <c r="R69" s="199"/>
      <c r="S69" s="199"/>
      <c r="T69" s="199"/>
      <c r="U69" s="199"/>
      <c r="V69" s="199"/>
      <c r="W69" s="199"/>
      <c r="X69" s="199"/>
      <c r="Y69" s="199"/>
      <c r="Z69" s="199"/>
      <c r="AA69" s="199"/>
      <c r="AB69" s="199"/>
      <c r="AC69" s="199"/>
      <c r="AD69" s="199"/>
    </row>
    <row r="70" spans="1:30" x14ac:dyDescent="0.25">
      <c r="A70" s="300"/>
      <c r="B70" s="546"/>
      <c r="C70" s="545"/>
      <c r="D70" s="545"/>
      <c r="E70" s="256"/>
      <c r="F70" s="300"/>
      <c r="G70" s="256"/>
      <c r="H70" s="256"/>
      <c r="I70" s="89"/>
      <c r="J70" s="544"/>
      <c r="K70" s="256"/>
      <c r="M70" s="199"/>
      <c r="N70" s="199"/>
      <c r="O70" s="199"/>
      <c r="P70" s="199"/>
      <c r="Q70" s="199"/>
      <c r="R70" s="199"/>
      <c r="S70" s="199"/>
      <c r="T70" s="199"/>
      <c r="U70" s="199"/>
      <c r="V70" s="199"/>
      <c r="W70" s="199"/>
      <c r="X70" s="199"/>
      <c r="Y70" s="199"/>
      <c r="Z70" s="199"/>
      <c r="AA70" s="199"/>
      <c r="AB70" s="199"/>
      <c r="AC70" s="199"/>
      <c r="AD70" s="199"/>
    </row>
    <row r="71" spans="1:30" x14ac:dyDescent="0.25">
      <c r="A71" s="300"/>
      <c r="B71" s="546"/>
      <c r="C71" s="545"/>
      <c r="D71" s="545"/>
      <c r="E71" s="256"/>
      <c r="F71" s="300"/>
      <c r="G71" s="256"/>
      <c r="H71" s="256"/>
      <c r="I71" s="89"/>
      <c r="J71" s="544"/>
      <c r="K71" s="256"/>
      <c r="M71" s="199"/>
      <c r="N71" s="199"/>
      <c r="O71" s="199"/>
      <c r="P71" s="199"/>
      <c r="Q71" s="199"/>
      <c r="R71" s="199"/>
      <c r="S71" s="199"/>
      <c r="T71" s="199"/>
      <c r="U71" s="199"/>
      <c r="V71" s="199"/>
      <c r="W71" s="199"/>
      <c r="X71" s="199"/>
      <c r="Y71" s="199"/>
      <c r="Z71" s="199"/>
      <c r="AA71" s="199"/>
      <c r="AB71" s="199"/>
      <c r="AC71" s="199"/>
      <c r="AD71" s="199"/>
    </row>
    <row r="72" spans="1:30" x14ac:dyDescent="0.25">
      <c r="A72" s="300"/>
      <c r="B72" s="546"/>
      <c r="C72" s="545"/>
      <c r="D72" s="545"/>
      <c r="E72" s="256"/>
      <c r="F72" s="300"/>
      <c r="G72" s="256"/>
      <c r="H72" s="256"/>
      <c r="I72" s="89"/>
      <c r="J72" s="544"/>
      <c r="K72" s="256"/>
      <c r="M72" s="199"/>
      <c r="N72" s="199"/>
      <c r="O72" s="199"/>
      <c r="P72" s="199"/>
      <c r="Q72" s="199"/>
      <c r="R72" s="199"/>
      <c r="S72" s="199"/>
      <c r="T72" s="199"/>
      <c r="U72" s="199"/>
      <c r="V72" s="199"/>
      <c r="W72" s="199"/>
      <c r="X72" s="199"/>
      <c r="Y72" s="199"/>
      <c r="Z72" s="199"/>
      <c r="AA72" s="199"/>
      <c r="AB72" s="199"/>
      <c r="AC72" s="199"/>
      <c r="AD72" s="199"/>
    </row>
    <row r="73" spans="1:30" x14ac:dyDescent="0.25">
      <c r="A73" s="300"/>
      <c r="B73" s="546"/>
      <c r="C73" s="545"/>
      <c r="D73" s="545"/>
      <c r="E73" s="256"/>
      <c r="F73" s="300"/>
      <c r="G73" s="256"/>
      <c r="H73" s="256"/>
      <c r="I73" s="89"/>
      <c r="J73" s="544"/>
      <c r="K73" s="256"/>
      <c r="M73" s="199"/>
      <c r="N73" s="199"/>
      <c r="O73" s="199"/>
      <c r="P73" s="199"/>
      <c r="Q73" s="199"/>
      <c r="R73" s="199"/>
      <c r="S73" s="199"/>
      <c r="T73" s="199"/>
      <c r="U73" s="199"/>
      <c r="V73" s="199"/>
      <c r="W73" s="199"/>
      <c r="X73" s="199"/>
      <c r="Y73" s="199"/>
      <c r="Z73" s="199"/>
      <c r="AA73" s="199"/>
      <c r="AB73" s="199"/>
      <c r="AC73" s="199"/>
      <c r="AD73" s="199"/>
    </row>
    <row r="74" spans="1:30" x14ac:dyDescent="0.25">
      <c r="A74" s="300"/>
      <c r="B74" s="546"/>
      <c r="C74" s="545"/>
      <c r="D74" s="545"/>
      <c r="E74" s="256"/>
      <c r="F74" s="300"/>
      <c r="G74" s="256"/>
      <c r="H74" s="256"/>
      <c r="I74" s="89"/>
      <c r="J74" s="544"/>
      <c r="K74" s="256"/>
      <c r="M74" s="199"/>
      <c r="N74" s="199"/>
      <c r="O74" s="199"/>
      <c r="P74" s="199"/>
      <c r="Q74" s="199"/>
      <c r="R74" s="199"/>
      <c r="S74" s="199"/>
      <c r="T74" s="199"/>
      <c r="U74" s="199"/>
      <c r="V74" s="199"/>
      <c r="W74" s="199"/>
      <c r="X74" s="199"/>
      <c r="Y74" s="199"/>
      <c r="Z74" s="199"/>
      <c r="AA74" s="199"/>
      <c r="AB74" s="199"/>
      <c r="AC74" s="199"/>
      <c r="AD74" s="199"/>
    </row>
    <row r="75" spans="1:30" x14ac:dyDescent="0.25">
      <c r="A75" s="300"/>
      <c r="B75" s="546"/>
      <c r="C75" s="545"/>
      <c r="D75" s="545"/>
      <c r="E75" s="256"/>
      <c r="F75" s="300"/>
      <c r="G75" s="256"/>
      <c r="H75" s="256"/>
      <c r="I75" s="89"/>
      <c r="J75" s="544"/>
      <c r="K75" s="256"/>
      <c r="M75" s="199"/>
      <c r="N75" s="199"/>
      <c r="O75" s="199"/>
      <c r="P75" s="199"/>
      <c r="Q75" s="199"/>
      <c r="R75" s="199"/>
      <c r="S75" s="199"/>
      <c r="T75" s="199"/>
      <c r="U75" s="199"/>
      <c r="V75" s="199"/>
      <c r="W75" s="199"/>
      <c r="X75" s="199"/>
      <c r="Y75" s="199"/>
      <c r="Z75" s="199"/>
      <c r="AA75" s="199"/>
      <c r="AB75" s="199"/>
      <c r="AC75" s="199"/>
      <c r="AD75" s="199"/>
    </row>
    <row r="76" spans="1:30" x14ac:dyDescent="0.25">
      <c r="A76" s="300"/>
      <c r="B76" s="546"/>
      <c r="C76" s="545"/>
      <c r="D76" s="545"/>
      <c r="E76" s="256"/>
      <c r="F76" s="300"/>
      <c r="G76" s="256"/>
      <c r="H76" s="256"/>
      <c r="I76" s="89"/>
      <c r="J76" s="544"/>
      <c r="K76" s="256"/>
      <c r="M76" s="199"/>
      <c r="N76" s="199"/>
      <c r="O76" s="199"/>
      <c r="P76" s="199"/>
      <c r="Q76" s="199"/>
      <c r="R76" s="199"/>
      <c r="S76" s="199"/>
      <c r="T76" s="199"/>
      <c r="U76" s="199"/>
      <c r="V76" s="199"/>
      <c r="W76" s="199"/>
      <c r="X76" s="199"/>
      <c r="Y76" s="199"/>
      <c r="Z76" s="199"/>
      <c r="AA76" s="199"/>
      <c r="AB76" s="199"/>
      <c r="AC76" s="199"/>
      <c r="AD76" s="199"/>
    </row>
    <row r="77" spans="1:30" x14ac:dyDescent="0.25">
      <c r="A77" s="300"/>
      <c r="B77" s="546"/>
      <c r="C77" s="545"/>
      <c r="D77" s="545"/>
      <c r="E77" s="256"/>
      <c r="F77" s="300"/>
      <c r="G77" s="256"/>
      <c r="H77" s="256"/>
      <c r="I77" s="89"/>
      <c r="J77" s="544"/>
      <c r="K77" s="256"/>
      <c r="M77" s="199"/>
      <c r="N77" s="199"/>
      <c r="O77" s="199"/>
      <c r="P77" s="199"/>
      <c r="Q77" s="199"/>
      <c r="R77" s="199"/>
      <c r="S77" s="199"/>
      <c r="T77" s="199"/>
      <c r="U77" s="199"/>
      <c r="V77" s="199"/>
      <c r="W77" s="199"/>
      <c r="X77" s="199"/>
      <c r="Y77" s="199"/>
      <c r="Z77" s="199"/>
      <c r="AA77" s="199"/>
      <c r="AB77" s="199"/>
      <c r="AC77" s="199"/>
      <c r="AD77" s="199"/>
    </row>
    <row r="78" spans="1:30" x14ac:dyDescent="0.25">
      <c r="A78" s="300"/>
      <c r="B78" s="546"/>
      <c r="C78" s="545"/>
      <c r="D78" s="545"/>
      <c r="E78" s="256"/>
      <c r="F78" s="300"/>
      <c r="G78" s="256"/>
      <c r="H78" s="256"/>
      <c r="I78" s="89"/>
      <c r="J78" s="544"/>
      <c r="K78" s="256"/>
      <c r="M78" s="199"/>
      <c r="N78" s="199"/>
      <c r="O78" s="199"/>
      <c r="P78" s="199"/>
      <c r="Q78" s="199"/>
      <c r="R78" s="199"/>
      <c r="S78" s="199"/>
      <c r="T78" s="199"/>
      <c r="U78" s="199"/>
      <c r="V78" s="199"/>
      <c r="W78" s="199"/>
      <c r="X78" s="199"/>
      <c r="Y78" s="199"/>
      <c r="Z78" s="199"/>
      <c r="AA78" s="199"/>
      <c r="AB78" s="199"/>
      <c r="AC78" s="199"/>
      <c r="AD78" s="199"/>
    </row>
    <row r="79" spans="1:30" x14ac:dyDescent="0.25">
      <c r="A79" s="300"/>
      <c r="B79" s="546"/>
      <c r="C79" s="545"/>
      <c r="D79" s="545"/>
      <c r="E79" s="256"/>
      <c r="F79" s="300"/>
      <c r="G79" s="256"/>
      <c r="H79" s="256"/>
      <c r="I79" s="89"/>
      <c r="J79" s="544"/>
      <c r="K79" s="256"/>
      <c r="M79" s="199"/>
      <c r="N79" s="199"/>
      <c r="O79" s="199"/>
      <c r="P79" s="199"/>
      <c r="Q79" s="199"/>
      <c r="R79" s="199"/>
      <c r="S79" s="199"/>
      <c r="T79" s="199"/>
      <c r="U79" s="199"/>
      <c r="V79" s="199"/>
      <c r="W79" s="199"/>
      <c r="X79" s="199"/>
      <c r="Y79" s="199"/>
      <c r="Z79" s="199"/>
      <c r="AA79" s="199"/>
      <c r="AB79" s="199"/>
      <c r="AC79" s="199"/>
      <c r="AD79" s="199"/>
    </row>
    <row r="80" spans="1:30" x14ac:dyDescent="0.25">
      <c r="A80" s="300"/>
      <c r="B80" s="546"/>
      <c r="C80" s="545"/>
      <c r="D80" s="545"/>
      <c r="E80" s="256"/>
      <c r="F80" s="300"/>
      <c r="G80" s="256"/>
      <c r="H80" s="256"/>
      <c r="I80" s="89"/>
      <c r="J80" s="544"/>
      <c r="K80" s="256"/>
      <c r="M80" s="199"/>
      <c r="N80" s="199"/>
      <c r="O80" s="199"/>
      <c r="P80" s="199"/>
      <c r="Q80" s="199"/>
      <c r="R80" s="199"/>
      <c r="S80" s="199"/>
      <c r="T80" s="199"/>
      <c r="U80" s="199"/>
      <c r="V80" s="199"/>
      <c r="W80" s="199"/>
      <c r="X80" s="199"/>
      <c r="Y80" s="199"/>
      <c r="Z80" s="199"/>
      <c r="AA80" s="199"/>
      <c r="AB80" s="199"/>
      <c r="AC80" s="199"/>
      <c r="AD80" s="199"/>
    </row>
    <row r="81" spans="1:16" ht="15.75" thickBot="1" x14ac:dyDescent="0.3">
      <c r="A81" s="300"/>
      <c r="B81" s="548"/>
      <c r="C81" s="549"/>
      <c r="D81" s="549"/>
      <c r="E81" s="549"/>
      <c r="F81" s="549"/>
      <c r="G81" s="550"/>
      <c r="H81" s="550"/>
      <c r="I81" s="549"/>
      <c r="J81" s="551"/>
      <c r="K81" s="256"/>
      <c r="M81" s="199"/>
      <c r="N81" s="199"/>
      <c r="O81" s="199"/>
      <c r="P81" s="199"/>
    </row>
    <row r="82" spans="1:16" ht="29.45" customHeight="1" thickBot="1" x14ac:dyDescent="0.3">
      <c r="A82" s="296"/>
      <c r="B82" s="969" t="s">
        <v>854</v>
      </c>
      <c r="C82" s="967"/>
      <c r="D82" s="967"/>
      <c r="E82" s="967"/>
      <c r="F82" s="967"/>
      <c r="G82" s="967"/>
      <c r="H82" s="967"/>
      <c r="I82" s="967"/>
      <c r="J82" s="968"/>
      <c r="K82" s="256"/>
    </row>
    <row r="83" spans="1:16" x14ac:dyDescent="0.25">
      <c r="A83" s="296"/>
      <c r="B83" s="543"/>
      <c r="C83" s="266"/>
      <c r="D83" s="266"/>
      <c r="E83" s="256"/>
      <c r="F83" s="300"/>
      <c r="G83" s="256"/>
      <c r="H83" s="256"/>
      <c r="I83" s="89"/>
      <c r="J83" s="544"/>
      <c r="K83" s="256"/>
    </row>
    <row r="84" spans="1:16" x14ac:dyDescent="0.25">
      <c r="A84" s="296"/>
      <c r="B84" s="543"/>
      <c r="C84" s="545"/>
      <c r="D84" s="545"/>
      <c r="E84" s="256"/>
      <c r="F84" s="300"/>
      <c r="G84" s="256"/>
      <c r="H84" s="256"/>
      <c r="I84" s="89"/>
      <c r="J84" s="544"/>
      <c r="K84" s="256"/>
    </row>
    <row r="85" spans="1:16" x14ac:dyDescent="0.25">
      <c r="A85" s="296"/>
      <c r="B85" s="546"/>
      <c r="C85" s="545"/>
      <c r="D85" s="545"/>
      <c r="E85" s="256"/>
      <c r="F85" s="300"/>
      <c r="G85" s="256"/>
      <c r="H85" s="256"/>
      <c r="I85" s="89"/>
      <c r="J85" s="544"/>
      <c r="K85" s="256"/>
    </row>
    <row r="86" spans="1:16" x14ac:dyDescent="0.25">
      <c r="A86" s="296"/>
      <c r="B86" s="546"/>
      <c r="C86" s="545"/>
      <c r="D86" s="545"/>
      <c r="E86" s="256"/>
      <c r="F86" s="300"/>
      <c r="G86" s="256"/>
      <c r="H86" s="256"/>
      <c r="I86" s="89"/>
      <c r="J86" s="544"/>
      <c r="K86" s="256"/>
    </row>
    <row r="87" spans="1:16" x14ac:dyDescent="0.25">
      <c r="A87" s="296"/>
      <c r="B87" s="546"/>
      <c r="C87" s="545"/>
      <c r="D87" s="545"/>
      <c r="E87" s="256"/>
      <c r="F87" s="300"/>
      <c r="G87" s="256"/>
      <c r="H87" s="256"/>
      <c r="I87" s="89"/>
      <c r="J87" s="544"/>
      <c r="K87" s="256"/>
    </row>
    <row r="88" spans="1:16" x14ac:dyDescent="0.25">
      <c r="A88" s="296"/>
      <c r="B88" s="546"/>
      <c r="C88" s="545"/>
      <c r="D88" s="545"/>
      <c r="E88" s="256"/>
      <c r="F88" s="300"/>
      <c r="G88" s="256"/>
      <c r="H88" s="256"/>
      <c r="I88" s="89"/>
      <c r="J88" s="544"/>
      <c r="K88" s="256"/>
    </row>
    <row r="89" spans="1:16" x14ac:dyDescent="0.25">
      <c r="A89" s="296"/>
      <c r="B89" s="546"/>
      <c r="C89" s="545"/>
      <c r="D89" s="545"/>
      <c r="E89" s="256"/>
      <c r="F89" s="300"/>
      <c r="G89" s="256"/>
      <c r="H89" s="256"/>
      <c r="I89" s="89"/>
      <c r="J89" s="544"/>
      <c r="K89" s="256"/>
    </row>
    <row r="90" spans="1:16" x14ac:dyDescent="0.25">
      <c r="A90" s="296"/>
      <c r="B90" s="546"/>
      <c r="C90" s="545"/>
      <c r="D90" s="545"/>
      <c r="E90" s="256"/>
      <c r="F90" s="300"/>
      <c r="G90" s="256"/>
      <c r="H90" s="256"/>
      <c r="I90" s="89"/>
      <c r="J90" s="544"/>
      <c r="K90" s="256"/>
    </row>
    <row r="91" spans="1:16" x14ac:dyDescent="0.25">
      <c r="A91" s="296"/>
      <c r="B91" s="546"/>
      <c r="C91" s="545"/>
      <c r="D91" s="545"/>
      <c r="E91" s="256"/>
      <c r="F91" s="300"/>
      <c r="G91" s="256"/>
      <c r="H91" s="256"/>
      <c r="I91" s="89"/>
      <c r="J91" s="544"/>
      <c r="K91" s="256"/>
    </row>
    <row r="92" spans="1:16" x14ac:dyDescent="0.25">
      <c r="A92" s="296"/>
      <c r="B92" s="546"/>
      <c r="C92" s="545"/>
      <c r="D92" s="545"/>
      <c r="E92" s="256"/>
      <c r="F92" s="300"/>
      <c r="G92" s="256"/>
      <c r="H92" s="256"/>
      <c r="I92" s="89"/>
      <c r="J92" s="544"/>
      <c r="K92" s="256"/>
    </row>
    <row r="93" spans="1:16" x14ac:dyDescent="0.25">
      <c r="A93" s="296"/>
      <c r="B93" s="546"/>
      <c r="C93" s="545"/>
      <c r="D93" s="545"/>
      <c r="E93" s="256"/>
      <c r="F93" s="300"/>
      <c r="G93" s="256"/>
      <c r="H93" s="256"/>
      <c r="I93" s="89"/>
      <c r="J93" s="544"/>
      <c r="K93" s="256"/>
    </row>
    <row r="94" spans="1:16" x14ac:dyDescent="0.25">
      <c r="A94" s="296"/>
      <c r="B94" s="546"/>
      <c r="C94" s="545"/>
      <c r="D94" s="545"/>
      <c r="E94" s="256"/>
      <c r="F94" s="300"/>
      <c r="G94" s="256"/>
      <c r="H94" s="256"/>
      <c r="I94" s="89"/>
      <c r="J94" s="544"/>
      <c r="K94" s="256"/>
    </row>
    <row r="95" spans="1:16" x14ac:dyDescent="0.25">
      <c r="A95" s="296"/>
      <c r="B95" s="546"/>
      <c r="C95" s="545"/>
      <c r="D95" s="545"/>
      <c r="E95" s="256"/>
      <c r="F95" s="300"/>
      <c r="G95" s="256"/>
      <c r="H95" s="256"/>
      <c r="I95" s="89"/>
      <c r="J95" s="544"/>
      <c r="K95" s="256"/>
    </row>
    <row r="96" spans="1:16" x14ac:dyDescent="0.25">
      <c r="A96" s="296"/>
      <c r="B96" s="546"/>
      <c r="C96" s="545"/>
      <c r="D96" s="545"/>
      <c r="E96" s="256"/>
      <c r="F96" s="300"/>
      <c r="G96" s="256"/>
      <c r="H96" s="256"/>
      <c r="I96" s="89"/>
      <c r="J96" s="544"/>
      <c r="K96" s="256"/>
    </row>
    <row r="97" spans="1:30" x14ac:dyDescent="0.25">
      <c r="A97" s="296"/>
      <c r="B97" s="546"/>
      <c r="C97" s="545"/>
      <c r="D97" s="545"/>
      <c r="E97" s="256"/>
      <c r="F97" s="300"/>
      <c r="G97" s="256"/>
      <c r="H97" s="256"/>
      <c r="I97" s="89"/>
      <c r="J97" s="544"/>
      <c r="K97" s="256"/>
    </row>
    <row r="98" spans="1:30" x14ac:dyDescent="0.25">
      <c r="A98" s="296"/>
      <c r="B98" s="546"/>
      <c r="C98" s="545"/>
      <c r="D98" s="545"/>
      <c r="E98" s="256"/>
      <c r="F98" s="300"/>
      <c r="G98" s="256"/>
      <c r="H98" s="256"/>
      <c r="I98" s="89"/>
      <c r="J98" s="544"/>
      <c r="K98" s="256"/>
    </row>
    <row r="99" spans="1:30" x14ac:dyDescent="0.25">
      <c r="A99" s="296"/>
      <c r="B99" s="546"/>
      <c r="C99" s="545"/>
      <c r="D99" s="545"/>
      <c r="E99" s="256"/>
      <c r="F99" s="300"/>
      <c r="G99" s="256"/>
      <c r="H99" s="256"/>
      <c r="I99" s="89"/>
      <c r="J99" s="544"/>
      <c r="K99" s="256"/>
    </row>
    <row r="100" spans="1:30" x14ac:dyDescent="0.25">
      <c r="A100" s="296"/>
      <c r="B100" s="546"/>
      <c r="C100" s="545"/>
      <c r="D100" s="545"/>
      <c r="E100" s="256"/>
      <c r="F100" s="300"/>
      <c r="G100" s="256"/>
      <c r="H100" s="256"/>
      <c r="I100" s="89"/>
      <c r="J100" s="544"/>
      <c r="K100" s="256"/>
    </row>
    <row r="101" spans="1:30" x14ac:dyDescent="0.25">
      <c r="A101" s="296"/>
      <c r="B101" s="546"/>
      <c r="C101" s="545"/>
      <c r="D101" s="545"/>
      <c r="E101" s="256"/>
      <c r="F101" s="300"/>
      <c r="G101" s="256"/>
      <c r="H101" s="256"/>
      <c r="I101" s="89"/>
      <c r="J101" s="544"/>
      <c r="K101" s="256"/>
    </row>
    <row r="102" spans="1:30" x14ac:dyDescent="0.25">
      <c r="A102" s="296"/>
      <c r="B102" s="546"/>
      <c r="C102" s="545"/>
      <c r="D102" s="545"/>
      <c r="E102" s="256"/>
      <c r="F102" s="300"/>
      <c r="G102" s="256"/>
      <c r="H102" s="256"/>
      <c r="I102" s="89"/>
      <c r="J102" s="544"/>
      <c r="K102" s="256"/>
    </row>
    <row r="103" spans="1:30" ht="15.75" thickBot="1" x14ac:dyDescent="0.3">
      <c r="A103" s="296"/>
      <c r="B103" s="552"/>
      <c r="C103" s="553"/>
      <c r="D103" s="553"/>
      <c r="E103" s="554"/>
      <c r="F103" s="554"/>
      <c r="G103" s="549"/>
      <c r="H103" s="549"/>
      <c r="I103" s="555"/>
      <c r="J103" s="556"/>
      <c r="K103" s="256"/>
    </row>
    <row r="104" spans="1:30" ht="29.45" customHeight="1" x14ac:dyDescent="0.25">
      <c r="A104" s="300"/>
      <c r="B104" s="1004" t="s">
        <v>1278</v>
      </c>
      <c r="C104" s="1005"/>
      <c r="D104" s="1005"/>
      <c r="E104" s="1005"/>
      <c r="F104" s="1005"/>
      <c r="G104" s="1005"/>
      <c r="H104" s="1005"/>
      <c r="I104" s="1005"/>
      <c r="J104" s="1006"/>
      <c r="K104" s="89"/>
      <c r="L104" s="199"/>
      <c r="M104" s="199"/>
      <c r="N104" s="199"/>
      <c r="O104" s="199"/>
      <c r="P104" s="199"/>
      <c r="Q104" s="199"/>
      <c r="R104" s="199"/>
      <c r="S104" s="199"/>
      <c r="T104" s="199"/>
      <c r="U104" s="199"/>
      <c r="V104" s="199"/>
      <c r="W104" s="199"/>
      <c r="X104" s="199"/>
      <c r="Y104" s="199"/>
      <c r="Z104" s="199"/>
      <c r="AA104" s="199"/>
      <c r="AB104" s="199"/>
      <c r="AC104" s="199"/>
      <c r="AD104" s="199"/>
    </row>
    <row r="105" spans="1:30" x14ac:dyDescent="0.25">
      <c r="A105" s="300"/>
      <c r="B105" s="541"/>
      <c r="C105" s="300"/>
      <c r="D105" s="300"/>
      <c r="E105" s="300"/>
      <c r="F105" s="300"/>
      <c r="G105" s="300"/>
      <c r="H105" s="300"/>
      <c r="I105" s="300"/>
      <c r="J105" s="542"/>
      <c r="K105" s="256"/>
      <c r="M105" s="199"/>
      <c r="N105" s="199"/>
      <c r="O105" s="199"/>
      <c r="P105" s="199"/>
      <c r="Q105" s="199"/>
      <c r="R105" s="199"/>
      <c r="S105" s="199"/>
      <c r="T105" s="199"/>
      <c r="U105" s="199"/>
      <c r="V105" s="199"/>
      <c r="W105" s="199"/>
      <c r="X105" s="199"/>
      <c r="Y105" s="199"/>
      <c r="Z105" s="199"/>
      <c r="AA105" s="199"/>
      <c r="AB105" s="199"/>
      <c r="AC105" s="199"/>
      <c r="AD105" s="199"/>
    </row>
    <row r="106" spans="1:30" x14ac:dyDescent="0.25">
      <c r="A106" s="300"/>
      <c r="B106" s="543"/>
      <c r="C106" s="266"/>
      <c r="D106" s="266"/>
      <c r="E106" s="256"/>
      <c r="F106" s="300"/>
      <c r="G106" s="256"/>
      <c r="H106" s="256"/>
      <c r="I106" s="89"/>
      <c r="J106" s="544"/>
      <c r="K106" s="256"/>
      <c r="M106" s="199"/>
      <c r="N106" s="199"/>
      <c r="O106" s="199"/>
      <c r="P106" s="199"/>
      <c r="Q106" s="199"/>
      <c r="R106" s="199"/>
      <c r="S106" s="199"/>
      <c r="T106" s="199"/>
      <c r="U106" s="199"/>
      <c r="V106" s="199"/>
      <c r="W106" s="199"/>
      <c r="X106" s="199"/>
      <c r="Y106" s="199"/>
      <c r="Z106" s="199"/>
      <c r="AA106" s="199"/>
      <c r="AB106" s="199"/>
      <c r="AC106" s="199"/>
      <c r="AD106" s="199"/>
    </row>
    <row r="107" spans="1:30" x14ac:dyDescent="0.25">
      <c r="A107" s="300"/>
      <c r="B107" s="543"/>
      <c r="C107" s="545"/>
      <c r="D107" s="545"/>
      <c r="E107" s="256"/>
      <c r="F107" s="300"/>
      <c r="G107" s="256"/>
      <c r="H107" s="256"/>
      <c r="I107" s="89"/>
      <c r="J107" s="544"/>
      <c r="K107" s="256"/>
      <c r="M107" s="199"/>
      <c r="N107" s="199"/>
      <c r="O107" s="199"/>
      <c r="P107" s="199"/>
      <c r="Q107" s="199"/>
      <c r="R107" s="199"/>
      <c r="S107" s="199"/>
      <c r="T107" s="199"/>
      <c r="U107" s="199"/>
      <c r="V107" s="199"/>
      <c r="W107" s="199"/>
      <c r="X107" s="199"/>
      <c r="Y107" s="199"/>
      <c r="Z107" s="199"/>
      <c r="AA107" s="199"/>
      <c r="AB107" s="199"/>
      <c r="AC107" s="199"/>
      <c r="AD107" s="199"/>
    </row>
    <row r="108" spans="1:30" x14ac:dyDescent="0.25">
      <c r="A108" s="300"/>
      <c r="B108" s="546"/>
      <c r="C108" s="545"/>
      <c r="D108" s="545"/>
      <c r="E108" s="256"/>
      <c r="F108" s="300"/>
      <c r="G108" s="256"/>
      <c r="H108" s="256"/>
      <c r="I108" s="89"/>
      <c r="J108" s="544"/>
      <c r="K108" s="256"/>
      <c r="M108" s="199"/>
      <c r="N108" s="199"/>
      <c r="O108" s="199"/>
      <c r="P108" s="199"/>
      <c r="Q108" s="199"/>
      <c r="R108" s="199"/>
      <c r="S108" s="199"/>
      <c r="T108" s="199"/>
      <c r="U108" s="199"/>
      <c r="V108" s="199"/>
      <c r="W108" s="199"/>
      <c r="X108" s="199"/>
      <c r="Y108" s="199"/>
      <c r="Z108" s="199"/>
      <c r="AA108" s="199"/>
      <c r="AB108" s="199"/>
      <c r="AC108" s="199"/>
      <c r="AD108" s="199"/>
    </row>
    <row r="109" spans="1:30" x14ac:dyDescent="0.25">
      <c r="A109" s="300"/>
      <c r="B109" s="546"/>
      <c r="C109" s="545"/>
      <c r="D109" s="545"/>
      <c r="E109" s="256"/>
      <c r="F109" s="300"/>
      <c r="G109" s="256"/>
      <c r="H109" s="256"/>
      <c r="I109" s="89"/>
      <c r="J109" s="544"/>
      <c r="K109" s="256"/>
      <c r="M109" s="199"/>
      <c r="N109" s="199"/>
      <c r="O109" s="199"/>
      <c r="P109" s="199"/>
      <c r="Q109" s="199"/>
      <c r="R109" s="199"/>
      <c r="S109" s="199"/>
      <c r="T109" s="199"/>
      <c r="U109" s="199"/>
      <c r="V109" s="199"/>
      <c r="W109" s="199"/>
      <c r="X109" s="199"/>
      <c r="Y109" s="199"/>
      <c r="Z109" s="199"/>
      <c r="AA109" s="199"/>
      <c r="AB109" s="199"/>
      <c r="AC109" s="199"/>
      <c r="AD109" s="199"/>
    </row>
    <row r="110" spans="1:30" x14ac:dyDescent="0.25">
      <c r="A110" s="300"/>
      <c r="B110" s="546"/>
      <c r="C110" s="545"/>
      <c r="D110" s="545"/>
      <c r="E110" s="256"/>
      <c r="F110" s="300"/>
      <c r="G110" s="256"/>
      <c r="H110" s="256"/>
      <c r="I110" s="89"/>
      <c r="J110" s="544"/>
      <c r="K110" s="256"/>
      <c r="M110" s="199"/>
      <c r="N110" s="199"/>
      <c r="O110" s="199"/>
      <c r="P110" s="199"/>
      <c r="Q110" s="199"/>
      <c r="R110" s="199"/>
      <c r="S110" s="199"/>
      <c r="T110" s="199"/>
      <c r="U110" s="199"/>
      <c r="V110" s="199"/>
      <c r="W110" s="199"/>
      <c r="X110" s="199"/>
      <c r="Y110" s="199"/>
      <c r="Z110" s="199"/>
      <c r="AA110" s="199"/>
      <c r="AB110" s="199"/>
      <c r="AC110" s="199"/>
      <c r="AD110" s="199"/>
    </row>
    <row r="111" spans="1:30" x14ac:dyDescent="0.25">
      <c r="A111" s="300"/>
      <c r="B111" s="546"/>
      <c r="C111" s="545"/>
      <c r="D111" s="545"/>
      <c r="E111" s="256"/>
      <c r="F111" s="300"/>
      <c r="G111" s="256"/>
      <c r="H111" s="256"/>
      <c r="I111" s="89"/>
      <c r="J111" s="544"/>
      <c r="K111" s="256"/>
      <c r="M111" s="199"/>
      <c r="N111" s="199"/>
      <c r="O111" s="199"/>
      <c r="P111" s="199"/>
      <c r="Q111" s="199"/>
      <c r="R111" s="199"/>
      <c r="S111" s="199"/>
      <c r="T111" s="199"/>
      <c r="U111" s="199"/>
      <c r="V111" s="199"/>
      <c r="W111" s="199"/>
      <c r="X111" s="199"/>
      <c r="Y111" s="199"/>
      <c r="Z111" s="199"/>
      <c r="AA111" s="199"/>
      <c r="AB111" s="199"/>
      <c r="AC111" s="199"/>
      <c r="AD111" s="199"/>
    </row>
    <row r="112" spans="1:30" x14ac:dyDescent="0.25">
      <c r="A112" s="300"/>
      <c r="B112" s="546"/>
      <c r="C112" s="545"/>
      <c r="D112" s="545"/>
      <c r="E112" s="256"/>
      <c r="F112" s="300"/>
      <c r="G112" s="256"/>
      <c r="H112" s="256"/>
      <c r="I112" s="89"/>
      <c r="J112" s="544"/>
      <c r="K112" s="256"/>
      <c r="M112" s="199"/>
      <c r="N112" s="199"/>
      <c r="O112" s="199"/>
      <c r="P112" s="199"/>
      <c r="Q112" s="199"/>
      <c r="R112" s="199"/>
      <c r="S112" s="199"/>
      <c r="T112" s="199"/>
      <c r="U112" s="199"/>
      <c r="V112" s="199"/>
      <c r="W112" s="199"/>
      <c r="X112" s="199"/>
      <c r="Y112" s="199"/>
      <c r="Z112" s="199"/>
      <c r="AA112" s="199"/>
      <c r="AB112" s="199"/>
      <c r="AC112" s="199"/>
      <c r="AD112" s="199"/>
    </row>
    <row r="113" spans="1:30" x14ac:dyDescent="0.25">
      <c r="A113" s="300"/>
      <c r="B113" s="546"/>
      <c r="C113" s="545"/>
      <c r="D113" s="545"/>
      <c r="E113" s="256"/>
      <c r="F113" s="300"/>
      <c r="G113" s="256"/>
      <c r="H113" s="256"/>
      <c r="I113" s="89"/>
      <c r="J113" s="544"/>
      <c r="K113" s="256"/>
      <c r="M113" s="199"/>
      <c r="N113" s="199"/>
      <c r="O113" s="199"/>
      <c r="P113" s="199"/>
      <c r="Q113" s="199"/>
      <c r="R113" s="199"/>
      <c r="S113" s="199"/>
      <c r="T113" s="199"/>
      <c r="U113" s="199"/>
      <c r="V113" s="199"/>
      <c r="W113" s="199"/>
      <c r="X113" s="199"/>
      <c r="Y113" s="199"/>
      <c r="Z113" s="199"/>
      <c r="AA113" s="199"/>
      <c r="AB113" s="199"/>
      <c r="AC113" s="199"/>
      <c r="AD113" s="199"/>
    </row>
    <row r="114" spans="1:30" x14ac:dyDescent="0.25">
      <c r="A114" s="300"/>
      <c r="B114" s="546"/>
      <c r="C114" s="545"/>
      <c r="D114" s="545"/>
      <c r="E114" s="256"/>
      <c r="F114" s="300"/>
      <c r="G114" s="256"/>
      <c r="H114" s="256"/>
      <c r="I114" s="89"/>
      <c r="J114" s="544"/>
      <c r="K114" s="256"/>
      <c r="M114" s="199"/>
      <c r="N114" s="199"/>
      <c r="O114" s="199"/>
      <c r="P114" s="199"/>
      <c r="Q114" s="199"/>
      <c r="R114" s="199"/>
      <c r="S114" s="199"/>
      <c r="T114" s="199"/>
      <c r="U114" s="199"/>
      <c r="V114" s="199"/>
      <c r="W114" s="199"/>
      <c r="X114" s="199"/>
      <c r="Y114" s="199"/>
      <c r="Z114" s="199"/>
      <c r="AA114" s="199"/>
      <c r="AB114" s="199"/>
      <c r="AC114" s="199"/>
      <c r="AD114" s="199"/>
    </row>
    <row r="115" spans="1:30" x14ac:dyDescent="0.25">
      <c r="A115" s="300"/>
      <c r="B115" s="546"/>
      <c r="C115" s="545"/>
      <c r="D115" s="545"/>
      <c r="E115" s="256"/>
      <c r="F115" s="300"/>
      <c r="G115" s="256"/>
      <c r="H115" s="256"/>
      <c r="I115" s="89"/>
      <c r="J115" s="544"/>
      <c r="K115" s="256"/>
      <c r="M115" s="199"/>
      <c r="N115" s="199"/>
      <c r="O115" s="199"/>
      <c r="P115" s="199"/>
      <c r="Q115" s="199"/>
      <c r="R115" s="199"/>
      <c r="S115" s="199"/>
      <c r="T115" s="199"/>
      <c r="U115" s="199"/>
      <c r="V115" s="199"/>
      <c r="W115" s="199"/>
      <c r="X115" s="199"/>
      <c r="Y115" s="199"/>
      <c r="Z115" s="199"/>
      <c r="AA115" s="199"/>
      <c r="AB115" s="199"/>
      <c r="AC115" s="199"/>
      <c r="AD115" s="199"/>
    </row>
    <row r="116" spans="1:30" x14ac:dyDescent="0.25">
      <c r="A116" s="300"/>
      <c r="B116" s="546"/>
      <c r="C116" s="545"/>
      <c r="D116" s="545"/>
      <c r="E116" s="256"/>
      <c r="F116" s="300"/>
      <c r="G116" s="256"/>
      <c r="H116" s="256"/>
      <c r="I116" s="89"/>
      <c r="J116" s="544"/>
      <c r="K116" s="256"/>
      <c r="M116" s="199"/>
      <c r="N116" s="199"/>
      <c r="O116" s="199"/>
      <c r="P116" s="199"/>
      <c r="Q116" s="199"/>
      <c r="R116" s="199"/>
      <c r="S116" s="199"/>
      <c r="T116" s="199"/>
      <c r="U116" s="199"/>
      <c r="V116" s="199"/>
      <c r="W116" s="199"/>
      <c r="X116" s="199"/>
      <c r="Y116" s="199"/>
      <c r="Z116" s="199"/>
      <c r="AA116" s="199"/>
      <c r="AB116" s="199"/>
      <c r="AC116" s="199"/>
      <c r="AD116" s="199"/>
    </row>
    <row r="117" spans="1:30" x14ac:dyDescent="0.25">
      <c r="A117" s="300"/>
      <c r="B117" s="546"/>
      <c r="C117" s="545"/>
      <c r="D117" s="545"/>
      <c r="E117" s="256"/>
      <c r="F117" s="300"/>
      <c r="G117" s="256"/>
      <c r="H117" s="256"/>
      <c r="I117" s="89"/>
      <c r="J117" s="544"/>
      <c r="K117" s="256"/>
      <c r="M117" s="199"/>
      <c r="N117" s="199"/>
      <c r="O117" s="199"/>
      <c r="P117" s="199"/>
      <c r="Q117" s="199"/>
      <c r="R117" s="199"/>
      <c r="S117" s="199"/>
      <c r="T117" s="199"/>
      <c r="U117" s="199"/>
      <c r="V117" s="199"/>
      <c r="W117" s="199"/>
      <c r="X117" s="199"/>
      <c r="Y117" s="199"/>
      <c r="Z117" s="199"/>
      <c r="AA117" s="199"/>
      <c r="AB117" s="199"/>
      <c r="AC117" s="199"/>
      <c r="AD117" s="199"/>
    </row>
    <row r="118" spans="1:30" x14ac:dyDescent="0.25">
      <c r="A118" s="300"/>
      <c r="B118" s="546"/>
      <c r="C118" s="545"/>
      <c r="D118" s="545"/>
      <c r="E118" s="256"/>
      <c r="F118" s="300"/>
      <c r="G118" s="256"/>
      <c r="H118" s="256"/>
      <c r="I118" s="89"/>
      <c r="J118" s="544"/>
      <c r="K118" s="256"/>
      <c r="M118" s="199"/>
      <c r="N118" s="199"/>
      <c r="O118" s="199"/>
      <c r="P118" s="199"/>
      <c r="Q118" s="199"/>
      <c r="R118" s="199"/>
      <c r="S118" s="199"/>
      <c r="T118" s="199"/>
      <c r="U118" s="199"/>
      <c r="V118" s="199"/>
      <c r="W118" s="199"/>
      <c r="X118" s="199"/>
      <c r="Y118" s="199"/>
      <c r="Z118" s="199"/>
      <c r="AA118" s="199"/>
      <c r="AB118" s="199"/>
      <c r="AC118" s="199"/>
      <c r="AD118" s="199"/>
    </row>
    <row r="119" spans="1:30" x14ac:dyDescent="0.25">
      <c r="A119" s="300"/>
      <c r="B119" s="546"/>
      <c r="C119" s="545"/>
      <c r="D119" s="545"/>
      <c r="E119" s="256"/>
      <c r="F119" s="300"/>
      <c r="G119" s="256"/>
      <c r="H119" s="256"/>
      <c r="I119" s="89"/>
      <c r="J119" s="544"/>
      <c r="K119" s="256"/>
      <c r="M119" s="199"/>
      <c r="N119" s="199"/>
      <c r="O119" s="199"/>
      <c r="P119" s="199"/>
      <c r="Q119" s="199"/>
      <c r="R119" s="199"/>
      <c r="S119" s="199"/>
      <c r="T119" s="199"/>
      <c r="U119" s="199"/>
      <c r="V119" s="199"/>
      <c r="W119" s="199"/>
      <c r="X119" s="199"/>
      <c r="Y119" s="199"/>
      <c r="Z119" s="199"/>
      <c r="AA119" s="199"/>
      <c r="AB119" s="199"/>
      <c r="AC119" s="199"/>
      <c r="AD119" s="199"/>
    </row>
    <row r="120" spans="1:30" x14ac:dyDescent="0.25">
      <c r="A120" s="300"/>
      <c r="B120" s="546"/>
      <c r="C120" s="545"/>
      <c r="D120" s="545"/>
      <c r="E120" s="256"/>
      <c r="F120" s="300"/>
      <c r="G120" s="256"/>
      <c r="H120" s="256"/>
      <c r="I120" s="89"/>
      <c r="J120" s="544"/>
      <c r="K120" s="256"/>
      <c r="M120" s="199"/>
      <c r="N120" s="199"/>
      <c r="O120" s="199"/>
      <c r="P120" s="199"/>
      <c r="Q120" s="199"/>
      <c r="R120" s="199"/>
      <c r="S120" s="199"/>
      <c r="T120" s="199"/>
      <c r="U120" s="199"/>
      <c r="V120" s="199"/>
      <c r="W120" s="199"/>
      <c r="X120" s="199"/>
      <c r="Y120" s="199"/>
      <c r="Z120" s="199"/>
      <c r="AA120" s="199"/>
      <c r="AB120" s="199"/>
      <c r="AC120" s="199"/>
      <c r="AD120" s="199"/>
    </row>
    <row r="121" spans="1:30" x14ac:dyDescent="0.25">
      <c r="A121" s="300"/>
      <c r="B121" s="546"/>
      <c r="C121" s="545"/>
      <c r="D121" s="545"/>
      <c r="E121" s="256"/>
      <c r="F121" s="300"/>
      <c r="G121" s="256"/>
      <c r="H121" s="256"/>
      <c r="I121" s="89"/>
      <c r="J121" s="544"/>
      <c r="K121" s="256"/>
      <c r="M121" s="199"/>
      <c r="N121" s="199"/>
      <c r="O121" s="199"/>
      <c r="P121" s="199"/>
      <c r="Q121" s="199"/>
      <c r="R121" s="199"/>
      <c r="S121" s="199"/>
      <c r="T121" s="199"/>
      <c r="U121" s="199"/>
      <c r="V121" s="199"/>
      <c r="W121" s="199"/>
      <c r="X121" s="199"/>
      <c r="Y121" s="199"/>
      <c r="Z121" s="199"/>
      <c r="AA121" s="199"/>
      <c r="AB121" s="199"/>
      <c r="AC121" s="199"/>
      <c r="AD121" s="199"/>
    </row>
    <row r="122" spans="1:30" x14ac:dyDescent="0.25">
      <c r="A122" s="300"/>
      <c r="B122" s="546"/>
      <c r="C122" s="545"/>
      <c r="D122" s="545"/>
      <c r="E122" s="256"/>
      <c r="F122" s="300"/>
      <c r="G122" s="256"/>
      <c r="H122" s="256"/>
      <c r="I122" s="89"/>
      <c r="J122" s="544"/>
      <c r="K122" s="256"/>
      <c r="M122" s="199"/>
      <c r="N122" s="199"/>
      <c r="O122" s="199"/>
      <c r="P122" s="199"/>
      <c r="Q122" s="199"/>
      <c r="R122" s="199"/>
      <c r="S122" s="199"/>
      <c r="T122" s="199"/>
      <c r="U122" s="199"/>
      <c r="V122" s="199"/>
      <c r="W122" s="199"/>
      <c r="X122" s="199"/>
      <c r="Y122" s="199"/>
      <c r="Z122" s="199"/>
      <c r="AA122" s="199"/>
      <c r="AB122" s="199"/>
      <c r="AC122" s="199"/>
      <c r="AD122" s="199"/>
    </row>
    <row r="123" spans="1:30" x14ac:dyDescent="0.25">
      <c r="A123" s="300"/>
      <c r="B123" s="546"/>
      <c r="C123" s="545"/>
      <c r="D123" s="545"/>
      <c r="E123" s="256"/>
      <c r="F123" s="300"/>
      <c r="G123" s="256"/>
      <c r="H123" s="256"/>
      <c r="I123" s="89"/>
      <c r="J123" s="544"/>
      <c r="K123" s="256"/>
      <c r="M123" s="199"/>
      <c r="N123" s="199"/>
      <c r="O123" s="199"/>
      <c r="P123" s="199"/>
      <c r="Q123" s="199"/>
      <c r="R123" s="199"/>
      <c r="S123" s="199"/>
      <c r="T123" s="199"/>
      <c r="U123" s="199"/>
      <c r="V123" s="199"/>
      <c r="W123" s="199"/>
      <c r="X123" s="199"/>
      <c r="Y123" s="199"/>
      <c r="Z123" s="199"/>
      <c r="AA123" s="199"/>
      <c r="AB123" s="199"/>
      <c r="AC123" s="199"/>
      <c r="AD123" s="199"/>
    </row>
    <row r="124" spans="1:30" x14ac:dyDescent="0.25">
      <c r="A124" s="300"/>
      <c r="B124" s="546"/>
      <c r="C124" s="545"/>
      <c r="D124" s="545"/>
      <c r="E124" s="256"/>
      <c r="F124" s="300"/>
      <c r="G124" s="256"/>
      <c r="H124" s="256"/>
      <c r="I124" s="89"/>
      <c r="J124" s="544"/>
      <c r="K124" s="256"/>
      <c r="M124" s="199"/>
      <c r="N124" s="199"/>
      <c r="O124" s="199"/>
      <c r="P124" s="199"/>
      <c r="Q124" s="199"/>
      <c r="R124" s="199"/>
      <c r="S124" s="199"/>
      <c r="T124" s="199"/>
      <c r="U124" s="199"/>
      <c r="V124" s="199"/>
      <c r="W124" s="199"/>
      <c r="X124" s="199"/>
      <c r="Y124" s="199"/>
      <c r="Z124" s="199"/>
      <c r="AA124" s="199"/>
      <c r="AB124" s="199"/>
      <c r="AC124" s="199"/>
      <c r="AD124" s="199"/>
    </row>
    <row r="125" spans="1:30" ht="15.75" thickBot="1" x14ac:dyDescent="0.3">
      <c r="A125" s="300"/>
      <c r="B125" s="548"/>
      <c r="C125" s="549"/>
      <c r="D125" s="549"/>
      <c r="E125" s="549"/>
      <c r="F125" s="549"/>
      <c r="G125" s="550"/>
      <c r="H125" s="550"/>
      <c r="I125" s="549"/>
      <c r="J125" s="551"/>
      <c r="K125" s="256"/>
      <c r="M125" s="199"/>
      <c r="N125" s="199"/>
      <c r="O125" s="199"/>
      <c r="P125" s="199"/>
    </row>
    <row r="126" spans="1:30" ht="29.45" customHeight="1" x14ac:dyDescent="0.25">
      <c r="A126" s="296"/>
      <c r="B126" s="1004" t="s">
        <v>1279</v>
      </c>
      <c r="C126" s="1005"/>
      <c r="D126" s="1005"/>
      <c r="E126" s="1005"/>
      <c r="F126" s="1005"/>
      <c r="G126" s="1005"/>
      <c r="H126" s="1005"/>
      <c r="I126" s="1005"/>
      <c r="J126" s="1006"/>
      <c r="K126" s="256"/>
    </row>
    <row r="127" spans="1:30" x14ac:dyDescent="0.25">
      <c r="A127" s="296"/>
      <c r="B127" s="543"/>
      <c r="C127" s="266"/>
      <c r="D127" s="266"/>
      <c r="E127" s="256"/>
      <c r="F127" s="300"/>
      <c r="G127" s="256"/>
      <c r="H127" s="256"/>
      <c r="I127" s="89"/>
      <c r="J127" s="544"/>
      <c r="K127" s="256"/>
    </row>
    <row r="128" spans="1:30" x14ac:dyDescent="0.25">
      <c r="A128" s="296"/>
      <c r="B128" s="543"/>
      <c r="C128" s="545"/>
      <c r="D128" s="545"/>
      <c r="E128" s="256"/>
      <c r="F128" s="300"/>
      <c r="G128" s="256"/>
      <c r="H128" s="256"/>
      <c r="I128" s="89"/>
      <c r="J128" s="544"/>
      <c r="K128" s="256"/>
    </row>
    <row r="129" spans="1:11" x14ac:dyDescent="0.25">
      <c r="A129" s="296"/>
      <c r="B129" s="546"/>
      <c r="C129" s="545"/>
      <c r="D129" s="545"/>
      <c r="E129" s="256"/>
      <c r="F129" s="300"/>
      <c r="G129" s="256"/>
      <c r="H129" s="256"/>
      <c r="I129" s="89"/>
      <c r="J129" s="544"/>
      <c r="K129" s="256"/>
    </row>
    <row r="130" spans="1:11" x14ac:dyDescent="0.25">
      <c r="A130" s="296"/>
      <c r="B130" s="546"/>
      <c r="C130" s="545"/>
      <c r="D130" s="545"/>
      <c r="E130" s="256"/>
      <c r="F130" s="300"/>
      <c r="G130" s="256"/>
      <c r="H130" s="256"/>
      <c r="I130" s="89"/>
      <c r="J130" s="544"/>
      <c r="K130" s="256"/>
    </row>
    <row r="131" spans="1:11" x14ac:dyDescent="0.25">
      <c r="A131" s="296"/>
      <c r="B131" s="546"/>
      <c r="C131" s="545"/>
      <c r="D131" s="545"/>
      <c r="E131" s="256"/>
      <c r="F131" s="300"/>
      <c r="G131" s="256"/>
      <c r="H131" s="256"/>
      <c r="I131" s="89"/>
      <c r="J131" s="544"/>
      <c r="K131" s="256"/>
    </row>
    <row r="132" spans="1:11" x14ac:dyDescent="0.25">
      <c r="A132" s="296"/>
      <c r="B132" s="546"/>
      <c r="C132" s="545"/>
      <c r="D132" s="545"/>
      <c r="E132" s="256"/>
      <c r="F132" s="300"/>
      <c r="G132" s="256"/>
      <c r="H132" s="256"/>
      <c r="I132" s="89"/>
      <c r="J132" s="544"/>
      <c r="K132" s="256"/>
    </row>
    <row r="133" spans="1:11" x14ac:dyDescent="0.25">
      <c r="A133" s="296"/>
      <c r="B133" s="546"/>
      <c r="C133" s="545"/>
      <c r="D133" s="545"/>
      <c r="E133" s="256"/>
      <c r="F133" s="300"/>
      <c r="G133" s="256"/>
      <c r="H133" s="256"/>
      <c r="I133" s="89"/>
      <c r="J133" s="544"/>
      <c r="K133" s="256"/>
    </row>
    <row r="134" spans="1:11" x14ac:dyDescent="0.25">
      <c r="A134" s="296"/>
      <c r="B134" s="546"/>
      <c r="C134" s="545"/>
      <c r="D134" s="545"/>
      <c r="E134" s="256"/>
      <c r="F134" s="300"/>
      <c r="G134" s="256"/>
      <c r="H134" s="256"/>
      <c r="I134" s="89"/>
      <c r="J134" s="544"/>
      <c r="K134" s="256"/>
    </row>
    <row r="135" spans="1:11" x14ac:dyDescent="0.25">
      <c r="A135" s="296"/>
      <c r="B135" s="546"/>
      <c r="C135" s="545"/>
      <c r="D135" s="545"/>
      <c r="E135" s="256"/>
      <c r="F135" s="300"/>
      <c r="G135" s="256"/>
      <c r="H135" s="256"/>
      <c r="I135" s="89"/>
      <c r="J135" s="544"/>
      <c r="K135" s="256"/>
    </row>
    <row r="136" spans="1:11" x14ac:dyDescent="0.25">
      <c r="A136" s="296"/>
      <c r="B136" s="546"/>
      <c r="C136" s="545"/>
      <c r="D136" s="545"/>
      <c r="E136" s="256"/>
      <c r="F136" s="300"/>
      <c r="G136" s="256"/>
      <c r="H136" s="256"/>
      <c r="I136" s="89"/>
      <c r="J136" s="544"/>
      <c r="K136" s="256"/>
    </row>
    <row r="137" spans="1:11" x14ac:dyDescent="0.25">
      <c r="A137" s="296"/>
      <c r="B137" s="546"/>
      <c r="C137" s="545"/>
      <c r="D137" s="545"/>
      <c r="E137" s="256"/>
      <c r="F137" s="300"/>
      <c r="G137" s="256"/>
      <c r="H137" s="256"/>
      <c r="I137" s="89"/>
      <c r="J137" s="544"/>
      <c r="K137" s="256"/>
    </row>
    <row r="138" spans="1:11" x14ac:dyDescent="0.25">
      <c r="A138" s="296"/>
      <c r="B138" s="546"/>
      <c r="C138" s="545"/>
      <c r="D138" s="545"/>
      <c r="E138" s="256"/>
      <c r="F138" s="300"/>
      <c r="G138" s="256"/>
      <c r="H138" s="256"/>
      <c r="I138" s="89"/>
      <c r="J138" s="544"/>
      <c r="K138" s="256"/>
    </row>
    <row r="139" spans="1:11" x14ac:dyDescent="0.25">
      <c r="A139" s="296"/>
      <c r="B139" s="546"/>
      <c r="C139" s="545"/>
      <c r="D139" s="545"/>
      <c r="E139" s="256"/>
      <c r="F139" s="300"/>
      <c r="G139" s="256"/>
      <c r="H139" s="256"/>
      <c r="I139" s="89"/>
      <c r="J139" s="544"/>
      <c r="K139" s="256"/>
    </row>
    <row r="140" spans="1:11" x14ac:dyDescent="0.25">
      <c r="A140" s="296"/>
      <c r="B140" s="546"/>
      <c r="C140" s="545"/>
      <c r="D140" s="545"/>
      <c r="E140" s="256"/>
      <c r="F140" s="300"/>
      <c r="G140" s="256"/>
      <c r="H140" s="256"/>
      <c r="I140" s="89"/>
      <c r="J140" s="544"/>
      <c r="K140" s="256"/>
    </row>
    <row r="141" spans="1:11" x14ac:dyDescent="0.25">
      <c r="A141" s="296"/>
      <c r="B141" s="546"/>
      <c r="C141" s="545"/>
      <c r="D141" s="545"/>
      <c r="E141" s="256"/>
      <c r="F141" s="300"/>
      <c r="G141" s="256"/>
      <c r="H141" s="256"/>
      <c r="I141" s="89"/>
      <c r="J141" s="544"/>
      <c r="K141" s="256"/>
    </row>
    <row r="142" spans="1:11" x14ac:dyDescent="0.25">
      <c r="A142" s="296"/>
      <c r="B142" s="546"/>
      <c r="C142" s="545"/>
      <c r="D142" s="545"/>
      <c r="E142" s="256"/>
      <c r="F142" s="300"/>
      <c r="G142" s="256"/>
      <c r="H142" s="256"/>
      <c r="I142" s="89"/>
      <c r="J142" s="544"/>
      <c r="K142" s="256"/>
    </row>
    <row r="143" spans="1:11" x14ac:dyDescent="0.25">
      <c r="A143" s="296"/>
      <c r="B143" s="546"/>
      <c r="C143" s="545"/>
      <c r="D143" s="545"/>
      <c r="E143" s="256"/>
      <c r="F143" s="300"/>
      <c r="G143" s="256"/>
      <c r="H143" s="256"/>
      <c r="I143" s="89"/>
      <c r="J143" s="544"/>
      <c r="K143" s="256"/>
    </row>
    <row r="144" spans="1:11" x14ac:dyDescent="0.25">
      <c r="A144" s="296"/>
      <c r="B144" s="546"/>
      <c r="C144" s="545"/>
      <c r="D144" s="545"/>
      <c r="E144" s="256"/>
      <c r="F144" s="300"/>
      <c r="G144" s="256"/>
      <c r="H144" s="256"/>
      <c r="I144" s="89"/>
      <c r="J144" s="544"/>
      <c r="K144" s="256"/>
    </row>
    <row r="145" spans="1:11" x14ac:dyDescent="0.25">
      <c r="A145" s="296"/>
      <c r="B145" s="546"/>
      <c r="C145" s="545"/>
      <c r="D145" s="545"/>
      <c r="E145" s="256"/>
      <c r="F145" s="300"/>
      <c r="G145" s="256"/>
      <c r="H145" s="256"/>
      <c r="I145" s="89"/>
      <c r="J145" s="544"/>
      <c r="K145" s="256"/>
    </row>
    <row r="146" spans="1:11" x14ac:dyDescent="0.25">
      <c r="A146" s="296"/>
      <c r="B146" s="546"/>
      <c r="C146" s="545"/>
      <c r="D146" s="545"/>
      <c r="E146" s="256"/>
      <c r="F146" s="300"/>
      <c r="G146" s="256"/>
      <c r="H146" s="256"/>
      <c r="I146" s="89"/>
      <c r="J146" s="544"/>
      <c r="K146" s="256"/>
    </row>
    <row r="147" spans="1:11" ht="15.75" thickBot="1" x14ac:dyDescent="0.3">
      <c r="A147" s="296"/>
      <c r="B147" s="552"/>
      <c r="C147" s="553"/>
      <c r="D147" s="553"/>
      <c r="E147" s="554"/>
      <c r="F147" s="554"/>
      <c r="G147" s="549"/>
      <c r="H147" s="549"/>
      <c r="I147" s="555"/>
      <c r="J147" s="556"/>
      <c r="K147" s="256"/>
    </row>
  </sheetData>
  <mergeCells count="25">
    <mergeCell ref="A1:K1"/>
    <mergeCell ref="B82:J82"/>
    <mergeCell ref="B38:J38"/>
    <mergeCell ref="G11:H11"/>
    <mergeCell ref="B126:J126"/>
    <mergeCell ref="B60:J60"/>
    <mergeCell ref="B3:E14"/>
    <mergeCell ref="G10:H10"/>
    <mergeCell ref="B104:J104"/>
    <mergeCell ref="G8:H8"/>
    <mergeCell ref="G9:H9"/>
    <mergeCell ref="Z40:AA40"/>
    <mergeCell ref="Z18:AA18"/>
    <mergeCell ref="I3:J3"/>
    <mergeCell ref="I8:J8"/>
    <mergeCell ref="B16:J16"/>
    <mergeCell ref="G4:H4"/>
    <mergeCell ref="G5:H5"/>
    <mergeCell ref="G12:H12"/>
    <mergeCell ref="G13:H13"/>
    <mergeCell ref="G14:H14"/>
    <mergeCell ref="G6:H6"/>
    <mergeCell ref="G3:H3"/>
    <mergeCell ref="Q15:X15"/>
    <mergeCell ref="Q37:X37"/>
  </mergeCells>
  <dataValidations disablePrompts="1" count="1">
    <dataValidation type="list" allowBlank="1" showInputMessage="1" showErrorMessage="1" sqref="M30 M52" xr:uid="{00000000-0002-0000-0F00-000000000000}">
      <formula1>"Yes,No"</formula1>
    </dataValidation>
  </dataValidations>
  <pageMargins left="0.25" right="0.25" top="0.25" bottom="0.5" header="0.25" footer="0.25"/>
  <pageSetup scale="26" fitToHeight="0" orientation="portrait" horizontalDpi="1200" verticalDpi="1200" r:id="rId1"/>
  <headerFooter>
    <oddFooter>&amp;CPage &amp;P of &amp;N</oddFooter>
  </headerFooter>
  <rowBreaks count="2" manualBreakCount="2">
    <brk id="59" max="10" man="1"/>
    <brk id="103" max="10"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V50"/>
  <sheetViews>
    <sheetView showGridLines="0" zoomScale="85" zoomScaleNormal="85" workbookViewId="0">
      <pane ySplit="7" topLeftCell="A11" activePane="bottomLeft" state="frozen"/>
      <selection pane="bottomLeft" activeCell="A8" sqref="A8"/>
    </sheetView>
  </sheetViews>
  <sheetFormatPr defaultRowHeight="15" x14ac:dyDescent="0.25"/>
  <cols>
    <col min="1" max="1" width="2.85546875" customWidth="1"/>
    <col min="2" max="2" width="10.5703125" customWidth="1"/>
    <col min="3" max="3" width="25.5703125" customWidth="1"/>
    <col min="4" max="4" width="35.5703125" customWidth="1"/>
    <col min="5" max="5" width="60.5703125" customWidth="1"/>
    <col min="6" max="6" width="18.42578125" bestFit="1" customWidth="1"/>
    <col min="7" max="8" width="15.85546875" customWidth="1"/>
    <col min="9" max="9" width="20.85546875" customWidth="1"/>
    <col min="10" max="10" width="25.85546875" customWidth="1"/>
    <col min="11" max="11" width="10.85546875" customWidth="1"/>
    <col min="12" max="12" width="20.5703125" customWidth="1"/>
    <col min="13" max="13" width="2.85546875" customWidth="1"/>
  </cols>
  <sheetData>
    <row r="1" spans="1:13" ht="21" x14ac:dyDescent="0.35">
      <c r="A1" s="980" t="s">
        <v>1164</v>
      </c>
      <c r="B1" s="980"/>
      <c r="C1" s="980"/>
      <c r="D1" s="980"/>
      <c r="E1" s="980"/>
      <c r="F1" s="980"/>
      <c r="G1" s="980"/>
      <c r="H1" s="980"/>
      <c r="I1" s="980"/>
      <c r="J1" s="980"/>
      <c r="K1" s="980"/>
      <c r="L1" s="980"/>
      <c r="M1" s="980"/>
    </row>
    <row r="2" spans="1:13" ht="15.75" thickBot="1" x14ac:dyDescent="0.3">
      <c r="A2" s="256"/>
      <c r="B2" s="256"/>
      <c r="C2" s="256"/>
      <c r="D2" s="256"/>
      <c r="E2" s="256"/>
      <c r="F2" s="256"/>
      <c r="G2" s="256"/>
      <c r="H2" s="256"/>
      <c r="I2" s="256"/>
      <c r="J2" s="256"/>
      <c r="K2" s="256"/>
      <c r="L2" s="256"/>
      <c r="M2" s="256"/>
    </row>
    <row r="3" spans="1:13" ht="15.75" thickBot="1" x14ac:dyDescent="0.3">
      <c r="A3" s="257"/>
      <c r="B3" s="261" t="s">
        <v>638</v>
      </c>
      <c r="C3" s="1025" t="str">
        <f>'D-Project Data'!C13</f>
        <v>Project Name</v>
      </c>
      <c r="D3" s="1025"/>
      <c r="E3" s="1025"/>
      <c r="F3" s="506"/>
      <c r="G3" s="413" t="str">
        <f>'J-Sensitivity Charts'!G3</f>
        <v>Contingency on Base Estimate</v>
      </c>
      <c r="H3" s="371"/>
      <c r="I3" s="406"/>
      <c r="J3" s="1036">
        <f>'J-Sensitivity Charts'!I3</f>
        <v>0.85</v>
      </c>
      <c r="K3" s="1037"/>
      <c r="L3" s="256"/>
      <c r="M3" s="256"/>
    </row>
    <row r="4" spans="1:13" x14ac:dyDescent="0.25">
      <c r="A4" s="257"/>
      <c r="B4" s="261" t="s">
        <v>868</v>
      </c>
      <c r="C4" s="1025" t="str">
        <f>'D-Project Data'!$C$14</f>
        <v>Walla Walla, WA</v>
      </c>
      <c r="D4" s="1025"/>
      <c r="E4" s="1025"/>
      <c r="F4" s="506"/>
      <c r="G4" s="277"/>
      <c r="H4" s="278"/>
      <c r="I4" s="279" t="str">
        <f>'J-Sensitivity Charts'!G4</f>
        <v>Base Estimate</v>
      </c>
      <c r="J4" s="221">
        <f>'J-Sensitivity Charts'!I4</f>
        <v>9000000</v>
      </c>
      <c r="K4" s="1026">
        <f>'J-Sensitivity Charts'!J5</f>
        <v>0.42</v>
      </c>
      <c r="L4" s="256"/>
      <c r="M4" s="256"/>
    </row>
    <row r="5" spans="1:13" x14ac:dyDescent="0.25">
      <c r="A5" s="257"/>
      <c r="B5" s="257"/>
      <c r="C5" s="257"/>
      <c r="D5" s="257"/>
      <c r="E5" s="257"/>
      <c r="F5" s="257"/>
      <c r="G5" s="277"/>
      <c r="H5" s="278"/>
      <c r="I5" s="279" t="str">
        <f>'J-Sensitivity Charts'!G5</f>
        <v>Estimate Contingency</v>
      </c>
      <c r="J5" s="221">
        <f>'J-Sensitivity Charts'!I5</f>
        <v>3780000</v>
      </c>
      <c r="K5" s="1026"/>
      <c r="L5" s="256"/>
      <c r="M5" s="256"/>
    </row>
    <row r="6" spans="1:13" ht="15.75" thickBot="1" x14ac:dyDescent="0.3">
      <c r="A6" s="257"/>
      <c r="B6" s="257"/>
      <c r="C6" s="257"/>
      <c r="D6" s="257"/>
      <c r="E6" s="257"/>
      <c r="F6" s="257"/>
      <c r="G6" s="989">
        <f>'J-Sensitivity Charts'!G6</f>
        <v>0.85</v>
      </c>
      <c r="H6" s="990"/>
      <c r="I6" s="990"/>
      <c r="J6" s="223">
        <f>'J-Sensitivity Charts'!I6</f>
        <v>12780000</v>
      </c>
      <c r="K6" s="1027"/>
      <c r="L6" s="256"/>
      <c r="M6" s="256"/>
    </row>
    <row r="7" spans="1:13" ht="5.0999999999999996" customHeight="1" x14ac:dyDescent="0.25">
      <c r="A7" s="257"/>
      <c r="B7" s="257"/>
      <c r="C7" s="257"/>
      <c r="D7" s="257"/>
      <c r="E7" s="257"/>
      <c r="F7" s="257"/>
      <c r="G7" s="256"/>
      <c r="H7" s="256"/>
      <c r="I7" s="256"/>
      <c r="J7" s="256"/>
      <c r="K7" s="256"/>
      <c r="L7" s="256"/>
      <c r="M7" s="256"/>
    </row>
    <row r="8" spans="1:13" x14ac:dyDescent="0.25">
      <c r="A8" s="257"/>
      <c r="B8" s="257"/>
      <c r="C8" s="257"/>
      <c r="D8" s="257"/>
      <c r="E8" s="257"/>
      <c r="F8" s="257"/>
      <c r="G8" s="256"/>
      <c r="H8" s="256"/>
      <c r="I8" s="256"/>
      <c r="J8" s="256"/>
      <c r="K8" s="256"/>
      <c r="L8" s="256"/>
      <c r="M8" s="256"/>
    </row>
    <row r="9" spans="1:13" x14ac:dyDescent="0.25">
      <c r="A9" s="257"/>
      <c r="B9" s="257"/>
      <c r="C9" s="257"/>
      <c r="D9" s="257"/>
      <c r="E9" s="257"/>
      <c r="F9" s="257"/>
      <c r="G9" s="256"/>
      <c r="H9" s="256"/>
      <c r="I9" s="256"/>
      <c r="J9" s="256"/>
      <c r="K9" s="256"/>
      <c r="L9" s="256"/>
      <c r="M9" s="256"/>
    </row>
    <row r="10" spans="1:13" x14ac:dyDescent="0.25">
      <c r="A10" s="257"/>
      <c r="B10" s="257"/>
      <c r="C10" s="257"/>
      <c r="D10" s="257"/>
      <c r="E10" s="257"/>
      <c r="F10" s="257"/>
      <c r="G10" s="256"/>
      <c r="H10" s="256"/>
      <c r="I10" s="256"/>
      <c r="J10" s="256"/>
      <c r="K10" s="256"/>
      <c r="L10" s="256"/>
      <c r="M10" s="256"/>
    </row>
    <row r="11" spans="1:13" x14ac:dyDescent="0.25">
      <c r="A11" s="257"/>
      <c r="B11" s="257"/>
      <c r="C11" s="257"/>
      <c r="D11" s="257"/>
      <c r="E11" s="257"/>
      <c r="F11" s="257"/>
      <c r="G11" s="257"/>
      <c r="H11" s="257"/>
      <c r="I11" s="257"/>
      <c r="J11" s="258"/>
      <c r="K11" s="257"/>
      <c r="L11" s="256"/>
      <c r="M11" s="256"/>
    </row>
    <row r="12" spans="1:13" x14ac:dyDescent="0.25">
      <c r="A12" s="257"/>
      <c r="B12" s="257"/>
      <c r="C12" s="257"/>
      <c r="D12" s="257"/>
      <c r="E12" s="257"/>
      <c r="F12" s="256"/>
      <c r="G12" s="256"/>
      <c r="H12" s="256"/>
      <c r="I12" s="256"/>
      <c r="J12" s="256"/>
      <c r="K12" s="256"/>
      <c r="L12" s="256"/>
      <c r="M12" s="256"/>
    </row>
    <row r="13" spans="1:13" x14ac:dyDescent="0.25">
      <c r="A13" s="257"/>
      <c r="B13" s="257"/>
      <c r="C13" s="257"/>
      <c r="D13" s="257"/>
      <c r="E13" s="257"/>
      <c r="F13" s="256"/>
      <c r="G13" s="256"/>
      <c r="H13" s="256"/>
      <c r="I13" s="256"/>
      <c r="J13" s="256"/>
      <c r="K13" s="256"/>
      <c r="L13" s="256"/>
      <c r="M13" s="256"/>
    </row>
    <row r="14" spans="1:13" x14ac:dyDescent="0.25">
      <c r="A14" s="257"/>
      <c r="B14" s="257"/>
      <c r="C14" s="257"/>
      <c r="D14" s="257"/>
      <c r="E14" s="257"/>
      <c r="F14" s="256"/>
      <c r="G14" s="256"/>
      <c r="H14" s="256"/>
      <c r="I14" s="256"/>
      <c r="J14" s="256"/>
      <c r="K14" s="256"/>
      <c r="L14" s="256"/>
      <c r="M14" s="256"/>
    </row>
    <row r="15" spans="1:13" x14ac:dyDescent="0.25">
      <c r="A15" s="257"/>
      <c r="B15" s="257"/>
      <c r="C15" s="257"/>
      <c r="D15" s="257"/>
      <c r="E15" s="257"/>
      <c r="F15" s="256"/>
      <c r="G15" s="256"/>
      <c r="H15" s="256"/>
      <c r="I15" s="256"/>
      <c r="J15" s="256"/>
      <c r="K15" s="256"/>
      <c r="L15" s="256"/>
      <c r="M15" s="256"/>
    </row>
    <row r="16" spans="1:13" x14ac:dyDescent="0.25">
      <c r="A16" s="257"/>
      <c r="B16" s="257"/>
      <c r="C16" s="257"/>
      <c r="D16" s="257"/>
      <c r="E16" s="257"/>
      <c r="F16" s="256"/>
      <c r="G16" s="256"/>
      <c r="H16" s="256"/>
      <c r="I16" s="256"/>
      <c r="J16" s="256"/>
      <c r="K16" s="256"/>
      <c r="L16" s="256"/>
      <c r="M16" s="256"/>
    </row>
    <row r="17" spans="1:13" x14ac:dyDescent="0.25">
      <c r="A17" s="257"/>
      <c r="B17" s="257"/>
      <c r="C17" s="257"/>
      <c r="D17" s="257"/>
      <c r="E17" s="257"/>
      <c r="F17" s="256"/>
      <c r="G17" s="256"/>
      <c r="H17" s="256"/>
      <c r="I17" s="256"/>
      <c r="J17" s="256"/>
      <c r="K17" s="256"/>
      <c r="L17" s="256"/>
      <c r="M17" s="256"/>
    </row>
    <row r="18" spans="1:13" x14ac:dyDescent="0.25">
      <c r="A18" s="257"/>
      <c r="B18" s="257"/>
      <c r="C18" s="257"/>
      <c r="D18" s="257"/>
      <c r="E18" s="257"/>
      <c r="F18" s="256"/>
      <c r="G18" s="256"/>
      <c r="H18" s="256"/>
      <c r="I18" s="256"/>
      <c r="J18" s="256"/>
      <c r="K18" s="256"/>
      <c r="L18" s="256"/>
      <c r="M18" s="256"/>
    </row>
    <row r="19" spans="1:13" x14ac:dyDescent="0.25">
      <c r="A19" s="257"/>
      <c r="B19" s="257"/>
      <c r="C19" s="257"/>
      <c r="D19" s="257"/>
      <c r="E19" s="257"/>
      <c r="F19" s="256"/>
      <c r="G19" s="256"/>
      <c r="H19" s="256"/>
      <c r="I19" s="256"/>
      <c r="J19" s="256"/>
      <c r="K19" s="256"/>
      <c r="L19" s="256"/>
      <c r="M19" s="256"/>
    </row>
    <row r="20" spans="1:13" x14ac:dyDescent="0.25">
      <c r="A20" s="257"/>
      <c r="B20" s="257"/>
      <c r="C20" s="257"/>
      <c r="D20" s="257"/>
      <c r="E20" s="257"/>
      <c r="F20" s="256"/>
      <c r="G20" s="256"/>
      <c r="H20" s="256"/>
      <c r="I20" s="256"/>
      <c r="J20" s="256"/>
      <c r="K20" s="256"/>
      <c r="L20" s="256"/>
      <c r="M20" s="256"/>
    </row>
    <row r="21" spans="1:13" x14ac:dyDescent="0.25">
      <c r="A21" s="257"/>
      <c r="B21" s="257"/>
      <c r="C21" s="257"/>
      <c r="D21" s="257"/>
      <c r="E21" s="257"/>
      <c r="F21" s="256"/>
      <c r="G21" s="256"/>
      <c r="H21" s="256"/>
      <c r="I21" s="256"/>
      <c r="J21" s="256"/>
      <c r="K21" s="256"/>
      <c r="L21" s="256"/>
      <c r="M21" s="256"/>
    </row>
    <row r="22" spans="1:13" x14ac:dyDescent="0.25">
      <c r="A22" s="257"/>
      <c r="B22" s="257"/>
      <c r="C22" s="257"/>
      <c r="D22" s="257"/>
      <c r="E22" s="257"/>
      <c r="F22" s="256"/>
      <c r="G22" s="256"/>
      <c r="H22" s="256"/>
      <c r="I22" s="256"/>
      <c r="J22" s="256"/>
      <c r="K22" s="256"/>
      <c r="L22" s="256"/>
      <c r="M22" s="256"/>
    </row>
    <row r="23" spans="1:13" x14ac:dyDescent="0.25">
      <c r="A23" s="257"/>
      <c r="B23" s="257"/>
      <c r="C23" s="257"/>
      <c r="D23" s="257"/>
      <c r="E23" s="257"/>
      <c r="F23" s="256"/>
      <c r="G23" s="256"/>
      <c r="H23" s="256"/>
      <c r="I23" s="256"/>
      <c r="J23" s="256"/>
      <c r="K23" s="256"/>
      <c r="L23" s="256"/>
      <c r="M23" s="256"/>
    </row>
    <row r="24" spans="1:13" x14ac:dyDescent="0.25">
      <c r="A24" s="257"/>
      <c r="B24" s="257"/>
      <c r="C24" s="257"/>
      <c r="D24" s="257"/>
      <c r="E24" s="257"/>
      <c r="F24" s="256"/>
      <c r="G24" s="256"/>
      <c r="H24" s="256"/>
      <c r="I24" s="256"/>
      <c r="J24" s="256"/>
      <c r="K24" s="256"/>
      <c r="L24" s="256"/>
      <c r="M24" s="256"/>
    </row>
    <row r="25" spans="1:13" x14ac:dyDescent="0.25">
      <c r="A25" s="257"/>
      <c r="B25" s="257"/>
      <c r="C25" s="257"/>
      <c r="D25" s="257"/>
      <c r="E25" s="257"/>
      <c r="F25" s="256"/>
      <c r="G25" s="256"/>
      <c r="H25" s="256"/>
      <c r="I25" s="256"/>
      <c r="J25" s="256"/>
      <c r="K25" s="256"/>
      <c r="L25" s="256"/>
      <c r="M25" s="256"/>
    </row>
    <row r="26" spans="1:13" x14ac:dyDescent="0.25">
      <c r="A26" s="257"/>
      <c r="B26" s="257"/>
      <c r="C26" s="257"/>
      <c r="D26" s="257"/>
      <c r="E26" s="257"/>
      <c r="F26" s="257"/>
      <c r="G26" s="256"/>
      <c r="H26" s="256"/>
      <c r="I26" s="256"/>
      <c r="J26" s="256"/>
      <c r="K26" s="256"/>
      <c r="L26" s="256"/>
      <c r="M26" s="256"/>
    </row>
    <row r="27" spans="1:13" ht="14.45" customHeight="1" x14ac:dyDescent="0.25">
      <c r="A27" s="257"/>
      <c r="B27" s="257"/>
      <c r="C27" s="257"/>
      <c r="D27" s="257"/>
      <c r="E27" s="257"/>
      <c r="F27" s="257"/>
      <c r="G27" s="256"/>
      <c r="H27" s="256"/>
      <c r="I27" s="256"/>
      <c r="J27" s="256"/>
      <c r="K27" s="256"/>
      <c r="L27" s="256"/>
      <c r="M27" s="256"/>
    </row>
    <row r="28" spans="1:13" x14ac:dyDescent="0.25">
      <c r="A28" s="257"/>
      <c r="B28" s="257"/>
      <c r="C28" s="257"/>
      <c r="D28" s="257"/>
      <c r="E28" s="257"/>
      <c r="F28" s="257"/>
      <c r="G28" s="256"/>
      <c r="H28" s="256"/>
      <c r="I28" s="256"/>
      <c r="J28" s="256"/>
      <c r="K28" s="256"/>
      <c r="L28" s="256"/>
      <c r="M28" s="256"/>
    </row>
    <row r="29" spans="1:13" x14ac:dyDescent="0.25">
      <c r="A29" s="257"/>
      <c r="B29" s="257"/>
      <c r="C29" s="257"/>
      <c r="D29" s="257"/>
      <c r="E29" s="257"/>
      <c r="F29" s="257"/>
      <c r="G29" s="256"/>
      <c r="H29" s="256"/>
      <c r="I29" s="256"/>
      <c r="J29" s="256"/>
      <c r="K29" s="256"/>
      <c r="L29" s="256"/>
      <c r="M29" s="256"/>
    </row>
    <row r="30" spans="1:13" x14ac:dyDescent="0.25">
      <c r="A30" s="257"/>
      <c r="B30" s="257"/>
      <c r="C30" s="257"/>
      <c r="D30" s="257"/>
      <c r="E30" s="257"/>
      <c r="F30" s="257"/>
      <c r="G30" s="256"/>
      <c r="H30" s="256"/>
      <c r="I30" s="256"/>
      <c r="J30" s="256"/>
      <c r="K30" s="256"/>
      <c r="L30" s="256"/>
      <c r="M30" s="256"/>
    </row>
    <row r="31" spans="1:13" x14ac:dyDescent="0.25">
      <c r="A31" s="257"/>
      <c r="B31" s="257"/>
      <c r="C31" s="257"/>
      <c r="D31" s="257"/>
      <c r="E31" s="257"/>
      <c r="F31" s="257"/>
      <c r="G31" s="256"/>
      <c r="H31" s="256"/>
      <c r="I31" s="256"/>
      <c r="J31" s="256"/>
      <c r="K31" s="256"/>
      <c r="L31" s="256"/>
      <c r="M31" s="256"/>
    </row>
    <row r="32" spans="1:13" x14ac:dyDescent="0.25">
      <c r="A32" s="257"/>
      <c r="B32" s="257"/>
      <c r="C32" s="257"/>
      <c r="D32" s="257"/>
      <c r="E32" s="257"/>
      <c r="F32" s="257"/>
      <c r="G32" s="256"/>
      <c r="H32" s="256"/>
      <c r="I32" s="256"/>
      <c r="J32" s="256"/>
      <c r="K32" s="256"/>
      <c r="L32" s="256"/>
      <c r="M32" s="256"/>
    </row>
    <row r="33" spans="1:22" x14ac:dyDescent="0.25">
      <c r="A33" s="257"/>
      <c r="B33" s="257"/>
      <c r="C33" s="257"/>
      <c r="D33" s="257"/>
      <c r="E33" s="257"/>
      <c r="F33" s="257"/>
      <c r="G33" s="256"/>
      <c r="H33" s="256"/>
      <c r="I33" s="256"/>
      <c r="J33" s="256"/>
      <c r="K33" s="256"/>
      <c r="L33" s="256"/>
      <c r="M33" s="256"/>
    </row>
    <row r="34" spans="1:22" x14ac:dyDescent="0.25">
      <c r="A34" s="257"/>
      <c r="B34" s="257"/>
      <c r="C34" s="257"/>
      <c r="D34" s="257"/>
      <c r="E34" s="257"/>
      <c r="F34" s="257"/>
      <c r="G34" s="256"/>
      <c r="H34" s="256"/>
      <c r="I34" s="256"/>
      <c r="J34" s="256"/>
      <c r="K34" s="256"/>
      <c r="L34" s="256"/>
      <c r="M34" s="256"/>
    </row>
    <row r="35" spans="1:22" x14ac:dyDescent="0.25">
      <c r="A35" s="257"/>
      <c r="B35" s="257"/>
      <c r="C35" s="257"/>
      <c r="D35" s="257"/>
      <c r="E35" s="257"/>
      <c r="F35" s="257"/>
      <c r="G35" s="256"/>
      <c r="H35" s="256"/>
      <c r="I35" s="256"/>
      <c r="J35" s="256"/>
      <c r="K35" s="256"/>
      <c r="L35" s="256"/>
      <c r="M35" s="256"/>
    </row>
    <row r="36" spans="1:22" x14ac:dyDescent="0.25">
      <c r="A36" s="257"/>
      <c r="B36" s="257"/>
      <c r="C36" s="257"/>
      <c r="D36" s="257"/>
      <c r="E36" s="257"/>
      <c r="F36" s="257"/>
      <c r="G36" s="262"/>
      <c r="H36" s="262"/>
      <c r="I36" s="262"/>
      <c r="J36" s="262"/>
      <c r="K36" s="262"/>
      <c r="L36" s="256"/>
      <c r="M36" s="256"/>
    </row>
    <row r="37" spans="1:22" s="31" customFormat="1" ht="19.5" thickBot="1" x14ac:dyDescent="0.35">
      <c r="A37" s="280"/>
      <c r="B37" s="259" t="s">
        <v>867</v>
      </c>
      <c r="C37" s="259"/>
      <c r="D37" s="259"/>
      <c r="E37" s="259"/>
      <c r="F37" s="259"/>
      <c r="G37" s="281" t="str">
        <f>'H-Risk Register-Model'!H17</f>
        <v>Risk Level (C)</v>
      </c>
      <c r="H37" s="281" t="str">
        <f>'H-Risk Register-Model'!J17</f>
        <v>Risk Level (S)</v>
      </c>
      <c r="I37" s="259"/>
      <c r="J37" s="280"/>
      <c r="K37" s="282"/>
      <c r="L37" s="282"/>
      <c r="M37" s="282"/>
    </row>
    <row r="38" spans="1:22" ht="15.75" thickBot="1" x14ac:dyDescent="0.3">
      <c r="A38" s="257"/>
      <c r="B38" s="1038" t="str">
        <f>'H-Risk Register-Model'!C17</f>
        <v>Risk/Opportunity Event</v>
      </c>
      <c r="C38" s="1040"/>
      <c r="D38" s="1038" t="str">
        <f>'H-Risk Register-Model'!D17</f>
        <v>Risk Event Description</v>
      </c>
      <c r="E38" s="1038" t="str">
        <f>'H-Risk Register-Model'!E17</f>
        <v>Team Discussions on Impact and Likelihood</v>
      </c>
      <c r="F38" s="1038" t="str">
        <f>'H-Risk Register-Model'!$N$17</f>
        <v>Responsibility/ POC</v>
      </c>
      <c r="G38" s="1028" t="s">
        <v>865</v>
      </c>
      <c r="H38" s="1029"/>
      <c r="I38" s="1030" t="str">
        <f>'H-Risk Register-Model'!AI17</f>
        <v>Suggested Risk Reduction Measures
(Avoid, Escalate, Exploit, Transfer/Share, Mitigate/Enhance, or Accept)</v>
      </c>
      <c r="J38" s="1031"/>
      <c r="K38" s="1031"/>
      <c r="L38" s="1032"/>
      <c r="M38" s="263"/>
      <c r="V38" s="267"/>
    </row>
    <row r="39" spans="1:22" ht="15.75" thickBot="1" x14ac:dyDescent="0.3">
      <c r="A39" s="264" t="s">
        <v>659</v>
      </c>
      <c r="B39" s="1039"/>
      <c r="C39" s="1041"/>
      <c r="D39" s="1039"/>
      <c r="E39" s="1039"/>
      <c r="F39" s="1039"/>
      <c r="G39" s="566" t="s">
        <v>864</v>
      </c>
      <c r="H39" s="559" t="s">
        <v>863</v>
      </c>
      <c r="I39" s="1033"/>
      <c r="J39" s="1034"/>
      <c r="K39" s="1034"/>
      <c r="L39" s="1035"/>
      <c r="M39" s="263"/>
    </row>
    <row r="40" spans="1:22" ht="72" x14ac:dyDescent="0.25">
      <c r="A40" s="265"/>
      <c r="B40" s="567">
        <f>IF('J-Sensitivity Charts'!M19="","",'J-Sensitivity Charts'!M19)</f>
        <v>1</v>
      </c>
      <c r="C40" s="568" t="str">
        <f>IFERROR(VLOOKUP($B40,'H-Risk Register-Model'!$A$17:$AI$953,MATCH(B$38,'H-Risk Register-Model'!$17:$17,0),FALSE),"")</f>
        <v>PLEASE TYPE FIRST RISK OVER THE TOP OF THIS ONE</v>
      </c>
      <c r="D40" s="569" t="str">
        <f>IFERROR(VLOOKUP($B40,'H-Risk Register-Model'!$A$17:$AI$953,MATCH(D$38,'H-Risk Register-Model'!$17:$17,0),FALSE),"")</f>
        <v>This is a test risk.
Recommended best practices is to document what the risk is if it happens (if/then statement).</v>
      </c>
      <c r="E40" s="570" t="str">
        <f>IFERROR(VLOOKUP($B40,'H-Risk Register-Model'!$A$17:$AI$953,MATCH(E$38,'H-Risk Register-Model'!$17:$17,0),FALSE),"")</f>
        <v>Enter first risk in this row .. IF YOU DELETE THIS ROW IT COULD MAKE SOME OF THE FORMULAS NOT WORK.
Recommended best practice is to state what the current design, estimate, and schedule assumptions are and challenge your team on the Low Variance (LV) and High Variance (HV) ranges.</v>
      </c>
      <c r="F40" s="571" t="str">
        <f>IFERROR(VLOOKUP($B40,'H-Risk Register-Model'!$A$17:$AI$953,MATCH(F$38,'H-Risk Register-Model'!$17:$17,0),FALSE),"")</f>
        <v>Select From List</v>
      </c>
      <c r="G40" s="572" t="str">
        <f>IF(IFERROR(VLOOKUP($B40,'H-Risk Register-Model'!$A$17:$AI$953,MATCH(G$37,'H-Risk Register-Model'!$17:$17,0),FALSE),"")="","",IFERROR(VLOOKUP($B40,'H-Risk Register-Model'!$A$17:$AI$953,MATCH(G$37,'H-Risk Register-Model'!$17:$17,0),FALSE),""))</f>
        <v>Medium</v>
      </c>
      <c r="H40" s="572" t="str">
        <f>IF(IFERROR(VLOOKUP($B40,'H-Risk Register-Model'!$A$17:$AI$953,MATCH(H$37,'H-Risk Register-Model'!$17:$17,0),FALSE),"")="","",IFERROR(VLOOKUP($B40,'H-Risk Register-Model'!$A$17:$AI$953,MATCH(H$37,'H-Risk Register-Model'!$17:$17,0),FALSE),""))</f>
        <v>Medium</v>
      </c>
      <c r="I40" s="1023" t="str">
        <f>IF(IFERROR(VLOOKUP($B40,'H-Risk Register-Model'!$A$17:$AI$953,MATCH(I$38,'H-Risk Register-Model'!$17:$17,0),FALSE),"")="","",IFERROR(VLOOKUP($B40,'H-Risk Register-Model'!$A$17:$AI$953,MATCH(I$38,'H-Risk Register-Model'!$17:$17,0),FALSE),""))</f>
        <v>The team needs to identify suggested risk reduction measures...Avoid, Escalate, Exploit, Transfer/Share, Mitigate/Enhance, or Accept.</v>
      </c>
      <c r="J40" s="1023"/>
      <c r="K40" s="1023"/>
      <c r="L40" s="1024"/>
      <c r="M40" s="263"/>
    </row>
    <row r="41" spans="1:22" x14ac:dyDescent="0.25">
      <c r="A41" s="257"/>
      <c r="B41" s="507" t="str">
        <f>IF('J-Sensitivity Charts'!M20="","",'J-Sensitivity Charts'!M20)</f>
        <v>N/A</v>
      </c>
      <c r="C41" s="560" t="str">
        <f>IFERROR(VLOOKUP($B41,'H-Risk Register-Model'!$A$17:$AI$953,MATCH(B$38,'H-Risk Register-Model'!$17:$17,0),FALSE),"")</f>
        <v/>
      </c>
      <c r="D41" s="508" t="str">
        <f>IFERROR(VLOOKUP($B41,'H-Risk Register-Model'!$A$17:$AI$953,MATCH(D$38,'H-Risk Register-Model'!$17:$17,0),FALSE),"")</f>
        <v/>
      </c>
      <c r="E41" s="561" t="str">
        <f>IFERROR(VLOOKUP($B41,'H-Risk Register-Model'!$A$17:$AI$953,MATCH(E$38,'H-Risk Register-Model'!$17:$17,0),FALSE),"")</f>
        <v/>
      </c>
      <c r="F41" s="562" t="str">
        <f>IFERROR(VLOOKUP($B41,'H-Risk Register-Model'!$A$17:$AI$953,MATCH(F$38,'H-Risk Register-Model'!$17:$17,0),FALSE),"")</f>
        <v/>
      </c>
      <c r="G41" s="509" t="str">
        <f>IF(IFERROR(VLOOKUP($B41,'H-Risk Register-Model'!$A$17:$AI$953,MATCH(G$37,'H-Risk Register-Model'!$17:$17,0),FALSE),"")="","",IFERROR(VLOOKUP($B41,'H-Risk Register-Model'!$A$17:$AI$953,MATCH(G$37,'H-Risk Register-Model'!$17:$17,0),FALSE),""))</f>
        <v/>
      </c>
      <c r="H41" s="509" t="str">
        <f>IF(IFERROR(VLOOKUP($B41,'H-Risk Register-Model'!$A$17:$AI$953,MATCH(H$37,'H-Risk Register-Model'!$17:$17,0),FALSE),"")="","",IFERROR(VLOOKUP($B41,'H-Risk Register-Model'!$A$17:$AI$953,MATCH(H$37,'H-Risk Register-Model'!$17:$17,0),FALSE),""))</f>
        <v/>
      </c>
      <c r="I41" s="1019" t="str">
        <f>IF(IFERROR(VLOOKUP($B41,'H-Risk Register-Model'!$A$17:$AI$953,MATCH(I$38,'H-Risk Register-Model'!$17:$17,0),FALSE),"")="","",IFERROR(VLOOKUP($B41,'H-Risk Register-Model'!$A$17:$AI$953,MATCH(I$38,'H-Risk Register-Model'!$17:$17,0),FALSE),""))</f>
        <v/>
      </c>
      <c r="J41" s="1019"/>
      <c r="K41" s="1019"/>
      <c r="L41" s="1020"/>
      <c r="M41" s="263"/>
    </row>
    <row r="42" spans="1:22" x14ac:dyDescent="0.25">
      <c r="A42" s="257"/>
      <c r="B42" s="507" t="str">
        <f>IF('J-Sensitivity Charts'!M21="","",'J-Sensitivity Charts'!M21)</f>
        <v>N/A</v>
      </c>
      <c r="C42" s="560" t="str">
        <f>IFERROR(VLOOKUP($B42,'H-Risk Register-Model'!$A$17:$AI$953,MATCH(B$38,'H-Risk Register-Model'!$17:$17,0),FALSE),"")</f>
        <v/>
      </c>
      <c r="D42" s="508" t="str">
        <f>IFERROR(VLOOKUP($B42,'H-Risk Register-Model'!$A$17:$AI$953,MATCH(D$38,'H-Risk Register-Model'!$17:$17,0),FALSE),"")</f>
        <v/>
      </c>
      <c r="E42" s="561" t="str">
        <f>IFERROR(VLOOKUP($B42,'H-Risk Register-Model'!$A$17:$AI$953,MATCH(E$38,'H-Risk Register-Model'!$17:$17,0),FALSE),"")</f>
        <v/>
      </c>
      <c r="F42" s="562" t="str">
        <f>IFERROR(VLOOKUP($B42,'H-Risk Register-Model'!$A$17:$AI$953,MATCH(F$38,'H-Risk Register-Model'!$17:$17,0),FALSE),"")</f>
        <v/>
      </c>
      <c r="G42" s="509" t="str">
        <f>IF(IFERROR(VLOOKUP($B42,'H-Risk Register-Model'!$A$17:$AI$953,MATCH(G$37,'H-Risk Register-Model'!$17:$17,0),FALSE),"")="","",IFERROR(VLOOKUP($B42,'H-Risk Register-Model'!$A$17:$AI$953,MATCH(G$37,'H-Risk Register-Model'!$17:$17,0),FALSE),""))</f>
        <v/>
      </c>
      <c r="H42" s="509" t="str">
        <f>IF(IFERROR(VLOOKUP($B42,'H-Risk Register-Model'!$A$17:$AI$953,MATCH(H$37,'H-Risk Register-Model'!$17:$17,0),FALSE),"")="","",IFERROR(VLOOKUP($B42,'H-Risk Register-Model'!$A$17:$AI$953,MATCH(H$37,'H-Risk Register-Model'!$17:$17,0),FALSE),""))</f>
        <v/>
      </c>
      <c r="I42" s="1019" t="str">
        <f>IF(IFERROR(VLOOKUP($B42,'H-Risk Register-Model'!$A$17:$AI$953,MATCH(I$38,'H-Risk Register-Model'!$17:$17,0),FALSE),"")="","",IFERROR(VLOOKUP($B42,'H-Risk Register-Model'!$A$17:$AI$953,MATCH(I$38,'H-Risk Register-Model'!$17:$17,0),FALSE),""))</f>
        <v/>
      </c>
      <c r="J42" s="1019"/>
      <c r="K42" s="1019"/>
      <c r="L42" s="1020"/>
      <c r="M42" s="263"/>
    </row>
    <row r="43" spans="1:22" x14ac:dyDescent="0.25">
      <c r="A43" s="257"/>
      <c r="B43" s="507" t="str">
        <f>IF('J-Sensitivity Charts'!M22="","",'J-Sensitivity Charts'!M22)</f>
        <v>N/A</v>
      </c>
      <c r="C43" s="560" t="str">
        <f>IFERROR(VLOOKUP($B43,'H-Risk Register-Model'!$A$17:$AI$953,MATCH(B$38,'H-Risk Register-Model'!$17:$17,0),FALSE),"")</f>
        <v/>
      </c>
      <c r="D43" s="508" t="str">
        <f>IFERROR(VLOOKUP($B43,'H-Risk Register-Model'!$A$17:$AI$953,MATCH(D$38,'H-Risk Register-Model'!$17:$17,0),FALSE),"")</f>
        <v/>
      </c>
      <c r="E43" s="561" t="str">
        <f>IFERROR(VLOOKUP($B43,'H-Risk Register-Model'!$A$17:$AI$953,MATCH(E$38,'H-Risk Register-Model'!$17:$17,0),FALSE),"")</f>
        <v/>
      </c>
      <c r="F43" s="562" t="str">
        <f>IFERROR(VLOOKUP($B43,'H-Risk Register-Model'!$A$17:$AI$953,MATCH(F$38,'H-Risk Register-Model'!$17:$17,0),FALSE),"")</f>
        <v/>
      </c>
      <c r="G43" s="509" t="str">
        <f>IF(IFERROR(VLOOKUP($B43,'H-Risk Register-Model'!$A$17:$AI$953,MATCH(G$37,'H-Risk Register-Model'!$17:$17,0),FALSE),"")="","",IFERROR(VLOOKUP($B43,'H-Risk Register-Model'!$A$17:$AI$953,MATCH(G$37,'H-Risk Register-Model'!$17:$17,0),FALSE),""))</f>
        <v/>
      </c>
      <c r="H43" s="509" t="str">
        <f>IF(IFERROR(VLOOKUP($B43,'H-Risk Register-Model'!$A$17:$AI$953,MATCH(H$37,'H-Risk Register-Model'!$17:$17,0),FALSE),"")="","",IFERROR(VLOOKUP($B43,'H-Risk Register-Model'!$A$17:$AI$953,MATCH(H$37,'H-Risk Register-Model'!$17:$17,0),FALSE),""))</f>
        <v/>
      </c>
      <c r="I43" s="1019" t="str">
        <f>IF(IFERROR(VLOOKUP($B43,'H-Risk Register-Model'!$A$17:$AI$953,MATCH(I$38,'H-Risk Register-Model'!$17:$17,0),FALSE),"")="","",IFERROR(VLOOKUP($B43,'H-Risk Register-Model'!$A$17:$AI$953,MATCH(I$38,'H-Risk Register-Model'!$17:$17,0),FALSE),""))</f>
        <v/>
      </c>
      <c r="J43" s="1019"/>
      <c r="K43" s="1019"/>
      <c r="L43" s="1020"/>
      <c r="M43" s="263"/>
    </row>
    <row r="44" spans="1:22" x14ac:dyDescent="0.25">
      <c r="A44" s="257"/>
      <c r="B44" s="507" t="str">
        <f>IF('J-Sensitivity Charts'!M23="","",'J-Sensitivity Charts'!M23)</f>
        <v>N/A</v>
      </c>
      <c r="C44" s="560" t="str">
        <f>IFERROR(VLOOKUP($B44,'H-Risk Register-Model'!$A$17:$AI$953,MATCH(B$38,'H-Risk Register-Model'!$17:$17,0),FALSE),"")</f>
        <v/>
      </c>
      <c r="D44" s="508" t="str">
        <f>IFERROR(VLOOKUP($B44,'H-Risk Register-Model'!$A$17:$AI$953,MATCH(D$38,'H-Risk Register-Model'!$17:$17,0),FALSE),"")</f>
        <v/>
      </c>
      <c r="E44" s="561" t="str">
        <f>IFERROR(VLOOKUP($B44,'H-Risk Register-Model'!$A$17:$AI$953,MATCH(E$38,'H-Risk Register-Model'!$17:$17,0),FALSE),"")</f>
        <v/>
      </c>
      <c r="F44" s="562" t="str">
        <f>IFERROR(VLOOKUP($B44,'H-Risk Register-Model'!$A$17:$AI$953,MATCH(F$38,'H-Risk Register-Model'!$17:$17,0),FALSE),"")</f>
        <v/>
      </c>
      <c r="G44" s="509" t="str">
        <f>IF(IFERROR(VLOOKUP($B44,'H-Risk Register-Model'!$A$17:$AI$953,MATCH(G$37,'H-Risk Register-Model'!$17:$17,0),FALSE),"")="","",IFERROR(VLOOKUP($B44,'H-Risk Register-Model'!$A$17:$AI$953,MATCH(G$37,'H-Risk Register-Model'!$17:$17,0),FALSE),""))</f>
        <v/>
      </c>
      <c r="H44" s="509" t="str">
        <f>IF(IFERROR(VLOOKUP($B44,'H-Risk Register-Model'!$A$17:$AI$953,MATCH(H$37,'H-Risk Register-Model'!$17:$17,0),FALSE),"")="","",IFERROR(VLOOKUP($B44,'H-Risk Register-Model'!$A$17:$AI$953,MATCH(H$37,'H-Risk Register-Model'!$17:$17,0),FALSE),""))</f>
        <v/>
      </c>
      <c r="I44" s="1019" t="str">
        <f>IF(IFERROR(VLOOKUP($B44,'H-Risk Register-Model'!$A$17:$AI$953,MATCH(I$38,'H-Risk Register-Model'!$17:$17,0),FALSE),"")="","",IFERROR(VLOOKUP($B44,'H-Risk Register-Model'!$A$17:$AI$953,MATCH(I$38,'H-Risk Register-Model'!$17:$17,0),FALSE),""))</f>
        <v/>
      </c>
      <c r="J44" s="1019"/>
      <c r="K44" s="1019"/>
      <c r="L44" s="1020"/>
      <c r="M44" s="263"/>
    </row>
    <row r="45" spans="1:22" x14ac:dyDescent="0.25">
      <c r="A45" s="265"/>
      <c r="B45" s="507" t="str">
        <f>IF('J-Sensitivity Charts'!M24="","",'J-Sensitivity Charts'!M24)</f>
        <v>N/A</v>
      </c>
      <c r="C45" s="560" t="str">
        <f>IFERROR(VLOOKUP($B45,'H-Risk Register-Model'!$A$17:$AI$953,MATCH(B$38,'H-Risk Register-Model'!$17:$17,0),FALSE),"")</f>
        <v/>
      </c>
      <c r="D45" s="508" t="str">
        <f>IFERROR(VLOOKUP($B45,'H-Risk Register-Model'!$A$17:$AI$953,MATCH(D$38,'H-Risk Register-Model'!$17:$17,0),FALSE),"")</f>
        <v/>
      </c>
      <c r="E45" s="561" t="str">
        <f>IFERROR(VLOOKUP($B45,'H-Risk Register-Model'!$A$17:$AI$953,MATCH(E$38,'H-Risk Register-Model'!$17:$17,0),FALSE),"")</f>
        <v/>
      </c>
      <c r="F45" s="562" t="str">
        <f>IFERROR(VLOOKUP($B45,'H-Risk Register-Model'!$A$17:$AI$953,MATCH(F$38,'H-Risk Register-Model'!$17:$17,0),FALSE),"")</f>
        <v/>
      </c>
      <c r="G45" s="509" t="str">
        <f>IF(IFERROR(VLOOKUP($B45,'H-Risk Register-Model'!$A$17:$AI$953,MATCH(G$37,'H-Risk Register-Model'!$17:$17,0),FALSE),"")="","",IFERROR(VLOOKUP($B45,'H-Risk Register-Model'!$A$17:$AI$953,MATCH(G$37,'H-Risk Register-Model'!$17:$17,0),FALSE),""))</f>
        <v/>
      </c>
      <c r="H45" s="509" t="str">
        <f>IF(IFERROR(VLOOKUP($B45,'H-Risk Register-Model'!$A$17:$AI$953,MATCH(H$37,'H-Risk Register-Model'!$17:$17,0),FALSE),"")="","",IFERROR(VLOOKUP($B45,'H-Risk Register-Model'!$A$17:$AI$953,MATCH(H$37,'H-Risk Register-Model'!$17:$17,0),FALSE),""))</f>
        <v/>
      </c>
      <c r="I45" s="1019" t="str">
        <f>IF(IFERROR(VLOOKUP($B45,'H-Risk Register-Model'!$A$17:$AI$953,MATCH(I$38,'H-Risk Register-Model'!$17:$17,0),FALSE),"")="","",IFERROR(VLOOKUP($B45,'H-Risk Register-Model'!$A$17:$AI$953,MATCH(I$38,'H-Risk Register-Model'!$17:$17,0),FALSE),""))</f>
        <v/>
      </c>
      <c r="J45" s="1019"/>
      <c r="K45" s="1019"/>
      <c r="L45" s="1020"/>
      <c r="M45" s="263"/>
    </row>
    <row r="46" spans="1:22" x14ac:dyDescent="0.25">
      <c r="A46" s="257"/>
      <c r="B46" s="507" t="str">
        <f>IF('J-Sensitivity Charts'!M25="","",'J-Sensitivity Charts'!M25)</f>
        <v>N/A</v>
      </c>
      <c r="C46" s="560" t="str">
        <f>IFERROR(VLOOKUP($B46,'H-Risk Register-Model'!$A$17:$AI$953,MATCH(B$38,'H-Risk Register-Model'!$17:$17,0),FALSE),"")</f>
        <v/>
      </c>
      <c r="D46" s="508" t="str">
        <f>IFERROR(VLOOKUP($B46,'H-Risk Register-Model'!$A$17:$AI$953,MATCH(D$38,'H-Risk Register-Model'!$17:$17,0),FALSE),"")</f>
        <v/>
      </c>
      <c r="E46" s="561" t="str">
        <f>IFERROR(VLOOKUP($B46,'H-Risk Register-Model'!$A$17:$AI$953,MATCH(E$38,'H-Risk Register-Model'!$17:$17,0),FALSE),"")</f>
        <v/>
      </c>
      <c r="F46" s="562" t="str">
        <f>IFERROR(VLOOKUP($B46,'H-Risk Register-Model'!$A$17:$AI$953,MATCH(F$38,'H-Risk Register-Model'!$17:$17,0),FALSE),"")</f>
        <v/>
      </c>
      <c r="G46" s="509" t="str">
        <f>IF(IFERROR(VLOOKUP($B46,'H-Risk Register-Model'!$A$17:$AI$953,MATCH(G$37,'H-Risk Register-Model'!$17:$17,0),FALSE),"")="","",IFERROR(VLOOKUP($B46,'H-Risk Register-Model'!$A$17:$AI$953,MATCH(G$37,'H-Risk Register-Model'!$17:$17,0),FALSE),""))</f>
        <v/>
      </c>
      <c r="H46" s="509" t="str">
        <f>IF(IFERROR(VLOOKUP($B46,'H-Risk Register-Model'!$A$17:$AI$953,MATCH(H$37,'H-Risk Register-Model'!$17:$17,0),FALSE),"")="","",IFERROR(VLOOKUP($B46,'H-Risk Register-Model'!$A$17:$AI$953,MATCH(H$37,'H-Risk Register-Model'!$17:$17,0),FALSE),""))</f>
        <v/>
      </c>
      <c r="I46" s="1019" t="str">
        <f>IF(IFERROR(VLOOKUP($B46,'H-Risk Register-Model'!$A$17:$AI$953,MATCH(I$38,'H-Risk Register-Model'!$17:$17,0),FALSE),"")="","",IFERROR(VLOOKUP($B46,'H-Risk Register-Model'!$A$17:$AI$953,MATCH(I$38,'H-Risk Register-Model'!$17:$17,0),FALSE),""))</f>
        <v/>
      </c>
      <c r="J46" s="1019"/>
      <c r="K46" s="1019"/>
      <c r="L46" s="1020"/>
      <c r="M46" s="263"/>
    </row>
    <row r="47" spans="1:22" x14ac:dyDescent="0.25">
      <c r="A47" s="257"/>
      <c r="B47" s="507" t="str">
        <f>IF('J-Sensitivity Charts'!M26="","",'J-Sensitivity Charts'!M26)</f>
        <v>N/A</v>
      </c>
      <c r="C47" s="560" t="str">
        <f>IFERROR(VLOOKUP($B47,'H-Risk Register-Model'!$A$17:$AI$953,MATCH(B$38,'H-Risk Register-Model'!$17:$17,0),FALSE),"")</f>
        <v/>
      </c>
      <c r="D47" s="508" t="str">
        <f>IFERROR(VLOOKUP($B47,'H-Risk Register-Model'!$A$17:$AI$953,MATCH(D$38,'H-Risk Register-Model'!$17:$17,0),FALSE),"")</f>
        <v/>
      </c>
      <c r="E47" s="561" t="str">
        <f>IFERROR(VLOOKUP($B47,'H-Risk Register-Model'!$A$17:$AI$953,MATCH(E$38,'H-Risk Register-Model'!$17:$17,0),FALSE),"")</f>
        <v/>
      </c>
      <c r="F47" s="562" t="str">
        <f>IFERROR(VLOOKUP($B47,'H-Risk Register-Model'!$A$17:$AI$953,MATCH(F$38,'H-Risk Register-Model'!$17:$17,0),FALSE),"")</f>
        <v/>
      </c>
      <c r="G47" s="509" t="str">
        <f>IF(IFERROR(VLOOKUP($B47,'H-Risk Register-Model'!$A$17:$AI$953,MATCH(G$37,'H-Risk Register-Model'!$17:$17,0),FALSE),"")="","",IFERROR(VLOOKUP($B47,'H-Risk Register-Model'!$A$17:$AI$953,MATCH(G$37,'H-Risk Register-Model'!$17:$17,0),FALSE),""))</f>
        <v/>
      </c>
      <c r="H47" s="509" t="str">
        <f>IF(IFERROR(VLOOKUP($B47,'H-Risk Register-Model'!$A$17:$AI$953,MATCH(H$37,'H-Risk Register-Model'!$17:$17,0),FALSE),"")="","",IFERROR(VLOOKUP($B47,'H-Risk Register-Model'!$A$17:$AI$953,MATCH(H$37,'H-Risk Register-Model'!$17:$17,0),FALSE),""))</f>
        <v/>
      </c>
      <c r="I47" s="1019" t="str">
        <f>IF(IFERROR(VLOOKUP($B47,'H-Risk Register-Model'!$A$17:$AI$953,MATCH(I$38,'H-Risk Register-Model'!$17:$17,0),FALSE),"")="","",IFERROR(VLOOKUP($B47,'H-Risk Register-Model'!$A$17:$AI$953,MATCH(I$38,'H-Risk Register-Model'!$17:$17,0),FALSE),""))</f>
        <v/>
      </c>
      <c r="J47" s="1019"/>
      <c r="K47" s="1019"/>
      <c r="L47" s="1020"/>
      <c r="M47" s="263"/>
    </row>
    <row r="48" spans="1:22" x14ac:dyDescent="0.25">
      <c r="A48" s="257"/>
      <c r="B48" s="507" t="str">
        <f>IF('J-Sensitivity Charts'!M27="","",'J-Sensitivity Charts'!M27)</f>
        <v>N/A</v>
      </c>
      <c r="C48" s="560" t="str">
        <f>IFERROR(VLOOKUP($B48,'H-Risk Register-Model'!$A$17:$AI$953,MATCH(B$38,'H-Risk Register-Model'!$17:$17,0),FALSE),"")</f>
        <v/>
      </c>
      <c r="D48" s="508" t="str">
        <f>IFERROR(VLOOKUP($B48,'H-Risk Register-Model'!$A$17:$AI$953,MATCH(D$38,'H-Risk Register-Model'!$17:$17,0),FALSE),"")</f>
        <v/>
      </c>
      <c r="E48" s="561" t="str">
        <f>IFERROR(VLOOKUP($B48,'H-Risk Register-Model'!$A$17:$AI$953,MATCH(E$38,'H-Risk Register-Model'!$17:$17,0),FALSE),"")</f>
        <v/>
      </c>
      <c r="F48" s="562" t="str">
        <f>IFERROR(VLOOKUP($B48,'H-Risk Register-Model'!$A$17:$AI$953,MATCH(F$38,'H-Risk Register-Model'!$17:$17,0),FALSE),"")</f>
        <v/>
      </c>
      <c r="G48" s="509" t="str">
        <f>IF(IFERROR(VLOOKUP($B48,'H-Risk Register-Model'!$A$17:$AI$953,MATCH(G$37,'H-Risk Register-Model'!$17:$17,0),FALSE),"")="","",IFERROR(VLOOKUP($B48,'H-Risk Register-Model'!$A$17:$AI$953,MATCH(G$37,'H-Risk Register-Model'!$17:$17,0),FALSE),""))</f>
        <v/>
      </c>
      <c r="H48" s="509" t="str">
        <f>IF(IFERROR(VLOOKUP($B48,'H-Risk Register-Model'!$A$17:$AI$953,MATCH(H$37,'H-Risk Register-Model'!$17:$17,0),FALSE),"")="","",IFERROR(VLOOKUP($B48,'H-Risk Register-Model'!$A$17:$AI$953,MATCH(H$37,'H-Risk Register-Model'!$17:$17,0),FALSE),""))</f>
        <v/>
      </c>
      <c r="I48" s="1019" t="str">
        <f>IF(IFERROR(VLOOKUP($B48,'H-Risk Register-Model'!$A$17:$AI$953,MATCH(I$38,'H-Risk Register-Model'!$17:$17,0),FALSE),"")="","",IFERROR(VLOOKUP($B48,'H-Risk Register-Model'!$A$17:$AI$953,MATCH(I$38,'H-Risk Register-Model'!$17:$17,0),FALSE),""))</f>
        <v/>
      </c>
      <c r="J48" s="1019"/>
      <c r="K48" s="1019"/>
      <c r="L48" s="1020"/>
      <c r="M48" s="263"/>
    </row>
    <row r="49" spans="1:13" ht="15.75" thickBot="1" x14ac:dyDescent="0.3">
      <c r="A49" s="257"/>
      <c r="B49" s="268" t="str">
        <f>IF('J-Sensitivity Charts'!M28="","",'J-Sensitivity Charts'!M28)</f>
        <v>N/A</v>
      </c>
      <c r="C49" s="563" t="str">
        <f>IFERROR(VLOOKUP($B49,'H-Risk Register-Model'!$A$17:$AI$953,MATCH(B$38,'H-Risk Register-Model'!$17:$17,0),FALSE),"")</f>
        <v/>
      </c>
      <c r="D49" s="285" t="str">
        <f>IFERROR(VLOOKUP($B49,'H-Risk Register-Model'!$A$17:$AI$953,MATCH(D$38,'H-Risk Register-Model'!$17:$17,0),FALSE),"")</f>
        <v/>
      </c>
      <c r="E49" s="564" t="str">
        <f>IFERROR(VLOOKUP($B49,'H-Risk Register-Model'!$A$17:$AI$953,MATCH(E$38,'H-Risk Register-Model'!$17:$17,0),FALSE),"")</f>
        <v/>
      </c>
      <c r="F49" s="565" t="str">
        <f>IFERROR(VLOOKUP($B49,'H-Risk Register-Model'!$A$17:$AI$953,MATCH(F$38,'H-Risk Register-Model'!$17:$17,0),FALSE),"")</f>
        <v/>
      </c>
      <c r="G49" s="161" t="str">
        <f>IF(IFERROR(VLOOKUP($B49,'H-Risk Register-Model'!$A$17:$AI$953,MATCH(G$37,'H-Risk Register-Model'!$17:$17,0),FALSE),"")="","",IFERROR(VLOOKUP($B49,'H-Risk Register-Model'!$A$17:$AI$953,MATCH(G$37,'H-Risk Register-Model'!$17:$17,0),FALSE),""))</f>
        <v/>
      </c>
      <c r="H49" s="161" t="str">
        <f>IF(IFERROR(VLOOKUP($B49,'H-Risk Register-Model'!$A$17:$AI$953,MATCH(H$37,'H-Risk Register-Model'!$17:$17,0),FALSE),"")="","",IFERROR(VLOOKUP($B49,'H-Risk Register-Model'!$A$17:$AI$953,MATCH(H$37,'H-Risk Register-Model'!$17:$17,0),FALSE),""))</f>
        <v/>
      </c>
      <c r="I49" s="1021" t="str">
        <f>IF(IFERROR(VLOOKUP($B49,'H-Risk Register-Model'!$A$17:$AI$953,MATCH(I$38,'H-Risk Register-Model'!$17:$17,0),FALSE),"")="","",IFERROR(VLOOKUP($B49,'H-Risk Register-Model'!$A$17:$AI$953,MATCH(I$38,'H-Risk Register-Model'!$17:$17,0),FALSE),""))</f>
        <v/>
      </c>
      <c r="J49" s="1021"/>
      <c r="K49" s="1021"/>
      <c r="L49" s="1022"/>
      <c r="M49" s="263"/>
    </row>
    <row r="50" spans="1:13" x14ac:dyDescent="0.25">
      <c r="A50" s="257"/>
      <c r="B50" s="257"/>
      <c r="C50" s="257"/>
      <c r="D50" s="257"/>
      <c r="E50" s="257"/>
      <c r="F50" s="257"/>
      <c r="G50" s="257"/>
      <c r="H50" s="257"/>
      <c r="I50" s="257"/>
      <c r="J50" s="257"/>
      <c r="K50" s="257"/>
      <c r="L50" s="257"/>
      <c r="M50" s="257"/>
    </row>
  </sheetData>
  <mergeCells count="22">
    <mergeCell ref="A1:M1"/>
    <mergeCell ref="C3:E3"/>
    <mergeCell ref="C4:E4"/>
    <mergeCell ref="K4:K6"/>
    <mergeCell ref="G38:H38"/>
    <mergeCell ref="I38:L39"/>
    <mergeCell ref="J3:K3"/>
    <mergeCell ref="G6:I6"/>
    <mergeCell ref="F38:F39"/>
    <mergeCell ref="B38:C39"/>
    <mergeCell ref="D38:D39"/>
    <mergeCell ref="E38:E39"/>
    <mergeCell ref="I40:L40"/>
    <mergeCell ref="I41:L41"/>
    <mergeCell ref="I42:L42"/>
    <mergeCell ref="I43:L43"/>
    <mergeCell ref="I44:L44"/>
    <mergeCell ref="I45:L45"/>
    <mergeCell ref="I46:L46"/>
    <mergeCell ref="I47:L47"/>
    <mergeCell ref="I48:L48"/>
    <mergeCell ref="I49:L49"/>
  </mergeCells>
  <conditionalFormatting sqref="G40:H49">
    <cfRule type="expression" dxfId="19" priority="5" stopIfTrue="1">
      <formula>LEFT(D40,3)="Cer"</formula>
    </cfRule>
    <cfRule type="expression" dxfId="18" priority="6" stopIfTrue="1">
      <formula>LEFT(G40,1)="H"</formula>
    </cfRule>
    <cfRule type="expression" dxfId="17" priority="7" stopIfTrue="1">
      <formula>LEFT(G40,1)="M"</formula>
    </cfRule>
    <cfRule type="expression" dxfId="16" priority="8" stopIfTrue="1">
      <formula>LEFT(G40,1)="L"</formula>
    </cfRule>
  </conditionalFormatting>
  <pageMargins left="0.25" right="0.25" top="0.25" bottom="0.5" header="0.25" footer="0.25"/>
  <pageSetup scale="50" fitToHeight="0" orientation="landscape" horizontalDpi="1200" verticalDpi="1200" r:id="rId1"/>
  <headerFooter>
    <oddFooter>&amp;CPage &amp;P of &amp;N</oddFooter>
  </headerFooter>
  <colBreaks count="1" manualBreakCount="1">
    <brk id="1" max="5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M50"/>
  <sheetViews>
    <sheetView showGridLines="0" zoomScale="85" zoomScaleNormal="85" workbookViewId="0">
      <pane xSplit="4" ySplit="10" topLeftCell="E11" activePane="bottomRight" state="frozen"/>
      <selection pane="topRight" activeCell="E1" sqref="E1"/>
      <selection pane="bottomLeft" activeCell="A11" sqref="A11"/>
      <selection pane="bottomRight" activeCell="E11" sqref="E11"/>
    </sheetView>
  </sheetViews>
  <sheetFormatPr defaultRowHeight="15" x14ac:dyDescent="0.25"/>
  <cols>
    <col min="1" max="1" width="2.85546875" customWidth="1"/>
    <col min="2" max="2" width="10.5703125" customWidth="1"/>
    <col min="3" max="3" width="25.5703125" customWidth="1"/>
    <col min="4" max="4" width="35.5703125" customWidth="1"/>
    <col min="5" max="5" width="60.5703125" customWidth="1"/>
    <col min="6" max="6" width="18.42578125" bestFit="1" customWidth="1"/>
    <col min="7" max="8" width="15.85546875" customWidth="1"/>
    <col min="9" max="9" width="20.85546875" customWidth="1"/>
    <col min="10" max="10" width="25.85546875" customWidth="1"/>
    <col min="11" max="11" width="10.85546875" customWidth="1"/>
    <col min="12" max="12" width="20.5703125" customWidth="1"/>
    <col min="13" max="13" width="2.85546875" customWidth="1"/>
  </cols>
  <sheetData>
    <row r="1" spans="1:13" ht="21" x14ac:dyDescent="0.35">
      <c r="A1" s="980" t="s">
        <v>1165</v>
      </c>
      <c r="B1" s="980"/>
      <c r="C1" s="980"/>
      <c r="D1" s="980"/>
      <c r="E1" s="980"/>
      <c r="F1" s="980"/>
      <c r="G1" s="980"/>
      <c r="H1" s="980"/>
      <c r="I1" s="980"/>
      <c r="J1" s="980"/>
      <c r="K1" s="980"/>
      <c r="L1" s="980"/>
      <c r="M1" s="980"/>
    </row>
    <row r="2" spans="1:13" ht="15.75" thickBot="1" x14ac:dyDescent="0.3">
      <c r="A2" s="256"/>
      <c r="B2" s="256"/>
      <c r="C2" s="256"/>
      <c r="D2" s="256"/>
      <c r="E2" s="256"/>
      <c r="F2" s="256"/>
      <c r="G2" s="256"/>
      <c r="H2" s="256"/>
      <c r="I2" s="256"/>
      <c r="J2" s="256"/>
      <c r="K2" s="256"/>
      <c r="L2" s="256"/>
      <c r="M2" s="256"/>
    </row>
    <row r="3" spans="1:13" ht="15.75" thickBot="1" x14ac:dyDescent="0.3">
      <c r="A3" s="257"/>
      <c r="B3" s="261" t="s">
        <v>638</v>
      </c>
      <c r="C3" s="1025" t="str">
        <f>'D-Project Data'!C13</f>
        <v>Project Name</v>
      </c>
      <c r="D3" s="1025"/>
      <c r="E3" s="1025"/>
      <c r="F3" s="506"/>
      <c r="G3" s="413" t="str">
        <f>'J-Sensitivity Charts'!G8</f>
        <v>Contingency on Base Schedule</v>
      </c>
      <c r="H3" s="371"/>
      <c r="I3" s="406"/>
      <c r="J3" s="1058">
        <f>'J-Sensitivity Charts'!I8</f>
        <v>0.85</v>
      </c>
      <c r="K3" s="1059"/>
      <c r="L3" s="256"/>
      <c r="M3" s="256"/>
    </row>
    <row r="4" spans="1:13" x14ac:dyDescent="0.25">
      <c r="A4" s="257"/>
      <c r="B4" s="261" t="s">
        <v>868</v>
      </c>
      <c r="C4" s="1025" t="str">
        <f>'D-Project Data'!$C$14</f>
        <v>Walla Walla, WA</v>
      </c>
      <c r="D4" s="1025"/>
      <c r="E4" s="1025"/>
      <c r="F4" s="506"/>
      <c r="G4" s="269"/>
      <c r="H4" s="270"/>
      <c r="I4" s="271" t="str">
        <f>'J-Sensitivity Charts'!G9</f>
        <v>Base Schedule Start Date</v>
      </c>
      <c r="J4" s="272">
        <f>'J-Sensitivity Charts'!I9</f>
        <v>45566</v>
      </c>
      <c r="K4" s="1052">
        <f>'J-Sensitivity Charts'!J12</f>
        <v>0.29000000000000004</v>
      </c>
      <c r="L4" s="256"/>
      <c r="M4" s="256"/>
    </row>
    <row r="5" spans="1:13" x14ac:dyDescent="0.25">
      <c r="A5" s="257"/>
      <c r="B5" s="257"/>
      <c r="C5" s="257"/>
      <c r="D5" s="257"/>
      <c r="E5" s="257"/>
      <c r="F5" s="257"/>
      <c r="G5" s="269"/>
      <c r="H5" s="273"/>
      <c r="I5" s="271" t="str">
        <f>'J-Sensitivity Charts'!G10</f>
        <v>Base Schedule Finish Date</v>
      </c>
      <c r="J5" s="274">
        <f>'J-Sensitivity Charts'!I10</f>
        <v>46296</v>
      </c>
      <c r="K5" s="1052"/>
      <c r="L5" s="256"/>
      <c r="M5" s="256"/>
    </row>
    <row r="6" spans="1:13" x14ac:dyDescent="0.25">
      <c r="A6" s="257"/>
      <c r="B6" s="257"/>
      <c r="C6" s="257"/>
      <c r="D6" s="257"/>
      <c r="E6" s="257"/>
      <c r="F6" s="257"/>
      <c r="G6" s="269"/>
      <c r="H6" s="270"/>
      <c r="I6" s="271" t="str">
        <f>'J-Sensitivity Charts'!G11</f>
        <v>Base Schedule Duration</v>
      </c>
      <c r="J6" s="275">
        <f>'J-Sensitivity Charts'!I11</f>
        <v>23.978102189781023</v>
      </c>
      <c r="K6" s="1052"/>
      <c r="L6" s="256"/>
      <c r="M6" s="256"/>
    </row>
    <row r="7" spans="1:13" x14ac:dyDescent="0.25">
      <c r="A7" s="257"/>
      <c r="B7" s="257"/>
      <c r="C7" s="257"/>
      <c r="D7" s="257"/>
      <c r="E7" s="257"/>
      <c r="F7" s="257"/>
      <c r="G7" s="269"/>
      <c r="H7" s="270"/>
      <c r="I7" s="271" t="str">
        <f>'J-Sensitivity Charts'!G12</f>
        <v>Schedule Contingency Duration</v>
      </c>
      <c r="J7" s="275">
        <f>'J-Sensitivity Charts'!I12</f>
        <v>6.9536496350364976</v>
      </c>
      <c r="K7" s="1052"/>
      <c r="L7" s="256"/>
      <c r="M7" s="256"/>
    </row>
    <row r="8" spans="1:13" x14ac:dyDescent="0.25">
      <c r="A8" s="257"/>
      <c r="B8" s="257"/>
      <c r="C8" s="257"/>
      <c r="D8" s="257"/>
      <c r="E8" s="257"/>
      <c r="F8" s="257"/>
      <c r="G8" s="1054">
        <f>'J-Sensitivity Charts'!G13</f>
        <v>0.85</v>
      </c>
      <c r="H8" s="1055"/>
      <c r="I8" s="1055"/>
      <c r="J8" s="275">
        <f>'J-Sensitivity Charts'!I13</f>
        <v>30.931751824817521</v>
      </c>
      <c r="K8" s="1052"/>
      <c r="L8" s="256"/>
      <c r="M8" s="256"/>
    </row>
    <row r="9" spans="1:13" ht="15.75" thickBot="1" x14ac:dyDescent="0.3">
      <c r="A9" s="257"/>
      <c r="B9" s="257"/>
      <c r="C9" s="257"/>
      <c r="D9" s="257"/>
      <c r="E9" s="257"/>
      <c r="F9" s="257"/>
      <c r="G9" s="1056">
        <f>'J-Sensitivity Charts'!G14</f>
        <v>0.85</v>
      </c>
      <c r="H9" s="1057"/>
      <c r="I9" s="1057"/>
      <c r="J9" s="276">
        <f>'J-Sensitivity Charts'!I14</f>
        <v>46507</v>
      </c>
      <c r="K9" s="1053"/>
      <c r="L9" s="256"/>
      <c r="M9" s="256"/>
    </row>
    <row r="10" spans="1:13" ht="5.0999999999999996" customHeight="1" x14ac:dyDescent="0.25">
      <c r="A10" s="257"/>
      <c r="B10" s="257"/>
      <c r="C10" s="257"/>
      <c r="D10" s="257"/>
      <c r="E10" s="257"/>
      <c r="F10" s="257"/>
      <c r="G10" s="257"/>
      <c r="H10" s="257"/>
      <c r="I10" s="257"/>
      <c r="J10" s="257"/>
      <c r="K10" s="257"/>
      <c r="L10" s="256"/>
      <c r="M10" s="256"/>
    </row>
    <row r="11" spans="1:13" x14ac:dyDescent="0.25">
      <c r="A11" s="257"/>
      <c r="B11" s="257"/>
      <c r="C11" s="257"/>
      <c r="D11" s="257"/>
      <c r="E11" s="257"/>
      <c r="F11" s="257"/>
      <c r="G11" s="257"/>
      <c r="H11" s="257"/>
      <c r="I11" s="257"/>
      <c r="J11" s="257"/>
      <c r="K11" s="257"/>
      <c r="L11" s="256"/>
      <c r="M11" s="256"/>
    </row>
    <row r="12" spans="1:13" x14ac:dyDescent="0.25">
      <c r="A12" s="257"/>
      <c r="B12" s="257"/>
      <c r="C12" s="257"/>
      <c r="D12" s="257"/>
      <c r="E12" s="257"/>
      <c r="F12" s="257"/>
      <c r="G12" s="257"/>
      <c r="H12" s="257"/>
      <c r="I12" s="257"/>
      <c r="J12" s="257"/>
      <c r="K12" s="257"/>
      <c r="L12" s="256"/>
      <c r="M12" s="256"/>
    </row>
    <row r="13" spans="1:13" x14ac:dyDescent="0.25">
      <c r="A13" s="257"/>
      <c r="B13" s="257"/>
      <c r="C13" s="257"/>
      <c r="D13" s="257"/>
      <c r="E13" s="257"/>
      <c r="F13" s="257"/>
      <c r="G13" s="256"/>
      <c r="H13" s="256"/>
      <c r="I13" s="256"/>
      <c r="J13" s="256"/>
      <c r="K13" s="256"/>
      <c r="L13" s="256"/>
      <c r="M13" s="256"/>
    </row>
    <row r="14" spans="1:13" x14ac:dyDescent="0.25">
      <c r="A14" s="257"/>
      <c r="B14" s="257"/>
      <c r="C14" s="257"/>
      <c r="D14" s="257"/>
      <c r="E14" s="257"/>
      <c r="F14" s="257"/>
      <c r="G14" s="256"/>
      <c r="H14" s="256"/>
      <c r="I14" s="256"/>
      <c r="J14" s="256"/>
      <c r="K14" s="256"/>
      <c r="L14" s="256"/>
      <c r="M14" s="256"/>
    </row>
    <row r="15" spans="1:13" x14ac:dyDescent="0.25">
      <c r="A15" s="257"/>
      <c r="B15" s="257"/>
      <c r="C15" s="257"/>
      <c r="D15" s="257"/>
      <c r="E15" s="257"/>
      <c r="F15" s="257"/>
      <c r="G15" s="256"/>
      <c r="H15" s="256"/>
      <c r="I15" s="256"/>
      <c r="J15" s="256"/>
      <c r="K15" s="256"/>
      <c r="L15" s="256"/>
      <c r="M15" s="256"/>
    </row>
    <row r="16" spans="1:13" x14ac:dyDescent="0.25">
      <c r="A16" s="257"/>
      <c r="B16" s="257"/>
      <c r="C16" s="257"/>
      <c r="D16" s="257"/>
      <c r="E16" s="257"/>
      <c r="F16" s="257"/>
      <c r="G16" s="256"/>
      <c r="H16" s="256"/>
      <c r="I16" s="256"/>
      <c r="J16" s="256"/>
      <c r="K16" s="256"/>
      <c r="L16" s="256"/>
      <c r="M16" s="256"/>
    </row>
    <row r="17" spans="1:13" x14ac:dyDescent="0.25">
      <c r="A17" s="257"/>
      <c r="B17" s="257"/>
      <c r="C17" s="257"/>
      <c r="D17" s="257"/>
      <c r="E17" s="257"/>
      <c r="F17" s="257"/>
      <c r="G17" s="256"/>
      <c r="H17" s="256"/>
      <c r="I17" s="256"/>
      <c r="J17" s="256"/>
      <c r="K17" s="256"/>
      <c r="L17" s="256"/>
      <c r="M17" s="256"/>
    </row>
    <row r="18" spans="1:13" x14ac:dyDescent="0.25">
      <c r="A18" s="257"/>
      <c r="B18" s="257"/>
      <c r="C18" s="257"/>
      <c r="D18" s="257"/>
      <c r="E18" s="257"/>
      <c r="F18" s="257"/>
      <c r="G18" s="256"/>
      <c r="H18" s="256"/>
      <c r="I18" s="256"/>
      <c r="J18" s="256"/>
      <c r="K18" s="256"/>
      <c r="L18" s="256"/>
      <c r="M18" s="256"/>
    </row>
    <row r="19" spans="1:13" x14ac:dyDescent="0.25">
      <c r="A19" s="257"/>
      <c r="B19" s="257"/>
      <c r="C19" s="257"/>
      <c r="D19" s="257"/>
      <c r="E19" s="257"/>
      <c r="F19" s="257"/>
      <c r="G19" s="256"/>
      <c r="H19" s="256"/>
      <c r="I19" s="256"/>
      <c r="J19" s="256"/>
      <c r="K19" s="256"/>
      <c r="L19" s="256"/>
      <c r="M19" s="256"/>
    </row>
    <row r="20" spans="1:13" ht="14.45" customHeight="1" x14ac:dyDescent="0.25">
      <c r="A20" s="257"/>
      <c r="B20" s="257"/>
      <c r="C20" s="257"/>
      <c r="D20" s="257"/>
      <c r="E20" s="257"/>
      <c r="F20" s="257"/>
      <c r="G20" s="256"/>
      <c r="H20" s="256"/>
      <c r="I20" s="256"/>
      <c r="J20" s="256"/>
      <c r="K20" s="256"/>
      <c r="L20" s="256"/>
      <c r="M20" s="256"/>
    </row>
    <row r="21" spans="1:13" x14ac:dyDescent="0.25">
      <c r="A21" s="257"/>
      <c r="B21" s="257"/>
      <c r="C21" s="257"/>
      <c r="D21" s="257"/>
      <c r="E21" s="257"/>
      <c r="F21" s="257"/>
      <c r="G21" s="256"/>
      <c r="H21" s="256"/>
      <c r="I21" s="256"/>
      <c r="J21" s="256"/>
      <c r="K21" s="256"/>
      <c r="L21" s="256"/>
      <c r="M21" s="256"/>
    </row>
    <row r="22" spans="1:13" x14ac:dyDescent="0.25">
      <c r="A22" s="257"/>
      <c r="B22" s="257"/>
      <c r="C22" s="257"/>
      <c r="D22" s="257"/>
      <c r="E22" s="257"/>
      <c r="F22" s="257"/>
      <c r="G22" s="256"/>
      <c r="H22" s="256"/>
      <c r="I22" s="256"/>
      <c r="J22" s="256"/>
      <c r="K22" s="256"/>
      <c r="L22" s="256"/>
      <c r="M22" s="256"/>
    </row>
    <row r="23" spans="1:13" x14ac:dyDescent="0.25">
      <c r="A23" s="257"/>
      <c r="B23" s="257"/>
      <c r="C23" s="257"/>
      <c r="D23" s="257"/>
      <c r="E23" s="257"/>
      <c r="F23" s="257"/>
      <c r="G23" s="256"/>
      <c r="H23" s="256"/>
      <c r="I23" s="256"/>
      <c r="J23" s="256"/>
      <c r="K23" s="256"/>
      <c r="L23" s="256"/>
      <c r="M23" s="256"/>
    </row>
    <row r="24" spans="1:13" x14ac:dyDescent="0.25">
      <c r="A24" s="257"/>
      <c r="B24" s="257"/>
      <c r="C24" s="257"/>
      <c r="D24" s="257"/>
      <c r="E24" s="257"/>
      <c r="F24" s="257"/>
      <c r="G24" s="256"/>
      <c r="H24" s="256"/>
      <c r="I24" s="256"/>
      <c r="J24" s="256"/>
      <c r="K24" s="256"/>
      <c r="L24" s="256"/>
      <c r="M24" s="256"/>
    </row>
    <row r="25" spans="1:13" x14ac:dyDescent="0.25">
      <c r="A25" s="257"/>
      <c r="B25" s="257"/>
      <c r="C25" s="257"/>
      <c r="D25" s="257"/>
      <c r="E25" s="257"/>
      <c r="F25" s="257"/>
      <c r="G25" s="256"/>
      <c r="H25" s="256"/>
      <c r="I25" s="256"/>
      <c r="J25" s="256"/>
      <c r="K25" s="256"/>
      <c r="L25" s="256"/>
      <c r="M25" s="256"/>
    </row>
    <row r="26" spans="1:13" x14ac:dyDescent="0.25">
      <c r="A26" s="257"/>
      <c r="B26" s="257"/>
      <c r="C26" s="257"/>
      <c r="D26" s="257"/>
      <c r="E26" s="257"/>
      <c r="F26" s="257"/>
      <c r="G26" s="256"/>
      <c r="H26" s="256"/>
      <c r="I26" s="256"/>
      <c r="J26" s="256"/>
      <c r="K26" s="256"/>
      <c r="L26" s="256"/>
      <c r="M26" s="256"/>
    </row>
    <row r="27" spans="1:13" x14ac:dyDescent="0.25">
      <c r="A27" s="257"/>
      <c r="B27" s="257"/>
      <c r="C27" s="257"/>
      <c r="D27" s="257"/>
      <c r="E27" s="257"/>
      <c r="F27" s="257"/>
      <c r="G27" s="256"/>
      <c r="H27" s="256"/>
      <c r="I27" s="256"/>
      <c r="J27" s="256"/>
      <c r="K27" s="256"/>
      <c r="L27" s="256"/>
      <c r="M27" s="256"/>
    </row>
    <row r="28" spans="1:13" x14ac:dyDescent="0.25">
      <c r="A28" s="257"/>
      <c r="B28" s="257"/>
      <c r="C28" s="257"/>
      <c r="D28" s="257"/>
      <c r="E28" s="257"/>
      <c r="F28" s="257"/>
      <c r="G28" s="256"/>
      <c r="H28" s="256"/>
      <c r="I28" s="256"/>
      <c r="J28" s="256"/>
      <c r="K28" s="256"/>
      <c r="L28" s="256"/>
      <c r="M28" s="256"/>
    </row>
    <row r="29" spans="1:13" x14ac:dyDescent="0.25">
      <c r="A29" s="257"/>
      <c r="B29" s="257"/>
      <c r="C29" s="257"/>
      <c r="D29" s="257"/>
      <c r="E29" s="257"/>
      <c r="F29" s="257"/>
      <c r="G29" s="256"/>
      <c r="H29" s="256"/>
      <c r="I29" s="256"/>
      <c r="J29" s="256"/>
      <c r="K29" s="256"/>
      <c r="L29" s="256"/>
      <c r="M29" s="256"/>
    </row>
    <row r="30" spans="1:13" x14ac:dyDescent="0.25">
      <c r="A30" s="257"/>
      <c r="B30" s="257"/>
      <c r="C30" s="257"/>
      <c r="D30" s="257"/>
      <c r="E30" s="257"/>
      <c r="F30" s="257"/>
      <c r="G30" s="256"/>
      <c r="H30" s="256"/>
      <c r="I30" s="256"/>
      <c r="J30" s="256"/>
      <c r="K30" s="256"/>
      <c r="L30" s="256"/>
      <c r="M30" s="256"/>
    </row>
    <row r="31" spans="1:13" x14ac:dyDescent="0.25">
      <c r="A31" s="257"/>
      <c r="B31" s="257"/>
      <c r="C31" s="257"/>
      <c r="D31" s="257"/>
      <c r="E31" s="257"/>
      <c r="F31" s="257"/>
      <c r="G31" s="256"/>
      <c r="H31" s="256"/>
      <c r="I31" s="256"/>
      <c r="J31" s="256"/>
      <c r="K31" s="256"/>
      <c r="L31" s="256"/>
      <c r="M31" s="256"/>
    </row>
    <row r="32" spans="1:13" x14ac:dyDescent="0.25">
      <c r="A32" s="257"/>
      <c r="B32" s="257"/>
      <c r="C32" s="257"/>
      <c r="D32" s="257"/>
      <c r="E32" s="257"/>
      <c r="F32" s="257"/>
      <c r="G32" s="256"/>
      <c r="H32" s="256"/>
      <c r="I32" s="256"/>
      <c r="J32" s="256"/>
      <c r="K32" s="256"/>
      <c r="L32" s="256"/>
      <c r="M32" s="256"/>
    </row>
    <row r="33" spans="1:13" x14ac:dyDescent="0.25">
      <c r="A33" s="257"/>
      <c r="B33" s="257"/>
      <c r="C33" s="257"/>
      <c r="D33" s="257"/>
      <c r="E33" s="257"/>
      <c r="F33" s="257"/>
      <c r="G33" s="256"/>
      <c r="H33" s="256"/>
      <c r="I33" s="256"/>
      <c r="J33" s="256"/>
      <c r="K33" s="256"/>
      <c r="L33" s="256"/>
      <c r="M33" s="256"/>
    </row>
    <row r="34" spans="1:13" x14ac:dyDescent="0.25">
      <c r="A34" s="257"/>
      <c r="B34" s="257"/>
      <c r="C34" s="257"/>
      <c r="D34" s="257"/>
      <c r="E34" s="257"/>
      <c r="F34" s="257"/>
      <c r="G34" s="256"/>
      <c r="H34" s="256"/>
      <c r="I34" s="256"/>
      <c r="J34" s="256"/>
      <c r="K34" s="256"/>
      <c r="L34" s="256"/>
      <c r="M34" s="256"/>
    </row>
    <row r="35" spans="1:13" x14ac:dyDescent="0.25">
      <c r="A35" s="257"/>
      <c r="B35" s="257"/>
      <c r="C35" s="257"/>
      <c r="D35" s="257"/>
      <c r="E35" s="257"/>
      <c r="F35" s="257"/>
      <c r="G35" s="262"/>
      <c r="H35" s="262"/>
      <c r="I35" s="262"/>
      <c r="J35" s="262"/>
      <c r="K35" s="262"/>
      <c r="L35" s="256"/>
      <c r="M35" s="256"/>
    </row>
    <row r="36" spans="1:13" x14ac:dyDescent="0.25">
      <c r="A36" s="257"/>
      <c r="B36" s="257"/>
      <c r="C36" s="257"/>
      <c r="D36" s="257"/>
      <c r="E36" s="257"/>
      <c r="F36" s="257"/>
      <c r="G36" s="262"/>
      <c r="H36" s="262"/>
      <c r="I36" s="262"/>
      <c r="J36" s="262"/>
      <c r="K36" s="262"/>
      <c r="L36" s="256"/>
      <c r="M36" s="256"/>
    </row>
    <row r="37" spans="1:13" s="31" customFormat="1" ht="19.5" thickBot="1" x14ac:dyDescent="0.35">
      <c r="A37" s="283"/>
      <c r="B37" s="260" t="s">
        <v>866</v>
      </c>
      <c r="C37" s="260"/>
      <c r="D37" s="260"/>
      <c r="E37" s="260"/>
      <c r="F37" s="260"/>
      <c r="G37" s="281" t="str">
        <f>'K1-Risk Dashboard (Cost)'!G37</f>
        <v>Risk Level (C)</v>
      </c>
      <c r="H37" s="281" t="str">
        <f>'K1-Risk Dashboard (Cost)'!H37</f>
        <v>Risk Level (S)</v>
      </c>
      <c r="I37" s="280"/>
      <c r="J37" s="280"/>
      <c r="K37" s="280"/>
      <c r="L37" s="280"/>
      <c r="M37" s="280"/>
    </row>
    <row r="38" spans="1:13" ht="15.75" thickBot="1" x14ac:dyDescent="0.3">
      <c r="A38" s="257"/>
      <c r="B38" s="1042" t="str">
        <f>'K1-Risk Dashboard (Cost)'!B38</f>
        <v>Risk/Opportunity Event</v>
      </c>
      <c r="C38" s="1043"/>
      <c r="D38" s="1046" t="str">
        <f>'K1-Risk Dashboard (Cost)'!D38</f>
        <v>Risk Event Description</v>
      </c>
      <c r="E38" s="1046" t="str">
        <f>'K1-Risk Dashboard (Cost)'!E38</f>
        <v>Team Discussions on Impact and Likelihood</v>
      </c>
      <c r="F38" s="1038" t="str">
        <f>'K1-Risk Dashboard (Cost)'!F38</f>
        <v>Responsibility/ POC</v>
      </c>
      <c r="G38" s="1028" t="str">
        <f>'K1-Risk Dashboard (Cost)'!G38</f>
        <v>Risk Level</v>
      </c>
      <c r="H38" s="1029"/>
      <c r="I38" s="1048" t="str">
        <f>'K1-Risk Dashboard (Cost)'!I38</f>
        <v>Suggested Risk Reduction Measures
(Avoid, Escalate, Exploit, Transfer/Share, Mitigate/Enhance, or Accept)</v>
      </c>
      <c r="J38" s="1048"/>
      <c r="K38" s="1048"/>
      <c r="L38" s="1049"/>
      <c r="M38" s="263"/>
    </row>
    <row r="39" spans="1:13" ht="15.75" thickBot="1" x14ac:dyDescent="0.3">
      <c r="A39" s="264" t="s">
        <v>659</v>
      </c>
      <c r="B39" s="1044"/>
      <c r="C39" s="1045"/>
      <c r="D39" s="1047"/>
      <c r="E39" s="1047"/>
      <c r="F39" s="1039"/>
      <c r="G39" s="558" t="str">
        <f>'K1-Risk Dashboard (Cost)'!G39</f>
        <v>Cost</v>
      </c>
      <c r="H39" s="559" t="str">
        <f>'K1-Risk Dashboard (Cost)'!H39</f>
        <v>Schedule</v>
      </c>
      <c r="I39" s="1050"/>
      <c r="J39" s="1050"/>
      <c r="K39" s="1050"/>
      <c r="L39" s="1051"/>
      <c r="M39" s="263"/>
    </row>
    <row r="40" spans="1:13" ht="72" x14ac:dyDescent="0.25">
      <c r="A40" s="265"/>
      <c r="B40" s="567">
        <f>IF('J-Sensitivity Charts'!M41="","",'J-Sensitivity Charts'!M41)</f>
        <v>1</v>
      </c>
      <c r="C40" s="568" t="str">
        <f>IFERROR(VLOOKUP($B40,'H-Risk Register-Model'!$A$17:$AI$953,MATCH(B$38,'H-Risk Register-Model'!$17:$17,0),FALSE),"")</f>
        <v>PLEASE TYPE FIRST RISK OVER THE TOP OF THIS ONE</v>
      </c>
      <c r="D40" s="569" t="str">
        <f>IFERROR(VLOOKUP($B40,'H-Risk Register-Model'!$A$17:$AI$953,MATCH(D$38,'H-Risk Register-Model'!$17:$17,0),FALSE),"")</f>
        <v>This is a test risk.
Recommended best practices is to document what the risk is if it happens (if/then statement).</v>
      </c>
      <c r="E40" s="570" t="str">
        <f>IFERROR(VLOOKUP($B40,'H-Risk Register-Model'!$A$17:$AI$953,MATCH(E$38,'H-Risk Register-Model'!$17:$17,0),FALSE),"")</f>
        <v>Enter first risk in this row .. IF YOU DELETE THIS ROW IT COULD MAKE SOME OF THE FORMULAS NOT WORK.
Recommended best practice is to state what the current design, estimate, and schedule assumptions are and challenge your team on the Low Variance (LV) and High Variance (HV) ranges.</v>
      </c>
      <c r="F40" s="571" t="str">
        <f>IFERROR(VLOOKUP($B40,'H-Risk Register-Model'!$A$17:$AI$953,MATCH(F$38,'H-Risk Register-Model'!$17:$17,0),FALSE),"")</f>
        <v>Select From List</v>
      </c>
      <c r="G40" s="572" t="str">
        <f>IF(IFERROR(VLOOKUP($B40,'H-Risk Register-Model'!$A$17:$AI$953,MATCH(G$37,'H-Risk Register-Model'!$17:$17,0),FALSE),"")="","",IFERROR(VLOOKUP($B40,'H-Risk Register-Model'!$A$17:$AI$953,MATCH(G$37,'H-Risk Register-Model'!$17:$17,0),FALSE),""))</f>
        <v>Medium</v>
      </c>
      <c r="H40" s="572" t="str">
        <f>IF(IFERROR(VLOOKUP($B40,'H-Risk Register-Model'!$A$17:$AI$953,MATCH(H$37,'H-Risk Register-Model'!$17:$17,0),FALSE),"")="","",IFERROR(VLOOKUP($B40,'H-Risk Register-Model'!$A$17:$AI$953,MATCH(H$37,'H-Risk Register-Model'!$17:$17,0),FALSE),""))</f>
        <v>Medium</v>
      </c>
      <c r="I40" s="1023" t="str">
        <f>IF(IFERROR(VLOOKUP($B40,'H-Risk Register-Model'!$A$17:$AI$953,MATCH(I$38,'H-Risk Register-Model'!$17:$17,0),FALSE),"")="","",IFERROR(VLOOKUP($B40,'H-Risk Register-Model'!$A$17:$AI$953,MATCH(I$38,'H-Risk Register-Model'!$17:$17,0),FALSE),""))</f>
        <v>The team needs to identify suggested risk reduction measures...Avoid, Escalate, Exploit, Transfer/Share, Mitigate/Enhance, or Accept.</v>
      </c>
      <c r="J40" s="1023"/>
      <c r="K40" s="1023"/>
      <c r="L40" s="1024"/>
      <c r="M40" s="263"/>
    </row>
    <row r="41" spans="1:13" x14ac:dyDescent="0.25">
      <c r="A41" s="257"/>
      <c r="B41" s="507" t="str">
        <f>IF('J-Sensitivity Charts'!M42="","",'J-Sensitivity Charts'!M42)</f>
        <v>N/A</v>
      </c>
      <c r="C41" s="560" t="str">
        <f>IFERROR(VLOOKUP($B41,'H-Risk Register-Model'!$A$17:$AI$953,MATCH(B$38,'H-Risk Register-Model'!$17:$17,0),FALSE),"")</f>
        <v/>
      </c>
      <c r="D41" s="508" t="str">
        <f>IFERROR(VLOOKUP($B41,'H-Risk Register-Model'!$A$17:$AI$953,MATCH(D$38,'H-Risk Register-Model'!$17:$17,0),FALSE),"")</f>
        <v/>
      </c>
      <c r="E41" s="561" t="str">
        <f>IFERROR(VLOOKUP($B41,'H-Risk Register-Model'!$A$17:$AI$953,MATCH(E$38,'H-Risk Register-Model'!$17:$17,0),FALSE),"")</f>
        <v/>
      </c>
      <c r="F41" s="562" t="str">
        <f>IFERROR(VLOOKUP($B41,'H-Risk Register-Model'!$A$17:$AI$953,MATCH(F$38,'H-Risk Register-Model'!$17:$17,0),FALSE),"")</f>
        <v/>
      </c>
      <c r="G41" s="509" t="str">
        <f>IF(IFERROR(VLOOKUP($B41,'H-Risk Register-Model'!$A$17:$AI$953,MATCH(G$37,'H-Risk Register-Model'!$17:$17,0),FALSE),"")="","",IFERROR(VLOOKUP($B41,'H-Risk Register-Model'!$A$17:$AI$953,MATCH(G$37,'H-Risk Register-Model'!$17:$17,0),FALSE),""))</f>
        <v/>
      </c>
      <c r="H41" s="509" t="str">
        <f>IF(IFERROR(VLOOKUP($B41,'H-Risk Register-Model'!$A$17:$AI$953,MATCH(H$37,'H-Risk Register-Model'!$17:$17,0),FALSE),"")="","",IFERROR(VLOOKUP($B41,'H-Risk Register-Model'!$A$17:$AI$953,MATCH(H$37,'H-Risk Register-Model'!$17:$17,0),FALSE),""))</f>
        <v/>
      </c>
      <c r="I41" s="1019" t="str">
        <f>IF(IFERROR(VLOOKUP($B41,'H-Risk Register-Model'!$A$17:$AI$953,MATCH(I$38,'H-Risk Register-Model'!$17:$17,0),FALSE),"")="","",IFERROR(VLOOKUP($B41,'H-Risk Register-Model'!$A$17:$AI$953,MATCH(I$38,'H-Risk Register-Model'!$17:$17,0),FALSE),""))</f>
        <v/>
      </c>
      <c r="J41" s="1019"/>
      <c r="K41" s="1019"/>
      <c r="L41" s="1020"/>
      <c r="M41" s="263"/>
    </row>
    <row r="42" spans="1:13" x14ac:dyDescent="0.25">
      <c r="A42" s="257"/>
      <c r="B42" s="507" t="str">
        <f>IF('J-Sensitivity Charts'!M43="","",'J-Sensitivity Charts'!M43)</f>
        <v>N/A</v>
      </c>
      <c r="C42" s="560" t="str">
        <f>IFERROR(VLOOKUP($B42,'H-Risk Register-Model'!$A$17:$AI$953,MATCH(B$38,'H-Risk Register-Model'!$17:$17,0),FALSE),"")</f>
        <v/>
      </c>
      <c r="D42" s="508" t="str">
        <f>IFERROR(VLOOKUP($B42,'H-Risk Register-Model'!$A$17:$AI$953,MATCH(D$38,'H-Risk Register-Model'!$17:$17,0),FALSE),"")</f>
        <v/>
      </c>
      <c r="E42" s="561" t="str">
        <f>IFERROR(VLOOKUP($B42,'H-Risk Register-Model'!$A$17:$AI$953,MATCH(E$38,'H-Risk Register-Model'!$17:$17,0),FALSE),"")</f>
        <v/>
      </c>
      <c r="F42" s="562" t="str">
        <f>IFERROR(VLOOKUP($B42,'H-Risk Register-Model'!$A$17:$AI$953,MATCH(F$38,'H-Risk Register-Model'!$17:$17,0),FALSE),"")</f>
        <v/>
      </c>
      <c r="G42" s="509" t="str">
        <f>IF(IFERROR(VLOOKUP($B42,'H-Risk Register-Model'!$A$17:$AI$953,MATCH(G$37,'H-Risk Register-Model'!$17:$17,0),FALSE),"")="","",IFERROR(VLOOKUP($B42,'H-Risk Register-Model'!$A$17:$AI$953,MATCH(G$37,'H-Risk Register-Model'!$17:$17,0),FALSE),""))</f>
        <v/>
      </c>
      <c r="H42" s="509" t="str">
        <f>IF(IFERROR(VLOOKUP($B42,'H-Risk Register-Model'!$A$17:$AI$953,MATCH(H$37,'H-Risk Register-Model'!$17:$17,0),FALSE),"")="","",IFERROR(VLOOKUP($B42,'H-Risk Register-Model'!$A$17:$AI$953,MATCH(H$37,'H-Risk Register-Model'!$17:$17,0),FALSE),""))</f>
        <v/>
      </c>
      <c r="I42" s="1019" t="str">
        <f>IF(IFERROR(VLOOKUP($B42,'H-Risk Register-Model'!$A$17:$AI$953,MATCH(I$38,'H-Risk Register-Model'!$17:$17,0),FALSE),"")="","",IFERROR(VLOOKUP($B42,'H-Risk Register-Model'!$A$17:$AI$953,MATCH(I$38,'H-Risk Register-Model'!$17:$17,0),FALSE),""))</f>
        <v/>
      </c>
      <c r="J42" s="1019"/>
      <c r="K42" s="1019"/>
      <c r="L42" s="1020"/>
      <c r="M42" s="263"/>
    </row>
    <row r="43" spans="1:13" x14ac:dyDescent="0.25">
      <c r="A43" s="257"/>
      <c r="B43" s="507" t="str">
        <f>IF('J-Sensitivity Charts'!M44="","",'J-Sensitivity Charts'!M44)</f>
        <v>N/A</v>
      </c>
      <c r="C43" s="560" t="str">
        <f>IFERROR(VLOOKUP($B43,'H-Risk Register-Model'!$A$17:$AI$953,MATCH(B$38,'H-Risk Register-Model'!$17:$17,0),FALSE),"")</f>
        <v/>
      </c>
      <c r="D43" s="508" t="str">
        <f>IFERROR(VLOOKUP($B43,'H-Risk Register-Model'!$A$17:$AI$953,MATCH(D$38,'H-Risk Register-Model'!$17:$17,0),FALSE),"")</f>
        <v/>
      </c>
      <c r="E43" s="561" t="str">
        <f>IFERROR(VLOOKUP($B43,'H-Risk Register-Model'!$A$17:$AI$953,MATCH(E$38,'H-Risk Register-Model'!$17:$17,0),FALSE),"")</f>
        <v/>
      </c>
      <c r="F43" s="562" t="str">
        <f>IFERROR(VLOOKUP($B43,'H-Risk Register-Model'!$A$17:$AI$953,MATCH(F$38,'H-Risk Register-Model'!$17:$17,0),FALSE),"")</f>
        <v/>
      </c>
      <c r="G43" s="509" t="str">
        <f>IF(IFERROR(VLOOKUP($B43,'H-Risk Register-Model'!$A$17:$AI$953,MATCH(G$37,'H-Risk Register-Model'!$17:$17,0),FALSE),"")="","",IFERROR(VLOOKUP($B43,'H-Risk Register-Model'!$A$17:$AI$953,MATCH(G$37,'H-Risk Register-Model'!$17:$17,0),FALSE),""))</f>
        <v/>
      </c>
      <c r="H43" s="509" t="str">
        <f>IF(IFERROR(VLOOKUP($B43,'H-Risk Register-Model'!$A$17:$AI$953,MATCH(H$37,'H-Risk Register-Model'!$17:$17,0),FALSE),"")="","",IFERROR(VLOOKUP($B43,'H-Risk Register-Model'!$A$17:$AI$953,MATCH(H$37,'H-Risk Register-Model'!$17:$17,0),FALSE),""))</f>
        <v/>
      </c>
      <c r="I43" s="1019" t="str">
        <f>IF(IFERROR(VLOOKUP($B43,'H-Risk Register-Model'!$A$17:$AI$953,MATCH(I$38,'H-Risk Register-Model'!$17:$17,0),FALSE),"")="","",IFERROR(VLOOKUP($B43,'H-Risk Register-Model'!$A$17:$AI$953,MATCH(I$38,'H-Risk Register-Model'!$17:$17,0),FALSE),""))</f>
        <v/>
      </c>
      <c r="J43" s="1019"/>
      <c r="K43" s="1019"/>
      <c r="L43" s="1020"/>
      <c r="M43" s="263"/>
    </row>
    <row r="44" spans="1:13" x14ac:dyDescent="0.25">
      <c r="A44" s="257"/>
      <c r="B44" s="507" t="str">
        <f>IF('J-Sensitivity Charts'!M45="","",'J-Sensitivity Charts'!M45)</f>
        <v>N/A</v>
      </c>
      <c r="C44" s="560" t="str">
        <f>IFERROR(VLOOKUP($B44,'H-Risk Register-Model'!$A$17:$AI$953,MATCH(B$38,'H-Risk Register-Model'!$17:$17,0),FALSE),"")</f>
        <v/>
      </c>
      <c r="D44" s="508" t="str">
        <f>IFERROR(VLOOKUP($B44,'H-Risk Register-Model'!$A$17:$AI$953,MATCH(D$38,'H-Risk Register-Model'!$17:$17,0),FALSE),"")</f>
        <v/>
      </c>
      <c r="E44" s="561" t="str">
        <f>IFERROR(VLOOKUP($B44,'H-Risk Register-Model'!$A$17:$AI$953,MATCH(E$38,'H-Risk Register-Model'!$17:$17,0),FALSE),"")</f>
        <v/>
      </c>
      <c r="F44" s="562" t="str">
        <f>IFERROR(VLOOKUP($B44,'H-Risk Register-Model'!$A$17:$AI$953,MATCH(F$38,'H-Risk Register-Model'!$17:$17,0),FALSE),"")</f>
        <v/>
      </c>
      <c r="G44" s="509" t="str">
        <f>IF(IFERROR(VLOOKUP($B44,'H-Risk Register-Model'!$A$17:$AI$953,MATCH(G$37,'H-Risk Register-Model'!$17:$17,0),FALSE),"")="","",IFERROR(VLOOKUP($B44,'H-Risk Register-Model'!$A$17:$AI$953,MATCH(G$37,'H-Risk Register-Model'!$17:$17,0),FALSE),""))</f>
        <v/>
      </c>
      <c r="H44" s="509" t="str">
        <f>IF(IFERROR(VLOOKUP($B44,'H-Risk Register-Model'!$A$17:$AI$953,MATCH(H$37,'H-Risk Register-Model'!$17:$17,0),FALSE),"")="","",IFERROR(VLOOKUP($B44,'H-Risk Register-Model'!$A$17:$AI$953,MATCH(H$37,'H-Risk Register-Model'!$17:$17,0),FALSE),""))</f>
        <v/>
      </c>
      <c r="I44" s="1019" t="str">
        <f>IF(IFERROR(VLOOKUP($B44,'H-Risk Register-Model'!$A$17:$AI$953,MATCH(I$38,'H-Risk Register-Model'!$17:$17,0),FALSE),"")="","",IFERROR(VLOOKUP($B44,'H-Risk Register-Model'!$A$17:$AI$953,MATCH(I$38,'H-Risk Register-Model'!$17:$17,0),FALSE),""))</f>
        <v/>
      </c>
      <c r="J44" s="1019"/>
      <c r="K44" s="1019"/>
      <c r="L44" s="1020"/>
      <c r="M44" s="263"/>
    </row>
    <row r="45" spans="1:13" x14ac:dyDescent="0.25">
      <c r="A45" s="265"/>
      <c r="B45" s="507" t="str">
        <f>IF('J-Sensitivity Charts'!M46="","",'J-Sensitivity Charts'!M46)</f>
        <v>N/A</v>
      </c>
      <c r="C45" s="560" t="str">
        <f>IFERROR(VLOOKUP($B45,'H-Risk Register-Model'!$A$17:$AI$953,MATCH(B$38,'H-Risk Register-Model'!$17:$17,0),FALSE),"")</f>
        <v/>
      </c>
      <c r="D45" s="508" t="str">
        <f>IFERROR(VLOOKUP($B45,'H-Risk Register-Model'!$A$17:$AI$953,MATCH(D$38,'H-Risk Register-Model'!$17:$17,0),FALSE),"")</f>
        <v/>
      </c>
      <c r="E45" s="561" t="str">
        <f>IFERROR(VLOOKUP($B45,'H-Risk Register-Model'!$A$17:$AI$953,MATCH(E$38,'H-Risk Register-Model'!$17:$17,0),FALSE),"")</f>
        <v/>
      </c>
      <c r="F45" s="562" t="str">
        <f>IFERROR(VLOOKUP($B45,'H-Risk Register-Model'!$A$17:$AI$953,MATCH(F$38,'H-Risk Register-Model'!$17:$17,0),FALSE),"")</f>
        <v/>
      </c>
      <c r="G45" s="509" t="str">
        <f>IF(IFERROR(VLOOKUP($B45,'H-Risk Register-Model'!$A$17:$AI$953,MATCH(G$37,'H-Risk Register-Model'!$17:$17,0),FALSE),"")="","",IFERROR(VLOOKUP($B45,'H-Risk Register-Model'!$A$17:$AI$953,MATCH(G$37,'H-Risk Register-Model'!$17:$17,0),FALSE),""))</f>
        <v/>
      </c>
      <c r="H45" s="509" t="str">
        <f>IF(IFERROR(VLOOKUP($B45,'H-Risk Register-Model'!$A$17:$AI$953,MATCH(H$37,'H-Risk Register-Model'!$17:$17,0),FALSE),"")="","",IFERROR(VLOOKUP($B45,'H-Risk Register-Model'!$A$17:$AI$953,MATCH(H$37,'H-Risk Register-Model'!$17:$17,0),FALSE),""))</f>
        <v/>
      </c>
      <c r="I45" s="1019" t="str">
        <f>IF(IFERROR(VLOOKUP($B45,'H-Risk Register-Model'!$A$17:$AI$953,MATCH(I$38,'H-Risk Register-Model'!$17:$17,0),FALSE),"")="","",IFERROR(VLOOKUP($B45,'H-Risk Register-Model'!$A$17:$AI$953,MATCH(I$38,'H-Risk Register-Model'!$17:$17,0),FALSE),""))</f>
        <v/>
      </c>
      <c r="J45" s="1019"/>
      <c r="K45" s="1019"/>
      <c r="L45" s="1020"/>
      <c r="M45" s="263"/>
    </row>
    <row r="46" spans="1:13" x14ac:dyDescent="0.25">
      <c r="A46" s="257"/>
      <c r="B46" s="507" t="str">
        <f>IF('J-Sensitivity Charts'!M47="","",'J-Sensitivity Charts'!M47)</f>
        <v>N/A</v>
      </c>
      <c r="C46" s="560" t="str">
        <f>IFERROR(VLOOKUP($B46,'H-Risk Register-Model'!$A$17:$AI$953,MATCH(B$38,'H-Risk Register-Model'!$17:$17,0),FALSE),"")</f>
        <v/>
      </c>
      <c r="D46" s="508" t="str">
        <f>IFERROR(VLOOKUP($B46,'H-Risk Register-Model'!$A$17:$AI$953,MATCH(D$38,'H-Risk Register-Model'!$17:$17,0),FALSE),"")</f>
        <v/>
      </c>
      <c r="E46" s="561" t="str">
        <f>IFERROR(VLOOKUP($B46,'H-Risk Register-Model'!$A$17:$AI$953,MATCH(E$38,'H-Risk Register-Model'!$17:$17,0),FALSE),"")</f>
        <v/>
      </c>
      <c r="F46" s="562" t="str">
        <f>IFERROR(VLOOKUP($B46,'H-Risk Register-Model'!$A$17:$AI$953,MATCH(F$38,'H-Risk Register-Model'!$17:$17,0),FALSE),"")</f>
        <v/>
      </c>
      <c r="G46" s="509" t="str">
        <f>IF(IFERROR(VLOOKUP($B46,'H-Risk Register-Model'!$A$17:$AI$953,MATCH(G$37,'H-Risk Register-Model'!$17:$17,0),FALSE),"")="","",IFERROR(VLOOKUP($B46,'H-Risk Register-Model'!$A$17:$AI$953,MATCH(G$37,'H-Risk Register-Model'!$17:$17,0),FALSE),""))</f>
        <v/>
      </c>
      <c r="H46" s="509" t="str">
        <f>IF(IFERROR(VLOOKUP($B46,'H-Risk Register-Model'!$A$17:$AI$953,MATCH(H$37,'H-Risk Register-Model'!$17:$17,0),FALSE),"")="","",IFERROR(VLOOKUP($B46,'H-Risk Register-Model'!$A$17:$AI$953,MATCH(H$37,'H-Risk Register-Model'!$17:$17,0),FALSE),""))</f>
        <v/>
      </c>
      <c r="I46" s="1019" t="str">
        <f>IF(IFERROR(VLOOKUP($B46,'H-Risk Register-Model'!$A$17:$AI$953,MATCH(I$38,'H-Risk Register-Model'!$17:$17,0),FALSE),"")="","",IFERROR(VLOOKUP($B46,'H-Risk Register-Model'!$A$17:$AI$953,MATCH(I$38,'H-Risk Register-Model'!$17:$17,0),FALSE),""))</f>
        <v/>
      </c>
      <c r="J46" s="1019"/>
      <c r="K46" s="1019"/>
      <c r="L46" s="1020"/>
      <c r="M46" s="263"/>
    </row>
    <row r="47" spans="1:13" x14ac:dyDescent="0.25">
      <c r="A47" s="257"/>
      <c r="B47" s="507" t="str">
        <f>IF('J-Sensitivity Charts'!M48="","",'J-Sensitivity Charts'!M48)</f>
        <v>N/A</v>
      </c>
      <c r="C47" s="560" t="str">
        <f>IFERROR(VLOOKUP($B47,'H-Risk Register-Model'!$A$17:$AI$953,MATCH(B$38,'H-Risk Register-Model'!$17:$17,0),FALSE),"")</f>
        <v/>
      </c>
      <c r="D47" s="508" t="str">
        <f>IFERROR(VLOOKUP($B47,'H-Risk Register-Model'!$A$17:$AI$953,MATCH(D$38,'H-Risk Register-Model'!$17:$17,0),FALSE),"")</f>
        <v/>
      </c>
      <c r="E47" s="561" t="str">
        <f>IFERROR(VLOOKUP($B47,'H-Risk Register-Model'!$A$17:$AI$953,MATCH(E$38,'H-Risk Register-Model'!$17:$17,0),FALSE),"")</f>
        <v/>
      </c>
      <c r="F47" s="562" t="str">
        <f>IFERROR(VLOOKUP($B47,'H-Risk Register-Model'!$A$17:$AI$953,MATCH(F$38,'H-Risk Register-Model'!$17:$17,0),FALSE),"")</f>
        <v/>
      </c>
      <c r="G47" s="509" t="str">
        <f>IF(IFERROR(VLOOKUP($B47,'H-Risk Register-Model'!$A$17:$AI$953,MATCH(G$37,'H-Risk Register-Model'!$17:$17,0),FALSE),"")="","",IFERROR(VLOOKUP($B47,'H-Risk Register-Model'!$A$17:$AI$953,MATCH(G$37,'H-Risk Register-Model'!$17:$17,0),FALSE),""))</f>
        <v/>
      </c>
      <c r="H47" s="509" t="str">
        <f>IF(IFERROR(VLOOKUP($B47,'H-Risk Register-Model'!$A$17:$AI$953,MATCH(H$37,'H-Risk Register-Model'!$17:$17,0),FALSE),"")="","",IFERROR(VLOOKUP($B47,'H-Risk Register-Model'!$A$17:$AI$953,MATCH(H$37,'H-Risk Register-Model'!$17:$17,0),FALSE),""))</f>
        <v/>
      </c>
      <c r="I47" s="1019" t="str">
        <f>IF(IFERROR(VLOOKUP($B47,'H-Risk Register-Model'!$A$17:$AI$953,MATCH(I$38,'H-Risk Register-Model'!$17:$17,0),FALSE),"")="","",IFERROR(VLOOKUP($B47,'H-Risk Register-Model'!$A$17:$AI$953,MATCH(I$38,'H-Risk Register-Model'!$17:$17,0),FALSE),""))</f>
        <v/>
      </c>
      <c r="J47" s="1019"/>
      <c r="K47" s="1019"/>
      <c r="L47" s="1020"/>
      <c r="M47" s="263"/>
    </row>
    <row r="48" spans="1:13" x14ac:dyDescent="0.25">
      <c r="A48" s="257"/>
      <c r="B48" s="507" t="str">
        <f>IF('J-Sensitivity Charts'!M49="","",'J-Sensitivity Charts'!M49)</f>
        <v>N/A</v>
      </c>
      <c r="C48" s="560" t="str">
        <f>IFERROR(VLOOKUP($B48,'H-Risk Register-Model'!$A$17:$AI$953,MATCH(B$38,'H-Risk Register-Model'!$17:$17,0),FALSE),"")</f>
        <v/>
      </c>
      <c r="D48" s="508" t="str">
        <f>IFERROR(VLOOKUP($B48,'H-Risk Register-Model'!$A$17:$AI$953,MATCH(D$38,'H-Risk Register-Model'!$17:$17,0),FALSE),"")</f>
        <v/>
      </c>
      <c r="E48" s="561" t="str">
        <f>IFERROR(VLOOKUP($B48,'H-Risk Register-Model'!$A$17:$AI$953,MATCH(E$38,'H-Risk Register-Model'!$17:$17,0),FALSE),"")</f>
        <v/>
      </c>
      <c r="F48" s="562" t="str">
        <f>IFERROR(VLOOKUP($B48,'H-Risk Register-Model'!$A$17:$AI$953,MATCH(F$38,'H-Risk Register-Model'!$17:$17,0),FALSE),"")</f>
        <v/>
      </c>
      <c r="G48" s="509" t="str">
        <f>IF(IFERROR(VLOOKUP($B48,'H-Risk Register-Model'!$A$17:$AI$953,MATCH(G$37,'H-Risk Register-Model'!$17:$17,0),FALSE),"")="","",IFERROR(VLOOKUP($B48,'H-Risk Register-Model'!$A$17:$AI$953,MATCH(G$37,'H-Risk Register-Model'!$17:$17,0),FALSE),""))</f>
        <v/>
      </c>
      <c r="H48" s="509" t="str">
        <f>IF(IFERROR(VLOOKUP($B48,'H-Risk Register-Model'!$A$17:$AI$953,MATCH(H$37,'H-Risk Register-Model'!$17:$17,0),FALSE),"")="","",IFERROR(VLOOKUP($B48,'H-Risk Register-Model'!$A$17:$AI$953,MATCH(H$37,'H-Risk Register-Model'!$17:$17,0),FALSE),""))</f>
        <v/>
      </c>
      <c r="I48" s="1019" t="str">
        <f>IF(IFERROR(VLOOKUP($B48,'H-Risk Register-Model'!$A$17:$AI$953,MATCH(I$38,'H-Risk Register-Model'!$17:$17,0),FALSE),"")="","",IFERROR(VLOOKUP($B48,'H-Risk Register-Model'!$A$17:$AI$953,MATCH(I$38,'H-Risk Register-Model'!$17:$17,0),FALSE),""))</f>
        <v/>
      </c>
      <c r="J48" s="1019"/>
      <c r="K48" s="1019"/>
      <c r="L48" s="1020"/>
      <c r="M48" s="263"/>
    </row>
    <row r="49" spans="1:13" ht="15.75" thickBot="1" x14ac:dyDescent="0.3">
      <c r="A49" s="257"/>
      <c r="B49" s="268" t="str">
        <f>IF('J-Sensitivity Charts'!M50="","",'J-Sensitivity Charts'!M50)</f>
        <v>N/A</v>
      </c>
      <c r="C49" s="563" t="str">
        <f>IFERROR(VLOOKUP($B49,'H-Risk Register-Model'!$A$17:$AI$953,MATCH(B$38,'H-Risk Register-Model'!$17:$17,0),FALSE),"")</f>
        <v/>
      </c>
      <c r="D49" s="285" t="str">
        <f>IFERROR(VLOOKUP($B49,'H-Risk Register-Model'!$A$17:$AI$953,MATCH(D$38,'H-Risk Register-Model'!$17:$17,0),FALSE),"")</f>
        <v/>
      </c>
      <c r="E49" s="564" t="str">
        <f>IFERROR(VLOOKUP($B49,'H-Risk Register-Model'!$A$17:$AI$953,MATCH(E$38,'H-Risk Register-Model'!$17:$17,0),FALSE),"")</f>
        <v/>
      </c>
      <c r="F49" s="565" t="str">
        <f>IFERROR(VLOOKUP($B49,'H-Risk Register-Model'!$A$17:$AI$953,MATCH(F$38,'H-Risk Register-Model'!$17:$17,0),FALSE),"")</f>
        <v/>
      </c>
      <c r="G49" s="161" t="str">
        <f>IF(IFERROR(VLOOKUP($B49,'H-Risk Register-Model'!$A$17:$AI$953,MATCH(G$37,'H-Risk Register-Model'!$17:$17,0),FALSE),"")="","",IFERROR(VLOOKUP($B49,'H-Risk Register-Model'!$A$17:$AI$953,MATCH(G$37,'H-Risk Register-Model'!$17:$17,0),FALSE),""))</f>
        <v/>
      </c>
      <c r="H49" s="161" t="str">
        <f>IF(IFERROR(VLOOKUP($B49,'H-Risk Register-Model'!$A$17:$AI$953,MATCH(H$37,'H-Risk Register-Model'!$17:$17,0),FALSE),"")="","",IFERROR(VLOOKUP($B49,'H-Risk Register-Model'!$A$17:$AI$953,MATCH(H$37,'H-Risk Register-Model'!$17:$17,0),FALSE),""))</f>
        <v/>
      </c>
      <c r="I49" s="1021" t="str">
        <f>IF(IFERROR(VLOOKUP($B49,'H-Risk Register-Model'!$A$17:$AI$953,MATCH(I$38,'H-Risk Register-Model'!$17:$17,0),FALSE),"")="","",IFERROR(VLOOKUP($B49,'H-Risk Register-Model'!$A$17:$AI$953,MATCH(I$38,'H-Risk Register-Model'!$17:$17,0),FALSE),""))</f>
        <v/>
      </c>
      <c r="J49" s="1021"/>
      <c r="K49" s="1021"/>
      <c r="L49" s="1022"/>
      <c r="M49" s="263"/>
    </row>
    <row r="50" spans="1:13" x14ac:dyDescent="0.25">
      <c r="A50" s="256"/>
      <c r="B50" s="256"/>
      <c r="C50" s="256"/>
      <c r="D50" s="256"/>
      <c r="E50" s="256"/>
      <c r="F50" s="256"/>
      <c r="G50" s="256"/>
      <c r="H50" s="256"/>
      <c r="I50" s="256"/>
      <c r="J50" s="256"/>
      <c r="K50" s="256"/>
      <c r="L50" s="256"/>
      <c r="M50" s="256"/>
    </row>
  </sheetData>
  <mergeCells count="23">
    <mergeCell ref="I45:L45"/>
    <mergeCell ref="I46:L46"/>
    <mergeCell ref="I47:L47"/>
    <mergeCell ref="I48:L48"/>
    <mergeCell ref="I49:L49"/>
    <mergeCell ref="A1:M1"/>
    <mergeCell ref="I38:L39"/>
    <mergeCell ref="I40:L40"/>
    <mergeCell ref="I41:L41"/>
    <mergeCell ref="I42:L42"/>
    <mergeCell ref="K4:K9"/>
    <mergeCell ref="G8:I8"/>
    <mergeCell ref="G9:I9"/>
    <mergeCell ref="C3:E3"/>
    <mergeCell ref="C4:E4"/>
    <mergeCell ref="J3:K3"/>
    <mergeCell ref="I43:L43"/>
    <mergeCell ref="I44:L44"/>
    <mergeCell ref="B38:C39"/>
    <mergeCell ref="D38:D39"/>
    <mergeCell ref="E38:E39"/>
    <mergeCell ref="F38:F39"/>
    <mergeCell ref="G38:H38"/>
  </mergeCells>
  <conditionalFormatting sqref="G40:H49">
    <cfRule type="expression" dxfId="15" priority="1" stopIfTrue="1">
      <formula>LEFT(D40,3)="Cer"</formula>
    </cfRule>
    <cfRule type="expression" dxfId="14" priority="2" stopIfTrue="1">
      <formula>LEFT(G40,1)="H"</formula>
    </cfRule>
    <cfRule type="expression" dxfId="13" priority="3" stopIfTrue="1">
      <formula>LEFT(G40,1)="M"</formula>
    </cfRule>
    <cfRule type="expression" dxfId="12" priority="4" stopIfTrue="1">
      <formula>LEFT(G40,1)="L"</formula>
    </cfRule>
  </conditionalFormatting>
  <pageMargins left="0.25" right="0.25" top="0.25" bottom="0.5" header="0.25" footer="0.25"/>
  <pageSetup scale="50" fitToHeight="0" orientation="landscape" horizontalDpi="1200" verticalDpi="1200" r:id="rId1"/>
  <headerFooter>
    <oddFooter>&amp;CPage &amp;P of &amp;N</oddFooter>
  </headerFooter>
  <colBreaks count="1" manualBreakCount="1">
    <brk id="1" max="48"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theme="1"/>
  </sheetPr>
  <dimension ref="A1"/>
  <sheetViews>
    <sheetView workbookViewId="0"/>
  </sheetViews>
  <sheetFormatPr defaultRowHeight="15" x14ac:dyDescent="0.25"/>
  <sheetData/>
  <pageMargins left="0.7" right="0.7" top="0.75" bottom="0.75" header="0.3" footer="0.3"/>
  <pageSetup orientation="portrait"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pageSetUpPr fitToPage="1"/>
  </sheetPr>
  <dimension ref="A1:L101"/>
  <sheetViews>
    <sheetView showGridLines="0" zoomScaleNormal="100" workbookViewId="0">
      <pane ySplit="4" topLeftCell="A5" activePane="bottomLeft" state="frozen"/>
      <selection activeCell="A3" sqref="A3"/>
      <selection pane="bottomLeft" activeCell="A5" sqref="A5"/>
    </sheetView>
  </sheetViews>
  <sheetFormatPr defaultColWidth="8.85546875" defaultRowHeight="15" x14ac:dyDescent="0.25"/>
  <cols>
    <col min="1" max="1" width="2.5703125" customWidth="1"/>
    <col min="2" max="4" width="17.42578125" style="76" customWidth="1"/>
    <col min="5" max="5" width="20.42578125" style="76" customWidth="1"/>
    <col min="6" max="6" width="19.5703125" style="76" bestFit="1" customWidth="1"/>
    <col min="7" max="7" width="30.5703125" style="76" customWidth="1"/>
    <col min="8" max="8" width="35.5703125" style="76" customWidth="1"/>
    <col min="9" max="9" width="50.85546875" style="76" customWidth="1"/>
    <col min="10" max="10" width="51.5703125" style="76" customWidth="1"/>
    <col min="11" max="12" width="81.5703125" customWidth="1"/>
  </cols>
  <sheetData>
    <row r="1" spans="1:12" x14ac:dyDescent="0.25">
      <c r="A1" s="173" t="s">
        <v>968</v>
      </c>
      <c r="B1" s="173"/>
      <c r="C1" s="173"/>
      <c r="D1" s="173"/>
      <c r="E1" s="173"/>
      <c r="F1" s="173"/>
      <c r="G1" s="173"/>
      <c r="H1" s="173"/>
      <c r="I1" s="173"/>
      <c r="J1" s="173"/>
      <c r="K1" s="173"/>
      <c r="L1" s="173"/>
    </row>
    <row r="2" spans="1:12" ht="15.75" thickBot="1" x14ac:dyDescent="0.3">
      <c r="A2" s="286"/>
      <c r="B2" s="290"/>
      <c r="C2" s="290"/>
      <c r="D2" s="290"/>
      <c r="E2" s="290"/>
      <c r="F2" s="290"/>
      <c r="G2" s="290"/>
      <c r="H2" s="290"/>
      <c r="I2" s="290"/>
      <c r="J2" s="290"/>
      <c r="K2" s="290"/>
      <c r="L2" s="290"/>
    </row>
    <row r="3" spans="1:12" x14ac:dyDescent="0.25">
      <c r="A3" s="286"/>
      <c r="B3" s="611" t="s">
        <v>964</v>
      </c>
      <c r="C3" s="612" t="s">
        <v>1197</v>
      </c>
      <c r="D3" s="612" t="s">
        <v>700</v>
      </c>
      <c r="E3" s="612" t="s">
        <v>691</v>
      </c>
      <c r="F3" s="612" t="s">
        <v>967</v>
      </c>
      <c r="G3" s="612" t="s">
        <v>966</v>
      </c>
      <c r="H3" s="612" t="s">
        <v>796</v>
      </c>
      <c r="I3" s="612" t="s">
        <v>806</v>
      </c>
      <c r="J3" s="612" t="s">
        <v>965</v>
      </c>
      <c r="K3" s="612" t="s">
        <v>1196</v>
      </c>
      <c r="L3" s="613" t="s">
        <v>1195</v>
      </c>
    </row>
    <row r="4" spans="1:12" x14ac:dyDescent="0.25">
      <c r="A4" s="286"/>
      <c r="B4" s="614" t="s">
        <v>964</v>
      </c>
      <c r="C4" s="522" t="s">
        <v>1197</v>
      </c>
      <c r="D4" s="522" t="s">
        <v>963</v>
      </c>
      <c r="E4" s="522" t="s">
        <v>691</v>
      </c>
      <c r="F4" s="522" t="s">
        <v>962</v>
      </c>
      <c r="G4" s="522" t="s">
        <v>961</v>
      </c>
      <c r="H4" s="522" t="s">
        <v>960</v>
      </c>
      <c r="I4" s="522" t="s">
        <v>478</v>
      </c>
      <c r="J4" s="522" t="s">
        <v>959</v>
      </c>
      <c r="K4" s="522" t="s">
        <v>1198</v>
      </c>
      <c r="L4" s="519" t="s">
        <v>1199</v>
      </c>
    </row>
    <row r="5" spans="1:12" x14ac:dyDescent="0.25">
      <c r="A5" s="286"/>
      <c r="B5" s="665" t="s">
        <v>958</v>
      </c>
      <c r="C5" s="666" t="s">
        <v>1193</v>
      </c>
      <c r="D5" s="666" t="s">
        <v>728</v>
      </c>
      <c r="E5" s="666" t="s">
        <v>728</v>
      </c>
      <c r="F5" s="666" t="s">
        <v>728</v>
      </c>
      <c r="G5" s="666" t="s">
        <v>728</v>
      </c>
      <c r="H5" s="666" t="s">
        <v>728</v>
      </c>
      <c r="I5" s="669" t="s">
        <v>728</v>
      </c>
      <c r="J5" s="670" t="s">
        <v>728</v>
      </c>
      <c r="K5" s="673" t="s">
        <v>1274</v>
      </c>
      <c r="L5" s="674" t="s">
        <v>1274</v>
      </c>
    </row>
    <row r="6" spans="1:12" x14ac:dyDescent="0.25">
      <c r="A6" s="286"/>
      <c r="B6" s="665" t="s">
        <v>32</v>
      </c>
      <c r="C6" s="666" t="s">
        <v>907</v>
      </c>
      <c r="D6" s="666" t="s">
        <v>697</v>
      </c>
      <c r="E6" s="666" t="s">
        <v>711</v>
      </c>
      <c r="F6" s="666" t="s">
        <v>731</v>
      </c>
      <c r="G6" s="666" t="s">
        <v>746</v>
      </c>
      <c r="H6" s="666" t="s">
        <v>731</v>
      </c>
      <c r="I6" s="669" t="s">
        <v>743</v>
      </c>
      <c r="J6" s="670" t="s">
        <v>956</v>
      </c>
      <c r="K6" s="671" t="s">
        <v>969</v>
      </c>
      <c r="L6" s="674" t="s">
        <v>1202</v>
      </c>
    </row>
    <row r="7" spans="1:12" x14ac:dyDescent="0.25">
      <c r="A7" s="286"/>
      <c r="B7" s="615"/>
      <c r="C7" s="666" t="s">
        <v>1280</v>
      </c>
      <c r="D7" s="666" t="s">
        <v>696</v>
      </c>
      <c r="E7" s="666" t="s">
        <v>710</v>
      </c>
      <c r="F7" s="666" t="s">
        <v>1296</v>
      </c>
      <c r="G7" s="666" t="s">
        <v>741</v>
      </c>
      <c r="H7" s="666" t="s">
        <v>957</v>
      </c>
      <c r="I7" s="669" t="s">
        <v>736</v>
      </c>
      <c r="J7" s="670" t="s">
        <v>953</v>
      </c>
      <c r="K7" s="671" t="s">
        <v>970</v>
      </c>
      <c r="L7" s="676" t="s">
        <v>1203</v>
      </c>
    </row>
    <row r="8" spans="1:12" x14ac:dyDescent="0.25">
      <c r="A8" s="286"/>
      <c r="B8" s="615"/>
      <c r="C8" s="606"/>
      <c r="D8" s="666" t="s">
        <v>695</v>
      </c>
      <c r="E8" s="666" t="s">
        <v>709</v>
      </c>
      <c r="F8" s="666" t="s">
        <v>1304</v>
      </c>
      <c r="G8" s="666" t="s">
        <v>737</v>
      </c>
      <c r="H8" s="668" t="s">
        <v>954</v>
      </c>
      <c r="I8" s="669" t="s">
        <v>947</v>
      </c>
      <c r="J8" s="670" t="s">
        <v>950</v>
      </c>
      <c r="K8" s="671" t="s">
        <v>971</v>
      </c>
      <c r="L8" s="677" t="s">
        <v>664</v>
      </c>
    </row>
    <row r="9" spans="1:12" x14ac:dyDescent="0.25">
      <c r="A9" s="286"/>
      <c r="B9" s="615"/>
      <c r="C9" s="606"/>
      <c r="D9" s="666" t="s">
        <v>694</v>
      </c>
      <c r="E9" s="666" t="s">
        <v>708</v>
      </c>
      <c r="F9" s="666" t="s">
        <v>738</v>
      </c>
      <c r="G9" s="666" t="s">
        <v>948</v>
      </c>
      <c r="H9" s="666" t="s">
        <v>951</v>
      </c>
      <c r="I9" s="669" t="s">
        <v>740</v>
      </c>
      <c r="J9" s="670" t="s">
        <v>1060</v>
      </c>
      <c r="K9" s="671" t="s">
        <v>972</v>
      </c>
      <c r="L9" s="675" t="s">
        <v>906</v>
      </c>
    </row>
    <row r="10" spans="1:12" x14ac:dyDescent="0.25">
      <c r="A10" s="286"/>
      <c r="B10" s="615"/>
      <c r="C10" s="606"/>
      <c r="D10" s="666" t="s">
        <v>693</v>
      </c>
      <c r="E10" s="666" t="s">
        <v>707</v>
      </c>
      <c r="F10" s="666" t="s">
        <v>946</v>
      </c>
      <c r="G10" s="666" t="s">
        <v>730</v>
      </c>
      <c r="H10" s="666" t="s">
        <v>729</v>
      </c>
      <c r="I10" s="669" t="s">
        <v>758</v>
      </c>
      <c r="J10" s="670" t="s">
        <v>1061</v>
      </c>
      <c r="K10" s="671" t="s">
        <v>973</v>
      </c>
      <c r="L10" s="675" t="s">
        <v>905</v>
      </c>
    </row>
    <row r="11" spans="1:12" x14ac:dyDescent="0.25">
      <c r="A11" s="286"/>
      <c r="B11" s="615"/>
      <c r="C11" s="606"/>
      <c r="D11" s="666" t="s">
        <v>944</v>
      </c>
      <c r="E11" s="606"/>
      <c r="F11" s="666" t="s">
        <v>924</v>
      </c>
      <c r="G11" s="666" t="s">
        <v>735</v>
      </c>
      <c r="H11" s="666" t="s">
        <v>809</v>
      </c>
      <c r="I11" s="669" t="s">
        <v>940</v>
      </c>
      <c r="J11" s="670" t="s">
        <v>945</v>
      </c>
      <c r="K11" s="671" t="s">
        <v>974</v>
      </c>
      <c r="L11" s="675" t="s">
        <v>904</v>
      </c>
    </row>
    <row r="12" spans="1:12" x14ac:dyDescent="0.25">
      <c r="A12" s="286"/>
      <c r="B12" s="615"/>
      <c r="C12" s="606"/>
      <c r="D12" s="606"/>
      <c r="E12" s="606"/>
      <c r="F12" s="666" t="s">
        <v>955</v>
      </c>
      <c r="G12" s="666" t="s">
        <v>757</v>
      </c>
      <c r="H12" s="666" t="s">
        <v>734</v>
      </c>
      <c r="I12" s="669" t="s">
        <v>733</v>
      </c>
      <c r="J12" s="670" t="s">
        <v>942</v>
      </c>
      <c r="K12" s="671" t="s">
        <v>975</v>
      </c>
      <c r="L12" s="675" t="s">
        <v>903</v>
      </c>
    </row>
    <row r="13" spans="1:12" x14ac:dyDescent="0.25">
      <c r="A13" s="286"/>
      <c r="B13" s="615"/>
      <c r="C13" s="606"/>
      <c r="D13" s="606"/>
      <c r="E13" s="606"/>
      <c r="F13" s="666" t="s">
        <v>952</v>
      </c>
      <c r="G13" s="666" t="s">
        <v>744</v>
      </c>
      <c r="H13" s="666" t="s">
        <v>941</v>
      </c>
      <c r="I13" s="669" t="s">
        <v>937</v>
      </c>
      <c r="J13" s="670" t="s">
        <v>939</v>
      </c>
      <c r="K13" s="671" t="s">
        <v>976</v>
      </c>
      <c r="L13" s="675" t="s">
        <v>902</v>
      </c>
    </row>
    <row r="14" spans="1:12" x14ac:dyDescent="0.25">
      <c r="A14" s="286"/>
      <c r="B14" s="615"/>
      <c r="C14" s="606"/>
      <c r="D14" s="606"/>
      <c r="E14" s="606"/>
      <c r="F14" s="666" t="s">
        <v>949</v>
      </c>
      <c r="G14" s="666" t="s">
        <v>753</v>
      </c>
      <c r="H14" s="606"/>
      <c r="I14" s="669" t="s">
        <v>935</v>
      </c>
      <c r="J14" s="670" t="s">
        <v>938</v>
      </c>
      <c r="K14" s="671" t="s">
        <v>978</v>
      </c>
      <c r="L14" s="677" t="s">
        <v>663</v>
      </c>
    </row>
    <row r="15" spans="1:12" x14ac:dyDescent="0.25">
      <c r="A15" s="286"/>
      <c r="B15" s="615"/>
      <c r="C15" s="606"/>
      <c r="D15" s="606"/>
      <c r="E15" s="606"/>
      <c r="F15" s="666" t="s">
        <v>943</v>
      </c>
      <c r="G15" s="666" t="s">
        <v>751</v>
      </c>
      <c r="H15" s="606"/>
      <c r="I15" s="669" t="s">
        <v>933</v>
      </c>
      <c r="J15" s="670" t="s">
        <v>936</v>
      </c>
      <c r="K15" s="671" t="s">
        <v>977</v>
      </c>
      <c r="L15" s="675" t="s">
        <v>901</v>
      </c>
    </row>
    <row r="16" spans="1:12" x14ac:dyDescent="0.25">
      <c r="A16" s="286"/>
      <c r="B16" s="615"/>
      <c r="C16" s="606"/>
      <c r="D16" s="606"/>
      <c r="E16" s="606"/>
      <c r="F16" s="666" t="s">
        <v>919</v>
      </c>
      <c r="G16" s="666" t="s">
        <v>934</v>
      </c>
      <c r="H16" s="606"/>
      <c r="I16" s="669" t="s">
        <v>747</v>
      </c>
      <c r="J16" s="670" t="s">
        <v>636</v>
      </c>
      <c r="K16" s="671" t="s">
        <v>979</v>
      </c>
      <c r="L16" s="675" t="s">
        <v>900</v>
      </c>
    </row>
    <row r="17" spans="1:12" x14ac:dyDescent="0.25">
      <c r="A17" s="286"/>
      <c r="B17" s="615"/>
      <c r="C17" s="606"/>
      <c r="D17" s="606"/>
      <c r="E17" s="606"/>
      <c r="F17" s="609"/>
      <c r="G17" s="666" t="s">
        <v>754</v>
      </c>
      <c r="H17" s="607"/>
      <c r="I17" s="669" t="s">
        <v>748</v>
      </c>
      <c r="J17" s="670" t="s">
        <v>932</v>
      </c>
      <c r="K17" s="671" t="s">
        <v>980</v>
      </c>
      <c r="L17" s="675" t="s">
        <v>899</v>
      </c>
    </row>
    <row r="18" spans="1:12" x14ac:dyDescent="0.25">
      <c r="A18" s="286"/>
      <c r="B18" s="615"/>
      <c r="C18" s="606"/>
      <c r="D18" s="606"/>
      <c r="E18" s="606"/>
      <c r="F18" s="609"/>
      <c r="G18" s="667" t="s">
        <v>930</v>
      </c>
      <c r="H18" s="607"/>
      <c r="I18" s="669" t="s">
        <v>739</v>
      </c>
      <c r="J18" s="670" t="s">
        <v>931</v>
      </c>
      <c r="K18" s="671" t="s">
        <v>981</v>
      </c>
      <c r="L18" s="677" t="s">
        <v>662</v>
      </c>
    </row>
    <row r="19" spans="1:12" x14ac:dyDescent="0.25">
      <c r="A19" s="286"/>
      <c r="B19" s="616"/>
      <c r="C19" s="608"/>
      <c r="D19" s="608"/>
      <c r="E19" s="608"/>
      <c r="F19" s="609"/>
      <c r="G19" s="667" t="s">
        <v>1240</v>
      </c>
      <c r="H19" s="607"/>
      <c r="I19" s="669" t="s">
        <v>732</v>
      </c>
      <c r="J19" s="670" t="s">
        <v>929</v>
      </c>
      <c r="K19" s="671" t="s">
        <v>982</v>
      </c>
      <c r="L19" s="675" t="s">
        <v>898</v>
      </c>
    </row>
    <row r="20" spans="1:12" x14ac:dyDescent="0.25">
      <c r="A20" s="286"/>
      <c r="B20" s="616"/>
      <c r="C20" s="608"/>
      <c r="D20" s="608"/>
      <c r="E20" s="608"/>
      <c r="F20" s="609"/>
      <c r="G20" s="668" t="s">
        <v>928</v>
      </c>
      <c r="H20" s="607"/>
      <c r="I20" s="669" t="s">
        <v>756</v>
      </c>
      <c r="J20" s="670" t="s">
        <v>927</v>
      </c>
      <c r="K20" s="671" t="s">
        <v>983</v>
      </c>
      <c r="L20" s="675" t="s">
        <v>897</v>
      </c>
    </row>
    <row r="21" spans="1:12" x14ac:dyDescent="0.25">
      <c r="A21" s="286"/>
      <c r="B21" s="616"/>
      <c r="C21" s="608"/>
      <c r="D21" s="608"/>
      <c r="E21" s="608"/>
      <c r="F21" s="609"/>
      <c r="G21" s="666" t="s">
        <v>926</v>
      </c>
      <c r="H21" s="606"/>
      <c r="I21" s="669" t="s">
        <v>755</v>
      </c>
      <c r="J21" s="609"/>
      <c r="K21" s="671" t="s">
        <v>984</v>
      </c>
      <c r="L21" s="677" t="s">
        <v>661</v>
      </c>
    </row>
    <row r="22" spans="1:12" x14ac:dyDescent="0.25">
      <c r="A22" s="286"/>
      <c r="B22" s="616"/>
      <c r="C22" s="608"/>
      <c r="D22" s="608"/>
      <c r="E22" s="608"/>
      <c r="F22" s="609"/>
      <c r="G22" s="666" t="s">
        <v>742</v>
      </c>
      <c r="H22" s="606"/>
      <c r="I22" s="669" t="s">
        <v>925</v>
      </c>
      <c r="J22" s="609"/>
      <c r="K22" s="671" t="s">
        <v>985</v>
      </c>
      <c r="L22" s="675" t="s">
        <v>896</v>
      </c>
    </row>
    <row r="23" spans="1:12" x14ac:dyDescent="0.25">
      <c r="A23" s="286"/>
      <c r="B23" s="615"/>
      <c r="C23" s="606"/>
      <c r="D23" s="606"/>
      <c r="E23" s="606"/>
      <c r="F23" s="609"/>
      <c r="G23" s="668" t="s">
        <v>651</v>
      </c>
      <c r="H23" s="606"/>
      <c r="I23" s="669" t="s">
        <v>922</v>
      </c>
      <c r="J23" s="609"/>
      <c r="K23" s="671" t="s">
        <v>986</v>
      </c>
      <c r="L23" s="675" t="s">
        <v>895</v>
      </c>
    </row>
    <row r="24" spans="1:12" x14ac:dyDescent="0.25">
      <c r="A24" s="286"/>
      <c r="B24" s="615"/>
      <c r="C24" s="606"/>
      <c r="D24" s="606"/>
      <c r="E24" s="606"/>
      <c r="F24" s="609"/>
      <c r="G24" s="666" t="s">
        <v>752</v>
      </c>
      <c r="H24" s="606"/>
      <c r="I24" s="669" t="s">
        <v>749</v>
      </c>
      <c r="J24" s="609"/>
      <c r="K24" s="671" t="s">
        <v>987</v>
      </c>
      <c r="L24" s="675" t="s">
        <v>894</v>
      </c>
    </row>
    <row r="25" spans="1:12" x14ac:dyDescent="0.25">
      <c r="A25" s="286"/>
      <c r="B25" s="615"/>
      <c r="C25" s="606"/>
      <c r="D25" s="606"/>
      <c r="E25" s="606"/>
      <c r="F25" s="609"/>
      <c r="G25" s="666" t="s">
        <v>923</v>
      </c>
      <c r="H25" s="606"/>
      <c r="I25" s="669" t="s">
        <v>921</v>
      </c>
      <c r="J25" s="610"/>
      <c r="K25" s="671" t="s">
        <v>988</v>
      </c>
      <c r="L25" s="675" t="s">
        <v>893</v>
      </c>
    </row>
    <row r="26" spans="1:12" ht="30" x14ac:dyDescent="0.25">
      <c r="A26" s="286"/>
      <c r="B26" s="615"/>
      <c r="C26" s="606"/>
      <c r="D26" s="606"/>
      <c r="E26" s="606"/>
      <c r="F26" s="609"/>
      <c r="G26" s="666" t="s">
        <v>680</v>
      </c>
      <c r="H26" s="606"/>
      <c r="I26" s="669" t="s">
        <v>750</v>
      </c>
      <c r="J26" s="610"/>
      <c r="K26" s="671" t="s">
        <v>989</v>
      </c>
      <c r="L26" s="675" t="s">
        <v>892</v>
      </c>
    </row>
    <row r="27" spans="1:12" x14ac:dyDescent="0.25">
      <c r="A27" s="286"/>
      <c r="B27" s="615"/>
      <c r="C27" s="606"/>
      <c r="D27" s="606"/>
      <c r="E27" s="606"/>
      <c r="F27" s="609"/>
      <c r="G27" s="606"/>
      <c r="H27" s="606"/>
      <c r="I27" s="669" t="s">
        <v>920</v>
      </c>
      <c r="J27" s="609"/>
      <c r="K27" s="672" t="s">
        <v>990</v>
      </c>
      <c r="L27" s="675" t="s">
        <v>891</v>
      </c>
    </row>
    <row r="28" spans="1:12" ht="30" x14ac:dyDescent="0.25">
      <c r="A28" s="286"/>
      <c r="B28" s="615"/>
      <c r="C28" s="606"/>
      <c r="D28" s="606"/>
      <c r="E28" s="606"/>
      <c r="F28" s="609"/>
      <c r="G28" s="606"/>
      <c r="H28" s="606"/>
      <c r="I28" s="669" t="s">
        <v>918</v>
      </c>
      <c r="J28" s="609"/>
      <c r="K28" s="672" t="s">
        <v>991</v>
      </c>
      <c r="L28" s="675" t="s">
        <v>890</v>
      </c>
    </row>
    <row r="29" spans="1:12" x14ac:dyDescent="0.25">
      <c r="A29" s="286"/>
      <c r="B29" s="617"/>
      <c r="C29" s="609"/>
      <c r="D29" s="609"/>
      <c r="E29" s="609"/>
      <c r="F29" s="609"/>
      <c r="G29" s="609"/>
      <c r="H29" s="609"/>
      <c r="I29" s="669" t="s">
        <v>917</v>
      </c>
      <c r="J29" s="609"/>
      <c r="K29" s="673" t="s">
        <v>655</v>
      </c>
      <c r="L29" s="675" t="s">
        <v>889</v>
      </c>
    </row>
    <row r="30" spans="1:12" x14ac:dyDescent="0.25">
      <c r="B30" s="617"/>
      <c r="C30" s="609"/>
      <c r="D30" s="609"/>
      <c r="E30" s="609"/>
      <c r="F30" s="609"/>
      <c r="G30" s="609"/>
      <c r="H30" s="609"/>
      <c r="I30" s="669" t="s">
        <v>916</v>
      </c>
      <c r="J30" s="609"/>
      <c r="K30" s="673" t="s">
        <v>654</v>
      </c>
      <c r="L30" s="677" t="s">
        <v>660</v>
      </c>
    </row>
    <row r="31" spans="1:12" x14ac:dyDescent="0.25">
      <c r="B31" s="617"/>
      <c r="C31" s="609"/>
      <c r="D31" s="609"/>
      <c r="E31" s="609"/>
      <c r="F31" s="609"/>
      <c r="G31" s="609"/>
      <c r="H31" s="609"/>
      <c r="I31" s="669" t="s">
        <v>915</v>
      </c>
      <c r="J31" s="609"/>
      <c r="K31" s="673" t="s">
        <v>877</v>
      </c>
      <c r="L31" s="675" t="s">
        <v>888</v>
      </c>
    </row>
    <row r="32" spans="1:12" x14ac:dyDescent="0.25">
      <c r="B32" s="617"/>
      <c r="C32" s="609"/>
      <c r="D32" s="609"/>
      <c r="E32" s="609"/>
      <c r="F32" s="609"/>
      <c r="G32" s="609"/>
      <c r="H32" s="609"/>
      <c r="I32" s="669" t="s">
        <v>914</v>
      </c>
      <c r="J32" s="609"/>
      <c r="K32" s="673" t="s">
        <v>876</v>
      </c>
      <c r="L32" s="675" t="s">
        <v>887</v>
      </c>
    </row>
    <row r="33" spans="2:12" x14ac:dyDescent="0.25">
      <c r="B33" s="617"/>
      <c r="C33" s="609"/>
      <c r="D33" s="609"/>
      <c r="E33" s="609"/>
      <c r="F33" s="609"/>
      <c r="G33" s="609"/>
      <c r="H33" s="609"/>
      <c r="I33" s="669" t="s">
        <v>913</v>
      </c>
      <c r="J33" s="609"/>
      <c r="K33" s="673" t="s">
        <v>875</v>
      </c>
      <c r="L33" s="677" t="s">
        <v>658</v>
      </c>
    </row>
    <row r="34" spans="2:12" x14ac:dyDescent="0.25">
      <c r="B34" s="617"/>
      <c r="C34" s="609"/>
      <c r="D34" s="609"/>
      <c r="E34" s="609"/>
      <c r="F34" s="609"/>
      <c r="G34" s="609"/>
      <c r="H34" s="609"/>
      <c r="I34" s="669" t="s">
        <v>912</v>
      </c>
      <c r="J34" s="609"/>
      <c r="K34" s="673" t="s">
        <v>1265</v>
      </c>
      <c r="L34" s="675" t="s">
        <v>886</v>
      </c>
    </row>
    <row r="35" spans="2:12" x14ac:dyDescent="0.25">
      <c r="B35" s="617"/>
      <c r="C35" s="609"/>
      <c r="D35" s="609"/>
      <c r="E35" s="609"/>
      <c r="F35" s="609"/>
      <c r="G35" s="609"/>
      <c r="H35" s="609"/>
      <c r="I35" s="669" t="s">
        <v>1264</v>
      </c>
      <c r="J35" s="609"/>
      <c r="K35" s="673" t="s">
        <v>656</v>
      </c>
      <c r="L35" s="675" t="s">
        <v>885</v>
      </c>
    </row>
    <row r="36" spans="2:12" x14ac:dyDescent="0.25">
      <c r="B36" s="617"/>
      <c r="C36" s="609"/>
      <c r="D36" s="609"/>
      <c r="E36" s="609"/>
      <c r="F36" s="609"/>
      <c r="G36" s="609"/>
      <c r="H36" s="609"/>
      <c r="I36" s="669" t="s">
        <v>911</v>
      </c>
      <c r="J36" s="609"/>
      <c r="K36" s="609"/>
      <c r="L36" s="675" t="s">
        <v>884</v>
      </c>
    </row>
    <row r="37" spans="2:12" x14ac:dyDescent="0.25">
      <c r="B37" s="617"/>
      <c r="C37" s="609"/>
      <c r="D37" s="609"/>
      <c r="E37" s="609"/>
      <c r="F37" s="609"/>
      <c r="G37" s="609"/>
      <c r="H37" s="609"/>
      <c r="I37" s="669" t="s">
        <v>910</v>
      </c>
      <c r="J37" s="609"/>
      <c r="K37" s="609"/>
      <c r="L37" s="678" t="s">
        <v>657</v>
      </c>
    </row>
    <row r="38" spans="2:12" x14ac:dyDescent="0.25">
      <c r="B38" s="617"/>
      <c r="C38" s="609"/>
      <c r="D38" s="609"/>
      <c r="E38" s="609"/>
      <c r="F38" s="609"/>
      <c r="G38" s="609"/>
      <c r="H38" s="609"/>
      <c r="I38" s="669" t="s">
        <v>745</v>
      </c>
      <c r="J38" s="609"/>
      <c r="K38" s="609"/>
      <c r="L38" s="675" t="s">
        <v>883</v>
      </c>
    </row>
    <row r="39" spans="2:12" x14ac:dyDescent="0.25">
      <c r="B39" s="617"/>
      <c r="C39" s="609"/>
      <c r="D39" s="609"/>
      <c r="E39" s="609"/>
      <c r="F39" s="609"/>
      <c r="G39" s="609"/>
      <c r="H39" s="609"/>
      <c r="I39" s="669" t="s">
        <v>909</v>
      </c>
      <c r="J39" s="609"/>
      <c r="K39" s="609"/>
      <c r="L39" s="675" t="s">
        <v>882</v>
      </c>
    </row>
    <row r="40" spans="2:12" x14ac:dyDescent="0.25">
      <c r="B40" s="617"/>
      <c r="C40" s="609"/>
      <c r="D40" s="609"/>
      <c r="E40" s="609"/>
      <c r="F40" s="609"/>
      <c r="G40" s="609"/>
      <c r="H40" s="609"/>
      <c r="I40" s="669" t="s">
        <v>908</v>
      </c>
      <c r="J40" s="609"/>
      <c r="K40" s="609"/>
      <c r="L40" s="675" t="s">
        <v>881</v>
      </c>
    </row>
    <row r="41" spans="2:12" x14ac:dyDescent="0.25">
      <c r="B41" s="617"/>
      <c r="C41" s="609"/>
      <c r="D41" s="609"/>
      <c r="E41" s="609"/>
      <c r="F41" s="609"/>
      <c r="G41" s="609"/>
      <c r="H41" s="609"/>
      <c r="I41" s="669" t="s">
        <v>1266</v>
      </c>
      <c r="J41" s="609"/>
      <c r="K41" s="609"/>
      <c r="L41" s="675" t="s">
        <v>880</v>
      </c>
    </row>
    <row r="42" spans="2:12" x14ac:dyDescent="0.25">
      <c r="B42" s="617"/>
      <c r="C42" s="609"/>
      <c r="D42" s="609"/>
      <c r="E42" s="609"/>
      <c r="F42" s="609"/>
      <c r="G42" s="609"/>
      <c r="H42" s="609"/>
      <c r="I42" s="609"/>
      <c r="J42" s="609"/>
      <c r="K42" s="609"/>
      <c r="L42" s="675" t="s">
        <v>879</v>
      </c>
    </row>
    <row r="43" spans="2:12" x14ac:dyDescent="0.25">
      <c r="B43" s="617"/>
      <c r="C43" s="609"/>
      <c r="D43" s="609"/>
      <c r="E43" s="609"/>
      <c r="F43" s="609"/>
      <c r="G43" s="609"/>
      <c r="H43" s="609"/>
      <c r="I43" s="609"/>
      <c r="J43" s="609"/>
      <c r="K43" s="609"/>
      <c r="L43" s="675" t="s">
        <v>878</v>
      </c>
    </row>
    <row r="44" spans="2:12" x14ac:dyDescent="0.25">
      <c r="B44" s="617"/>
      <c r="C44" s="609"/>
      <c r="D44" s="609"/>
      <c r="E44" s="609"/>
      <c r="F44" s="609"/>
      <c r="G44" s="609"/>
      <c r="H44" s="609"/>
      <c r="I44" s="609"/>
      <c r="J44" s="609"/>
      <c r="K44" s="609"/>
      <c r="L44" s="676" t="s">
        <v>655</v>
      </c>
    </row>
    <row r="45" spans="2:12" x14ac:dyDescent="0.25">
      <c r="B45" s="617"/>
      <c r="C45" s="609"/>
      <c r="D45" s="609"/>
      <c r="E45" s="609"/>
      <c r="F45" s="609"/>
      <c r="G45" s="609"/>
      <c r="H45" s="609"/>
      <c r="I45" s="609"/>
      <c r="J45" s="609"/>
      <c r="K45" s="609"/>
      <c r="L45" s="676" t="s">
        <v>1275</v>
      </c>
    </row>
    <row r="46" spans="2:12" x14ac:dyDescent="0.25">
      <c r="B46" s="617"/>
      <c r="C46" s="609"/>
      <c r="D46" s="609"/>
      <c r="E46" s="609"/>
      <c r="F46" s="609"/>
      <c r="G46" s="609"/>
      <c r="H46" s="609"/>
      <c r="I46" s="609"/>
      <c r="J46" s="609"/>
      <c r="K46" s="609"/>
      <c r="L46" s="676" t="s">
        <v>877</v>
      </c>
    </row>
    <row r="47" spans="2:12" x14ac:dyDescent="0.25">
      <c r="B47" s="617"/>
      <c r="C47" s="609"/>
      <c r="D47" s="609"/>
      <c r="E47" s="609"/>
      <c r="F47" s="609"/>
      <c r="G47" s="609"/>
      <c r="H47" s="609"/>
      <c r="I47" s="609"/>
      <c r="J47" s="609"/>
      <c r="K47" s="609"/>
      <c r="L47" s="676" t="s">
        <v>876</v>
      </c>
    </row>
    <row r="48" spans="2:12" x14ac:dyDescent="0.25">
      <c r="B48" s="617"/>
      <c r="C48" s="609"/>
      <c r="D48" s="609"/>
      <c r="E48" s="609"/>
      <c r="F48" s="609"/>
      <c r="G48" s="609"/>
      <c r="H48" s="609"/>
      <c r="I48" s="609"/>
      <c r="J48" s="609"/>
      <c r="K48" s="609"/>
      <c r="L48" s="676" t="s">
        <v>875</v>
      </c>
    </row>
    <row r="49" spans="2:12" x14ac:dyDescent="0.25">
      <c r="B49" s="617"/>
      <c r="C49" s="609"/>
      <c r="D49" s="609"/>
      <c r="E49" s="609"/>
      <c r="F49" s="609"/>
      <c r="G49" s="609"/>
      <c r="H49" s="609"/>
      <c r="I49" s="609"/>
      <c r="J49" s="609"/>
      <c r="K49" s="609"/>
      <c r="L49" s="676" t="s">
        <v>1265</v>
      </c>
    </row>
    <row r="50" spans="2:12" x14ac:dyDescent="0.25">
      <c r="B50" s="617"/>
      <c r="C50" s="609"/>
      <c r="D50" s="609"/>
      <c r="E50" s="609"/>
      <c r="F50" s="609"/>
      <c r="G50" s="609"/>
      <c r="H50" s="609"/>
      <c r="I50" s="609"/>
      <c r="J50" s="609"/>
      <c r="K50" s="609"/>
      <c r="L50" s="676" t="s">
        <v>656</v>
      </c>
    </row>
    <row r="51" spans="2:12" x14ac:dyDescent="0.25">
      <c r="B51" s="617"/>
      <c r="C51" s="609"/>
      <c r="D51" s="609"/>
      <c r="E51" s="609"/>
      <c r="F51" s="609"/>
      <c r="G51" s="609"/>
      <c r="H51" s="609"/>
      <c r="I51" s="609"/>
      <c r="J51" s="609"/>
      <c r="K51" s="609"/>
      <c r="L51" s="618"/>
    </row>
    <row r="52" spans="2:12" x14ac:dyDescent="0.25">
      <c r="B52" s="617"/>
      <c r="C52" s="609"/>
      <c r="D52" s="609"/>
      <c r="E52" s="609"/>
      <c r="F52" s="609"/>
      <c r="G52" s="609"/>
      <c r="H52" s="609"/>
      <c r="I52" s="609"/>
      <c r="J52" s="609"/>
      <c r="K52" s="609"/>
      <c r="L52" s="618"/>
    </row>
    <row r="53" spans="2:12" x14ac:dyDescent="0.25">
      <c r="B53" s="617"/>
      <c r="C53" s="609"/>
      <c r="D53" s="609"/>
      <c r="E53" s="609"/>
      <c r="F53" s="609"/>
      <c r="G53" s="609"/>
      <c r="H53" s="609"/>
      <c r="I53" s="609"/>
      <c r="J53" s="609"/>
      <c r="K53" s="609"/>
      <c r="L53" s="618"/>
    </row>
    <row r="54" spans="2:12" x14ac:dyDescent="0.25">
      <c r="B54" s="617"/>
      <c r="C54" s="609"/>
      <c r="D54" s="609"/>
      <c r="E54" s="609"/>
      <c r="F54" s="609"/>
      <c r="G54" s="609"/>
      <c r="H54" s="609"/>
      <c r="I54" s="609"/>
      <c r="J54" s="609"/>
      <c r="K54" s="609"/>
      <c r="L54" s="618"/>
    </row>
    <row r="55" spans="2:12" x14ac:dyDescent="0.25">
      <c r="B55" s="617"/>
      <c r="C55" s="609"/>
      <c r="D55" s="609"/>
      <c r="E55" s="609"/>
      <c r="F55" s="609"/>
      <c r="G55" s="609"/>
      <c r="H55" s="609"/>
      <c r="I55" s="609"/>
      <c r="J55" s="609"/>
      <c r="K55" s="609"/>
      <c r="L55" s="618"/>
    </row>
    <row r="56" spans="2:12" x14ac:dyDescent="0.25">
      <c r="B56" s="617"/>
      <c r="C56" s="609"/>
      <c r="D56" s="609"/>
      <c r="E56" s="609"/>
      <c r="F56" s="609"/>
      <c r="G56" s="609"/>
      <c r="H56" s="609"/>
      <c r="I56" s="609"/>
      <c r="J56" s="609"/>
      <c r="K56" s="609"/>
      <c r="L56" s="618"/>
    </row>
    <row r="57" spans="2:12" x14ac:dyDescent="0.25">
      <c r="B57" s="617"/>
      <c r="C57" s="609"/>
      <c r="D57" s="609"/>
      <c r="E57" s="609"/>
      <c r="F57" s="609"/>
      <c r="G57" s="609"/>
      <c r="H57" s="609"/>
      <c r="I57" s="609"/>
      <c r="J57" s="609"/>
      <c r="K57" s="609"/>
      <c r="L57" s="618"/>
    </row>
    <row r="58" spans="2:12" x14ac:dyDescent="0.25">
      <c r="B58" s="617"/>
      <c r="C58" s="609"/>
      <c r="D58" s="609"/>
      <c r="E58" s="609"/>
      <c r="F58" s="609"/>
      <c r="G58" s="609"/>
      <c r="H58" s="609"/>
      <c r="I58" s="609"/>
      <c r="J58" s="609"/>
      <c r="K58" s="609"/>
      <c r="L58" s="618"/>
    </row>
    <row r="59" spans="2:12" x14ac:dyDescent="0.25">
      <c r="B59" s="617"/>
      <c r="C59" s="609"/>
      <c r="D59" s="609"/>
      <c r="E59" s="609"/>
      <c r="F59" s="609"/>
      <c r="G59" s="609"/>
      <c r="H59" s="609"/>
      <c r="I59" s="609"/>
      <c r="J59" s="609"/>
      <c r="K59" s="609"/>
      <c r="L59" s="618"/>
    </row>
    <row r="60" spans="2:12" x14ac:dyDescent="0.25">
      <c r="B60" s="617"/>
      <c r="C60" s="609"/>
      <c r="D60" s="609"/>
      <c r="E60" s="609"/>
      <c r="F60" s="609"/>
      <c r="G60" s="609"/>
      <c r="H60" s="609"/>
      <c r="I60" s="609"/>
      <c r="J60" s="609"/>
      <c r="K60" s="609"/>
      <c r="L60" s="618"/>
    </row>
    <row r="61" spans="2:12" x14ac:dyDescent="0.25">
      <c r="B61" s="617"/>
      <c r="C61" s="609"/>
      <c r="D61" s="609"/>
      <c r="E61" s="609"/>
      <c r="F61" s="609"/>
      <c r="G61" s="609"/>
      <c r="H61" s="609"/>
      <c r="I61" s="609"/>
      <c r="J61" s="609"/>
      <c r="K61" s="609"/>
      <c r="L61" s="618"/>
    </row>
    <row r="62" spans="2:12" x14ac:dyDescent="0.25">
      <c r="B62" s="617"/>
      <c r="C62" s="609"/>
      <c r="D62" s="609"/>
      <c r="E62" s="609"/>
      <c r="F62" s="609"/>
      <c r="G62" s="609"/>
      <c r="H62" s="609"/>
      <c r="I62" s="609"/>
      <c r="J62" s="609"/>
      <c r="K62" s="609"/>
      <c r="L62" s="618"/>
    </row>
    <row r="63" spans="2:12" x14ac:dyDescent="0.25">
      <c r="B63" s="617"/>
      <c r="C63" s="609"/>
      <c r="D63" s="609"/>
      <c r="E63" s="609"/>
      <c r="F63" s="609"/>
      <c r="G63" s="609"/>
      <c r="H63" s="609"/>
      <c r="I63" s="609"/>
      <c r="J63" s="609"/>
      <c r="K63" s="609"/>
      <c r="L63" s="618"/>
    </row>
    <row r="64" spans="2:12" x14ac:dyDescent="0.25">
      <c r="B64" s="617"/>
      <c r="C64" s="609"/>
      <c r="D64" s="609"/>
      <c r="E64" s="609"/>
      <c r="F64" s="609"/>
      <c r="G64" s="609"/>
      <c r="H64" s="609"/>
      <c r="I64" s="609"/>
      <c r="J64" s="609"/>
      <c r="K64" s="609"/>
      <c r="L64" s="618"/>
    </row>
    <row r="65" spans="2:12" x14ac:dyDescent="0.25">
      <c r="B65" s="617"/>
      <c r="C65" s="609"/>
      <c r="D65" s="609"/>
      <c r="E65" s="609"/>
      <c r="F65" s="609"/>
      <c r="G65" s="609"/>
      <c r="H65" s="609"/>
      <c r="I65" s="609"/>
      <c r="J65" s="609"/>
      <c r="K65" s="609"/>
      <c r="L65" s="618"/>
    </row>
    <row r="66" spans="2:12" x14ac:dyDescent="0.25">
      <c r="B66" s="617"/>
      <c r="C66" s="609"/>
      <c r="D66" s="609"/>
      <c r="E66" s="609"/>
      <c r="F66" s="609"/>
      <c r="G66" s="609"/>
      <c r="H66" s="609"/>
      <c r="I66" s="609"/>
      <c r="J66" s="609"/>
      <c r="K66" s="609"/>
      <c r="L66" s="618"/>
    </row>
    <row r="67" spans="2:12" x14ac:dyDescent="0.25">
      <c r="B67" s="617"/>
      <c r="C67" s="609"/>
      <c r="D67" s="609"/>
      <c r="E67" s="609"/>
      <c r="F67" s="609"/>
      <c r="G67" s="609"/>
      <c r="H67" s="609"/>
      <c r="I67" s="609"/>
      <c r="J67" s="609"/>
      <c r="K67" s="609"/>
      <c r="L67" s="618"/>
    </row>
    <row r="68" spans="2:12" x14ac:dyDescent="0.25">
      <c r="B68" s="617"/>
      <c r="C68" s="609"/>
      <c r="D68" s="609"/>
      <c r="E68" s="609"/>
      <c r="F68" s="609"/>
      <c r="G68" s="609"/>
      <c r="H68" s="609"/>
      <c r="I68" s="609"/>
      <c r="J68" s="609"/>
      <c r="K68" s="609"/>
      <c r="L68" s="618"/>
    </row>
    <row r="69" spans="2:12" x14ac:dyDescent="0.25">
      <c r="B69" s="617"/>
      <c r="C69" s="609"/>
      <c r="D69" s="609"/>
      <c r="E69" s="609"/>
      <c r="F69" s="609"/>
      <c r="G69" s="609"/>
      <c r="H69" s="609"/>
      <c r="I69" s="609"/>
      <c r="J69" s="609"/>
      <c r="K69" s="609"/>
      <c r="L69" s="618"/>
    </row>
    <row r="70" spans="2:12" x14ac:dyDescent="0.25">
      <c r="B70" s="617"/>
      <c r="C70" s="609"/>
      <c r="D70" s="609"/>
      <c r="E70" s="609"/>
      <c r="F70" s="609"/>
      <c r="G70" s="609"/>
      <c r="H70" s="609"/>
      <c r="I70" s="609"/>
      <c r="J70" s="609"/>
      <c r="K70" s="609"/>
      <c r="L70" s="618"/>
    </row>
    <row r="71" spans="2:12" x14ac:dyDescent="0.25">
      <c r="B71" s="617"/>
      <c r="C71" s="609"/>
      <c r="D71" s="609"/>
      <c r="E71" s="609"/>
      <c r="F71" s="609"/>
      <c r="G71" s="609"/>
      <c r="H71" s="609"/>
      <c r="I71" s="609"/>
      <c r="J71" s="609"/>
      <c r="K71" s="609"/>
      <c r="L71" s="618"/>
    </row>
    <row r="72" spans="2:12" x14ac:dyDescent="0.25">
      <c r="B72" s="617"/>
      <c r="C72" s="609"/>
      <c r="D72" s="609"/>
      <c r="E72" s="609"/>
      <c r="F72" s="609"/>
      <c r="G72" s="609"/>
      <c r="H72" s="609"/>
      <c r="I72" s="609"/>
      <c r="J72" s="609"/>
      <c r="K72" s="609"/>
      <c r="L72" s="618"/>
    </row>
    <row r="73" spans="2:12" x14ac:dyDescent="0.25">
      <c r="B73" s="617"/>
      <c r="C73" s="609"/>
      <c r="D73" s="609"/>
      <c r="E73" s="609"/>
      <c r="F73" s="609"/>
      <c r="G73" s="609"/>
      <c r="H73" s="609"/>
      <c r="I73" s="609"/>
      <c r="J73" s="609"/>
      <c r="K73" s="609"/>
      <c r="L73" s="618"/>
    </row>
    <row r="74" spans="2:12" x14ac:dyDescent="0.25">
      <c r="B74" s="617"/>
      <c r="C74" s="609"/>
      <c r="D74" s="609"/>
      <c r="E74" s="609"/>
      <c r="F74" s="609"/>
      <c r="G74" s="609"/>
      <c r="H74" s="609"/>
      <c r="I74" s="609"/>
      <c r="J74" s="609"/>
      <c r="K74" s="609"/>
      <c r="L74" s="618"/>
    </row>
    <row r="75" spans="2:12" x14ac:dyDescent="0.25">
      <c r="B75" s="617"/>
      <c r="C75" s="609"/>
      <c r="D75" s="609"/>
      <c r="E75" s="609"/>
      <c r="F75" s="609"/>
      <c r="G75" s="609"/>
      <c r="H75" s="609"/>
      <c r="I75" s="609"/>
      <c r="J75" s="609"/>
      <c r="K75" s="609"/>
      <c r="L75" s="618"/>
    </row>
    <row r="76" spans="2:12" x14ac:dyDescent="0.25">
      <c r="B76" s="617"/>
      <c r="C76" s="609"/>
      <c r="D76" s="609"/>
      <c r="E76" s="609"/>
      <c r="F76" s="609"/>
      <c r="G76" s="609"/>
      <c r="H76" s="609"/>
      <c r="I76" s="609"/>
      <c r="J76" s="609"/>
      <c r="K76" s="609"/>
      <c r="L76" s="618"/>
    </row>
    <row r="77" spans="2:12" x14ac:dyDescent="0.25">
      <c r="B77" s="617"/>
      <c r="C77" s="609"/>
      <c r="D77" s="609"/>
      <c r="E77" s="609"/>
      <c r="F77" s="609"/>
      <c r="G77" s="609"/>
      <c r="H77" s="609"/>
      <c r="I77" s="609"/>
      <c r="J77" s="609"/>
      <c r="K77" s="609"/>
      <c r="L77" s="618"/>
    </row>
    <row r="78" spans="2:12" x14ac:dyDescent="0.25">
      <c r="B78" s="617"/>
      <c r="C78" s="609"/>
      <c r="D78" s="609"/>
      <c r="E78" s="609"/>
      <c r="F78" s="609"/>
      <c r="G78" s="609"/>
      <c r="H78" s="609"/>
      <c r="I78" s="609"/>
      <c r="J78" s="609"/>
      <c r="K78" s="609"/>
      <c r="L78" s="618"/>
    </row>
    <row r="79" spans="2:12" x14ac:dyDescent="0.25">
      <c r="B79" s="617"/>
      <c r="C79" s="609"/>
      <c r="D79" s="609"/>
      <c r="E79" s="609"/>
      <c r="F79" s="609"/>
      <c r="G79" s="609"/>
      <c r="H79" s="609"/>
      <c r="I79" s="609"/>
      <c r="J79" s="609"/>
      <c r="K79" s="609"/>
      <c r="L79" s="618"/>
    </row>
    <row r="80" spans="2:12" x14ac:dyDescent="0.25">
      <c r="B80" s="617"/>
      <c r="C80" s="609"/>
      <c r="D80" s="609"/>
      <c r="E80" s="609"/>
      <c r="F80" s="609"/>
      <c r="G80" s="609"/>
      <c r="H80" s="609"/>
      <c r="I80" s="609"/>
      <c r="J80" s="609"/>
      <c r="K80" s="609"/>
      <c r="L80" s="618"/>
    </row>
    <row r="81" spans="2:12" x14ac:dyDescent="0.25">
      <c r="B81" s="617"/>
      <c r="C81" s="609"/>
      <c r="D81" s="609"/>
      <c r="E81" s="609"/>
      <c r="F81" s="609"/>
      <c r="G81" s="609"/>
      <c r="H81" s="609"/>
      <c r="I81" s="609"/>
      <c r="J81" s="609"/>
      <c r="K81" s="609"/>
      <c r="L81" s="618"/>
    </row>
    <row r="82" spans="2:12" x14ac:dyDescent="0.25">
      <c r="B82" s="617"/>
      <c r="C82" s="609"/>
      <c r="D82" s="609"/>
      <c r="E82" s="609"/>
      <c r="F82" s="609"/>
      <c r="G82" s="609"/>
      <c r="H82" s="609"/>
      <c r="I82" s="609"/>
      <c r="J82" s="609"/>
      <c r="K82" s="609"/>
      <c r="L82" s="618"/>
    </row>
    <row r="83" spans="2:12" x14ac:dyDescent="0.25">
      <c r="B83" s="617"/>
      <c r="C83" s="609"/>
      <c r="D83" s="609"/>
      <c r="E83" s="609"/>
      <c r="F83" s="609"/>
      <c r="G83" s="609"/>
      <c r="H83" s="609"/>
      <c r="I83" s="609"/>
      <c r="J83" s="609"/>
      <c r="K83" s="609"/>
      <c r="L83" s="618"/>
    </row>
    <row r="84" spans="2:12" x14ac:dyDescent="0.25">
      <c r="B84" s="617"/>
      <c r="C84" s="609"/>
      <c r="D84" s="609"/>
      <c r="E84" s="609"/>
      <c r="F84" s="609"/>
      <c r="G84" s="609"/>
      <c r="H84" s="609"/>
      <c r="I84" s="609"/>
      <c r="J84" s="609"/>
      <c r="K84" s="609"/>
      <c r="L84" s="618"/>
    </row>
    <row r="85" spans="2:12" ht="15.75" thickBot="1" x14ac:dyDescent="0.3">
      <c r="B85" s="617"/>
      <c r="C85" s="609"/>
      <c r="D85" s="609"/>
      <c r="E85" s="609"/>
      <c r="F85" s="288"/>
      <c r="G85" s="609"/>
      <c r="H85" s="609"/>
      <c r="I85" s="609"/>
      <c r="J85" s="609"/>
      <c r="K85" s="609"/>
      <c r="L85" s="618"/>
    </row>
    <row r="86" spans="2:12" x14ac:dyDescent="0.25">
      <c r="B86" s="617"/>
      <c r="C86" s="609"/>
      <c r="D86" s="609"/>
      <c r="E86" s="609"/>
      <c r="G86" s="609"/>
      <c r="H86" s="609"/>
      <c r="I86" s="609"/>
      <c r="J86" s="609"/>
      <c r="K86" s="609"/>
      <c r="L86" s="618"/>
    </row>
    <row r="87" spans="2:12" x14ac:dyDescent="0.25">
      <c r="B87" s="617"/>
      <c r="C87" s="609"/>
      <c r="D87" s="609"/>
      <c r="E87" s="609"/>
      <c r="G87" s="609"/>
      <c r="H87" s="609"/>
      <c r="I87" s="609"/>
      <c r="J87" s="609"/>
      <c r="K87" s="609"/>
      <c r="L87" s="618"/>
    </row>
    <row r="88" spans="2:12" x14ac:dyDescent="0.25">
      <c r="B88" s="617"/>
      <c r="C88" s="609"/>
      <c r="D88" s="609"/>
      <c r="E88" s="609"/>
      <c r="G88" s="609"/>
      <c r="H88" s="609"/>
      <c r="I88" s="609"/>
      <c r="J88" s="609"/>
      <c r="K88" s="609"/>
      <c r="L88" s="618"/>
    </row>
    <row r="89" spans="2:12" x14ac:dyDescent="0.25">
      <c r="B89" s="617"/>
      <c r="C89" s="609"/>
      <c r="D89" s="609"/>
      <c r="E89" s="609"/>
      <c r="G89" s="609"/>
      <c r="H89" s="609"/>
      <c r="I89" s="609"/>
      <c r="J89" s="609"/>
      <c r="K89" s="609"/>
      <c r="L89" s="618"/>
    </row>
    <row r="90" spans="2:12" x14ac:dyDescent="0.25">
      <c r="B90" s="617"/>
      <c r="C90" s="609"/>
      <c r="D90" s="609"/>
      <c r="E90" s="609"/>
      <c r="G90" s="609"/>
      <c r="H90" s="609"/>
      <c r="I90" s="609"/>
      <c r="J90" s="609"/>
      <c r="K90" s="609"/>
      <c r="L90" s="618"/>
    </row>
    <row r="91" spans="2:12" x14ac:dyDescent="0.25">
      <c r="B91" s="617"/>
      <c r="C91" s="609"/>
      <c r="D91" s="609"/>
      <c r="E91" s="609"/>
      <c r="G91" s="609"/>
      <c r="H91" s="609"/>
      <c r="I91" s="609"/>
      <c r="J91" s="609"/>
      <c r="K91" s="609"/>
      <c r="L91" s="618"/>
    </row>
    <row r="92" spans="2:12" x14ac:dyDescent="0.25">
      <c r="B92" s="617"/>
      <c r="C92" s="609"/>
      <c r="D92" s="609"/>
      <c r="E92" s="609"/>
      <c r="G92" s="609"/>
      <c r="H92" s="609"/>
      <c r="I92" s="609"/>
      <c r="J92" s="609"/>
      <c r="K92" s="609"/>
      <c r="L92" s="618"/>
    </row>
    <row r="93" spans="2:12" x14ac:dyDescent="0.25">
      <c r="B93" s="617"/>
      <c r="C93" s="609"/>
      <c r="D93" s="609"/>
      <c r="E93" s="609"/>
      <c r="G93" s="609"/>
      <c r="H93" s="609"/>
      <c r="I93" s="609"/>
      <c r="J93" s="609"/>
      <c r="K93" s="609"/>
      <c r="L93" s="618"/>
    </row>
    <row r="94" spans="2:12" x14ac:dyDescent="0.25">
      <c r="B94" s="617"/>
      <c r="C94" s="609"/>
      <c r="D94" s="609"/>
      <c r="E94" s="609"/>
      <c r="G94" s="609"/>
      <c r="H94" s="609"/>
      <c r="I94" s="609"/>
      <c r="J94" s="609"/>
      <c r="K94" s="609"/>
      <c r="L94" s="618"/>
    </row>
    <row r="95" spans="2:12" x14ac:dyDescent="0.25">
      <c r="B95" s="617"/>
      <c r="C95" s="609"/>
      <c r="D95" s="609"/>
      <c r="E95" s="609"/>
      <c r="G95" s="609"/>
      <c r="H95" s="609"/>
      <c r="I95" s="609"/>
      <c r="J95" s="609"/>
      <c r="K95" s="609"/>
      <c r="L95" s="618"/>
    </row>
    <row r="96" spans="2:12" x14ac:dyDescent="0.25">
      <c r="B96" s="617"/>
      <c r="C96" s="609"/>
      <c r="D96" s="609"/>
      <c r="E96" s="609"/>
      <c r="G96" s="609"/>
      <c r="H96" s="609"/>
      <c r="I96" s="609"/>
      <c r="J96" s="609"/>
      <c r="K96" s="609"/>
      <c r="L96" s="618"/>
    </row>
    <row r="97" spans="2:12" x14ac:dyDescent="0.25">
      <c r="B97" s="617"/>
      <c r="C97" s="609"/>
      <c r="D97" s="609"/>
      <c r="E97" s="609"/>
      <c r="G97" s="609"/>
      <c r="H97" s="609"/>
      <c r="I97" s="609"/>
      <c r="J97" s="609"/>
      <c r="K97" s="609"/>
      <c r="L97" s="618"/>
    </row>
    <row r="98" spans="2:12" x14ac:dyDescent="0.25">
      <c r="B98" s="617"/>
      <c r="C98" s="609"/>
      <c r="D98" s="609"/>
      <c r="E98" s="609"/>
      <c r="G98" s="609"/>
      <c r="H98" s="609"/>
      <c r="I98" s="609"/>
      <c r="J98" s="609"/>
      <c r="K98" s="609"/>
      <c r="L98" s="618"/>
    </row>
    <row r="99" spans="2:12" x14ac:dyDescent="0.25">
      <c r="B99" s="617"/>
      <c r="C99" s="609"/>
      <c r="D99" s="609"/>
      <c r="E99" s="609"/>
      <c r="G99" s="609"/>
      <c r="H99" s="609"/>
      <c r="I99" s="609"/>
      <c r="J99" s="609"/>
      <c r="K99" s="609"/>
      <c r="L99" s="618"/>
    </row>
    <row r="100" spans="2:12" x14ac:dyDescent="0.25">
      <c r="B100" s="617"/>
      <c r="C100" s="609"/>
      <c r="D100" s="609"/>
      <c r="E100" s="609"/>
      <c r="G100" s="609"/>
      <c r="H100" s="609"/>
      <c r="I100" s="609"/>
      <c r="J100" s="609"/>
      <c r="K100" s="609"/>
      <c r="L100" s="618"/>
    </row>
    <row r="101" spans="2:12" ht="15.75" thickBot="1" x14ac:dyDescent="0.3">
      <c r="B101" s="287"/>
      <c r="C101" s="288"/>
      <c r="D101" s="288"/>
      <c r="E101" s="288"/>
      <c r="G101" s="288"/>
      <c r="H101" s="288"/>
      <c r="I101" s="288"/>
      <c r="J101" s="288"/>
      <c r="K101" s="288"/>
      <c r="L101" s="289"/>
    </row>
  </sheetData>
  <sortState xmlns:xlrd2="http://schemas.microsoft.com/office/spreadsheetml/2017/richdata2" ref="F12:F16">
    <sortCondition ref="F12:F16"/>
  </sortState>
  <dataValidations disablePrompts="1" count="1">
    <dataValidation type="list" allowBlank="1" showInputMessage="1" showErrorMessage="1" sqref="N20 N7" xr:uid="{00000000-0002-0000-0100-000000000000}">
      <formula1>PROGRAM</formula1>
    </dataValidation>
  </dataValidations>
  <pageMargins left="0.25" right="0.25" top="0.25" bottom="0.5" header="0.25" footer="0.25"/>
  <pageSetup paperSize="3" scale="52" fitToHeight="0" orientation="landscape"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pageSetUpPr fitToPage="1"/>
  </sheetPr>
  <dimension ref="A1:A26"/>
  <sheetViews>
    <sheetView showGridLines="0" workbookViewId="0">
      <pane ySplit="2" topLeftCell="A3" activePane="bottomLeft" state="frozen"/>
      <selection pane="bottomLeft" activeCell="A3" sqref="A3"/>
    </sheetView>
  </sheetViews>
  <sheetFormatPr defaultRowHeight="15" x14ac:dyDescent="0.25"/>
  <cols>
    <col min="1" max="1" width="150.85546875" customWidth="1"/>
  </cols>
  <sheetData>
    <row r="1" spans="1:1" s="7" customFormat="1" ht="21" x14ac:dyDescent="0.35">
      <c r="A1" s="7" t="s">
        <v>874</v>
      </c>
    </row>
    <row r="3" spans="1:1" ht="15.75" thickBot="1" x14ac:dyDescent="0.3"/>
    <row r="4" spans="1:1" ht="15.75" thickBot="1" x14ac:dyDescent="0.3">
      <c r="A4" s="414" t="s">
        <v>992</v>
      </c>
    </row>
    <row r="5" spans="1:1" x14ac:dyDescent="0.25">
      <c r="A5" s="292" t="str">
        <f>"Risk "&amp;'K1-Risk Dashboard (Cost)'!B40&amp;":  "&amp;'K1-Risk Dashboard (Cost)'!C40&amp;".  "&amp;'K1-Risk Dashboard (Cost)'!D40</f>
        <v>Risk 1:  PLEASE TYPE FIRST RISK OVER THE TOP OF THIS ONE.  This is a test risk.
Recommended best practices is to document what the risk is if it happens (if/then statement).</v>
      </c>
    </row>
    <row r="6" spans="1:1" ht="45" x14ac:dyDescent="0.25">
      <c r="A6" s="293" t="str">
        <f>"Risk "&amp;'K1-Risk Dashboard (Cost)'!B41&amp;":  "&amp;'K1-Risk Dashboard (Cost)'!C41&amp;".  "&amp;'K1-Risk Dashboard (Cost)'!D41</f>
        <v xml:space="preserve">Risk N/A:  .  </v>
      </c>
    </row>
    <row r="7" spans="1:1" x14ac:dyDescent="0.25">
      <c r="A7" s="293" t="str">
        <f>"Risk "&amp;'K1-Risk Dashboard (Cost)'!B42&amp;":  "&amp;'K1-Risk Dashboard (Cost)'!C42&amp;".  "&amp;'K1-Risk Dashboard (Cost)'!D42</f>
        <v xml:space="preserve">Risk N/A:  .  </v>
      </c>
    </row>
    <row r="8" spans="1:1" x14ac:dyDescent="0.25">
      <c r="A8" s="293" t="str">
        <f>"Risk "&amp;'K1-Risk Dashboard (Cost)'!B43&amp;":  "&amp;'K1-Risk Dashboard (Cost)'!C43&amp;".  "&amp;'K1-Risk Dashboard (Cost)'!D43</f>
        <v xml:space="preserve">Risk N/A:  .  </v>
      </c>
    </row>
    <row r="9" spans="1:1" x14ac:dyDescent="0.25">
      <c r="A9" s="293" t="str">
        <f>"Risk "&amp;'K1-Risk Dashboard (Cost)'!B44&amp;":  "&amp;'K1-Risk Dashboard (Cost)'!C44&amp;".  "&amp;'K1-Risk Dashboard (Cost)'!D44</f>
        <v xml:space="preserve">Risk N/A:  .  </v>
      </c>
    </row>
    <row r="10" spans="1:1" x14ac:dyDescent="0.25">
      <c r="A10" s="293" t="str">
        <f>"Risk "&amp;'K1-Risk Dashboard (Cost)'!B45&amp;":  "&amp;'K1-Risk Dashboard (Cost)'!C45&amp;".  "&amp;'K1-Risk Dashboard (Cost)'!D45</f>
        <v xml:space="preserve">Risk N/A:  .  </v>
      </c>
    </row>
    <row r="11" spans="1:1" x14ac:dyDescent="0.25">
      <c r="A11" s="293" t="str">
        <f>"Risk "&amp;'K1-Risk Dashboard (Cost)'!B46&amp;":  "&amp;'K1-Risk Dashboard (Cost)'!C46&amp;".  "&amp;'K1-Risk Dashboard (Cost)'!D46</f>
        <v xml:space="preserve">Risk N/A:  .  </v>
      </c>
    </row>
    <row r="12" spans="1:1" x14ac:dyDescent="0.25">
      <c r="A12" s="293" t="str">
        <f>"Risk "&amp;'K1-Risk Dashboard (Cost)'!B47&amp;":  "&amp;'K1-Risk Dashboard (Cost)'!C47&amp;".  "&amp;'K1-Risk Dashboard (Cost)'!D47</f>
        <v xml:space="preserve">Risk N/A:  .  </v>
      </c>
    </row>
    <row r="13" spans="1:1" x14ac:dyDescent="0.25">
      <c r="A13" s="293" t="str">
        <f>"Risk "&amp;'K1-Risk Dashboard (Cost)'!B48&amp;":  "&amp;'K1-Risk Dashboard (Cost)'!C48&amp;".  "&amp;'K1-Risk Dashboard (Cost)'!D48</f>
        <v xml:space="preserve">Risk N/A:  .  </v>
      </c>
    </row>
    <row r="14" spans="1:1" ht="15.75" thickBot="1" x14ac:dyDescent="0.3">
      <c r="A14" s="294" t="str">
        <f>"Risk "&amp;'K1-Risk Dashboard (Cost)'!B49&amp;":  "&amp;'K1-Risk Dashboard (Cost)'!C49&amp;".  "&amp;'K1-Risk Dashboard (Cost)'!D49</f>
        <v xml:space="preserve">Risk N/A:  .  </v>
      </c>
    </row>
    <row r="15" spans="1:1" ht="15.75" thickBot="1" x14ac:dyDescent="0.3"/>
    <row r="16" spans="1:1" ht="15.75" thickBot="1" x14ac:dyDescent="0.3">
      <c r="A16" s="414" t="s">
        <v>993</v>
      </c>
    </row>
    <row r="17" spans="1:1" ht="45" x14ac:dyDescent="0.25">
      <c r="A17" s="292" t="str">
        <f>"Risk "&amp;'K2-Risk Dashboard (Schedule)'!B40&amp;":  "&amp;'K2-Risk Dashboard (Schedule)'!C40&amp;".  "&amp;'K2-Risk Dashboard (Schedule)'!D40</f>
        <v>Risk 1:  PLEASE TYPE FIRST RISK OVER THE TOP OF THIS ONE.  This is a test risk.
Recommended best practices is to document what the risk is if it happens (if/then statement).</v>
      </c>
    </row>
    <row r="18" spans="1:1" x14ac:dyDescent="0.25">
      <c r="A18" s="293" t="str">
        <f>"Risk "&amp;'K2-Risk Dashboard (Schedule)'!B41&amp;":  "&amp;'K2-Risk Dashboard (Schedule)'!C41&amp;".  "&amp;'K2-Risk Dashboard (Schedule)'!D41</f>
        <v xml:space="preserve">Risk N/A:  .  </v>
      </c>
    </row>
    <row r="19" spans="1:1" x14ac:dyDescent="0.25">
      <c r="A19" s="293" t="str">
        <f>"Risk "&amp;'K2-Risk Dashboard (Schedule)'!B42&amp;":  "&amp;'K2-Risk Dashboard (Schedule)'!C42&amp;".  "&amp;'K2-Risk Dashboard (Schedule)'!D42</f>
        <v xml:space="preserve">Risk N/A:  .  </v>
      </c>
    </row>
    <row r="20" spans="1:1" x14ac:dyDescent="0.25">
      <c r="A20" s="293" t="str">
        <f>"Risk "&amp;'K2-Risk Dashboard (Schedule)'!B43&amp;":  "&amp;'K2-Risk Dashboard (Schedule)'!C43&amp;".  "&amp;'K2-Risk Dashboard (Schedule)'!D43</f>
        <v xml:space="preserve">Risk N/A:  .  </v>
      </c>
    </row>
    <row r="21" spans="1:1" x14ac:dyDescent="0.25">
      <c r="A21" s="293" t="str">
        <f>"Risk "&amp;'K2-Risk Dashboard (Schedule)'!B44&amp;":  "&amp;'K2-Risk Dashboard (Schedule)'!C44&amp;".  "&amp;'K2-Risk Dashboard (Schedule)'!D44</f>
        <v xml:space="preserve">Risk N/A:  .  </v>
      </c>
    </row>
    <row r="22" spans="1:1" x14ac:dyDescent="0.25">
      <c r="A22" s="293" t="str">
        <f>"Risk "&amp;'K2-Risk Dashboard (Schedule)'!B45&amp;":  "&amp;'K2-Risk Dashboard (Schedule)'!C45&amp;".  "&amp;'K2-Risk Dashboard (Schedule)'!D45</f>
        <v xml:space="preserve">Risk N/A:  .  </v>
      </c>
    </row>
    <row r="23" spans="1:1" x14ac:dyDescent="0.25">
      <c r="A23" s="293" t="str">
        <f>"Risk "&amp;'K2-Risk Dashboard (Schedule)'!B46&amp;":  "&amp;'K2-Risk Dashboard (Schedule)'!C46&amp;".  "&amp;'K2-Risk Dashboard (Schedule)'!D46</f>
        <v xml:space="preserve">Risk N/A:  .  </v>
      </c>
    </row>
    <row r="24" spans="1:1" x14ac:dyDescent="0.25">
      <c r="A24" s="293" t="str">
        <f>"Risk "&amp;'K2-Risk Dashboard (Schedule)'!B47&amp;":  "&amp;'K2-Risk Dashboard (Schedule)'!C47&amp;".  "&amp;'K2-Risk Dashboard (Schedule)'!D47</f>
        <v xml:space="preserve">Risk N/A:  .  </v>
      </c>
    </row>
    <row r="25" spans="1:1" x14ac:dyDescent="0.25">
      <c r="A25" s="293" t="str">
        <f>"Risk "&amp;'K2-Risk Dashboard (Schedule)'!B48&amp;":  "&amp;'K2-Risk Dashboard (Schedule)'!C48&amp;".  "&amp;'K2-Risk Dashboard (Schedule)'!D48</f>
        <v xml:space="preserve">Risk N/A:  .  </v>
      </c>
    </row>
    <row r="26" spans="1:1" ht="15.75" thickBot="1" x14ac:dyDescent="0.3">
      <c r="A26" s="294" t="str">
        <f>"Risk "&amp;'K2-Risk Dashboard (Schedule)'!B49&amp;":  "&amp;'K2-Risk Dashboard (Schedule)'!C49&amp;".  "&amp;'K2-Risk Dashboard (Schedule)'!D49</f>
        <v xml:space="preserve">Risk N/A:  .  </v>
      </c>
    </row>
  </sheetData>
  <pageMargins left="0.25" right="0.25" top="0.25" bottom="0.5" header="0.25" footer="0.25"/>
  <pageSetup scale="84" fitToHeight="0" orientation="portrait" horizontalDpi="1200" verticalDpi="1200" r:id="rId1"/>
  <headerFooter>
    <oddFooter>&amp;CPage &amp;P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tabColor theme="0" tint="-0.499984740745262"/>
    <pageSetUpPr fitToPage="1"/>
  </sheetPr>
  <dimension ref="A1:X80"/>
  <sheetViews>
    <sheetView showGridLines="0" zoomScaleNormal="100" workbookViewId="0">
      <pane ySplit="2" topLeftCell="A3" activePane="bottomLeft" state="frozen"/>
      <selection activeCell="A3" sqref="A3"/>
      <selection pane="bottomLeft" activeCell="A3" sqref="A3"/>
    </sheetView>
  </sheetViews>
  <sheetFormatPr defaultColWidth="8.85546875" defaultRowHeight="15" x14ac:dyDescent="0.25"/>
  <cols>
    <col min="1" max="1" width="6.140625" style="78" bestFit="1" customWidth="1"/>
    <col min="2" max="2" width="42.85546875" style="78" bestFit="1" customWidth="1"/>
    <col min="3" max="3" width="9.42578125" style="78" bestFit="1" customWidth="1"/>
    <col min="4" max="4" width="11.42578125" style="78" bestFit="1" customWidth="1"/>
    <col min="5" max="5" width="14.85546875" style="78" bestFit="1" customWidth="1"/>
    <col min="6" max="6" width="17.5703125" style="78" bestFit="1" customWidth="1"/>
    <col min="7" max="7" width="14.140625" style="78" bestFit="1" customWidth="1"/>
    <col min="8" max="8" width="13.140625" style="78" bestFit="1" customWidth="1"/>
    <col min="9" max="16" width="8.85546875" style="78"/>
    <col min="17" max="17" width="6.140625" style="78" bestFit="1" customWidth="1"/>
    <col min="18" max="18" width="42.85546875" style="78" bestFit="1" customWidth="1"/>
    <col min="19" max="19" width="9.42578125" style="78" bestFit="1" customWidth="1"/>
    <col min="20" max="20" width="11.42578125" style="78" bestFit="1" customWidth="1"/>
    <col min="21" max="21" width="14.85546875" style="78" bestFit="1" customWidth="1"/>
    <col min="22" max="22" width="17.5703125" style="78" bestFit="1" customWidth="1"/>
    <col min="23" max="23" width="14.140625" style="78" bestFit="1" customWidth="1"/>
    <col min="24" max="24" width="13.140625" style="78" bestFit="1" customWidth="1"/>
    <col min="25" max="16384" width="8.85546875" style="78"/>
  </cols>
  <sheetData>
    <row r="1" spans="1:24" s="7" customFormat="1" ht="21" x14ac:dyDescent="0.35">
      <c r="A1" s="815" t="s">
        <v>673</v>
      </c>
      <c r="B1" s="815"/>
      <c r="C1" s="815"/>
      <c r="D1" s="815"/>
      <c r="E1" s="815"/>
      <c r="F1" s="815"/>
      <c r="Q1" s="815" t="s">
        <v>673</v>
      </c>
      <c r="R1" s="815"/>
      <c r="S1" s="815"/>
      <c r="T1" s="815"/>
      <c r="U1" s="815"/>
      <c r="V1" s="815"/>
    </row>
    <row r="3" spans="1:24" x14ac:dyDescent="0.25">
      <c r="A3" s="173" t="s">
        <v>1150</v>
      </c>
      <c r="B3"/>
      <c r="C3"/>
      <c r="D3"/>
      <c r="E3"/>
      <c r="F3"/>
      <c r="G3"/>
      <c r="H3"/>
      <c r="Q3" s="173"/>
      <c r="R3"/>
      <c r="S3"/>
      <c r="T3"/>
      <c r="U3"/>
      <c r="V3"/>
      <c r="W3"/>
      <c r="X3"/>
    </row>
    <row r="4" spans="1:24" ht="15.75" thickBot="1" x14ac:dyDescent="0.3">
      <c r="A4" s="449"/>
      <c r="B4" s="449" t="s">
        <v>1067</v>
      </c>
      <c r="C4" s="449" t="s">
        <v>1066</v>
      </c>
      <c r="D4" s="449" t="s">
        <v>1065</v>
      </c>
      <c r="E4" s="449" t="s">
        <v>1064</v>
      </c>
      <c r="F4" s="449" t="s">
        <v>1063</v>
      </c>
      <c r="G4"/>
      <c r="H4"/>
      <c r="Q4" s="605" t="s">
        <v>1236</v>
      </c>
      <c r="R4" s="605" t="s">
        <v>1067</v>
      </c>
      <c r="S4" s="605" t="s">
        <v>1066</v>
      </c>
      <c r="T4" s="605" t="s">
        <v>1065</v>
      </c>
      <c r="U4" s="605" t="s">
        <v>1064</v>
      </c>
      <c r="V4" s="605" t="s">
        <v>1063</v>
      </c>
      <c r="W4" s="449" t="s">
        <v>1268</v>
      </c>
      <c r="X4" s="449" t="s">
        <v>1269</v>
      </c>
    </row>
    <row r="5" spans="1:24" x14ac:dyDescent="0.25">
      <c r="A5"/>
      <c r="B5" s="8" t="s">
        <v>1079</v>
      </c>
      <c r="C5" s="182">
        <v>1</v>
      </c>
      <c r="D5" t="s">
        <v>1075</v>
      </c>
      <c r="E5" s="451">
        <f>2145000</f>
        <v>2145000</v>
      </c>
      <c r="F5" s="123">
        <f>C5*E5</f>
        <v>2145000</v>
      </c>
      <c r="G5"/>
      <c r="H5"/>
      <c r="Q5" s="460" t="s">
        <v>1208</v>
      </c>
      <c r="R5" s="461"/>
      <c r="S5" s="461"/>
      <c r="T5" s="461"/>
      <c r="U5" s="461"/>
      <c r="V5" s="604"/>
      <c r="W5" s="604"/>
      <c r="X5" s="604"/>
    </row>
    <row r="6" spans="1:24" x14ac:dyDescent="0.25">
      <c r="A6"/>
      <c r="B6" s="8" t="s">
        <v>1077</v>
      </c>
      <c r="C6" s="182">
        <v>1</v>
      </c>
      <c r="D6" t="s">
        <v>1075</v>
      </c>
      <c r="E6" s="451">
        <f>500000</f>
        <v>500000</v>
      </c>
      <c r="F6" s="123">
        <f>C6*E6</f>
        <v>500000</v>
      </c>
      <c r="G6"/>
      <c r="H6"/>
      <c r="Q6" s="754" t="s">
        <v>1233</v>
      </c>
      <c r="R6" s="755" t="s">
        <v>1232</v>
      </c>
      <c r="S6" s="756">
        <v>19820</v>
      </c>
      <c r="T6" s="755" t="s">
        <v>1223</v>
      </c>
      <c r="U6" s="757">
        <f t="shared" ref="U6:U11" si="0">V6/S6</f>
        <v>48.133819374369324</v>
      </c>
      <c r="V6" s="758">
        <v>954012.3</v>
      </c>
      <c r="W6" s="759">
        <f t="shared" ref="W6:W11" si="1">V6/$V$26</f>
        <v>3.2920703186443398E-2</v>
      </c>
      <c r="X6" s="760">
        <f t="shared" ref="X6:X11" si="2">RANK(V6,$V$6:$V$24,0)</f>
        <v>7</v>
      </c>
    </row>
    <row r="7" spans="1:24" x14ac:dyDescent="0.25">
      <c r="A7"/>
      <c r="B7" s="8" t="s">
        <v>1076</v>
      </c>
      <c r="C7" s="182">
        <v>1</v>
      </c>
      <c r="D7" t="s">
        <v>1075</v>
      </c>
      <c r="E7" s="451">
        <f>200000</f>
        <v>200000</v>
      </c>
      <c r="F7" s="123">
        <f>C7*E7</f>
        <v>200000</v>
      </c>
      <c r="G7"/>
      <c r="H7"/>
      <c r="Q7" s="754" t="s">
        <v>1231</v>
      </c>
      <c r="R7" s="755" t="s">
        <v>1230</v>
      </c>
      <c r="S7" s="756">
        <v>19820</v>
      </c>
      <c r="T7" s="755" t="s">
        <v>1223</v>
      </c>
      <c r="U7" s="757">
        <f t="shared" si="0"/>
        <v>77.370145812310795</v>
      </c>
      <c r="V7" s="758">
        <v>1533476.29</v>
      </c>
      <c r="W7" s="759">
        <f t="shared" si="1"/>
        <v>5.2916631983191832E-2</v>
      </c>
      <c r="X7" s="760">
        <f t="shared" si="2"/>
        <v>6</v>
      </c>
    </row>
    <row r="8" spans="1:24" x14ac:dyDescent="0.25">
      <c r="A8"/>
      <c r="B8" s="8" t="s">
        <v>1215</v>
      </c>
      <c r="C8" s="182">
        <v>1</v>
      </c>
      <c r="D8" t="s">
        <v>1075</v>
      </c>
      <c r="E8" s="451">
        <f>-1000000</f>
        <v>-1000000</v>
      </c>
      <c r="F8" s="123">
        <f>C8*E8</f>
        <v>-1000000</v>
      </c>
      <c r="G8"/>
      <c r="H8"/>
      <c r="Q8" s="754" t="s">
        <v>1229</v>
      </c>
      <c r="R8" s="755" t="s">
        <v>1228</v>
      </c>
      <c r="S8" s="756">
        <v>19820</v>
      </c>
      <c r="T8" s="755" t="s">
        <v>1223</v>
      </c>
      <c r="U8" s="757">
        <f t="shared" si="0"/>
        <v>89.824186680121088</v>
      </c>
      <c r="V8" s="758">
        <v>1780315.38</v>
      </c>
      <c r="W8" s="759">
        <f t="shared" si="1"/>
        <v>6.14344638986732E-2</v>
      </c>
      <c r="X8" s="760">
        <f t="shared" si="2"/>
        <v>5</v>
      </c>
    </row>
    <row r="9" spans="1:24" ht="15.75" thickBot="1" x14ac:dyDescent="0.3">
      <c r="A9" s="452"/>
      <c r="B9" s="452" t="s">
        <v>1074</v>
      </c>
      <c r="C9" s="452"/>
      <c r="D9" s="452"/>
      <c r="E9" s="452"/>
      <c r="F9" s="453">
        <f>SUM(F5:F8)</f>
        <v>1845000</v>
      </c>
      <c r="G9"/>
      <c r="H9"/>
      <c r="Q9" s="754" t="s">
        <v>1227</v>
      </c>
      <c r="R9" s="755" t="s">
        <v>1226</v>
      </c>
      <c r="S9" s="756">
        <v>19820</v>
      </c>
      <c r="T9" s="755" t="s">
        <v>1223</v>
      </c>
      <c r="U9" s="757">
        <f t="shared" si="0"/>
        <v>319.94111957618566</v>
      </c>
      <c r="V9" s="758">
        <v>6341232.9900000002</v>
      </c>
      <c r="W9" s="759">
        <f t="shared" si="1"/>
        <v>0.21882091991882391</v>
      </c>
      <c r="X9" s="760">
        <f t="shared" si="2"/>
        <v>2</v>
      </c>
    </row>
    <row r="10" spans="1:24" x14ac:dyDescent="0.25">
      <c r="A10"/>
      <c r="B10"/>
      <c r="C10"/>
      <c r="D10"/>
      <c r="E10"/>
      <c r="F10"/>
      <c r="G10"/>
      <c r="H10"/>
      <c r="Q10" s="754" t="s">
        <v>1225</v>
      </c>
      <c r="R10" s="755" t="s">
        <v>1224</v>
      </c>
      <c r="S10" s="756">
        <v>19820</v>
      </c>
      <c r="T10" s="755" t="s">
        <v>1223</v>
      </c>
      <c r="U10" s="757">
        <f t="shared" si="0"/>
        <v>2.0625544904137234</v>
      </c>
      <c r="V10" s="758">
        <v>40879.83</v>
      </c>
      <c r="W10" s="759">
        <f t="shared" si="1"/>
        <v>1.4106660362159529E-3</v>
      </c>
      <c r="X10" s="760">
        <f t="shared" si="2"/>
        <v>15</v>
      </c>
    </row>
    <row r="11" spans="1:24" x14ac:dyDescent="0.25">
      <c r="A11" s="173" t="s">
        <v>1151</v>
      </c>
      <c r="B11"/>
      <c r="C11"/>
      <c r="D11"/>
      <c r="E11"/>
      <c r="F11"/>
      <c r="G11"/>
      <c r="H11"/>
      <c r="Q11" s="754" t="s">
        <v>1235</v>
      </c>
      <c r="R11" s="755" t="s">
        <v>1234</v>
      </c>
      <c r="S11" s="756">
        <v>19820</v>
      </c>
      <c r="T11" s="755" t="s">
        <v>1223</v>
      </c>
      <c r="U11" s="757">
        <f t="shared" si="0"/>
        <v>15.739595358224017</v>
      </c>
      <c r="V11" s="758">
        <v>311958.78000000003</v>
      </c>
      <c r="W11" s="759">
        <f t="shared" si="1"/>
        <v>1.0764958064780712E-2</v>
      </c>
      <c r="X11" s="760">
        <f t="shared" si="2"/>
        <v>13</v>
      </c>
    </row>
    <row r="12" spans="1:24" ht="15.75" thickBot="1" x14ac:dyDescent="0.3">
      <c r="A12" s="449"/>
      <c r="B12" s="449" t="s">
        <v>1067</v>
      </c>
      <c r="C12" s="449" t="s">
        <v>1066</v>
      </c>
      <c r="D12" s="449" t="s">
        <v>1065</v>
      </c>
      <c r="E12" s="449" t="s">
        <v>1064</v>
      </c>
      <c r="F12" s="449" t="s">
        <v>1063</v>
      </c>
      <c r="G12"/>
      <c r="H12"/>
    </row>
    <row r="13" spans="1:24" x14ac:dyDescent="0.25">
      <c r="A13"/>
      <c r="B13" s="8" t="s">
        <v>1078</v>
      </c>
      <c r="C13" s="182">
        <v>1</v>
      </c>
      <c r="D13" t="s">
        <v>1075</v>
      </c>
      <c r="E13" s="451">
        <v>7056000</v>
      </c>
      <c r="F13" s="123">
        <f>C13*E13</f>
        <v>7056000</v>
      </c>
      <c r="G13"/>
      <c r="H13"/>
      <c r="Q13" s="460" t="s">
        <v>1209</v>
      </c>
      <c r="R13" s="461"/>
      <c r="S13" s="461"/>
      <c r="T13" s="461"/>
      <c r="U13" s="461"/>
      <c r="V13" s="604"/>
      <c r="W13" s="604"/>
      <c r="X13" s="604"/>
    </row>
    <row r="14" spans="1:24" x14ac:dyDescent="0.25">
      <c r="A14"/>
      <c r="B14" s="8" t="s">
        <v>1077</v>
      </c>
      <c r="C14" s="182">
        <v>1</v>
      </c>
      <c r="D14" t="s">
        <v>1075</v>
      </c>
      <c r="E14" s="451">
        <f>2000000</f>
        <v>2000000</v>
      </c>
      <c r="F14" s="123">
        <f>C14*E14</f>
        <v>2000000</v>
      </c>
      <c r="G14"/>
      <c r="H14"/>
      <c r="Q14" s="754" t="s">
        <v>1233</v>
      </c>
      <c r="R14" s="755" t="s">
        <v>1232</v>
      </c>
      <c r="S14" s="756">
        <v>33535</v>
      </c>
      <c r="T14" s="755" t="s">
        <v>1223</v>
      </c>
      <c r="U14" s="757">
        <f>V14/S14</f>
        <v>15.762862382585357</v>
      </c>
      <c r="V14" s="758">
        <v>528607.59</v>
      </c>
      <c r="W14" s="759">
        <f>V14/$V$26</f>
        <v>1.8240994977204345E-2</v>
      </c>
      <c r="X14" s="760">
        <f>RANK(V14,$V$6:$V$24,0)</f>
        <v>11</v>
      </c>
    </row>
    <row r="15" spans="1:24" x14ac:dyDescent="0.25">
      <c r="A15"/>
      <c r="B15" s="8" t="s">
        <v>1076</v>
      </c>
      <c r="C15" s="182">
        <v>1</v>
      </c>
      <c r="D15" t="s">
        <v>1075</v>
      </c>
      <c r="E15" s="451">
        <f>100000</f>
        <v>100000</v>
      </c>
      <c r="F15" s="123">
        <f>C15*E15</f>
        <v>100000</v>
      </c>
      <c r="G15"/>
      <c r="H15"/>
      <c r="Q15" s="754" t="s">
        <v>1231</v>
      </c>
      <c r="R15" s="755" t="s">
        <v>1230</v>
      </c>
      <c r="S15" s="756">
        <v>33535</v>
      </c>
      <c r="T15" s="755" t="s">
        <v>1223</v>
      </c>
      <c r="U15" s="757">
        <f>V15/S15</f>
        <v>119.29899150141644</v>
      </c>
      <c r="V15" s="758">
        <v>4000691.68</v>
      </c>
      <c r="W15" s="759">
        <f>V15/$V$26</f>
        <v>0.13805438707420606</v>
      </c>
      <c r="X15" s="760">
        <f>RANK(V15,$V$6:$V$24,0)</f>
        <v>3</v>
      </c>
    </row>
    <row r="16" spans="1:24" x14ac:dyDescent="0.25">
      <c r="A16"/>
      <c r="B16" s="8" t="s">
        <v>1215</v>
      </c>
      <c r="C16" s="182">
        <v>1</v>
      </c>
      <c r="D16" t="s">
        <v>1075</v>
      </c>
      <c r="E16" s="451">
        <f>-2000000</f>
        <v>-2000000</v>
      </c>
      <c r="F16" s="123">
        <f>C16*E16</f>
        <v>-2000000</v>
      </c>
      <c r="G16"/>
      <c r="H16"/>
      <c r="Q16" s="754" t="s">
        <v>1229</v>
      </c>
      <c r="R16" s="755" t="s">
        <v>1228</v>
      </c>
      <c r="S16" s="756">
        <v>33535</v>
      </c>
      <c r="T16" s="755" t="s">
        <v>1223</v>
      </c>
      <c r="U16" s="757">
        <f>V16/S16</f>
        <v>84.770366780975095</v>
      </c>
      <c r="V16" s="758">
        <v>2842774.25</v>
      </c>
      <c r="W16" s="759">
        <f>V16/$V$26</f>
        <v>9.8097401165911841E-2</v>
      </c>
      <c r="X16" s="760">
        <f>RANK(V16,$V$6:$V$24,0)</f>
        <v>4</v>
      </c>
    </row>
    <row r="17" spans="1:24" ht="15.75" thickBot="1" x14ac:dyDescent="0.3">
      <c r="A17" s="452"/>
      <c r="B17" s="452" t="s">
        <v>1074</v>
      </c>
      <c r="C17" s="452"/>
      <c r="D17" s="452"/>
      <c r="E17" s="452"/>
      <c r="F17" s="453">
        <f>SUM(F13:F16)</f>
        <v>7156000</v>
      </c>
      <c r="G17"/>
      <c r="H17"/>
      <c r="Q17" s="754" t="s">
        <v>1227</v>
      </c>
      <c r="R17" s="755" t="s">
        <v>1226</v>
      </c>
      <c r="S17" s="756">
        <v>33535</v>
      </c>
      <c r="T17" s="755" t="s">
        <v>1223</v>
      </c>
      <c r="U17" s="757">
        <f>V17/S17</f>
        <v>224.93380050693307</v>
      </c>
      <c r="V17" s="758">
        <v>7543155</v>
      </c>
      <c r="W17" s="759">
        <f>V17/$V$26</f>
        <v>0.26029639957926792</v>
      </c>
      <c r="X17" s="760">
        <f>RANK(V17,$V$6:$V$24,0)</f>
        <v>1</v>
      </c>
    </row>
    <row r="18" spans="1:24" x14ac:dyDescent="0.25">
      <c r="A18"/>
      <c r="B18"/>
      <c r="C18"/>
      <c r="D18"/>
      <c r="E18"/>
      <c r="F18"/>
      <c r="G18"/>
      <c r="H18"/>
      <c r="Q18" s="754" t="s">
        <v>1225</v>
      </c>
      <c r="R18" s="755" t="s">
        <v>1224</v>
      </c>
      <c r="S18" s="756">
        <v>33535</v>
      </c>
      <c r="T18" s="755" t="s">
        <v>1223</v>
      </c>
      <c r="U18" s="757">
        <f>V18/S18</f>
        <v>1.4831408975697031</v>
      </c>
      <c r="V18" s="758">
        <v>49737.13</v>
      </c>
      <c r="W18" s="759">
        <f>V18/$V$26</f>
        <v>1.7163104648394464E-3</v>
      </c>
      <c r="X18" s="760">
        <f>RANK(V18,$V$6:$V$24,0)</f>
        <v>14</v>
      </c>
    </row>
    <row r="19" spans="1:24" x14ac:dyDescent="0.25">
      <c r="A19" s="173" t="s">
        <v>1152</v>
      </c>
      <c r="B19"/>
      <c r="C19"/>
      <c r="D19"/>
      <c r="E19"/>
      <c r="F19"/>
      <c r="G19"/>
      <c r="H19"/>
      <c r="Q19" s="454"/>
      <c r="R19"/>
      <c r="S19" s="182"/>
      <c r="T19"/>
      <c r="U19" s="451"/>
      <c r="V19" s="123"/>
      <c r="W19" s="450"/>
      <c r="X19" s="76"/>
    </row>
    <row r="20" spans="1:24" ht="15.75" thickBot="1" x14ac:dyDescent="0.3">
      <c r="A20" s="449" t="s">
        <v>1068</v>
      </c>
      <c r="B20" s="449" t="s">
        <v>1067</v>
      </c>
      <c r="C20" s="449" t="s">
        <v>1066</v>
      </c>
      <c r="D20" s="449" t="s">
        <v>1065</v>
      </c>
      <c r="E20" s="449" t="s">
        <v>1064</v>
      </c>
      <c r="F20" s="449" t="s">
        <v>1063</v>
      </c>
      <c r="G20" s="449" t="s">
        <v>1268</v>
      </c>
      <c r="H20" s="449" t="s">
        <v>1269</v>
      </c>
      <c r="Q20" s="460" t="s">
        <v>1203</v>
      </c>
      <c r="R20" s="461"/>
      <c r="S20" s="461"/>
      <c r="T20" s="461"/>
      <c r="U20" s="461"/>
      <c r="V20" s="604"/>
      <c r="W20" s="604"/>
      <c r="X20" s="604"/>
    </row>
    <row r="21" spans="1:24" x14ac:dyDescent="0.25">
      <c r="A21" s="460" t="s">
        <v>1114</v>
      </c>
      <c r="B21" s="461"/>
      <c r="C21" s="461"/>
      <c r="D21" s="461"/>
      <c r="E21" s="461"/>
      <c r="F21" s="461"/>
      <c r="G21" s="461"/>
      <c r="H21" s="461"/>
      <c r="Q21" s="754" t="s">
        <v>1222</v>
      </c>
      <c r="R21" s="755" t="s">
        <v>1210</v>
      </c>
      <c r="S21" s="756">
        <v>13245</v>
      </c>
      <c r="T21" s="755" t="s">
        <v>1070</v>
      </c>
      <c r="U21" s="757">
        <f>V21/S21</f>
        <v>60.402400151000379</v>
      </c>
      <c r="V21" s="758">
        <v>800029.79</v>
      </c>
      <c r="W21" s="759">
        <f>V21/$V$26</f>
        <v>2.7607131749666794E-2</v>
      </c>
      <c r="X21" s="760">
        <f>RANK(V21,$V$6:$V$24,0)</f>
        <v>10</v>
      </c>
    </row>
    <row r="22" spans="1:24" x14ac:dyDescent="0.25">
      <c r="A22" s="754">
        <v>1</v>
      </c>
      <c r="B22" s="755" t="s">
        <v>1085</v>
      </c>
      <c r="C22" s="756">
        <v>1</v>
      </c>
      <c r="D22" s="755" t="s">
        <v>1072</v>
      </c>
      <c r="E22" s="757">
        <f t="shared" ref="E22:E35" si="3">F22/C22</f>
        <v>8582538.7899999991</v>
      </c>
      <c r="F22" s="758">
        <v>8582538.7899999991</v>
      </c>
      <c r="G22" s="759">
        <f t="shared" ref="G22:G35" si="4">F22/$F$76</f>
        <v>3.667480798613524E-2</v>
      </c>
      <c r="H22" s="760">
        <f t="shared" ref="H22:H35" si="5">RANK(F22,$F$22:$F$74,0)</f>
        <v>8</v>
      </c>
      <c r="Q22" s="754" t="s">
        <v>1221</v>
      </c>
      <c r="R22" s="755" t="s">
        <v>1211</v>
      </c>
      <c r="S22" s="756">
        <v>13245</v>
      </c>
      <c r="T22" s="755" t="s">
        <v>1070</v>
      </c>
      <c r="U22" s="757">
        <f>V22/S22</f>
        <v>33.752457531143826</v>
      </c>
      <c r="V22" s="758">
        <v>447051.3</v>
      </c>
      <c r="W22" s="759">
        <f>V22/$V$26</f>
        <v>1.5426680721426405E-2</v>
      </c>
      <c r="X22" s="760">
        <f>RANK(V22,$V$6:$V$24,0)</f>
        <v>12</v>
      </c>
    </row>
    <row r="23" spans="1:24" x14ac:dyDescent="0.25">
      <c r="A23" s="754" t="s">
        <v>1080</v>
      </c>
      <c r="B23" s="755" t="s">
        <v>1086</v>
      </c>
      <c r="C23" s="756">
        <v>1</v>
      </c>
      <c r="D23" s="755" t="s">
        <v>1071</v>
      </c>
      <c r="E23" s="757">
        <f t="shared" si="3"/>
        <v>99172.86</v>
      </c>
      <c r="F23" s="758">
        <v>99172.86</v>
      </c>
      <c r="G23" s="759">
        <f t="shared" si="4"/>
        <v>4.2378434714139784E-4</v>
      </c>
      <c r="H23" s="760">
        <f t="shared" si="5"/>
        <v>24</v>
      </c>
      <c r="Q23" s="754" t="s">
        <v>1220</v>
      </c>
      <c r="R23" s="755" t="s">
        <v>1212</v>
      </c>
      <c r="S23" s="756">
        <v>1</v>
      </c>
      <c r="T23" s="755" t="s">
        <v>1075</v>
      </c>
      <c r="U23" s="757">
        <f>V23/S23</f>
        <v>895511.29</v>
      </c>
      <c r="V23" s="758">
        <v>895511.29</v>
      </c>
      <c r="W23" s="759">
        <f>V23/$V$26</f>
        <v>3.0901971995747894E-2</v>
      </c>
      <c r="X23" s="760">
        <f>RANK(V23,$V$6:$V$24,0)</f>
        <v>9</v>
      </c>
    </row>
    <row r="24" spans="1:24" x14ac:dyDescent="0.25">
      <c r="A24" s="754" t="s">
        <v>1081</v>
      </c>
      <c r="B24" s="755" t="s">
        <v>1301</v>
      </c>
      <c r="C24" s="756">
        <v>1</v>
      </c>
      <c r="D24" s="755" t="s">
        <v>1071</v>
      </c>
      <c r="E24" s="757">
        <f t="shared" si="3"/>
        <v>50000</v>
      </c>
      <c r="F24" s="758">
        <v>50000</v>
      </c>
      <c r="G24" s="759">
        <f t="shared" si="4"/>
        <v>2.1365943623154451E-4</v>
      </c>
      <c r="H24" s="760">
        <f t="shared" si="5"/>
        <v>32</v>
      </c>
      <c r="Q24" s="754" t="s">
        <v>1219</v>
      </c>
      <c r="R24" s="755" t="s">
        <v>1213</v>
      </c>
      <c r="S24" s="756">
        <v>1</v>
      </c>
      <c r="T24" s="755" t="s">
        <v>1075</v>
      </c>
      <c r="U24" s="757">
        <f>V24/S24</f>
        <v>909664.89</v>
      </c>
      <c r="V24" s="758">
        <v>909664.89</v>
      </c>
      <c r="W24" s="759">
        <f>V24/$V$26</f>
        <v>3.1390379183600339E-2</v>
      </c>
      <c r="X24" s="760">
        <f>RANK(V24,$V$6:$V$24,0)</f>
        <v>8</v>
      </c>
    </row>
    <row r="25" spans="1:24" x14ac:dyDescent="0.25">
      <c r="A25" s="754" t="s">
        <v>1082</v>
      </c>
      <c r="B25" s="755" t="s">
        <v>1087</v>
      </c>
      <c r="C25" s="756">
        <v>20</v>
      </c>
      <c r="D25" s="755" t="s">
        <v>1069</v>
      </c>
      <c r="E25" s="757">
        <f t="shared" si="3"/>
        <v>2552.1534999999999</v>
      </c>
      <c r="F25" s="758">
        <v>51043.07</v>
      </c>
      <c r="G25" s="759">
        <f t="shared" si="4"/>
        <v>2.1811667119454525E-4</v>
      </c>
      <c r="H25" s="760">
        <f t="shared" si="5"/>
        <v>31</v>
      </c>
    </row>
    <row r="26" spans="1:24" ht="15.75" thickBot="1" x14ac:dyDescent="0.3">
      <c r="A26" s="754">
        <v>4</v>
      </c>
      <c r="B26" s="755" t="s">
        <v>1088</v>
      </c>
      <c r="C26" s="756">
        <v>232900</v>
      </c>
      <c r="D26" s="755" t="s">
        <v>1073</v>
      </c>
      <c r="E26" s="757">
        <f t="shared" si="3"/>
        <v>12.69</v>
      </c>
      <c r="F26" s="758">
        <v>2955501</v>
      </c>
      <c r="G26" s="759">
        <f t="shared" si="4"/>
        <v>1.262941354883532E-2</v>
      </c>
      <c r="H26" s="760">
        <f t="shared" si="5"/>
        <v>10</v>
      </c>
      <c r="Q26" s="603"/>
      <c r="R26" s="603" t="s">
        <v>670</v>
      </c>
      <c r="S26" s="603"/>
      <c r="T26" s="603"/>
      <c r="U26" s="603"/>
      <c r="V26" s="602">
        <f>SUM(V6:V24)</f>
        <v>28979098.489999998</v>
      </c>
      <c r="W26" s="602"/>
      <c r="X26" s="602"/>
    </row>
    <row r="27" spans="1:24" x14ac:dyDescent="0.25">
      <c r="A27" s="754">
        <v>5</v>
      </c>
      <c r="B27" s="755" t="s">
        <v>1089</v>
      </c>
      <c r="C27" s="756">
        <v>668900</v>
      </c>
      <c r="D27" s="755" t="s">
        <v>1073</v>
      </c>
      <c r="E27" s="757">
        <f t="shared" si="3"/>
        <v>15.82</v>
      </c>
      <c r="F27" s="758">
        <v>10581998</v>
      </c>
      <c r="G27" s="759">
        <f t="shared" si="4"/>
        <v>4.5218874537666633E-2</v>
      </c>
      <c r="H27" s="760">
        <f t="shared" si="5"/>
        <v>6</v>
      </c>
      <c r="Q27"/>
      <c r="R27"/>
      <c r="S27"/>
      <c r="T27"/>
      <c r="U27"/>
      <c r="V27"/>
      <c r="W27"/>
      <c r="X27"/>
    </row>
    <row r="28" spans="1:24" ht="15.75" thickBot="1" x14ac:dyDescent="0.3">
      <c r="A28" s="754">
        <v>6</v>
      </c>
      <c r="B28" s="755" t="s">
        <v>1090</v>
      </c>
      <c r="C28" s="756">
        <v>10</v>
      </c>
      <c r="D28" s="755" t="s">
        <v>1069</v>
      </c>
      <c r="E28" s="757">
        <f t="shared" si="3"/>
        <v>2328.9780000000001</v>
      </c>
      <c r="F28" s="758">
        <v>23289.78</v>
      </c>
      <c r="G28" s="759">
        <f t="shared" si="4"/>
        <v>9.9521625295134002E-5</v>
      </c>
      <c r="H28" s="760">
        <f t="shared" si="5"/>
        <v>40</v>
      </c>
      <c r="S28" s="747" t="s">
        <v>1271</v>
      </c>
    </row>
    <row r="29" spans="1:24" x14ac:dyDescent="0.25">
      <c r="A29" s="754">
        <v>7</v>
      </c>
      <c r="B29" s="755" t="s">
        <v>1091</v>
      </c>
      <c r="C29" s="756">
        <v>3800</v>
      </c>
      <c r="D29" s="755" t="s">
        <v>1073</v>
      </c>
      <c r="E29" s="757">
        <f t="shared" si="3"/>
        <v>12.92</v>
      </c>
      <c r="F29" s="758">
        <v>49096</v>
      </c>
      <c r="G29" s="759">
        <f t="shared" si="4"/>
        <v>2.0979647362447817E-4</v>
      </c>
      <c r="H29" s="760">
        <f t="shared" si="5"/>
        <v>33</v>
      </c>
      <c r="S29" s="749">
        <v>6</v>
      </c>
      <c r="T29" s="1060" t="s">
        <v>1273</v>
      </c>
      <c r="U29" s="1060"/>
      <c r="V29" s="600" cm="1">
        <f t="array" ref="V29">SUM(LARGE($V$5:$V$24,_xlfn.SEQUENCE(S29)))</f>
        <v>24041645.59</v>
      </c>
      <c r="W29" s="748" t="s">
        <v>1270</v>
      </c>
      <c r="X29" s="750">
        <f>V29/V26</f>
        <v>0.82962020362007471</v>
      </c>
    </row>
    <row r="30" spans="1:24" ht="15.75" thickBot="1" x14ac:dyDescent="0.3">
      <c r="A30" s="754">
        <v>8</v>
      </c>
      <c r="B30" s="755" t="s">
        <v>1092</v>
      </c>
      <c r="C30" s="756">
        <v>1278600</v>
      </c>
      <c r="D30" s="755" t="s">
        <v>1073</v>
      </c>
      <c r="E30" s="757">
        <f t="shared" si="3"/>
        <v>15.77</v>
      </c>
      <c r="F30" s="758">
        <v>20163522</v>
      </c>
      <c r="G30" s="759">
        <f t="shared" si="4"/>
        <v>8.6162534859246895E-2</v>
      </c>
      <c r="H30" s="760">
        <f t="shared" si="5"/>
        <v>4</v>
      </c>
      <c r="S30" s="601"/>
      <c r="T30" s="1061" t="s">
        <v>1272</v>
      </c>
      <c r="U30" s="1061"/>
      <c r="V30" s="751">
        <f>V26-V29</f>
        <v>4937452.8999999985</v>
      </c>
      <c r="W30" s="752" t="s">
        <v>1270</v>
      </c>
      <c r="X30" s="753">
        <f>1-X29</f>
        <v>0.17037979637992529</v>
      </c>
    </row>
    <row r="31" spans="1:24" x14ac:dyDescent="0.25">
      <c r="A31" s="754">
        <v>9</v>
      </c>
      <c r="B31" s="755" t="s">
        <v>1093</v>
      </c>
      <c r="C31" s="756">
        <v>17000</v>
      </c>
      <c r="D31" s="755" t="s">
        <v>1069</v>
      </c>
      <c r="E31" s="757">
        <f t="shared" si="3"/>
        <v>126.28524117647059</v>
      </c>
      <c r="F31" s="758">
        <v>2146849.1</v>
      </c>
      <c r="G31" s="759">
        <f t="shared" si="4"/>
        <v>9.173891367603975E-3</v>
      </c>
      <c r="H31" s="760">
        <f t="shared" si="5"/>
        <v>12</v>
      </c>
    </row>
    <row r="32" spans="1:24" x14ac:dyDescent="0.25">
      <c r="A32" s="754">
        <v>10</v>
      </c>
      <c r="B32" s="755" t="s">
        <v>1094</v>
      </c>
      <c r="C32" s="756">
        <v>16000</v>
      </c>
      <c r="D32" s="755" t="s">
        <v>1070</v>
      </c>
      <c r="E32" s="757">
        <f t="shared" si="3"/>
        <v>10.591080625</v>
      </c>
      <c r="F32" s="758">
        <v>169457.29</v>
      </c>
      <c r="G32" s="759">
        <f t="shared" si="4"/>
        <v>7.2412298093450691E-4</v>
      </c>
      <c r="H32" s="760">
        <f t="shared" si="5"/>
        <v>17</v>
      </c>
    </row>
    <row r="33" spans="1:8" x14ac:dyDescent="0.25">
      <c r="A33" s="754">
        <v>11</v>
      </c>
      <c r="B33" s="755" t="s">
        <v>1095</v>
      </c>
      <c r="C33" s="756">
        <v>1</v>
      </c>
      <c r="D33" s="755" t="s">
        <v>1071</v>
      </c>
      <c r="E33" s="757">
        <f t="shared" si="3"/>
        <v>343897.31</v>
      </c>
      <c r="F33" s="758">
        <v>343897.31</v>
      </c>
      <c r="G33" s="759">
        <f t="shared" si="4"/>
        <v>1.4695381075228939E-3</v>
      </c>
      <c r="H33" s="760">
        <f t="shared" si="5"/>
        <v>13</v>
      </c>
    </row>
    <row r="34" spans="1:8" x14ac:dyDescent="0.25">
      <c r="A34" s="754">
        <v>12</v>
      </c>
      <c r="B34" s="755" t="s">
        <v>1096</v>
      </c>
      <c r="C34" s="756">
        <v>1</v>
      </c>
      <c r="D34" s="755" t="s">
        <v>1071</v>
      </c>
      <c r="E34" s="757">
        <f t="shared" si="3"/>
        <v>100000</v>
      </c>
      <c r="F34" s="758">
        <v>100000</v>
      </c>
      <c r="G34" s="759">
        <f t="shared" si="4"/>
        <v>4.2731887246308902E-4</v>
      </c>
      <c r="H34" s="760">
        <f t="shared" si="5"/>
        <v>19</v>
      </c>
    </row>
    <row r="35" spans="1:8" x14ac:dyDescent="0.25">
      <c r="A35" s="754">
        <v>13</v>
      </c>
      <c r="B35" s="755" t="s">
        <v>1097</v>
      </c>
      <c r="C35" s="756">
        <v>1</v>
      </c>
      <c r="D35" s="755" t="s">
        <v>1071</v>
      </c>
      <c r="E35" s="757">
        <f t="shared" si="3"/>
        <v>25000</v>
      </c>
      <c r="F35" s="758">
        <v>25000</v>
      </c>
      <c r="G35" s="759">
        <f t="shared" si="4"/>
        <v>1.0682971811577225E-4</v>
      </c>
      <c r="H35" s="760">
        <f t="shared" si="5"/>
        <v>35</v>
      </c>
    </row>
    <row r="36" spans="1:8" x14ac:dyDescent="0.25">
      <c r="A36" s="454"/>
      <c r="B36"/>
      <c r="C36" s="182"/>
      <c r="D36"/>
      <c r="E36" s="451"/>
      <c r="F36" s="123"/>
      <c r="G36" s="761"/>
      <c r="H36" s="76"/>
    </row>
    <row r="37" spans="1:8" x14ac:dyDescent="0.25">
      <c r="A37" s="460" t="s">
        <v>1115</v>
      </c>
      <c r="B37" s="461"/>
      <c r="C37" s="461"/>
      <c r="D37" s="461"/>
      <c r="E37" s="461"/>
      <c r="F37" s="461"/>
      <c r="G37" s="461"/>
      <c r="H37" s="461"/>
    </row>
    <row r="38" spans="1:8" x14ac:dyDescent="0.25">
      <c r="A38" s="754">
        <v>14</v>
      </c>
      <c r="B38" s="755" t="s">
        <v>1086</v>
      </c>
      <c r="C38" s="756">
        <v>1</v>
      </c>
      <c r="D38" s="755" t="s">
        <v>1071</v>
      </c>
      <c r="E38" s="757">
        <f t="shared" ref="E38:E43" si="6">F38/C38</f>
        <v>99172.86</v>
      </c>
      <c r="F38" s="758">
        <v>99172.86</v>
      </c>
      <c r="G38" s="759">
        <f t="shared" ref="G38:G43" si="7">F38/$F$76</f>
        <v>4.2378434714139784E-4</v>
      </c>
      <c r="H38" s="760">
        <f t="shared" ref="H38:H43" si="8">RANK(F38,$F$22:$F$74,0)</f>
        <v>24</v>
      </c>
    </row>
    <row r="39" spans="1:8" x14ac:dyDescent="0.25">
      <c r="A39" s="754" t="s">
        <v>1083</v>
      </c>
      <c r="B39" s="755" t="s">
        <v>1098</v>
      </c>
      <c r="C39" s="756">
        <v>15</v>
      </c>
      <c r="D39" s="755" t="s">
        <v>1069</v>
      </c>
      <c r="E39" s="757">
        <f t="shared" si="6"/>
        <v>2481.7460000000001</v>
      </c>
      <c r="F39" s="758">
        <v>37226.19</v>
      </c>
      <c r="G39" s="759">
        <f t="shared" si="7"/>
        <v>1.5907453536896719E-4</v>
      </c>
      <c r="H39" s="760">
        <f t="shared" si="8"/>
        <v>34</v>
      </c>
    </row>
    <row r="40" spans="1:8" x14ac:dyDescent="0.25">
      <c r="A40" s="754">
        <v>16</v>
      </c>
      <c r="B40" s="755" t="s">
        <v>1099</v>
      </c>
      <c r="C40" s="756">
        <v>316100</v>
      </c>
      <c r="D40" s="755" t="s">
        <v>1073</v>
      </c>
      <c r="E40" s="757">
        <f t="shared" si="6"/>
        <v>11.43</v>
      </c>
      <c r="F40" s="758">
        <v>3613023</v>
      </c>
      <c r="G40" s="759">
        <f t="shared" si="7"/>
        <v>1.5439129145432072E-2</v>
      </c>
      <c r="H40" s="760">
        <f t="shared" si="8"/>
        <v>9</v>
      </c>
    </row>
    <row r="41" spans="1:8" x14ac:dyDescent="0.25">
      <c r="A41" s="754">
        <v>17</v>
      </c>
      <c r="B41" s="755" t="s">
        <v>1100</v>
      </c>
      <c r="C41" s="756">
        <v>2180600</v>
      </c>
      <c r="D41" s="755" t="s">
        <v>1073</v>
      </c>
      <c r="E41" s="757">
        <f t="shared" si="6"/>
        <v>14.32</v>
      </c>
      <c r="F41" s="758">
        <v>31226192</v>
      </c>
      <c r="G41" s="759">
        <f t="shared" si="7"/>
        <v>0.13343541156755931</v>
      </c>
      <c r="H41" s="760">
        <f t="shared" si="8"/>
        <v>2</v>
      </c>
    </row>
    <row r="42" spans="1:8" x14ac:dyDescent="0.25">
      <c r="A42" s="754">
        <v>18</v>
      </c>
      <c r="B42" s="755" t="s">
        <v>1096</v>
      </c>
      <c r="C42" s="756">
        <v>1</v>
      </c>
      <c r="D42" s="755" t="s">
        <v>1071</v>
      </c>
      <c r="E42" s="757">
        <f t="shared" si="6"/>
        <v>100000</v>
      </c>
      <c r="F42" s="758">
        <v>100000</v>
      </c>
      <c r="G42" s="759">
        <f t="shared" si="7"/>
        <v>4.2731887246308902E-4</v>
      </c>
      <c r="H42" s="760">
        <f t="shared" si="8"/>
        <v>19</v>
      </c>
    </row>
    <row r="43" spans="1:8" x14ac:dyDescent="0.25">
      <c r="A43" s="754">
        <v>19</v>
      </c>
      <c r="B43" s="755" t="s">
        <v>1097</v>
      </c>
      <c r="C43" s="756">
        <v>1</v>
      </c>
      <c r="D43" s="755" t="s">
        <v>1071</v>
      </c>
      <c r="E43" s="757">
        <f t="shared" si="6"/>
        <v>25000</v>
      </c>
      <c r="F43" s="758">
        <v>25000</v>
      </c>
      <c r="G43" s="759">
        <f t="shared" si="7"/>
        <v>1.0682971811577225E-4</v>
      </c>
      <c r="H43" s="760">
        <f t="shared" si="8"/>
        <v>35</v>
      </c>
    </row>
    <row r="44" spans="1:8" x14ac:dyDescent="0.25">
      <c r="A44" s="454"/>
      <c r="B44"/>
      <c r="C44" s="182"/>
      <c r="D44"/>
      <c r="E44" s="451"/>
      <c r="F44" s="123"/>
      <c r="G44" s="761"/>
      <c r="H44" s="76"/>
    </row>
    <row r="45" spans="1:8" x14ac:dyDescent="0.25">
      <c r="A45" s="460" t="s">
        <v>1116</v>
      </c>
      <c r="B45" s="461"/>
      <c r="C45" s="461"/>
      <c r="D45" s="461"/>
      <c r="E45" s="461"/>
      <c r="F45" s="461"/>
      <c r="G45" s="461"/>
      <c r="H45" s="461"/>
    </row>
    <row r="46" spans="1:8" x14ac:dyDescent="0.25">
      <c r="A46" s="754">
        <v>20</v>
      </c>
      <c r="B46" s="755" t="s">
        <v>1086</v>
      </c>
      <c r="C46" s="756">
        <v>1</v>
      </c>
      <c r="D46" s="755" t="s">
        <v>1071</v>
      </c>
      <c r="E46" s="757">
        <f t="shared" ref="E46:E51" si="9">F46/C46</f>
        <v>99172.86</v>
      </c>
      <c r="F46" s="758">
        <v>99172.86</v>
      </c>
      <c r="G46" s="759">
        <f t="shared" ref="G46:G51" si="10">F46/$F$76</f>
        <v>4.2378434714139784E-4</v>
      </c>
      <c r="H46" s="760">
        <f t="shared" ref="H46:H51" si="11">RANK(F46,$F$22:$F$74,0)</f>
        <v>24</v>
      </c>
    </row>
    <row r="47" spans="1:8" x14ac:dyDescent="0.25">
      <c r="A47" s="754" t="s">
        <v>1084</v>
      </c>
      <c r="B47" s="755" t="s">
        <v>1101</v>
      </c>
      <c r="C47" s="756">
        <v>35</v>
      </c>
      <c r="D47" s="755" t="s">
        <v>1069</v>
      </c>
      <c r="E47" s="757">
        <f t="shared" si="9"/>
        <v>2521.9788571428571</v>
      </c>
      <c r="F47" s="758">
        <v>88269.26</v>
      </c>
      <c r="G47" s="759">
        <f t="shared" si="10"/>
        <v>3.7719120656351242E-4</v>
      </c>
      <c r="H47" s="760">
        <f t="shared" si="11"/>
        <v>29</v>
      </c>
    </row>
    <row r="48" spans="1:8" x14ac:dyDescent="0.25">
      <c r="A48" s="754">
        <v>22</v>
      </c>
      <c r="B48" s="755" t="s">
        <v>1102</v>
      </c>
      <c r="C48" s="756">
        <v>1767200</v>
      </c>
      <c r="D48" s="755" t="s">
        <v>1073</v>
      </c>
      <c r="E48" s="757">
        <f t="shared" si="9"/>
        <v>9.14</v>
      </c>
      <c r="F48" s="758">
        <v>16152208</v>
      </c>
      <c r="G48" s="759">
        <f t="shared" si="10"/>
        <v>6.902143310349286E-2</v>
      </c>
      <c r="H48" s="760">
        <f t="shared" si="11"/>
        <v>5</v>
      </c>
    </row>
    <row r="49" spans="1:8" x14ac:dyDescent="0.25">
      <c r="A49" s="754">
        <v>23</v>
      </c>
      <c r="B49" s="755" t="s">
        <v>1103</v>
      </c>
      <c r="C49" s="756">
        <v>8322600</v>
      </c>
      <c r="D49" s="755" t="s">
        <v>1073</v>
      </c>
      <c r="E49" s="757">
        <f t="shared" si="9"/>
        <v>11.43</v>
      </c>
      <c r="F49" s="758">
        <v>95127318</v>
      </c>
      <c r="G49" s="759">
        <f t="shared" si="10"/>
        <v>0.40649698268197709</v>
      </c>
      <c r="H49" s="760">
        <f t="shared" si="11"/>
        <v>1</v>
      </c>
    </row>
    <row r="50" spans="1:8" x14ac:dyDescent="0.25">
      <c r="A50" s="754">
        <v>24</v>
      </c>
      <c r="B50" s="755" t="s">
        <v>1096</v>
      </c>
      <c r="C50" s="756">
        <v>1</v>
      </c>
      <c r="D50" s="755" t="s">
        <v>1071</v>
      </c>
      <c r="E50" s="757">
        <f t="shared" si="9"/>
        <v>100000</v>
      </c>
      <c r="F50" s="758">
        <v>100000</v>
      </c>
      <c r="G50" s="759">
        <f t="shared" si="10"/>
        <v>4.2731887246308902E-4</v>
      </c>
      <c r="H50" s="760">
        <f t="shared" si="11"/>
        <v>19</v>
      </c>
    </row>
    <row r="51" spans="1:8" x14ac:dyDescent="0.25">
      <c r="A51" s="754">
        <v>25</v>
      </c>
      <c r="B51" s="755" t="s">
        <v>1097</v>
      </c>
      <c r="C51" s="756">
        <v>1</v>
      </c>
      <c r="D51" s="755" t="s">
        <v>1071</v>
      </c>
      <c r="E51" s="757">
        <f t="shared" si="9"/>
        <v>25000</v>
      </c>
      <c r="F51" s="758">
        <v>25000</v>
      </c>
      <c r="G51" s="759">
        <f t="shared" si="10"/>
        <v>1.0682971811577225E-4</v>
      </c>
      <c r="H51" s="760">
        <f t="shared" si="11"/>
        <v>35</v>
      </c>
    </row>
    <row r="52" spans="1:8" x14ac:dyDescent="0.25">
      <c r="A52" s="454"/>
      <c r="B52"/>
      <c r="C52" s="182"/>
      <c r="D52"/>
      <c r="E52" s="451"/>
      <c r="F52" s="123"/>
      <c r="G52" s="761"/>
      <c r="H52" s="76"/>
    </row>
    <row r="53" spans="1:8" x14ac:dyDescent="0.25">
      <c r="A53" s="460" t="s">
        <v>1117</v>
      </c>
      <c r="B53" s="461"/>
      <c r="C53" s="461"/>
      <c r="D53" s="461"/>
      <c r="E53" s="461"/>
      <c r="F53" s="461"/>
      <c r="G53" s="461"/>
      <c r="H53" s="461"/>
    </row>
    <row r="54" spans="1:8" x14ac:dyDescent="0.25">
      <c r="A54" s="754">
        <v>26</v>
      </c>
      <c r="B54" s="755" t="s">
        <v>1104</v>
      </c>
      <c r="C54" s="756">
        <v>1</v>
      </c>
      <c r="D54" s="755" t="s">
        <v>1072</v>
      </c>
      <c r="E54" s="757">
        <f t="shared" ref="E54:E63" si="12">F54/C54</f>
        <v>2275000</v>
      </c>
      <c r="F54" s="758">
        <v>2275000</v>
      </c>
      <c r="G54" s="759">
        <f t="shared" ref="G54:G63" si="13">F54/$F$76</f>
        <v>9.7215043485352742E-3</v>
      </c>
      <c r="H54" s="760">
        <f t="shared" ref="H54:H63" si="14">RANK(F54,$F$22:$F$74,0)</f>
        <v>11</v>
      </c>
    </row>
    <row r="55" spans="1:8" x14ac:dyDescent="0.25">
      <c r="A55" s="754">
        <v>27</v>
      </c>
      <c r="B55" s="755" t="s">
        <v>1086</v>
      </c>
      <c r="C55" s="756">
        <v>1</v>
      </c>
      <c r="D55" s="755" t="s">
        <v>1071</v>
      </c>
      <c r="E55" s="757">
        <f t="shared" si="12"/>
        <v>99172.86</v>
      </c>
      <c r="F55" s="758">
        <v>99172.86</v>
      </c>
      <c r="G55" s="759">
        <f t="shared" si="13"/>
        <v>4.2378434714139784E-4</v>
      </c>
      <c r="H55" s="760">
        <f t="shared" si="14"/>
        <v>24</v>
      </c>
    </row>
    <row r="56" spans="1:8" x14ac:dyDescent="0.25">
      <c r="A56" s="754">
        <v>28</v>
      </c>
      <c r="B56" s="755" t="s">
        <v>1105</v>
      </c>
      <c r="C56" s="756">
        <v>5</v>
      </c>
      <c r="D56" s="755" t="s">
        <v>1069</v>
      </c>
      <c r="E56" s="757">
        <f t="shared" si="12"/>
        <v>2811.1880000000001</v>
      </c>
      <c r="F56" s="758">
        <v>14055.94</v>
      </c>
      <c r="G56" s="759">
        <f t="shared" si="13"/>
        <v>6.0063684322088319E-5</v>
      </c>
      <c r="H56" s="760">
        <f t="shared" si="14"/>
        <v>43</v>
      </c>
    </row>
    <row r="57" spans="1:8" x14ac:dyDescent="0.25">
      <c r="A57" s="754">
        <v>29</v>
      </c>
      <c r="B57" s="755" t="s">
        <v>1106</v>
      </c>
      <c r="C57" s="756">
        <v>25100</v>
      </c>
      <c r="D57" s="755" t="s">
        <v>1073</v>
      </c>
      <c r="E57" s="757">
        <f t="shared" si="12"/>
        <v>5.0999999999999996</v>
      </c>
      <c r="F57" s="758">
        <v>128010</v>
      </c>
      <c r="G57" s="759">
        <f t="shared" si="13"/>
        <v>5.4701088864000024E-4</v>
      </c>
      <c r="H57" s="760">
        <f t="shared" si="14"/>
        <v>18</v>
      </c>
    </row>
    <row r="58" spans="1:8" x14ac:dyDescent="0.25">
      <c r="A58" s="754">
        <v>30</v>
      </c>
      <c r="B58" s="755" t="s">
        <v>1107</v>
      </c>
      <c r="C58" s="756">
        <v>3350600</v>
      </c>
      <c r="D58" s="755" t="s">
        <v>1073</v>
      </c>
      <c r="E58" s="757">
        <f t="shared" si="12"/>
        <v>8.34</v>
      </c>
      <c r="F58" s="758">
        <v>27944004</v>
      </c>
      <c r="G58" s="759">
        <f t="shared" si="13"/>
        <v>0.1194100028138405</v>
      </c>
      <c r="H58" s="760">
        <f t="shared" si="14"/>
        <v>3</v>
      </c>
    </row>
    <row r="59" spans="1:8" x14ac:dyDescent="0.25">
      <c r="A59" s="754">
        <v>31</v>
      </c>
      <c r="B59" s="755" t="s">
        <v>1108</v>
      </c>
      <c r="C59" s="756">
        <v>1</v>
      </c>
      <c r="D59" s="755" t="s">
        <v>1071</v>
      </c>
      <c r="E59" s="757">
        <f t="shared" si="12"/>
        <v>15000</v>
      </c>
      <c r="F59" s="758">
        <v>15000</v>
      </c>
      <c r="G59" s="759">
        <f t="shared" si="13"/>
        <v>6.4097830869463352E-5</v>
      </c>
      <c r="H59" s="760">
        <f t="shared" si="14"/>
        <v>41</v>
      </c>
    </row>
    <row r="60" spans="1:8" x14ac:dyDescent="0.25">
      <c r="A60" s="754">
        <v>32</v>
      </c>
      <c r="B60" s="755" t="s">
        <v>1109</v>
      </c>
      <c r="C60" s="756">
        <v>133</v>
      </c>
      <c r="D60" s="755" t="s">
        <v>1113</v>
      </c>
      <c r="E60" s="757">
        <f t="shared" si="12"/>
        <v>1687.9699248120301</v>
      </c>
      <c r="F60" s="758">
        <v>224500</v>
      </c>
      <c r="G60" s="759">
        <f t="shared" si="13"/>
        <v>9.5933086867963484E-4</v>
      </c>
      <c r="H60" s="760">
        <f t="shared" si="14"/>
        <v>14</v>
      </c>
    </row>
    <row r="61" spans="1:8" x14ac:dyDescent="0.25">
      <c r="A61" s="754">
        <v>33</v>
      </c>
      <c r="B61" s="755" t="s">
        <v>1110</v>
      </c>
      <c r="C61" s="756">
        <v>44</v>
      </c>
      <c r="D61" s="755" t="s">
        <v>1113</v>
      </c>
      <c r="E61" s="757">
        <f t="shared" si="12"/>
        <v>5000</v>
      </c>
      <c r="F61" s="758">
        <v>220000</v>
      </c>
      <c r="G61" s="759">
        <f t="shared" si="13"/>
        <v>9.4010151941879578E-4</v>
      </c>
      <c r="H61" s="760">
        <f t="shared" si="14"/>
        <v>15</v>
      </c>
    </row>
    <row r="62" spans="1:8" x14ac:dyDescent="0.25">
      <c r="A62" s="754">
        <v>34</v>
      </c>
      <c r="B62" s="755" t="s">
        <v>1096</v>
      </c>
      <c r="C62" s="756">
        <v>1</v>
      </c>
      <c r="D62" s="755" t="s">
        <v>1071</v>
      </c>
      <c r="E62" s="757">
        <f t="shared" si="12"/>
        <v>100000</v>
      </c>
      <c r="F62" s="758">
        <v>100000</v>
      </c>
      <c r="G62" s="759">
        <f t="shared" si="13"/>
        <v>4.2731887246308902E-4</v>
      </c>
      <c r="H62" s="760">
        <f t="shared" si="14"/>
        <v>19</v>
      </c>
    </row>
    <row r="63" spans="1:8" x14ac:dyDescent="0.25">
      <c r="A63" s="754">
        <v>35</v>
      </c>
      <c r="B63" s="755" t="s">
        <v>1097</v>
      </c>
      <c r="C63" s="756">
        <v>1</v>
      </c>
      <c r="D63" s="755" t="s">
        <v>1071</v>
      </c>
      <c r="E63" s="757">
        <f t="shared" si="12"/>
        <v>25000</v>
      </c>
      <c r="F63" s="758">
        <v>25000</v>
      </c>
      <c r="G63" s="759">
        <f t="shared" si="13"/>
        <v>1.0682971811577225E-4</v>
      </c>
      <c r="H63" s="760">
        <f t="shared" si="14"/>
        <v>35</v>
      </c>
    </row>
    <row r="64" spans="1:8" x14ac:dyDescent="0.25">
      <c r="A64" s="454"/>
      <c r="B64"/>
      <c r="C64" s="182"/>
      <c r="D64"/>
      <c r="E64" s="451"/>
      <c r="F64" s="123"/>
      <c r="G64" s="761"/>
      <c r="H64" s="76"/>
    </row>
    <row r="65" spans="1:8" x14ac:dyDescent="0.25">
      <c r="A65" s="460" t="s">
        <v>1118</v>
      </c>
      <c r="B65" s="461"/>
      <c r="C65" s="461"/>
      <c r="D65" s="461"/>
      <c r="E65" s="461"/>
      <c r="F65" s="461"/>
      <c r="G65" s="461"/>
      <c r="H65" s="461"/>
    </row>
    <row r="66" spans="1:8" x14ac:dyDescent="0.25">
      <c r="A66" s="754">
        <v>36</v>
      </c>
      <c r="B66" s="755" t="s">
        <v>1086</v>
      </c>
      <c r="C66" s="756">
        <v>1</v>
      </c>
      <c r="D66" s="755" t="s">
        <v>1071</v>
      </c>
      <c r="E66" s="757">
        <f>F66/C66</f>
        <v>99172.86</v>
      </c>
      <c r="F66" s="758">
        <v>99172.86</v>
      </c>
      <c r="G66" s="759">
        <f>F66/$F$76</f>
        <v>4.2378434714139784E-4</v>
      </c>
      <c r="H66" s="760">
        <f>RANK(F66,$F$22:$F$74,0)</f>
        <v>24</v>
      </c>
    </row>
    <row r="67" spans="1:8" x14ac:dyDescent="0.25">
      <c r="A67" s="754">
        <v>37</v>
      </c>
      <c r="B67" s="755" t="s">
        <v>1111</v>
      </c>
      <c r="C67" s="756">
        <v>25</v>
      </c>
      <c r="D67" s="755" t="s">
        <v>1069</v>
      </c>
      <c r="E67" s="757">
        <f>F67/C67</f>
        <v>2415.8576000000003</v>
      </c>
      <c r="F67" s="758">
        <v>60396.44</v>
      </c>
      <c r="G67" s="759">
        <f>F67/$F$76</f>
        <v>2.5808538641584606E-4</v>
      </c>
      <c r="H67" s="760">
        <f>RANK(F67,$F$22:$F$74,0)</f>
        <v>30</v>
      </c>
    </row>
    <row r="68" spans="1:8" x14ac:dyDescent="0.25">
      <c r="A68" s="754">
        <v>38</v>
      </c>
      <c r="B68" s="755" t="s">
        <v>1112</v>
      </c>
      <c r="C68" s="756">
        <v>491000</v>
      </c>
      <c r="D68" s="755" t="s">
        <v>1073</v>
      </c>
      <c r="E68" s="757">
        <f>F68/C68</f>
        <v>21.22</v>
      </c>
      <c r="F68" s="758">
        <v>10419020</v>
      </c>
      <c r="G68" s="759">
        <f>F68/$F$76</f>
        <v>4.4522438785703736E-2</v>
      </c>
      <c r="H68" s="760">
        <f>RANK(F68,$F$22:$F$74,0)</f>
        <v>7</v>
      </c>
    </row>
    <row r="69" spans="1:8" x14ac:dyDescent="0.25">
      <c r="A69" s="754">
        <v>39</v>
      </c>
      <c r="B69" s="755" t="s">
        <v>1096</v>
      </c>
      <c r="C69" s="756">
        <v>1</v>
      </c>
      <c r="D69" s="755" t="s">
        <v>1071</v>
      </c>
      <c r="E69" s="757">
        <f>F69/C69</f>
        <v>100000</v>
      </c>
      <c r="F69" s="758">
        <v>100000</v>
      </c>
      <c r="G69" s="759">
        <f>F69/$F$76</f>
        <v>4.2731887246308902E-4</v>
      </c>
      <c r="H69" s="760">
        <f>RANK(F69,$F$22:$F$74,0)</f>
        <v>19</v>
      </c>
    </row>
    <row r="70" spans="1:8" x14ac:dyDescent="0.25">
      <c r="A70" s="754">
        <v>40</v>
      </c>
      <c r="B70" s="755" t="s">
        <v>1097</v>
      </c>
      <c r="C70" s="756">
        <v>1</v>
      </c>
      <c r="D70" s="755" t="s">
        <v>1071</v>
      </c>
      <c r="E70" s="757">
        <f>F70/C70</f>
        <v>25000</v>
      </c>
      <c r="F70" s="758">
        <v>25000</v>
      </c>
      <c r="G70" s="759">
        <f>F70/$F$76</f>
        <v>1.0682971811577225E-4</v>
      </c>
      <c r="H70" s="760">
        <f>RANK(F70,$F$22:$F$74,0)</f>
        <v>35</v>
      </c>
    </row>
    <row r="71" spans="1:8" x14ac:dyDescent="0.25">
      <c r="A71"/>
      <c r="B71"/>
      <c r="C71"/>
      <c r="D71"/>
      <c r="E71"/>
      <c r="F71"/>
      <c r="G71"/>
      <c r="H71"/>
    </row>
    <row r="72" spans="1:8" x14ac:dyDescent="0.25">
      <c r="A72" s="460" t="s">
        <v>1119</v>
      </c>
      <c r="B72" s="461"/>
      <c r="C72" s="461"/>
      <c r="D72" s="461"/>
      <c r="E72" s="461"/>
      <c r="F72" s="461"/>
      <c r="G72" s="461"/>
      <c r="H72" s="461"/>
    </row>
    <row r="73" spans="1:8" x14ac:dyDescent="0.25">
      <c r="A73" s="754">
        <v>41</v>
      </c>
      <c r="B73" s="755" t="s">
        <v>1108</v>
      </c>
      <c r="C73" s="756">
        <v>1</v>
      </c>
      <c r="D73" s="755" t="s">
        <v>1071</v>
      </c>
      <c r="E73" s="757">
        <f>F73/C73</f>
        <v>15000</v>
      </c>
      <c r="F73" s="758">
        <v>15000</v>
      </c>
      <c r="G73" s="759">
        <f>F73/$F$76</f>
        <v>6.4097830869463352E-5</v>
      </c>
      <c r="H73" s="760">
        <f>RANK(F73,$F$22:$F$74,0)</f>
        <v>41</v>
      </c>
    </row>
    <row r="74" spans="1:8" x14ac:dyDescent="0.25">
      <c r="A74" s="754">
        <v>42</v>
      </c>
      <c r="B74" s="755" t="s">
        <v>1110</v>
      </c>
      <c r="C74" s="756">
        <v>44</v>
      </c>
      <c r="D74" s="755" t="s">
        <v>1113</v>
      </c>
      <c r="E74" s="757">
        <f>F74/C74</f>
        <v>5000</v>
      </c>
      <c r="F74" s="758">
        <v>220000</v>
      </c>
      <c r="G74" s="759">
        <f>F74/$F$76</f>
        <v>9.4010151941879578E-4</v>
      </c>
      <c r="H74" s="760">
        <f>RANK(F74,$F$22:$F$74,0)</f>
        <v>15</v>
      </c>
    </row>
    <row r="75" spans="1:8" x14ac:dyDescent="0.25">
      <c r="A75"/>
      <c r="B75"/>
      <c r="C75"/>
      <c r="D75"/>
      <c r="E75"/>
      <c r="F75"/>
      <c r="G75"/>
      <c r="H75"/>
    </row>
    <row r="76" spans="1:8" ht="15.75" thickBot="1" x14ac:dyDescent="0.3">
      <c r="A76" s="603"/>
      <c r="B76" s="603" t="s">
        <v>670</v>
      </c>
      <c r="C76" s="603"/>
      <c r="D76" s="603"/>
      <c r="E76" s="603"/>
      <c r="F76" s="602">
        <f>SUM(F22:F74)</f>
        <v>234017279.47000003</v>
      </c>
      <c r="G76" s="602"/>
      <c r="H76" s="602"/>
    </row>
    <row r="77" spans="1:8" x14ac:dyDescent="0.25">
      <c r="A77"/>
      <c r="B77"/>
      <c r="C77"/>
      <c r="D77"/>
      <c r="E77"/>
      <c r="F77"/>
      <c r="G77"/>
      <c r="H77"/>
    </row>
    <row r="78" spans="1:8" ht="15.75" thickBot="1" x14ac:dyDescent="0.3">
      <c r="C78" s="747" t="s">
        <v>1271</v>
      </c>
    </row>
    <row r="79" spans="1:8" x14ac:dyDescent="0.25">
      <c r="C79" s="749">
        <v>5</v>
      </c>
      <c r="D79" s="1060" t="s">
        <v>1273</v>
      </c>
      <c r="E79" s="1060"/>
      <c r="F79" s="600" cm="1">
        <f t="array" ref="F79">SUM(LARGE($F$22:$F$74,_xlfn.SEQUENCE(C79)))</f>
        <v>190613244</v>
      </c>
      <c r="G79" s="748" t="s">
        <v>1270</v>
      </c>
      <c r="H79" s="750">
        <f>F79/F76</f>
        <v>0.81452636502611664</v>
      </c>
    </row>
    <row r="80" spans="1:8" ht="15.75" thickBot="1" x14ac:dyDescent="0.3">
      <c r="C80" s="601"/>
      <c r="D80" s="1061" t="s">
        <v>1272</v>
      </c>
      <c r="E80" s="1061"/>
      <c r="F80" s="751">
        <f>F76-F79</f>
        <v>43404035.470000029</v>
      </c>
      <c r="G80" s="752" t="s">
        <v>1270</v>
      </c>
      <c r="H80" s="753">
        <f>1-H79</f>
        <v>0.18547363497388336</v>
      </c>
    </row>
  </sheetData>
  <mergeCells count="6">
    <mergeCell ref="A1:F1"/>
    <mergeCell ref="Q1:V1"/>
    <mergeCell ref="D79:E79"/>
    <mergeCell ref="D80:E80"/>
    <mergeCell ref="T30:U30"/>
    <mergeCell ref="T29:U29"/>
  </mergeCells>
  <conditionalFormatting sqref="A22:H70 A72:H74">
    <cfRule type="expression" dxfId="11" priority="45">
      <formula>AND($H22&lt;=$C$79,$H22&gt;0)</formula>
    </cfRule>
  </conditionalFormatting>
  <conditionalFormatting sqref="Q6:X25">
    <cfRule type="expression" dxfId="10" priority="1">
      <formula>AND($X6&lt;=$S$29,$X6&gt;0)</formula>
    </cfRule>
  </conditionalFormatting>
  <pageMargins left="0.25" right="0.25" top="0.25" bottom="0.5" header="0.25" footer="0.25"/>
  <pageSetup scale="64" orientation="portrait" r:id="rId1"/>
  <headerFooter>
    <oddFooter>&amp;CPage &amp;P of &amp;N</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dimension ref="A1:P55"/>
  <sheetViews>
    <sheetView workbookViewId="0"/>
  </sheetViews>
  <sheetFormatPr defaultRowHeight="15" x14ac:dyDescent="0.25"/>
  <cols>
    <col min="1" max="3" width="36.5703125" customWidth="1"/>
    <col min="4" max="5" width="36.7109375" customWidth="1"/>
  </cols>
  <sheetData>
    <row r="1" spans="1:16" x14ac:dyDescent="0.25">
      <c r="A1" s="463" t="s">
        <v>1120</v>
      </c>
    </row>
    <row r="2" spans="1:16" x14ac:dyDescent="0.25">
      <c r="P2" t="e">
        <f ca="1">_xll.CB.RecalcCounterFN()</f>
        <v>#NAME?</v>
      </c>
    </row>
    <row r="3" spans="1:16" x14ac:dyDescent="0.25">
      <c r="A3" t="s">
        <v>1121</v>
      </c>
      <c r="B3" t="s">
        <v>1122</v>
      </c>
      <c r="C3">
        <v>0</v>
      </c>
    </row>
    <row r="4" spans="1:16" x14ac:dyDescent="0.25">
      <c r="A4" t="s">
        <v>1123</v>
      </c>
    </row>
    <row r="5" spans="1:16" x14ac:dyDescent="0.25">
      <c r="A5" t="s">
        <v>1124</v>
      </c>
    </row>
    <row r="7" spans="1:16" x14ac:dyDescent="0.25">
      <c r="A7" s="463" t="s">
        <v>1125</v>
      </c>
      <c r="B7" t="s">
        <v>1126</v>
      </c>
    </row>
    <row r="8" spans="1:16" x14ac:dyDescent="0.25">
      <c r="B8">
        <v>5</v>
      </c>
    </row>
    <row r="10" spans="1:16" x14ac:dyDescent="0.25">
      <c r="A10" t="s">
        <v>1127</v>
      </c>
    </row>
    <row r="11" spans="1:16" x14ac:dyDescent="0.25">
      <c r="A11" t="e">
        <f>CB_DATA_!#REF!</f>
        <v>#REF!</v>
      </c>
      <c r="B11" t="e">
        <f>'H-Risk Register-Model'!#REF!</f>
        <v>#REF!</v>
      </c>
      <c r="C11" t="e">
        <f>'I-Project Contingency'!#REF!</f>
        <v>#REF!</v>
      </c>
      <c r="D11" t="e">
        <f>#REF!</f>
        <v>#REF!</v>
      </c>
      <c r="E11" t="e">
        <f>#REF!</f>
        <v>#REF!</v>
      </c>
    </row>
    <row r="13" spans="1:16" x14ac:dyDescent="0.25">
      <c r="A13" t="s">
        <v>1128</v>
      </c>
    </row>
    <row r="14" spans="1:16" x14ac:dyDescent="0.25">
      <c r="A14" t="s">
        <v>1132</v>
      </c>
      <c r="B14" t="s">
        <v>1135</v>
      </c>
      <c r="C14" t="s">
        <v>1141</v>
      </c>
      <c r="D14" t="s">
        <v>1424</v>
      </c>
      <c r="E14" s="464" t="s">
        <v>1426</v>
      </c>
    </row>
    <row r="16" spans="1:16" x14ac:dyDescent="0.25">
      <c r="A16" t="s">
        <v>1129</v>
      </c>
    </row>
    <row r="17" spans="1:5" x14ac:dyDescent="0.25">
      <c r="D17">
        <v>1</v>
      </c>
      <c r="E17">
        <v>2</v>
      </c>
    </row>
    <row r="19" spans="1:5" x14ac:dyDescent="0.25">
      <c r="A19" t="s">
        <v>1130</v>
      </c>
    </row>
    <row r="20" spans="1:5" x14ac:dyDescent="0.25">
      <c r="A20">
        <v>31</v>
      </c>
      <c r="B20">
        <v>55</v>
      </c>
      <c r="C20">
        <v>31</v>
      </c>
      <c r="D20">
        <v>40</v>
      </c>
      <c r="E20">
        <v>26</v>
      </c>
    </row>
    <row r="25" spans="1:5" x14ac:dyDescent="0.25">
      <c r="A25" s="463" t="s">
        <v>1131</v>
      </c>
    </row>
    <row r="26" spans="1:5" x14ac:dyDescent="0.25">
      <c r="A26" s="464" t="s">
        <v>1133</v>
      </c>
      <c r="B26" s="464" t="s">
        <v>1423</v>
      </c>
      <c r="C26" s="464" t="s">
        <v>1136</v>
      </c>
      <c r="D26" s="464" t="s">
        <v>1138</v>
      </c>
    </row>
    <row r="27" spans="1:5" x14ac:dyDescent="0.25">
      <c r="A27" t="s">
        <v>1300</v>
      </c>
      <c r="B27" t="s">
        <v>1436</v>
      </c>
      <c r="C27" t="s">
        <v>1445</v>
      </c>
      <c r="D27" t="s">
        <v>1429</v>
      </c>
    </row>
    <row r="28" spans="1:5" x14ac:dyDescent="0.25">
      <c r="A28" s="464" t="s">
        <v>1134</v>
      </c>
      <c r="B28" s="464" t="s">
        <v>1134</v>
      </c>
      <c r="C28" s="464" t="s">
        <v>1134</v>
      </c>
      <c r="D28" s="464" t="s">
        <v>1134</v>
      </c>
    </row>
    <row r="29" spans="1:5" x14ac:dyDescent="0.25">
      <c r="A29" s="464" t="s">
        <v>1136</v>
      </c>
      <c r="B29" s="464" t="s">
        <v>1133</v>
      </c>
      <c r="C29" s="464" t="s">
        <v>1133</v>
      </c>
      <c r="D29" s="464" t="s">
        <v>1133</v>
      </c>
    </row>
    <row r="30" spans="1:5" x14ac:dyDescent="0.25">
      <c r="A30" t="s">
        <v>1446</v>
      </c>
      <c r="B30" t="s">
        <v>1297</v>
      </c>
      <c r="C30" t="s">
        <v>1299</v>
      </c>
      <c r="D30" t="s">
        <v>1425</v>
      </c>
    </row>
    <row r="31" spans="1:5" x14ac:dyDescent="0.25">
      <c r="A31" s="464" t="s">
        <v>1134</v>
      </c>
      <c r="B31" s="464" t="s">
        <v>1134</v>
      </c>
      <c r="C31" s="464" t="s">
        <v>1134</v>
      </c>
      <c r="D31" s="464" t="s">
        <v>1134</v>
      </c>
    </row>
    <row r="32" spans="1:5" x14ac:dyDescent="0.25">
      <c r="B32" s="464" t="s">
        <v>1146</v>
      </c>
      <c r="D32" s="464" t="s">
        <v>1139</v>
      </c>
    </row>
    <row r="33" spans="2:4" x14ac:dyDescent="0.25">
      <c r="B33" t="s">
        <v>1437</v>
      </c>
      <c r="D33" t="s">
        <v>1430</v>
      </c>
    </row>
    <row r="34" spans="2:4" x14ac:dyDescent="0.25">
      <c r="B34" s="464" t="s">
        <v>1134</v>
      </c>
      <c r="D34" s="464" t="s">
        <v>1134</v>
      </c>
    </row>
    <row r="35" spans="2:4" x14ac:dyDescent="0.25">
      <c r="B35" s="464" t="s">
        <v>1144</v>
      </c>
      <c r="D35" s="464" t="s">
        <v>1137</v>
      </c>
    </row>
    <row r="36" spans="2:4" x14ac:dyDescent="0.25">
      <c r="B36" t="s">
        <v>1438</v>
      </c>
      <c r="D36" t="s">
        <v>1431</v>
      </c>
    </row>
    <row r="37" spans="2:4" x14ac:dyDescent="0.25">
      <c r="B37" s="464" t="s">
        <v>1134</v>
      </c>
      <c r="D37" s="464" t="s">
        <v>1134</v>
      </c>
    </row>
    <row r="38" spans="2:4" x14ac:dyDescent="0.25">
      <c r="B38" s="464" t="s">
        <v>1145</v>
      </c>
      <c r="D38" s="464" t="s">
        <v>1136</v>
      </c>
    </row>
    <row r="39" spans="2:4" x14ac:dyDescent="0.25">
      <c r="B39" t="s">
        <v>1439</v>
      </c>
      <c r="D39" t="s">
        <v>1432</v>
      </c>
    </row>
    <row r="40" spans="2:4" x14ac:dyDescent="0.25">
      <c r="B40" s="464" t="s">
        <v>1134</v>
      </c>
      <c r="D40" s="464" t="s">
        <v>1134</v>
      </c>
    </row>
    <row r="41" spans="2:4" x14ac:dyDescent="0.25">
      <c r="B41" s="464" t="s">
        <v>1140</v>
      </c>
    </row>
    <row r="42" spans="2:4" x14ac:dyDescent="0.25">
      <c r="B42" t="s">
        <v>1440</v>
      </c>
    </row>
    <row r="43" spans="2:4" x14ac:dyDescent="0.25">
      <c r="B43" s="464" t="s">
        <v>1134</v>
      </c>
    </row>
    <row r="44" spans="2:4" x14ac:dyDescent="0.25">
      <c r="B44" s="464" t="s">
        <v>1138</v>
      </c>
    </row>
    <row r="45" spans="2:4" x14ac:dyDescent="0.25">
      <c r="B45" t="s">
        <v>1441</v>
      </c>
    </row>
    <row r="46" spans="2:4" x14ac:dyDescent="0.25">
      <c r="B46" s="464" t="s">
        <v>1134</v>
      </c>
    </row>
    <row r="47" spans="2:4" x14ac:dyDescent="0.25">
      <c r="B47" s="464" t="s">
        <v>1139</v>
      </c>
    </row>
    <row r="48" spans="2:4" x14ac:dyDescent="0.25">
      <c r="B48" t="s">
        <v>1442</v>
      </c>
    </row>
    <row r="49" spans="2:2" x14ac:dyDescent="0.25">
      <c r="B49" s="464" t="s">
        <v>1134</v>
      </c>
    </row>
    <row r="50" spans="2:2" x14ac:dyDescent="0.25">
      <c r="B50" s="464" t="s">
        <v>1137</v>
      </c>
    </row>
    <row r="51" spans="2:2" x14ac:dyDescent="0.25">
      <c r="B51" t="s">
        <v>1443</v>
      </c>
    </row>
    <row r="52" spans="2:2" x14ac:dyDescent="0.25">
      <c r="B52" s="464" t="s">
        <v>1134</v>
      </c>
    </row>
    <row r="53" spans="2:2" x14ac:dyDescent="0.25">
      <c r="B53" s="464" t="s">
        <v>1136</v>
      </c>
    </row>
    <row r="54" spans="2:2" x14ac:dyDescent="0.25">
      <c r="B54" t="s">
        <v>1444</v>
      </c>
    </row>
    <row r="55" spans="2:2" x14ac:dyDescent="0.25">
      <c r="B55" s="464" t="s">
        <v>1134</v>
      </c>
    </row>
  </sheetData>
  <pageMargins left="0.7" right="0.7" top="0.75" bottom="0.75" header="0.3" footer="0.3"/>
  <pageSetup orientation="portrait" verticalDpi="598"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7">
    <tabColor theme="0" tint="-0.499984740745262"/>
    <pageSetUpPr fitToPage="1"/>
  </sheetPr>
  <dimension ref="A1:H14"/>
  <sheetViews>
    <sheetView showGridLines="0" zoomScaleNormal="100" zoomScaleSheetLayoutView="100" workbookViewId="0">
      <pane xSplit="1" ySplit="6" topLeftCell="B7" activePane="bottomRight" state="frozen"/>
      <selection pane="topRight"/>
      <selection pane="bottomLeft"/>
      <selection pane="bottomRight" activeCell="B7" sqref="B7"/>
    </sheetView>
  </sheetViews>
  <sheetFormatPr defaultColWidth="8.85546875" defaultRowHeight="15" x14ac:dyDescent="0.25"/>
  <cols>
    <col min="1" max="1" width="15.85546875" style="8" customWidth="1"/>
    <col min="2" max="2" width="40.85546875" style="8" customWidth="1"/>
    <col min="3" max="8" width="15.85546875" style="8" customWidth="1"/>
    <col min="9" max="16384" width="8.85546875" style="1"/>
  </cols>
  <sheetData>
    <row r="1" spans="1:8" s="31" customFormat="1" ht="18.75" x14ac:dyDescent="0.3">
      <c r="A1" s="423" t="s">
        <v>1053</v>
      </c>
      <c r="B1" s="1068" t="str">
        <f ca="1">A5&amp;" - "&amp;B5</f>
        <v>TBD - TBD</v>
      </c>
      <c r="C1" s="1068"/>
      <c r="D1" s="1068"/>
      <c r="E1" s="1068"/>
      <c r="F1" s="1068"/>
      <c r="G1" s="1068"/>
      <c r="H1" s="1068"/>
    </row>
    <row r="2" spans="1:8" ht="14.45" customHeight="1" thickBot="1" x14ac:dyDescent="0.3"/>
    <row r="3" spans="1:8" ht="14.45" customHeight="1" thickBot="1" x14ac:dyDescent="0.3">
      <c r="C3" s="1069" t="s">
        <v>864</v>
      </c>
      <c r="D3" s="1070"/>
      <c r="E3" s="1071"/>
      <c r="F3" s="1069" t="s">
        <v>863</v>
      </c>
      <c r="G3" s="1070"/>
      <c r="H3" s="1071"/>
    </row>
    <row r="4" spans="1:8" ht="15.75" thickBot="1" x14ac:dyDescent="0.3">
      <c r="A4" s="427" t="str">
        <f>'H-Risk Register-Model'!A17</f>
        <v>REF</v>
      </c>
      <c r="B4" s="430" t="str">
        <f>'H-Risk Register-Model'!C17</f>
        <v>Risk/Opportunity Event</v>
      </c>
      <c r="C4" s="427" t="s">
        <v>1054</v>
      </c>
      <c r="D4" s="428" t="s">
        <v>695</v>
      </c>
      <c r="E4" s="429" t="s">
        <v>1055</v>
      </c>
      <c r="F4" s="427" t="str">
        <f>C4</f>
        <v>Low Variance</v>
      </c>
      <c r="G4" s="428" t="str">
        <f>D4</f>
        <v>Likely</v>
      </c>
      <c r="H4" s="429" t="str">
        <f>E4</f>
        <v>High Variance</v>
      </c>
    </row>
    <row r="5" spans="1:8" ht="50.1" customHeight="1" thickBot="1" x14ac:dyDescent="0.3">
      <c r="A5" s="424" t="str" cm="1">
        <f t="array" aca="1" ref="A5" ca="1">IFERROR(MID(CELL("filename",A1),FIND("]",CELL("filename",A1))+1,255)*1,"TBD")</f>
        <v>TBD</v>
      </c>
      <c r="B5" s="425" t="str">
        <f ca="1">IFERROR(VLOOKUP($A$5,'H-Risk Register-Model'!$A$18:$AI$1051,MATCH(B4,'H-Risk Register-Model'!$17:$17,0),FALSE),"TBD")</f>
        <v>TBD</v>
      </c>
      <c r="C5" s="435" t="s">
        <v>639</v>
      </c>
      <c r="D5" s="436" t="s">
        <v>639</v>
      </c>
      <c r="E5" s="437" t="s">
        <v>639</v>
      </c>
      <c r="F5" s="438" t="s">
        <v>639</v>
      </c>
      <c r="G5" s="439" t="s">
        <v>639</v>
      </c>
      <c r="H5" s="440" t="s">
        <v>639</v>
      </c>
    </row>
    <row r="6" spans="1:8" ht="14.45" customHeight="1" thickBot="1" x14ac:dyDescent="0.3">
      <c r="B6" s="90"/>
      <c r="F6" s="8" t="s">
        <v>659</v>
      </c>
      <c r="H6" s="8" t="s">
        <v>659</v>
      </c>
    </row>
    <row r="7" spans="1:8" ht="14.45" customHeight="1" thickBot="1" x14ac:dyDescent="0.3">
      <c r="C7" s="427" t="str">
        <f>'H-Risk Register-Model'!F17</f>
        <v>Likelihood</v>
      </c>
      <c r="D7" s="428" t="str">
        <f>'H-Risk Register-Model'!G17</f>
        <v>Impact (C)</v>
      </c>
      <c r="E7" s="430" t="str">
        <f>'H-Risk Register-Model'!H17</f>
        <v>Risk Level (C)</v>
      </c>
      <c r="F7" s="427" t="str">
        <f>C7</f>
        <v>Likelihood</v>
      </c>
      <c r="G7" s="428" t="str">
        <f>'H-Risk Register-Model'!I17</f>
        <v>Impact (S)</v>
      </c>
      <c r="H7" s="429" t="str">
        <f>'H-Risk Register-Model'!J17</f>
        <v>Risk Level (S)</v>
      </c>
    </row>
    <row r="8" spans="1:8" ht="14.45" customHeight="1" thickBot="1" x14ac:dyDescent="0.3">
      <c r="A8" s="426" t="s">
        <v>659</v>
      </c>
      <c r="B8" s="431" t="s">
        <v>1052</v>
      </c>
      <c r="C8" s="432" t="str">
        <f ca="1">IFERROR(VLOOKUP($A$5,'H-Risk Register-Model'!$A$17:$AU$122,MATCH(C7,'H-Risk Register-Model'!$17:$17,0),FALSE),"TBD")</f>
        <v>TBD</v>
      </c>
      <c r="D8" s="433" t="str">
        <f ca="1">IFERROR(VLOOKUP($A$5,'H-Risk Register-Model'!$A$17:$AU$122,MATCH(D7,'H-Risk Register-Model'!$17:$17,0),FALSE),"TBD")</f>
        <v>TBD</v>
      </c>
      <c r="E8" s="442" t="str">
        <f ca="1">IFERROR(VLOOKUP($A$5,'H-Risk Register-Model'!$A$17:$AU$122,MATCH(E7,'H-Risk Register-Model'!$17:$17,0),FALSE),"TBD")</f>
        <v>TBD</v>
      </c>
      <c r="F8" s="432" t="str">
        <f ca="1">IFERROR(VLOOKUP($A$5,'H-Risk Register-Model'!$A$17:$AU$122,MATCH(F7,'H-Risk Register-Model'!$17:$17,0),FALSE),"TBD")</f>
        <v>TBD</v>
      </c>
      <c r="G8" s="433" t="str">
        <f ca="1">IFERROR(VLOOKUP($A$5,'H-Risk Register-Model'!$A$17:$AU$122,MATCH(G7,'H-Risk Register-Model'!$17:$17,0),FALSE),"TBD")</f>
        <v>TBD</v>
      </c>
      <c r="H8" s="441" t="str">
        <f ca="1">IFERROR(VLOOKUP($A$5,'H-Risk Register-Model'!$A$17:$AU$122,MATCH(H7,'H-Risk Register-Model'!$17:$17,0),FALSE),"TBD")</f>
        <v>TBD</v>
      </c>
    </row>
    <row r="9" spans="1:8" ht="14.45" customHeight="1" x14ac:dyDescent="0.25">
      <c r="F9" s="8" t="s">
        <v>659</v>
      </c>
      <c r="H9" s="8" t="s">
        <v>659</v>
      </c>
    </row>
    <row r="10" spans="1:8" ht="60" customHeight="1" x14ac:dyDescent="0.25">
      <c r="A10" s="537" t="str">
        <f>'H-Risk Register-Model'!$D$17</f>
        <v>Risk Event Description</v>
      </c>
      <c r="B10" s="1065" t="str">
        <f ca="1">IFERROR(VLOOKUP($A$5,'H-Risk Register-Model'!$A$17:$AU$122,MATCH(A10,'H-Risk Register-Model'!$17:$17,0),FALSE),"TBD")</f>
        <v>TBD</v>
      </c>
      <c r="C10" s="1066"/>
      <c r="D10" s="1066"/>
      <c r="E10" s="1066"/>
      <c r="F10" s="1066"/>
      <c r="G10" s="1066"/>
      <c r="H10" s="1067"/>
    </row>
    <row r="11" spans="1:8" ht="250.35" customHeight="1" x14ac:dyDescent="0.25">
      <c r="A11" s="537" t="str">
        <f>'H-Risk Register-Model'!$E$17</f>
        <v>Team Discussions on Impact and Likelihood</v>
      </c>
      <c r="B11" s="1065" t="str">
        <f ca="1">IFERROR(VLOOKUP($A$5,'H-Risk Register-Model'!$A$17:$AU$122,MATCH(A11,'H-Risk Register-Model'!$17:$17,0),FALSE),"TBD")</f>
        <v>TBD</v>
      </c>
      <c r="C11" s="1066"/>
      <c r="D11" s="1066"/>
      <c r="E11" s="1066"/>
      <c r="F11" s="1066"/>
      <c r="G11" s="1066"/>
      <c r="H11" s="1067"/>
    </row>
    <row r="12" spans="1:8" ht="60" customHeight="1" x14ac:dyDescent="0.25">
      <c r="A12" s="538" t="s">
        <v>695</v>
      </c>
      <c r="B12" s="1062" t="s">
        <v>639</v>
      </c>
      <c r="C12" s="1063"/>
      <c r="D12" s="1063"/>
      <c r="E12" s="1063"/>
      <c r="F12" s="1063"/>
      <c r="G12" s="1063"/>
      <c r="H12" s="1064"/>
    </row>
    <row r="13" spans="1:8" ht="60" customHeight="1" x14ac:dyDescent="0.25">
      <c r="A13" s="538" t="s">
        <v>1054</v>
      </c>
      <c r="B13" s="1062" t="s">
        <v>639</v>
      </c>
      <c r="C13" s="1063"/>
      <c r="D13" s="1063"/>
      <c r="E13" s="1063"/>
      <c r="F13" s="1063"/>
      <c r="G13" s="1063"/>
      <c r="H13" s="1064"/>
    </row>
    <row r="14" spans="1:8" ht="60" customHeight="1" x14ac:dyDescent="0.25">
      <c r="A14" s="538" t="s">
        <v>1055</v>
      </c>
      <c r="B14" s="1062" t="s">
        <v>639</v>
      </c>
      <c r="C14" s="1063"/>
      <c r="D14" s="1063"/>
      <c r="E14" s="1063"/>
      <c r="F14" s="1063"/>
      <c r="G14" s="1063"/>
      <c r="H14" s="1064"/>
    </row>
  </sheetData>
  <mergeCells count="8">
    <mergeCell ref="B13:H13"/>
    <mergeCell ref="B14:H14"/>
    <mergeCell ref="B10:H10"/>
    <mergeCell ref="B1:H1"/>
    <mergeCell ref="C3:E3"/>
    <mergeCell ref="F3:H3"/>
    <mergeCell ref="B11:H11"/>
    <mergeCell ref="B12:H12"/>
  </mergeCells>
  <conditionalFormatting sqref="C5:E5">
    <cfRule type="expression" dxfId="9" priority="10">
      <formula>$E$8="Low"</formula>
    </cfRule>
  </conditionalFormatting>
  <conditionalFormatting sqref="E8">
    <cfRule type="expression" dxfId="8" priority="5" stopIfTrue="1">
      <formula>LEFT(E8,1)="H"</formula>
    </cfRule>
    <cfRule type="expression" dxfId="7" priority="6" stopIfTrue="1">
      <formula>LEFT(E8,1)="M"</formula>
    </cfRule>
    <cfRule type="expression" dxfId="6" priority="7" stopIfTrue="1">
      <formula>LEFT(E8,1)="L"</formula>
    </cfRule>
    <cfRule type="expression" dxfId="5" priority="8" stopIfTrue="1">
      <formula>LEFT(C8,3)="Cer"</formula>
    </cfRule>
  </conditionalFormatting>
  <conditionalFormatting sqref="F5:H5">
    <cfRule type="expression" dxfId="4" priority="9">
      <formula>$H$8="Low"</formula>
    </cfRule>
  </conditionalFormatting>
  <conditionalFormatting sqref="H8">
    <cfRule type="expression" dxfId="3" priority="1" stopIfTrue="1">
      <formula>LEFT(H8,1)="H"</formula>
    </cfRule>
    <cfRule type="expression" dxfId="2" priority="2" stopIfTrue="1">
      <formula>LEFT(H8,1)="M"</formula>
    </cfRule>
    <cfRule type="expression" dxfId="1" priority="3" stopIfTrue="1">
      <formula>LEFT(H8,1)="L"</formula>
    </cfRule>
    <cfRule type="expression" dxfId="0" priority="4" stopIfTrue="1">
      <formula>LEFT(F8,3)="Cer"</formula>
    </cfRule>
  </conditionalFormatting>
  <printOptions horizontalCentered="1"/>
  <pageMargins left="0.25" right="0.25" top="0.25" bottom="0.5" header="0.25" footer="0.25"/>
  <pageSetup scale="83" orientation="landscape" horizontalDpi="1200" verticalDpi="1200" r:id="rId1"/>
  <headerFooter>
    <oddFooter>&amp;CPage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pageSetUpPr fitToPage="1"/>
  </sheetPr>
  <dimension ref="A2:C14"/>
  <sheetViews>
    <sheetView showGridLines="0" zoomScaleNormal="100" workbookViewId="0">
      <pane ySplit="2" topLeftCell="A3" activePane="bottomLeft" state="frozen"/>
      <selection activeCell="A3" sqref="A3"/>
      <selection pane="bottomLeft" activeCell="A3" sqref="A3"/>
    </sheetView>
  </sheetViews>
  <sheetFormatPr defaultRowHeight="15" x14ac:dyDescent="0.25"/>
  <cols>
    <col min="1" max="1" width="3" style="8" customWidth="1"/>
    <col min="2" max="2" width="125.5703125" style="8" customWidth="1"/>
    <col min="3" max="3" width="3" style="8" customWidth="1"/>
  </cols>
  <sheetData>
    <row r="2" spans="2:2" ht="21" x14ac:dyDescent="0.25">
      <c r="B2" s="180" t="s">
        <v>829</v>
      </c>
    </row>
    <row r="3" spans="2:2" x14ac:dyDescent="0.25">
      <c r="B3" s="178" t="s">
        <v>1042</v>
      </c>
    </row>
    <row r="4" spans="2:2" ht="30" x14ac:dyDescent="0.25">
      <c r="B4" s="179" t="s">
        <v>1043</v>
      </c>
    </row>
    <row r="5" spans="2:2" ht="30" x14ac:dyDescent="0.25">
      <c r="B5" s="179" t="s">
        <v>1044</v>
      </c>
    </row>
    <row r="6" spans="2:2" ht="30" x14ac:dyDescent="0.25">
      <c r="B6" s="179" t="s">
        <v>1045</v>
      </c>
    </row>
    <row r="7" spans="2:2" x14ac:dyDescent="0.25">
      <c r="B7" s="179" t="s">
        <v>1046</v>
      </c>
    </row>
    <row r="8" spans="2:2" ht="60" x14ac:dyDescent="0.25">
      <c r="B8" s="179" t="s">
        <v>827</v>
      </c>
    </row>
    <row r="9" spans="2:2" ht="30" x14ac:dyDescent="0.25">
      <c r="B9" s="179" t="s">
        <v>1047</v>
      </c>
    </row>
    <row r="10" spans="2:2" ht="30" x14ac:dyDescent="0.25">
      <c r="B10" s="179" t="s">
        <v>1048</v>
      </c>
    </row>
    <row r="11" spans="2:2" x14ac:dyDescent="0.25">
      <c r="B11" s="179" t="s">
        <v>1049</v>
      </c>
    </row>
    <row r="12" spans="2:2" ht="30" x14ac:dyDescent="0.25">
      <c r="B12" s="179" t="s">
        <v>1050</v>
      </c>
    </row>
    <row r="13" spans="2:2" ht="30" x14ac:dyDescent="0.25">
      <c r="B13" s="179" t="s">
        <v>1051</v>
      </c>
    </row>
    <row r="14" spans="2:2" x14ac:dyDescent="0.25">
      <c r="B14" s="105" t="s">
        <v>828</v>
      </c>
    </row>
  </sheetData>
  <pageMargins left="0.25" right="0.25" top="0.25" bottom="0.5" header="0.25" footer="0.25"/>
  <pageSetup scale="97" fitToHeight="0" orientation="portrait" horizontalDpi="1200" verticalDpi="1200" r:id="rId1"/>
  <headerFooter>
    <oddFooter>&amp;CPage &amp;P of &amp;N</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1"/>
  </sheetPr>
  <dimension ref="A1"/>
  <sheetViews>
    <sheetView workbookViewId="0"/>
  </sheetViews>
  <sheetFormatPr defaultRowHeight="15" x14ac:dyDescent="0.25"/>
  <sheetData/>
  <pageMargins left="0.7" right="0.7" top="0.75" bottom="0.75" header="0.3" footer="0.3"/>
  <pageSetup orientation="portrait" verticalDpi="598"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X36"/>
  <sheetViews>
    <sheetView showGridLines="0" zoomScaleNormal="100" workbookViewId="0">
      <pane ySplit="2" topLeftCell="A3" activePane="bottomLeft" state="frozen"/>
      <selection pane="bottomLeft" activeCell="A3" sqref="A3"/>
    </sheetView>
  </sheetViews>
  <sheetFormatPr defaultRowHeight="15" outlineLevelCol="1" x14ac:dyDescent="0.25"/>
  <cols>
    <col min="1" max="1" width="10.5703125" customWidth="1"/>
    <col min="2" max="2" width="100.5703125" customWidth="1"/>
    <col min="4" max="4" width="28.140625" hidden="1" customWidth="1" outlineLevel="1"/>
    <col min="5" max="5" width="55.85546875" hidden="1" customWidth="1" outlineLevel="1"/>
    <col min="6" max="7" width="30.5703125" hidden="1" customWidth="1" outlineLevel="1"/>
    <col min="8" max="8" width="5.42578125" hidden="1" customWidth="1" outlineLevel="1"/>
    <col min="9" max="9" width="8.140625" hidden="1" customWidth="1" outlineLevel="1"/>
    <col min="10" max="10" width="5.42578125" hidden="1" customWidth="1" outlineLevel="1"/>
    <col min="11" max="11" width="5.85546875" hidden="1" customWidth="1" outlineLevel="1"/>
    <col min="12" max="12" width="24.140625" hidden="1" customWidth="1" outlineLevel="1"/>
    <col min="13" max="13" width="8.85546875" hidden="1" customWidth="1" outlineLevel="1"/>
    <col min="14" max="14" width="34.5703125" hidden="1" customWidth="1" outlineLevel="1"/>
    <col min="15" max="15" width="27.140625" bestFit="1" customWidth="1" collapsed="1"/>
    <col min="16" max="16" width="28.5703125" bestFit="1" customWidth="1"/>
    <col min="17" max="17" width="13.42578125" bestFit="1" customWidth="1"/>
  </cols>
  <sheetData>
    <row r="1" spans="1:24" s="7" customFormat="1" ht="21" x14ac:dyDescent="0.35">
      <c r="A1" s="815" t="s">
        <v>10</v>
      </c>
      <c r="B1" s="815"/>
      <c r="D1" s="815" t="s">
        <v>1188</v>
      </c>
      <c r="E1" s="815"/>
      <c r="F1" s="815"/>
      <c r="G1" s="815"/>
      <c r="H1" s="815"/>
      <c r="I1" s="815"/>
      <c r="J1" s="815"/>
      <c r="K1" s="815"/>
      <c r="L1" s="815"/>
      <c r="M1" s="815"/>
      <c r="N1" s="815"/>
    </row>
    <row r="2" spans="1:24" s="1" customFormat="1" x14ac:dyDescent="0.25">
      <c r="H2"/>
      <c r="I2"/>
      <c r="J2"/>
      <c r="K2"/>
      <c r="L2"/>
      <c r="M2"/>
      <c r="N2"/>
    </row>
    <row r="3" spans="1:24" x14ac:dyDescent="0.25">
      <c r="A3" s="361" t="s">
        <v>1035</v>
      </c>
      <c r="B3" s="362"/>
      <c r="D3" s="362" t="s">
        <v>2</v>
      </c>
      <c r="E3" s="363" t="s">
        <v>1023</v>
      </c>
      <c r="F3" s="362" t="s">
        <v>1008</v>
      </c>
      <c r="G3" s="362" t="s">
        <v>1435</v>
      </c>
      <c r="H3" s="362" t="s">
        <v>1166</v>
      </c>
      <c r="I3" s="362" t="s">
        <v>1170</v>
      </c>
      <c r="J3" s="362" t="s">
        <v>1171</v>
      </c>
      <c r="L3" s="362" t="s">
        <v>1169</v>
      </c>
      <c r="N3" s="362" t="s">
        <v>1172</v>
      </c>
    </row>
    <row r="4" spans="1:24" x14ac:dyDescent="0.25">
      <c r="A4" s="585">
        <v>1</v>
      </c>
      <c r="B4" s="583" t="s">
        <v>1167</v>
      </c>
      <c r="D4" s="812" t="s">
        <v>1009</v>
      </c>
      <c r="E4" s="812" t="str" cm="1">
        <f t="array" aca="1" ref="E4" ca="1">TEXT(CELL("address",'E-Cost &amp; Schedule Summary'!$D$50),"")</f>
        <v>'[UFC_3-740-05_CSRA_Template_2024.xlsx]E-Cost &amp; Schedule Summary'!$D$50</v>
      </c>
      <c r="F4" s="812" t="str">
        <f t="shared" ref="F4:F26" ca="1" si="0">RIGHT(E4,LEN(E4)-FIND("]",E4))</f>
        <v>E-Cost &amp; Schedule Summary'!$D$50</v>
      </c>
      <c r="G4" s="812" t="str">
        <f ca="1">LEFT(F4,FIND("'",F4,1)-1)</f>
        <v>E-Cost &amp; Schedule Summary</v>
      </c>
      <c r="H4" s="812" t="str">
        <f t="shared" ref="H4:H26" ca="1" si="1">SUBSTITUTE(RIGHT(F4,LEN(F4)-FIND("!",F4,1)),"$","")</f>
        <v>D50</v>
      </c>
      <c r="I4" s="812" t="str">
        <f t="shared" ref="I4:I11" ca="1" si="2">SUBSTITUTE(H4,J4,"")</f>
        <v>D</v>
      </c>
      <c r="J4" s="812" t="str" cm="1">
        <f t="array" aca="1" ref="J4" ca="1">RIGHT(H4,LEN(H4)-MIN(FIND({0,1,2,3,4,5,6,7,8,9},H4&amp;"0123456789"))+1)</f>
        <v>50</v>
      </c>
      <c r="N4" s="591" t="s">
        <v>1177</v>
      </c>
      <c r="R4" s="1"/>
      <c r="S4" s="1"/>
      <c r="T4" s="1"/>
      <c r="U4" s="1"/>
      <c r="V4" s="1"/>
      <c r="W4" s="1"/>
      <c r="X4" s="1"/>
    </row>
    <row r="5" spans="1:24" ht="75" x14ac:dyDescent="0.25">
      <c r="A5" s="585">
        <f>A4+1</f>
        <v>2</v>
      </c>
      <c r="B5" s="583" t="str">
        <f ca="1">CONCATENATE("Fill Out the '",L6,"' tab and the ‘",L5,"'’ tab before the meeting.  This will set the project assumptions tab up for the risk register ranges that display on the ‘",L9,"’ tab.  The cost and schedule data you fill in here links to the contingency tabs- so be careful if you reformat.  The ‘",L6,"’ tab is for the Estimator to help you!   It is good to break things out by WBS so you can use this in development of risk ranges.")</f>
        <v>Fill Out the 'E-Cost &amp; Schedule Summary' tab and the ‘D-Project Data'’ tab before the meeting.  This will set the project assumptions tab up for the risk register ranges that display on the ‘H-Risk Register-Model’ tab.  The cost and schedule data you fill in here links to the contingency tabs- so be careful if you reformat.  The ‘E-Cost &amp; Schedule Summary’ tab is for the Estimator to help you!   It is good to break things out by WBS so you can use this in development of risk ranges.</v>
      </c>
      <c r="D5" s="812" t="s">
        <v>1024</v>
      </c>
      <c r="E5" s="812" t="str" cm="1">
        <f t="array" aca="1" ref="E5" ca="1">TEXT(CELL("address",'E-Cost &amp; Schedule Summary'!G52),"")</f>
        <v>'[UFC_3-740-05_CSRA_Template_2024.xlsx]E-Cost &amp; Schedule Summary'!$G$52</v>
      </c>
      <c r="F5" s="812" t="str">
        <f t="shared" ca="1" si="0"/>
        <v>E-Cost &amp; Schedule Summary'!$G$52</v>
      </c>
      <c r="G5" s="812" t="str">
        <f t="shared" ref="G5:G26" ca="1" si="3">LEFT(F5,FIND("'",F5,1)-1)</f>
        <v>E-Cost &amp; Schedule Summary</v>
      </c>
      <c r="H5" s="812" t="str">
        <f t="shared" ca="1" si="1"/>
        <v>G52</v>
      </c>
      <c r="I5" s="812" t="str">
        <f t="shared" ca="1" si="2"/>
        <v>G</v>
      </c>
      <c r="J5" s="812" t="str" cm="1">
        <f t="array" aca="1" ref="J5" ca="1">RIGHT(H5,LEN(H5)-MIN(FIND({0,1,2,3,4,5,6,7,8,9},H5&amp;"0123456789"))+1)</f>
        <v>52</v>
      </c>
      <c r="L5" s="584" t="str" cm="1">
        <f t="array" aca="1" ref="L5" ca="1">MID(CELL("filename",'D-Project Data'!A1),FIND("]",CELL("filename",'D-Project Data'!A1))+1,255)</f>
        <v>D-Project Data</v>
      </c>
      <c r="N5" s="591" t="s">
        <v>1178</v>
      </c>
    </row>
    <row r="6" spans="1:24" ht="135" x14ac:dyDescent="0.25">
      <c r="A6" s="585">
        <f>A5+1</f>
        <v>3</v>
      </c>
      <c r="B6" s="583" t="str">
        <f ca="1">CONCATENATE("CELL ",H4," on the ‘",L6,"’ tab is what generates the 'ranges' defining costs of impacts by using the values in the ‘",L9,"’ tab and the base cost/schedule of the project.  The cost value is highlighted RED.  If you have a project cost ceiling or programmed amount already, you can populate the programmed amount in CELL ",H5," and there is a chart already created in the project contingency tab that will show it on the S-curve.  Check the ranges on the ‘",L8,"’ Tab-- a “Marginal” risk is 0.5% of the estimated project cost.  Depending on where you are in execution you may want to LOWER the thresholds of risk at each level.  ","Marginal should never be defined as more than 1/2 of 1 percent.  You can lower the values but generally don’t want to raise them.  Rounding for the assumptions is set in CELLS ",H6," and ",H7," on the '",L9,"' tab.")</f>
        <v>CELL D50 on the ‘E-Cost &amp; Schedule Summary’ tab is what generates the 'ranges' defining costs of impacts by using the values in the ‘H-Risk Register-Model’ tab and the base cost/schedule of the project.  The cost value is highlighted RED.  If you have a project cost ceiling or programmed amount already, you can populate the programmed amount in CELL G52 and there is a chart already created in the project contingency tab that will show it on the S-curve.  Check the ranges on the ‘G-Assumptions’ Tab-- a “Marginal” risk is 0.5% of the estimated project cost.  Depending on where you are in execution you may want to LOWER the thresholds of risk at each level.  Marginal should never be defined as more than 1/2 of 1 percent.  You can lower the values but generally don’t want to raise them.  Rounding for the assumptions is set in CELLS B6 and C6 on the 'H-Risk Register-Model' tab.</v>
      </c>
      <c r="D6" s="812" t="s">
        <v>1011</v>
      </c>
      <c r="E6" s="812" t="str" cm="1">
        <f t="array" aca="1" ref="E6" ca="1">TEXT(CELL("address",'H-Risk Register-Model'!B6),"")</f>
        <v>'[UFC_3-740-05_CSRA_Template_2024.xlsx]H-Risk Register-Model'!$B$6</v>
      </c>
      <c r="F6" s="812" t="str">
        <f t="shared" ca="1" si="0"/>
        <v>H-Risk Register-Model'!$B$6</v>
      </c>
      <c r="G6" s="812" t="str">
        <f t="shared" ca="1" si="3"/>
        <v>H-Risk Register-Model</v>
      </c>
      <c r="H6" s="812" t="str">
        <f t="shared" ca="1" si="1"/>
        <v>B6</v>
      </c>
      <c r="I6" s="812" t="str">
        <f t="shared" ca="1" si="2"/>
        <v>B</v>
      </c>
      <c r="J6" s="812" t="str" cm="1">
        <f t="array" aca="1" ref="J6" ca="1">RIGHT(H6,LEN(H6)-MIN(FIND({0,1,2,3,4,5,6,7,8,9},H6&amp;"0123456789"))+1)</f>
        <v>6</v>
      </c>
      <c r="L6" s="584" t="str" cm="1">
        <f t="array" aca="1" ref="L6" ca="1">MID(CELL("filename",'E-Cost &amp; Schedule Summary'!$A$1),FIND("]",CELL("filename",'E-Cost &amp; Schedule Summary'!$A$1))+1,255)</f>
        <v>E-Cost &amp; Schedule Summary</v>
      </c>
      <c r="N6" s="591" t="s">
        <v>1179</v>
      </c>
    </row>
    <row r="7" spans="1:24" x14ac:dyDescent="0.25">
      <c r="A7" s="585">
        <f>A6+1</f>
        <v>4</v>
      </c>
      <c r="B7" s="583" t="s">
        <v>9</v>
      </c>
      <c r="D7" s="812" t="s">
        <v>1010</v>
      </c>
      <c r="E7" s="812" t="str" cm="1">
        <f t="array" aca="1" ref="E7" ca="1">TEXT(CELL("address",'H-Risk Register-Model'!C6),"")</f>
        <v>'[UFC_3-740-05_CSRA_Template_2024.xlsx]H-Risk Register-Model'!$C$6</v>
      </c>
      <c r="F7" s="812" t="str">
        <f t="shared" ca="1" si="0"/>
        <v>H-Risk Register-Model'!$C$6</v>
      </c>
      <c r="G7" s="812" t="str">
        <f t="shared" ca="1" si="3"/>
        <v>H-Risk Register-Model</v>
      </c>
      <c r="H7" s="812" t="str">
        <f t="shared" ca="1" si="1"/>
        <v>C6</v>
      </c>
      <c r="I7" s="812" t="str">
        <f t="shared" ca="1" si="2"/>
        <v>C</v>
      </c>
      <c r="J7" s="812" t="str" cm="1">
        <f t="array" aca="1" ref="J7" ca="1">RIGHT(H7,LEN(H7)-MIN(FIND({0,1,2,3,4,5,6,7,8,9},H7&amp;"0123456789"))+1)</f>
        <v>6</v>
      </c>
      <c r="L7" s="584" t="str" cm="1">
        <f t="array" aca="1" ref="L7" ca="1">MID(CELL("filename",'F-Meeting Attendance'!$A$1),FIND("]",CELL("filename",'F-Meeting Attendance'!$A$1))+1,255)</f>
        <v>F-Meeting Attendance</v>
      </c>
      <c r="N7" s="591" t="s">
        <v>1180</v>
      </c>
    </row>
    <row r="8" spans="1:24" x14ac:dyDescent="0.25">
      <c r="A8" s="10"/>
      <c r="B8" s="5"/>
      <c r="D8" s="812" t="s">
        <v>1012</v>
      </c>
      <c r="E8" s="812" t="str" cm="1">
        <f t="array" aca="1" ref="E8" ca="1">TEXT(CELL("address",'H-Risk Register-Model'!$AE$1),"")</f>
        <v>'[UFC_3-740-05_CSRA_Template_2024.xlsx]H-Risk Register-Model'!$AE$1</v>
      </c>
      <c r="F8" s="812" t="str">
        <f t="shared" ca="1" si="0"/>
        <v>H-Risk Register-Model'!$AE$1</v>
      </c>
      <c r="G8" s="812" t="str">
        <f t="shared" ca="1" si="3"/>
        <v>H-Risk Register-Model</v>
      </c>
      <c r="H8" s="812" t="str">
        <f t="shared" ca="1" si="1"/>
        <v>AE1</v>
      </c>
      <c r="I8" s="812" t="str">
        <f t="shared" ca="1" si="2"/>
        <v>AE</v>
      </c>
      <c r="J8" s="812" t="str" cm="1">
        <f t="array" aca="1" ref="J8" ca="1">RIGHT(H8,LEN(H8)-MIN(FIND({0,1,2,3,4,5,6,7,8,9},H8&amp;"0123456789"))+1)</f>
        <v>1</v>
      </c>
      <c r="L8" s="584" t="str" cm="1">
        <f t="array" aca="1" ref="L8" ca="1">MID(CELL("filename",'G-Assumptions'!$A$1),FIND("]",CELL("filename",'G-Assumptions'!$A$1))+1,255)</f>
        <v>G-Assumptions</v>
      </c>
      <c r="N8" s="591" t="s">
        <v>1181</v>
      </c>
    </row>
    <row r="9" spans="1:24" x14ac:dyDescent="0.25">
      <c r="A9" s="361" t="s">
        <v>8</v>
      </c>
      <c r="B9" s="362"/>
      <c r="D9" s="812" t="s">
        <v>1013</v>
      </c>
      <c r="E9" s="812" t="str" cm="1">
        <f t="array" aca="1" ref="E9" ca="1">TEXT(CELL("address",'H-Risk Register-Model'!$AG$1),"")</f>
        <v>'[UFC_3-740-05_CSRA_Template_2024.xlsx]H-Risk Register-Model'!$AG$1</v>
      </c>
      <c r="F9" s="812" t="str">
        <f t="shared" ca="1" si="0"/>
        <v>H-Risk Register-Model'!$AG$1</v>
      </c>
      <c r="G9" s="812" t="str">
        <f t="shared" ca="1" si="3"/>
        <v>H-Risk Register-Model</v>
      </c>
      <c r="H9" s="812" t="str">
        <f t="shared" ca="1" si="1"/>
        <v>AG1</v>
      </c>
      <c r="I9" s="812" t="str">
        <f t="shared" ca="1" si="2"/>
        <v>AG</v>
      </c>
      <c r="J9" s="812" t="str" cm="1">
        <f t="array" aca="1" ref="J9" ca="1">RIGHT(H9,LEN(H9)-MIN(FIND({0,1,2,3,4,5,6,7,8,9},H9&amp;"0123456789"))+1)</f>
        <v>1</v>
      </c>
      <c r="L9" s="584" t="str" cm="1">
        <f t="array" aca="1" ref="L9" ca="1">MID(CELL("filename",'H-Risk Register-Model'!$A$1),FIND("]",CELL("filename",'H-Risk Register-Model'!$A$1))+1,255)</f>
        <v>H-Risk Register-Model</v>
      </c>
      <c r="N9" s="591" t="s">
        <v>1183</v>
      </c>
    </row>
    <row r="10" spans="1:24" ht="45" x14ac:dyDescent="0.25">
      <c r="A10" s="10">
        <f>A7+1</f>
        <v>5</v>
      </c>
      <c r="B10" s="5" t="str">
        <f ca="1">CONCATENATE("Lead the meeting and capture the meeting attendance on the ‘",L7,"’ tab and risks on the ‘",L9,"’ tab- it may help to have a second person capture them also so you can compare and contrast.")</f>
        <v>Lead the meeting and capture the meeting attendance on the ‘F-Meeting Attendance’ tab and risks on the ‘H-Risk Register-Model’ tab- it may help to have a second person capture them also so you can compare and contrast.</v>
      </c>
      <c r="D10" s="812" t="s">
        <v>843</v>
      </c>
      <c r="E10" s="812" t="str" cm="1">
        <f t="array" aca="1" ref="E10" ca="1">TEXT(CELL("address",'D-Project Data'!C6),"")</f>
        <v>'[UFC_3-740-05_CSRA_Template_2024.xlsx]D-Project Data'!$C$6</v>
      </c>
      <c r="F10" s="812" t="str">
        <f t="shared" ca="1" si="0"/>
        <v>D-Project Data'!$C$6</v>
      </c>
      <c r="G10" s="812" t="str">
        <f t="shared" ca="1" si="3"/>
        <v>D-Project Data</v>
      </c>
      <c r="H10" s="812" t="str">
        <f t="shared" ca="1" si="1"/>
        <v>C6</v>
      </c>
      <c r="I10" s="812" t="str">
        <f t="shared" ca="1" si="2"/>
        <v>C</v>
      </c>
      <c r="J10" s="812" t="str" cm="1">
        <f t="array" aca="1" ref="J10" ca="1">RIGHT(H10,LEN(H10)-MIN(FIND({0,1,2,3,4,5,6,7,8,9},H10&amp;"0123456789"))+1)</f>
        <v>6</v>
      </c>
      <c r="L10" s="584" t="str" cm="1">
        <f t="array" aca="1" ref="L10" ca="1">MID(CELL("filename",'I-Project Contingency'!$A$1),FIND("]",CELL("filename",'I-Project Contingency'!$A$1))+1,255)</f>
        <v>I-Project Contingency</v>
      </c>
      <c r="N10" s="591" t="s">
        <v>1184</v>
      </c>
    </row>
    <row r="11" spans="1:24" x14ac:dyDescent="0.25">
      <c r="A11" s="10"/>
      <c r="B11" s="5"/>
      <c r="D11" s="812" t="s">
        <v>1014</v>
      </c>
      <c r="E11" s="812" t="str" cm="1">
        <f t="array" aca="1" ref="E11" ca="1">TEXT(CELL("address",'H-Risk Register-Model'!$AI$17),"")</f>
        <v>'[UFC_3-740-05_CSRA_Template_2024.xlsx]H-Risk Register-Model'!$AI$17</v>
      </c>
      <c r="F11" s="812" t="str">
        <f t="shared" ca="1" si="0"/>
        <v>H-Risk Register-Model'!$AI$17</v>
      </c>
      <c r="G11" s="812" t="str">
        <f t="shared" ca="1" si="3"/>
        <v>H-Risk Register-Model</v>
      </c>
      <c r="H11" s="812" t="str">
        <f t="shared" ca="1" si="1"/>
        <v>AI17</v>
      </c>
      <c r="I11" s="812" t="str">
        <f t="shared" ca="1" si="2"/>
        <v>AI</v>
      </c>
      <c r="J11" s="812" t="str" cm="1">
        <f t="array" aca="1" ref="J11" ca="1">RIGHT(H11,LEN(H11)-MIN(FIND({0,1,2,3,4,5,6,7,8,9},H11&amp;"0123456789"))+1)</f>
        <v>17</v>
      </c>
      <c r="L11" s="584" t="str" cm="1">
        <f t="array" aca="1" ref="L11" ca="1">MID(CELL("filename",'J-Sensitivity Charts'!$A$1),FIND("]",CELL("filename",'J-Sensitivity Charts'!$A$1))+1,255)</f>
        <v>J-Sensitivity Charts</v>
      </c>
      <c r="N11" s="591" t="s">
        <v>1185</v>
      </c>
    </row>
    <row r="12" spans="1:24" x14ac:dyDescent="0.25">
      <c r="A12" s="361" t="s">
        <v>7</v>
      </c>
      <c r="B12" s="362"/>
      <c r="D12" s="812" t="s">
        <v>1016</v>
      </c>
      <c r="E12" s="812" t="str" cm="1">
        <f t="array" aca="1" ref="E12" ca="1">TEXT(CELL("address",'H-Risk Register-Model'!$A$17),"")</f>
        <v>'[UFC_3-740-05_CSRA_Template_2024.xlsx]H-Risk Register-Model'!$A$17</v>
      </c>
      <c r="F12" s="812" t="str">
        <f t="shared" ca="1" si="0"/>
        <v>H-Risk Register-Model'!$A$17</v>
      </c>
      <c r="G12" s="812" t="str">
        <f t="shared" ca="1" si="3"/>
        <v>H-Risk Register-Model</v>
      </c>
      <c r="H12" s="812" t="str">
        <f t="shared" ca="1" si="1"/>
        <v>A17</v>
      </c>
      <c r="I12" s="812" t="str">
        <f ca="1">SUBSTITUTE(H12,J12,"")</f>
        <v>A</v>
      </c>
      <c r="J12" s="812" t="str" cm="1">
        <f t="array" aca="1" ref="J12" ca="1">RIGHT(H12,LEN(H12)-MIN(FIND({0,1,2,3,4,5,6,7,8,9},H12&amp;"0123456789"))+1)</f>
        <v>17</v>
      </c>
      <c r="L12" s="584" t="str" cm="1">
        <f t="array" aca="1" ref="L12" ca="1">MID(CELL("filename",'K1-Risk Dashboard (Cost)'!$A$1),FIND("]",CELL("filename",'K1-Risk Dashboard (Cost)'!$A$1))+1,255)</f>
        <v>K1-Risk Dashboard (Cost)</v>
      </c>
      <c r="N12" s="591" t="s">
        <v>1186</v>
      </c>
    </row>
    <row r="13" spans="1:24" ht="30" x14ac:dyDescent="0.25">
      <c r="A13" s="585">
        <f>A10+1</f>
        <v>6</v>
      </c>
      <c r="B13" s="583" t="s">
        <v>6</v>
      </c>
      <c r="D13" s="812" t="s">
        <v>1015</v>
      </c>
      <c r="E13" s="812" t="str" cm="1">
        <f t="array" aca="1" ref="E13" ca="1">TEXT(CELL("address",'H-Risk Register-Model'!AI17),"")</f>
        <v>'[UFC_3-740-05_CSRA_Template_2024.xlsx]H-Risk Register-Model'!$AI$17</v>
      </c>
      <c r="F13" s="812" t="str">
        <f t="shared" ca="1" si="0"/>
        <v>H-Risk Register-Model'!$AI$17</v>
      </c>
      <c r="G13" s="812" t="str">
        <f t="shared" ca="1" si="3"/>
        <v>H-Risk Register-Model</v>
      </c>
      <c r="H13" s="812" t="str">
        <f t="shared" ca="1" si="1"/>
        <v>AI17</v>
      </c>
      <c r="I13" s="812" t="str">
        <f t="shared" ref="I13:I26" ca="1" si="4">SUBSTITUTE(H13,J13,"")</f>
        <v>AI</v>
      </c>
      <c r="J13" s="812" t="str" cm="1">
        <f t="array" aca="1" ref="J13" ca="1">RIGHT(H13,LEN(H13)-MIN(FIND({0,1,2,3,4,5,6,7,8,9},H13&amp;"0123456789"))+1)</f>
        <v>17</v>
      </c>
      <c r="L13" s="584" t="str" cm="1">
        <f t="array" aca="1" ref="L13" ca="1">MID(CELL("filename",'K2-Risk Dashboard (Schedule)'!$A$1),FIND("]",CELL("filename",'K2-Risk Dashboard (Schedule)'!$A$1))+1,255)</f>
        <v>K2-Risk Dashboard (Schedule)</v>
      </c>
      <c r="N13" s="591" t="s">
        <v>1182</v>
      </c>
    </row>
    <row r="14" spans="1:24" ht="45" x14ac:dyDescent="0.25">
      <c r="A14" s="819">
        <v>7</v>
      </c>
      <c r="B14" s="586" t="str">
        <f ca="1">CONCATENATE("On the ‘",L9,"’ tab, recommend hiding the CSRA modeling data and sending a copy of the risk register to the team to make sure you have all the risks captured and their discussions are correct.  ","Recommend showing only columns ",I12," through ",I13," and hiding the Crystal Ball data (columns ",I14," through ",I15,").")</f>
        <v>On the ‘H-Risk Register-Model’ tab, recommend hiding the CSRA modeling data and sending a copy of the risk register to the team to make sure you have all the risks captured and their discussions are correct.  Recommend showing only columns A through AI and hiding the Crystal Ball data (columns P through AH).</v>
      </c>
      <c r="D14" s="812" t="s">
        <v>1017</v>
      </c>
      <c r="E14" s="812" t="str" cm="1">
        <f t="array" aca="1" ref="E14" ca="1">TEXT(CELL("address",'H-Risk Register-Model'!$P$17),"")</f>
        <v>'[UFC_3-740-05_CSRA_Template_2024.xlsx]H-Risk Register-Model'!$P$17</v>
      </c>
      <c r="F14" s="812" t="str">
        <f t="shared" ca="1" si="0"/>
        <v>H-Risk Register-Model'!$P$17</v>
      </c>
      <c r="G14" s="812" t="str">
        <f t="shared" ca="1" si="3"/>
        <v>H-Risk Register-Model</v>
      </c>
      <c r="H14" s="812" t="str">
        <f t="shared" ca="1" si="1"/>
        <v>P17</v>
      </c>
      <c r="I14" s="812" t="str">
        <f t="shared" ca="1" si="4"/>
        <v>P</v>
      </c>
      <c r="J14" s="812" t="str" cm="1">
        <f t="array" aca="1" ref="J14" ca="1">RIGHT(H14,LEN(H14)-MIN(FIND({0,1,2,3,4,5,6,7,8,9},H14&amp;"0123456789"))+1)</f>
        <v>17</v>
      </c>
      <c r="L14" s="584" t="str" cm="1">
        <f t="array" aca="1" ref="L14" ca="1">MID(CELL("filename",'REF Risk Detail Template'!$A$1),FIND("]",CELL("filename",'REF Risk Detail Template'!$A$1))+1,255)</f>
        <v>REF Risk Detail Template</v>
      </c>
    </row>
    <row r="15" spans="1:24" ht="30" x14ac:dyDescent="0.25">
      <c r="A15" s="819"/>
      <c r="B15" s="587" t="str">
        <f ca="1">CONCATENATE("Make sure you have the team's buy-in on the risks at this point, clean up your master ‘",L9,"’ tab, and get started modeling.")</f>
        <v>Make sure you have the team's buy-in on the risks at this point, clean up your master ‘H-Risk Register-Model’ tab, and get started modeling.</v>
      </c>
      <c r="D15" s="812" t="s">
        <v>1018</v>
      </c>
      <c r="E15" s="812" t="str" cm="1">
        <f t="array" aca="1" ref="E15" ca="1">TEXT(CELL("address",'H-Risk Register-Model'!$AH$17),"")</f>
        <v>'[UFC_3-740-05_CSRA_Template_2024.xlsx]H-Risk Register-Model'!$AH$17</v>
      </c>
      <c r="F15" s="812" t="str">
        <f t="shared" ca="1" si="0"/>
        <v>H-Risk Register-Model'!$AH$17</v>
      </c>
      <c r="G15" s="812" t="str">
        <f t="shared" ca="1" si="3"/>
        <v>H-Risk Register-Model</v>
      </c>
      <c r="H15" s="812" t="str">
        <f t="shared" ca="1" si="1"/>
        <v>AH17</v>
      </c>
      <c r="I15" s="812" t="str">
        <f t="shared" ca="1" si="4"/>
        <v>AH</v>
      </c>
      <c r="J15" s="812" t="str" cm="1">
        <f t="array" aca="1" ref="J15" ca="1">RIGHT(H15,LEN(H15)-MIN(FIND({0,1,2,3,4,5,6,7,8,9},H15&amp;"0123456789"))+1)</f>
        <v>17</v>
      </c>
    </row>
    <row r="16" spans="1:24" x14ac:dyDescent="0.25">
      <c r="A16" s="10"/>
      <c r="B16" s="5"/>
      <c r="D16" s="812" t="s">
        <v>1019</v>
      </c>
      <c r="E16" s="812" t="str" cm="1">
        <f t="array" aca="1" ref="E16" ca="1">TEXT(CELL("address",'J-Sensitivity Charts'!$M$19),"")</f>
        <v>'[UFC_3-740-05_CSRA_Template_2024.xlsx]J-Sensitivity Charts'!$M$19</v>
      </c>
      <c r="F16" s="812" t="str">
        <f t="shared" ca="1" si="0"/>
        <v>J-Sensitivity Charts'!$M$19</v>
      </c>
      <c r="G16" s="812" t="str">
        <f t="shared" ca="1" si="3"/>
        <v>J-Sensitivity Charts</v>
      </c>
      <c r="H16" s="812" t="str">
        <f t="shared" ca="1" si="1"/>
        <v>M19</v>
      </c>
      <c r="I16" s="812" t="str">
        <f t="shared" ca="1" si="4"/>
        <v>M</v>
      </c>
      <c r="J16" s="812" t="str" cm="1">
        <f t="array" aca="1" ref="J16" ca="1">RIGHT(H16,LEN(H16)-MIN(FIND({0,1,2,3,4,5,6,7,8,9},H16&amp;"0123456789"))+1)</f>
        <v>19</v>
      </c>
    </row>
    <row r="17" spans="1:10" x14ac:dyDescent="0.25">
      <c r="A17" s="361" t="s">
        <v>5</v>
      </c>
      <c r="B17" s="362"/>
      <c r="D17" s="812" t="s">
        <v>1020</v>
      </c>
      <c r="E17" s="812" t="str" cm="1">
        <f t="array" aca="1" ref="E17" ca="1">TEXT(CELL("address",'J-Sensitivity Charts'!$M$28),"")</f>
        <v>'[UFC_3-740-05_CSRA_Template_2024.xlsx]J-Sensitivity Charts'!$M$28</v>
      </c>
      <c r="F17" s="812" t="str">
        <f t="shared" ca="1" si="0"/>
        <v>J-Sensitivity Charts'!$M$28</v>
      </c>
      <c r="G17" s="812" t="str">
        <f t="shared" ca="1" si="3"/>
        <v>J-Sensitivity Charts</v>
      </c>
      <c r="H17" s="812" t="str">
        <f t="shared" ca="1" si="1"/>
        <v>M28</v>
      </c>
      <c r="I17" s="812" t="str">
        <f t="shared" ca="1" si="4"/>
        <v>M</v>
      </c>
      <c r="J17" s="812" t="str" cm="1">
        <f t="array" aca="1" ref="J17" ca="1">RIGHT(H17,LEN(H17)-MIN(FIND({0,1,2,3,4,5,6,7,8,9},H17&amp;"0123456789"))+1)</f>
        <v>28</v>
      </c>
    </row>
    <row r="18" spans="1:10" x14ac:dyDescent="0.25">
      <c r="A18" s="585">
        <f>A14+1</f>
        <v>8</v>
      </c>
      <c r="B18" s="589" t="str">
        <f ca="1">CONCATENATE("Cell ",H10," on the '",L5,"' tab can be used to adjust the confidence level being reported.")</f>
        <v>Cell C6 on the 'D-Project Data' tab can be used to adjust the confidence level being reported.</v>
      </c>
      <c r="D18" s="812" t="s">
        <v>1021</v>
      </c>
      <c r="E18" s="812" t="str" cm="1">
        <f t="array" aca="1" ref="E18" ca="1">TEXT(CELL("address",'J-Sensitivity Charts'!$M$41),"")</f>
        <v>'[UFC_3-740-05_CSRA_Template_2024.xlsx]J-Sensitivity Charts'!$M$41</v>
      </c>
      <c r="F18" s="812" t="str">
        <f t="shared" ca="1" si="0"/>
        <v>J-Sensitivity Charts'!$M$41</v>
      </c>
      <c r="G18" s="812" t="str">
        <f t="shared" ca="1" si="3"/>
        <v>J-Sensitivity Charts</v>
      </c>
      <c r="H18" s="812" t="str">
        <f t="shared" ca="1" si="1"/>
        <v>M41</v>
      </c>
      <c r="I18" s="812" t="str">
        <f t="shared" ca="1" si="4"/>
        <v>M</v>
      </c>
      <c r="J18" s="812" t="str" cm="1">
        <f t="array" aca="1" ref="J18" ca="1">RIGHT(H18,LEN(H18)-MIN(FIND({0,1,2,3,4,5,6,7,8,9},H18&amp;"0123456789"))+1)</f>
        <v>41</v>
      </c>
    </row>
    <row r="19" spans="1:10" ht="45" x14ac:dyDescent="0.25">
      <c r="A19" s="588">
        <f>A18+1</f>
        <v>9</v>
      </c>
      <c r="B19" s="583" t="str">
        <f ca="1">CONCATENATE("You will have to build all your risk assumptions in the ‘",L9,"’ tab.  Make sure that as you add and subtract rows so that the formulas in CELL ",H8," and ",H9," sum all the rows you have risks modeled in because THIS FEEDS THE FORECASTS FOR THE MODEL on the ‘",L10,"’ tab.")</f>
        <v>You will have to build all your risk assumptions in the ‘H-Risk Register-Model’ tab.  Make sure that as you add and subtract rows so that the formulas in CELL AE1 and AG1 sum all the rows you have risks modeled in because THIS FEEDS THE FORECASTS FOR THE MODEL on the ‘I-Project Contingency’ tab.</v>
      </c>
      <c r="D19" s="812" t="s">
        <v>1022</v>
      </c>
      <c r="E19" s="812" t="str" cm="1">
        <f t="array" aca="1" ref="E19" ca="1">TEXT(CELL("address",'J-Sensitivity Charts'!$M$50),"")</f>
        <v>'[UFC_3-740-05_CSRA_Template_2024.xlsx]J-Sensitivity Charts'!$M$50</v>
      </c>
      <c r="F19" s="812" t="str">
        <f t="shared" ca="1" si="0"/>
        <v>J-Sensitivity Charts'!$M$50</v>
      </c>
      <c r="G19" s="812" t="str">
        <f t="shared" ca="1" si="3"/>
        <v>J-Sensitivity Charts</v>
      </c>
      <c r="H19" s="812" t="str">
        <f t="shared" ca="1" si="1"/>
        <v>M50</v>
      </c>
      <c r="I19" s="812" t="str">
        <f t="shared" ca="1" si="4"/>
        <v>M</v>
      </c>
      <c r="J19" s="812" t="str" cm="1">
        <f t="array" aca="1" ref="J19" ca="1">RIGHT(H19,LEN(H19)-MIN(FIND({0,1,2,3,4,5,6,7,8,9},H19&amp;"0123456789"))+1)</f>
        <v>50</v>
      </c>
    </row>
    <row r="20" spans="1:10" ht="45" x14ac:dyDescent="0.25">
      <c r="A20" s="10"/>
      <c r="B20" s="583" t="str">
        <f ca="1">CONCATENATE("If rows are added, make sure the built-in QC data in columns ",I23,":",I24," and risk forecasts/extracts in columns ",I21,":",I22," are copied as well to ensure the new built-in automation still works.  Remember to do Crystal Ball copy/paste for the forecast cells.  FAILURE TO DO THIS COULD LEAD TO INACCURATE RESULTS.")</f>
        <v>If rows are added, make sure the built-in QC data in columns AK:AS and risk forecasts/extracts in columns AU:GB are copied as well to ensure the new built-in automation still works.  Remember to do Crystal Ball copy/paste for the forecast cells.  FAILURE TO DO THIS COULD LEAD TO INACCURATE RESULTS.</v>
      </c>
      <c r="D20" s="812" t="s">
        <v>1187</v>
      </c>
      <c r="E20" s="812" t="str" cm="1">
        <f t="array" aca="1" ref="E20" ca="1">TEXT(CELL("address",'H-Risk Register-Model'!AI17),"")</f>
        <v>'[UFC_3-740-05_CSRA_Template_2024.xlsx]H-Risk Register-Model'!$AI$17</v>
      </c>
      <c r="F20" s="812" t="str">
        <f t="shared" ca="1" si="0"/>
        <v>H-Risk Register-Model'!$AI$17</v>
      </c>
      <c r="G20" s="812" t="str">
        <f t="shared" ca="1" si="3"/>
        <v>H-Risk Register-Model</v>
      </c>
      <c r="H20" s="812" t="str">
        <f t="shared" ca="1" si="1"/>
        <v>AI17</v>
      </c>
      <c r="I20" s="812" t="str">
        <f t="shared" ca="1" si="4"/>
        <v>AI</v>
      </c>
      <c r="J20" s="812" t="str" cm="1">
        <f t="array" aca="1" ref="J20" ca="1">RIGHT(H20,LEN(H20)-MIN(FIND({0,1,2,3,4,5,6,7,8,9},H20&amp;"0123456789"))+1)</f>
        <v>17</v>
      </c>
    </row>
    <row r="21" spans="1:10" ht="30" x14ac:dyDescent="0.25">
      <c r="A21" s="10"/>
      <c r="B21" s="583" t="str">
        <f ca="1">CONCATENATE(L10,"’ tab.   DO NOT MESS WITH THIS TAB.  This tab is setup with an extracting forecast and rounding to calculate the overall contingency as well as make the S- Curve graphs.")</f>
        <v>I-Project Contingency’ tab.   DO NOT MESS WITH THIS TAB.  This tab is setup with an extracting forecast and rounding to calculate the overall contingency as well as make the S- Curve graphs.</v>
      </c>
      <c r="D21" s="813" t="s">
        <v>1173</v>
      </c>
      <c r="E21" s="812" t="str" cm="1">
        <f t="array" aca="1" ref="E21" ca="1">TEXT(CELL("address",'H-Risk Register-Model'!$AU$17),"")</f>
        <v>'[UFC_3-740-05_CSRA_Template_2024.xlsx]H-Risk Register-Model'!$AU$17</v>
      </c>
      <c r="F21" s="812" t="str">
        <f t="shared" ca="1" si="0"/>
        <v>H-Risk Register-Model'!$AU$17</v>
      </c>
      <c r="G21" s="812" t="str">
        <f t="shared" ca="1" si="3"/>
        <v>H-Risk Register-Model</v>
      </c>
      <c r="H21" s="812" t="str">
        <f t="shared" ca="1" si="1"/>
        <v>AU17</v>
      </c>
      <c r="I21" s="812" t="str">
        <f t="shared" ca="1" si="4"/>
        <v>AU</v>
      </c>
      <c r="J21" s="812" t="str" cm="1">
        <f t="array" aca="1" ref="J21" ca="1">RIGHT(H21,LEN(H21)-MIN(FIND({0,1,2,3,4,5,6,7,8,9},H21&amp;"0123456789"))+1)</f>
        <v>17</v>
      </c>
    </row>
    <row r="22" spans="1:10" ht="75" x14ac:dyDescent="0.25">
      <c r="A22" s="10"/>
      <c r="B22" s="583" t="s">
        <v>1303</v>
      </c>
      <c r="D22" s="813" t="s">
        <v>1174</v>
      </c>
      <c r="E22" s="812" t="str" cm="1">
        <f t="array" aca="1" ref="E22" ca="1">TEXT(CELL("address",'H-Risk Register-Model'!$GB$17),"")</f>
        <v>'[UFC_3-740-05_CSRA_Template_2024.xlsx]H-Risk Register-Model'!$GB$17</v>
      </c>
      <c r="F22" s="812" t="str">
        <f t="shared" ca="1" si="0"/>
        <v>H-Risk Register-Model'!$GB$17</v>
      </c>
      <c r="G22" s="812" t="str">
        <f t="shared" ca="1" si="3"/>
        <v>H-Risk Register-Model</v>
      </c>
      <c r="H22" s="812" t="str">
        <f t="shared" ca="1" si="1"/>
        <v>GB17</v>
      </c>
      <c r="I22" s="812" t="str">
        <f t="shared" ca="1" si="4"/>
        <v>GB</v>
      </c>
      <c r="J22" s="812" t="str" cm="1">
        <f t="array" aca="1" ref="J22" ca="1">RIGHT(H22,LEN(H22)-MIN(FIND({0,1,2,3,4,5,6,7,8,9},H22&amp;"0123456789"))+1)</f>
        <v>17</v>
      </c>
    </row>
    <row r="23" spans="1:10" ht="30" x14ac:dyDescent="0.25">
      <c r="A23" s="585">
        <f>A19+1</f>
        <v>10</v>
      </c>
      <c r="B23" s="583" t="str">
        <f ca="1">CONCATENATE("It is recommended to develop RISK MITIGATION MEASURES for each risk and note in the ‘",L9,"’ tab in the appropriate column (",I20,").  Talk to the PDT!!!")</f>
        <v>It is recommended to develop RISK MITIGATION MEASURES for each risk and note in the ‘H-Risk Register-Model’ tab in the appropriate column (AI).  Talk to the PDT!!!</v>
      </c>
      <c r="D23" s="813" t="s">
        <v>1175</v>
      </c>
      <c r="E23" s="812" t="str" cm="1">
        <f t="array" aca="1" ref="E23" ca="1">TEXT(CELL("address",'H-Risk Register-Model'!$AK$17),"")</f>
        <v>'[UFC_3-740-05_CSRA_Template_2024.xlsx]H-Risk Register-Model'!$AK$17</v>
      </c>
      <c r="F23" s="812" t="str">
        <f t="shared" ca="1" si="0"/>
        <v>H-Risk Register-Model'!$AK$17</v>
      </c>
      <c r="G23" s="812" t="str">
        <f t="shared" ca="1" si="3"/>
        <v>H-Risk Register-Model</v>
      </c>
      <c r="H23" s="812" t="str">
        <f t="shared" ca="1" si="1"/>
        <v>AK17</v>
      </c>
      <c r="I23" s="812" t="str">
        <f t="shared" ca="1" si="4"/>
        <v>AK</v>
      </c>
      <c r="J23" s="812" t="str" cm="1">
        <f t="array" aca="1" ref="J23" ca="1">RIGHT(H23,LEN(H23)-MIN(FIND({0,1,2,3,4,5,6,7,8,9},H23&amp;"0123456789"))+1)</f>
        <v>17</v>
      </c>
    </row>
    <row r="24" spans="1:10" ht="30" x14ac:dyDescent="0.25">
      <c r="A24" s="817">
        <f>A23+1</f>
        <v>11</v>
      </c>
      <c r="B24" s="583" t="str">
        <f>CONCATENATE("When the model is complete and you are happy with it, it is recommended that you create a report as follows which mimics what is included in the NWW Cost MCX CSRA Report and Appendixes.")</f>
        <v>When the model is complete and you are happy with it, it is recommended that you create a report as follows which mimics what is included in the NWW Cost MCX CSRA Report and Appendixes.</v>
      </c>
      <c r="D24" s="813" t="s">
        <v>1176</v>
      </c>
      <c r="E24" s="812" t="str" cm="1">
        <f t="array" aca="1" ref="E24" ca="1">TEXT(CELL("address",'H-Risk Register-Model'!$AS$17),"")</f>
        <v>'[UFC_3-740-05_CSRA_Template_2024.xlsx]H-Risk Register-Model'!$AS$17</v>
      </c>
      <c r="F24" s="812" t="str">
        <f t="shared" ca="1" si="0"/>
        <v>H-Risk Register-Model'!$AS$17</v>
      </c>
      <c r="G24" s="812" t="str">
        <f t="shared" ca="1" si="3"/>
        <v>H-Risk Register-Model</v>
      </c>
      <c r="H24" s="812" t="str">
        <f t="shared" ca="1" si="1"/>
        <v>AS17</v>
      </c>
      <c r="I24" s="812" t="str">
        <f t="shared" ca="1" si="4"/>
        <v>AS</v>
      </c>
      <c r="J24" s="812" t="str" cm="1">
        <f t="array" aca="1" ref="J24" ca="1">RIGHT(H24,LEN(H24)-MIN(FIND({0,1,2,3,4,5,6,7,8,9},H24&amp;"0123456789"))+1)</f>
        <v>17</v>
      </c>
    </row>
    <row r="25" spans="1:10" ht="45" x14ac:dyDescent="0.25">
      <c r="A25" s="818"/>
      <c r="B25" s="590" t="str">
        <f ca="1">CONCATENATE(N4," - Recommend printing the '",L6,"' tab tab to document the base estimate &amp; schedule from which this CSRA was developed (traceability).  A more detailed summary could also be used from the optional base estimate tab (recommend only 1-2 pages if so).")</f>
        <v>APPENDIX A: BASE ESTIMATE - Recommend printing the 'E-Cost &amp; Schedule Summary' tab tab to document the base estimate &amp; schedule from which this CSRA was developed (traceability).  A more detailed summary could also be used from the optional base estimate tab (recommend only 1-2 pages if so).</v>
      </c>
      <c r="D25" s="813" t="s">
        <v>1189</v>
      </c>
      <c r="E25" s="812" t="str" cm="1">
        <f t="array" aca="1" ref="E25" ca="1">TEXT(CELL("address",'REF Risk Detail Template'!$C$5:$E$5),"")</f>
        <v>'[UFC_3-740-05_CSRA_Template_2024.xlsx]REF Risk Detail Template'!$C$5</v>
      </c>
      <c r="F25" s="812" t="str">
        <f t="shared" ca="1" si="0"/>
        <v>REF Risk Detail Template'!$C$5</v>
      </c>
      <c r="G25" s="812" t="str">
        <f t="shared" ca="1" si="3"/>
        <v>REF Risk Detail Template</v>
      </c>
      <c r="H25" s="812" t="str">
        <f t="shared" ca="1" si="1"/>
        <v>C5</v>
      </c>
      <c r="I25" s="812" t="str">
        <f t="shared" ca="1" si="4"/>
        <v>C</v>
      </c>
      <c r="J25" s="812" t="str" cm="1">
        <f t="array" aca="1" ref="J25" ca="1">RIGHT(H25,LEN(H25)-MIN(FIND({0,1,2,3,4,5,6,7,8,9},H25&amp;"0123456789"))+1)</f>
        <v>5</v>
      </c>
    </row>
    <row r="26" spans="1:10" ht="30" x14ac:dyDescent="0.25">
      <c r="A26" s="818"/>
      <c r="B26" s="590" t="str">
        <f>CONCATENATE(N5," - Recommend printing the optional base schedule tab or inserting a high level summary (1-2 pages) of the schedule from which this CSRA was developed (traceability).")</f>
        <v>APPENDIX B: BASE SCHEDULE - Recommend printing the optional base schedule tab or inserting a high level summary (1-2 pages) of the schedule from which this CSRA was developed (traceability).</v>
      </c>
      <c r="D26" s="813" t="s">
        <v>1190</v>
      </c>
      <c r="E26" s="812" t="str" cm="1">
        <f t="array" aca="1" ref="E26" ca="1">TEXT(CELL("address",'REF Risk Detail Template'!$H$5),"")</f>
        <v>'[UFC_3-740-05_CSRA_Template_2024.xlsx]REF Risk Detail Template'!$H$5</v>
      </c>
      <c r="F26" s="812" t="str">
        <f t="shared" ca="1" si="0"/>
        <v>REF Risk Detail Template'!$H$5</v>
      </c>
      <c r="G26" s="812" t="str">
        <f t="shared" ca="1" si="3"/>
        <v>REF Risk Detail Template</v>
      </c>
      <c r="H26" s="812" t="str">
        <f t="shared" ca="1" si="1"/>
        <v>H5</v>
      </c>
      <c r="I26" s="812" t="str">
        <f t="shared" ca="1" si="4"/>
        <v>H</v>
      </c>
      <c r="J26" s="812" t="str" cm="1">
        <f t="array" aca="1" ref="J26" ca="1">RIGHT(H26,LEN(H26)-MIN(FIND({0,1,2,3,4,5,6,7,8,9},H26&amp;"0123456789"))+1)</f>
        <v>5</v>
      </c>
    </row>
    <row r="27" spans="1:10" ht="60" x14ac:dyDescent="0.25">
      <c r="A27" s="818"/>
      <c r="B27" s="590" t="str">
        <f ca="1">CONCATENATE("Appendix C-1: RISK DASHBOARDS - Recommend printing the ‘",L12,"’ and ‘",L13,"’ tabs to communicate a high-level summary of the project cost &amp; schedule risks as well as the top risk items and suggested risk reduction measures.","  Recommend reviewing and resizing the summary tables for ease of reading since some of the text can get truncated due to the auto-lookup feature.")</f>
        <v>Appendix C-1: RISK DASHBOARDS - Recommend printing the ‘K1-Risk Dashboard (Cost)’ and ‘K2-Risk Dashboard (Schedule)’ tabs to communicate a high-level summary of the project cost &amp; schedule risks as well as the top risk items and suggested risk reduction measures.  Recommend reviewing and resizing the summary tables for ease of reading since some of the text can get truncated due to the auto-lookup feature.</v>
      </c>
      <c r="D27" s="813" t="s">
        <v>1434</v>
      </c>
      <c r="E27" s="812" t="str" cm="1">
        <f t="array" aca="1" ref="E27" ca="1">TEXT(CELL("address",'J-Sensitivity Charts'!R8),"")</f>
        <v>'[UFC_3-740-05_CSRA_Template_2024.xlsx]J-Sensitivity Charts'!$R$8</v>
      </c>
      <c r="F27" s="812" t="str">
        <f ca="1">RIGHT(E27,LEN(E27)-FIND("]",E27))</f>
        <v>J-Sensitivity Charts'!$R$8</v>
      </c>
      <c r="G27" s="812" t="str">
        <f ca="1">LEFT(F27,FIND("'",F27,1)-1)</f>
        <v>J-Sensitivity Charts</v>
      </c>
      <c r="H27" s="812" t="str">
        <f ca="1">SUBSTITUTE(RIGHT(F27,LEN(F27)-FIND("!",F27,1)),"$","")</f>
        <v>R8</v>
      </c>
      <c r="I27" s="812" t="str">
        <f ca="1">SUBSTITUTE(H27,J27,"")</f>
        <v>R</v>
      </c>
      <c r="J27" s="812" t="str" cm="1">
        <f t="array" aca="1" ref="J27" ca="1">RIGHT(H27,LEN(H27)-MIN(FIND({0,1,2,3,4,5,6,7,8,9},H27&amp;"0123456789"))+1)</f>
        <v>8</v>
      </c>
    </row>
    <row r="28" spans="1:10" ht="60" x14ac:dyDescent="0.25">
      <c r="A28" s="818"/>
      <c r="B28" s="590" t="str">
        <f ca="1">CONCATENATE(N8," - Recommend printing the ‘",L10,"’ tab which is a summary of the various contingency values for cost &amp; schedule by confidence level.  ","Please note, you may also want to adjust the y-axis ranges on some of the charts for projects with high cost or schedule values for them to display in a legibly.")</f>
        <v>APPENDIX C-2: CONTINGENCY SUMMARY - Recommend printing the ‘I-Project Contingency’ tab which is a summary of the various contingency values for cost &amp; schedule by confidence level.  Please note, you may also want to adjust the y-axis ranges on some of the charts for projects with high cost or schedule values for them to display in a legibly.</v>
      </c>
      <c r="D28" s="813" t="s">
        <v>1434</v>
      </c>
      <c r="E28" s="812" t="str" cm="1">
        <f t="array" aca="1" ref="E28" ca="1">TEXT(CELL("address",'J-Sensitivity Charts'!R9),"")</f>
        <v>'[UFC_3-740-05_CSRA_Template_2024.xlsx]J-Sensitivity Charts'!$R$9</v>
      </c>
      <c r="F28" s="812" t="str">
        <f ca="1">RIGHT(E28,LEN(E28)-FIND("]",E28))</f>
        <v>J-Sensitivity Charts'!$R$9</v>
      </c>
      <c r="G28" s="812" t="str">
        <f ca="1">LEFT(F28,FIND("'",F28,1)-1)</f>
        <v>J-Sensitivity Charts</v>
      </c>
      <c r="H28" s="812" t="str">
        <f ca="1">SUBSTITUTE(RIGHT(F28,LEN(F28)-FIND("!",F28,1)),"$","")</f>
        <v>R9</v>
      </c>
      <c r="I28" s="812" t="str">
        <f ca="1">SUBSTITUTE(H28,J28,"")</f>
        <v>R</v>
      </c>
      <c r="J28" s="812" t="str" cm="1">
        <f t="array" aca="1" ref="J28" ca="1">RIGHT(H28,LEN(H28)-MIN(FIND({0,1,2,3,4,5,6,7,8,9},H28&amp;"0123456789"))+1)</f>
        <v>9</v>
      </c>
    </row>
    <row r="29" spans="1:10" ht="105" x14ac:dyDescent="0.25">
      <c r="A29" s="818"/>
      <c r="B29" s="590" t="str">
        <f ca="1">CONCATENATE(N9," - Recommend printing the '",L11,"' tab to communicate the major cost &amp; schedule risk drivers for the project.  Recommend reviewing the top cost and schedule risk IDs from the sensitivity charts in cells ",H16,":",H17," and ",H18,":",H19," which should be automatically generated.  This tab also auto-generates the information in the ‘",L12,"' and '",L13,"' tabs.  Please note...you will have to use Crystal Ball to generate the cost &amp; schedule sensitivity charts at the bottom of worksheet '",L11,"' (right-click copy on Crytal Ball graphic and paste in the appropriate location).")</f>
        <v>APPENDIX C-3: SENSITIVITY CHARTS - Recommend printing the 'J-Sensitivity Charts' tab to communicate the major cost &amp; schedule risk drivers for the project.  Recommend reviewing the top cost and schedule risk IDs from the sensitivity charts in cells M19:M28 and M41:M50 which should be automatically generated.  This tab also auto-generates the information in the ‘K1-Risk Dashboard (Cost)' and 'K2-Risk Dashboard (Schedule)' tabs.  Please note...you will have to use Crystal Ball to generate the cost &amp; schedule sensitivity charts at the bottom of worksheet 'J-Sensitivity Charts' (right-click copy on Crytal Ball graphic and paste in the appropriate location).</v>
      </c>
    </row>
    <row r="30" spans="1:10" ht="60" x14ac:dyDescent="0.25">
      <c r="A30" s="818"/>
      <c r="B30" s="590" t="str">
        <f ca="1">CONCATENATE(N10," - Recommend printing the ‘",L9,"’ tab columns ",I12," through ",I13," and hiding the Crystal Ball data (columns ",I14," through ",I15,").  ","You may wish to use the Excel grouping expand/collapse buttons (displayed as a 1 or 2 above the columns and rows) to quickly show or hide data.  ","This is for the team for communication purposes and you already did this once after the meeting right?")</f>
        <v>APPENDIX C-4: RISK REGISTER - Recommend printing the ‘H-Risk Register-Model’ tab columns A through AI and hiding the Crystal Ball data (columns P through AH).  You may wish to use the Excel grouping expand/collapse buttons (displayed as a 1 or 2 above the columns and rows) to quickly show or hide data.  This is for the team for communication purposes and you already did this once after the meeting right?</v>
      </c>
    </row>
    <row r="31" spans="1:10" ht="45" x14ac:dyDescent="0.25">
      <c r="A31" s="818"/>
      <c r="B31" s="590" t="str">
        <f ca="1">CONCATENATE(N11," - Recommend printing the '",L8,"' tab to communicate the risk matrix, likelihood of occurrence definition, impact or consequence definitions for cost / schedule, and cost / schedule impact ranges as they relate to this project.")</f>
        <v>APPENDIX C-5: CSRA ASSUMPTIONS - Recommend printing the 'G-Assumptions' tab to communicate the risk matrix, likelihood of occurrence definition, impact or consequence definitions for cost / schedule, and cost / schedule impact ranges as they relate to this project.</v>
      </c>
    </row>
    <row r="32" spans="1:10" ht="30" x14ac:dyDescent="0.25">
      <c r="A32" s="818"/>
      <c r="B32" s="590" t="str">
        <f ca="1">CONCATENATE(N12," - Recommend printing the '",L7,"' tab to document the risk register attendance and adequate team representation.")</f>
        <v>APPENDIX C-6: RISK REGISTER ATTENDANCE - Recommend printing the 'F-Meeting Attendance' tab to document the risk register attendance and adequate team representation.</v>
      </c>
    </row>
    <row r="33" spans="1:2" ht="30" x14ac:dyDescent="0.25">
      <c r="A33" s="818"/>
      <c r="B33" s="590" t="str">
        <f ca="1">CONCATENATE(N13," - Recommend printing the '",L8,"' tab to document the risk register attendance and adequate team representation.")</f>
        <v>APPENDIX C-7: RISK DETAILS - Recommend printing the 'G-Assumptions' tab to document the risk register attendance and adequate team representation.</v>
      </c>
    </row>
    <row r="34" spans="1:2" ht="30" x14ac:dyDescent="0.25">
      <c r="A34" s="585">
        <f>A24+1</f>
        <v>12</v>
      </c>
      <c r="B34" s="583" t="s">
        <v>1168</v>
      </c>
    </row>
    <row r="35" spans="1:2" ht="30" x14ac:dyDescent="0.25">
      <c r="A35" s="585">
        <f>A34+1</f>
        <v>13</v>
      </c>
      <c r="B35" s="583" t="str">
        <f>CONCATENATE("PRINT/PDF:  Recommend merging the Main Report PDF listed in step #",A34," as well as the recommended appendixes listed in step #",A24,".  This should create a well-developed report summarzing the CSRA.")</f>
        <v>PRINT/PDF:  Recommend merging the Main Report PDF listed in step #12 as well as the recommended appendixes listed in step #11.  This should create a well-developed report summarzing the CSRA.</v>
      </c>
    </row>
    <row r="36" spans="1:2" x14ac:dyDescent="0.25">
      <c r="A36" s="9"/>
      <c r="B36" s="8"/>
    </row>
  </sheetData>
  <sortState xmlns:xlrd2="http://schemas.microsoft.com/office/spreadsheetml/2017/richdata2" ref="M18:M31">
    <sortCondition ref="M18:M31"/>
  </sortState>
  <mergeCells count="4">
    <mergeCell ref="A24:A33"/>
    <mergeCell ref="A14:A15"/>
    <mergeCell ref="A1:B1"/>
    <mergeCell ref="D1:N1"/>
  </mergeCells>
  <pageMargins left="0.25" right="0.25" top="0.25" bottom="0.5" header="0.25" footer="0.25"/>
  <pageSetup scale="91" fitToHeight="0" orientation="portrait" horizontalDpi="1200" verticalDpi="1200" r:id="rId1"/>
  <headerFooter>
    <oddFooter>&amp;CPage &amp;P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J25"/>
  <sheetViews>
    <sheetView showGridLines="0" zoomScaleNormal="100" workbookViewId="0">
      <pane ySplit="2" topLeftCell="A3" activePane="bottomLeft" state="frozen"/>
      <selection pane="bottomLeft" activeCell="A3" sqref="A3"/>
    </sheetView>
  </sheetViews>
  <sheetFormatPr defaultRowHeight="15" x14ac:dyDescent="0.25"/>
  <cols>
    <col min="1" max="1" width="3.85546875" style="8" customWidth="1"/>
    <col min="2" max="2" width="8.85546875" style="8"/>
    <col min="3" max="10" width="10.5703125" style="8" customWidth="1"/>
  </cols>
  <sheetData>
    <row r="1" spans="1:10" ht="21" x14ac:dyDescent="0.35">
      <c r="A1" s="821" t="s">
        <v>12</v>
      </c>
      <c r="B1" s="821"/>
      <c r="C1" s="821"/>
      <c r="D1" s="821"/>
      <c r="E1" s="821"/>
      <c r="F1" s="821"/>
      <c r="G1" s="821"/>
      <c r="H1" s="821"/>
      <c r="I1" s="821"/>
      <c r="J1" s="821"/>
    </row>
    <row r="2" spans="1:10" x14ac:dyDescent="0.25">
      <c r="A2" s="13"/>
      <c r="B2" s="13"/>
      <c r="C2" s="13"/>
      <c r="D2" s="13"/>
      <c r="E2" s="13"/>
      <c r="F2" s="13"/>
      <c r="G2" s="13"/>
      <c r="H2" s="13"/>
      <c r="I2" s="13"/>
      <c r="J2" s="13"/>
    </row>
    <row r="3" spans="1:10" x14ac:dyDescent="0.25">
      <c r="A3" s="13"/>
      <c r="B3" s="14"/>
      <c r="C3" s="11" t="s">
        <v>13</v>
      </c>
      <c r="D3" s="11"/>
      <c r="E3" s="11"/>
      <c r="F3" s="11"/>
      <c r="G3" s="11"/>
      <c r="H3" s="11"/>
      <c r="I3" s="11"/>
      <c r="J3" s="11"/>
    </row>
    <row r="4" spans="1:10" x14ac:dyDescent="0.25">
      <c r="A4" s="13"/>
      <c r="B4" s="14"/>
      <c r="C4" s="11" t="s">
        <v>1309</v>
      </c>
      <c r="D4" s="11"/>
      <c r="E4" s="11"/>
      <c r="F4" s="11"/>
      <c r="G4" s="11"/>
      <c r="H4" s="11"/>
      <c r="I4" s="11"/>
      <c r="J4" s="11"/>
    </row>
    <row r="5" spans="1:10" x14ac:dyDescent="0.25">
      <c r="A5" s="13"/>
      <c r="B5" s="14"/>
      <c r="C5" s="11" t="s">
        <v>1310</v>
      </c>
      <c r="D5" s="11"/>
      <c r="E5" s="11"/>
      <c r="F5" s="11"/>
      <c r="G5" s="11"/>
      <c r="H5" s="11"/>
      <c r="I5" s="11"/>
      <c r="J5" s="11"/>
    </row>
    <row r="6" spans="1:10" x14ac:dyDescent="0.25">
      <c r="A6" s="13"/>
      <c r="B6" s="15"/>
      <c r="C6" s="12" t="s">
        <v>14</v>
      </c>
      <c r="D6" s="11"/>
      <c r="E6" s="11"/>
      <c r="F6" s="11"/>
      <c r="G6" s="11"/>
      <c r="H6" s="11"/>
      <c r="I6" s="11"/>
      <c r="J6" s="11"/>
    </row>
    <row r="7" spans="1:10" x14ac:dyDescent="0.25">
      <c r="A7" s="13"/>
      <c r="B7" s="15"/>
      <c r="C7" s="12" t="s">
        <v>15</v>
      </c>
      <c r="D7" s="11"/>
      <c r="E7" s="11"/>
      <c r="F7" s="11"/>
      <c r="G7" s="11"/>
      <c r="H7" s="11"/>
      <c r="I7" s="11"/>
      <c r="J7" s="11"/>
    </row>
    <row r="8" spans="1:10" x14ac:dyDescent="0.25">
      <c r="A8" s="13"/>
      <c r="B8" s="15"/>
      <c r="C8" s="12" t="s">
        <v>16</v>
      </c>
      <c r="D8" s="11"/>
      <c r="E8" s="11"/>
      <c r="F8" s="11"/>
      <c r="G8" s="11"/>
      <c r="H8" s="11"/>
      <c r="I8" s="11"/>
      <c r="J8" s="11"/>
    </row>
    <row r="9" spans="1:10" x14ac:dyDescent="0.25">
      <c r="A9" s="13"/>
      <c r="B9" s="14"/>
      <c r="C9" s="11" t="s">
        <v>1311</v>
      </c>
      <c r="D9" s="11"/>
      <c r="E9" s="11"/>
      <c r="F9" s="11"/>
      <c r="G9" s="11"/>
      <c r="H9" s="11"/>
      <c r="I9" s="11"/>
      <c r="J9" s="11"/>
    </row>
    <row r="10" spans="1:10" x14ac:dyDescent="0.25">
      <c r="A10" s="13"/>
      <c r="B10" s="14"/>
      <c r="C10" s="11" t="s">
        <v>17</v>
      </c>
      <c r="D10" s="11"/>
      <c r="E10" s="11"/>
      <c r="F10" s="11"/>
      <c r="G10" s="11"/>
      <c r="H10" s="11"/>
      <c r="I10" s="11"/>
      <c r="J10" s="11"/>
    </row>
    <row r="11" spans="1:10" x14ac:dyDescent="0.25">
      <c r="A11" s="13"/>
      <c r="B11" s="14"/>
      <c r="C11" s="12" t="s">
        <v>18</v>
      </c>
      <c r="D11" s="12"/>
      <c r="E11" s="11"/>
      <c r="F11" s="11"/>
      <c r="G11" s="11"/>
      <c r="H11" s="11"/>
      <c r="I11" s="11"/>
      <c r="J11" s="11"/>
    </row>
    <row r="12" spans="1:10" x14ac:dyDescent="0.25">
      <c r="A12" s="13"/>
      <c r="B12" s="14"/>
      <c r="C12" s="12" t="s">
        <v>19</v>
      </c>
      <c r="D12" s="12"/>
      <c r="E12" s="11"/>
      <c r="F12" s="11"/>
      <c r="G12" s="11"/>
      <c r="H12" s="11"/>
      <c r="I12" s="11"/>
      <c r="J12" s="11"/>
    </row>
    <row r="13" spans="1:10" x14ac:dyDescent="0.25">
      <c r="A13" s="13"/>
      <c r="B13" s="14"/>
      <c r="C13" s="12" t="s">
        <v>20</v>
      </c>
      <c r="D13" s="12"/>
      <c r="E13" s="11"/>
      <c r="F13" s="11"/>
      <c r="G13" s="11"/>
      <c r="H13" s="11"/>
      <c r="I13" s="11"/>
      <c r="J13" s="11"/>
    </row>
    <row r="14" spans="1:10" x14ac:dyDescent="0.25">
      <c r="A14" s="13"/>
      <c r="B14" s="14"/>
      <c r="C14" s="12" t="s">
        <v>21</v>
      </c>
      <c r="D14" s="12"/>
      <c r="E14" s="11"/>
      <c r="F14" s="11"/>
      <c r="G14" s="11"/>
      <c r="H14" s="11"/>
      <c r="I14" s="11"/>
      <c r="J14" s="11"/>
    </row>
    <row r="15" spans="1:10" x14ac:dyDescent="0.25">
      <c r="A15" s="13"/>
      <c r="B15" s="14"/>
      <c r="C15" s="11" t="s">
        <v>22</v>
      </c>
      <c r="D15" s="11"/>
      <c r="E15" s="11"/>
      <c r="F15" s="11"/>
      <c r="G15" s="11"/>
      <c r="H15" s="11"/>
      <c r="I15" s="11"/>
      <c r="J15" s="11"/>
    </row>
    <row r="16" spans="1:10" x14ac:dyDescent="0.25">
      <c r="A16" s="13"/>
      <c r="B16" s="15"/>
      <c r="C16" s="11"/>
      <c r="D16" s="11"/>
      <c r="E16" s="11"/>
      <c r="F16" s="11"/>
      <c r="G16" s="11"/>
      <c r="H16" s="11"/>
      <c r="I16" s="11"/>
      <c r="J16" s="11"/>
    </row>
    <row r="17" spans="1:10" x14ac:dyDescent="0.25">
      <c r="A17" s="13"/>
      <c r="B17" s="15"/>
      <c r="C17" s="820" t="s">
        <v>11</v>
      </c>
      <c r="D17" s="820"/>
      <c r="E17" s="820"/>
      <c r="F17" s="820"/>
      <c r="G17" s="820"/>
      <c r="H17" s="820"/>
      <c r="I17" s="820"/>
      <c r="J17" s="820"/>
    </row>
    <row r="18" spans="1:10" x14ac:dyDescent="0.25">
      <c r="A18" s="13"/>
      <c r="B18" s="14"/>
      <c r="C18" s="777" t="s">
        <v>23</v>
      </c>
      <c r="D18" s="11"/>
      <c r="E18" s="11"/>
      <c r="F18" s="11"/>
      <c r="G18" s="11"/>
      <c r="H18" s="11"/>
      <c r="I18" s="11"/>
      <c r="J18" s="11"/>
    </row>
    <row r="19" spans="1:10" x14ac:dyDescent="0.25">
      <c r="A19" s="13"/>
      <c r="B19" s="14"/>
      <c r="C19" s="11" t="s">
        <v>28</v>
      </c>
      <c r="D19" s="11"/>
      <c r="E19" s="11"/>
      <c r="F19" s="11"/>
      <c r="G19" s="11"/>
      <c r="H19" s="11"/>
      <c r="I19" s="11"/>
      <c r="J19" s="11"/>
    </row>
    <row r="20" spans="1:10" x14ac:dyDescent="0.25">
      <c r="A20" s="13"/>
      <c r="B20" s="14"/>
      <c r="C20" s="11" t="s">
        <v>24</v>
      </c>
      <c r="D20" s="11"/>
      <c r="E20" s="11"/>
      <c r="F20" s="11"/>
      <c r="G20" s="11"/>
      <c r="H20" s="11"/>
      <c r="I20" s="11"/>
      <c r="J20" s="11"/>
    </row>
    <row r="21" spans="1:10" x14ac:dyDescent="0.25">
      <c r="A21" s="13"/>
      <c r="B21" s="14"/>
      <c r="C21" s="11" t="s">
        <v>25</v>
      </c>
      <c r="D21" s="11"/>
      <c r="E21" s="11"/>
      <c r="F21" s="11"/>
      <c r="G21" s="11"/>
      <c r="H21" s="11"/>
      <c r="I21" s="11"/>
      <c r="J21" s="11"/>
    </row>
    <row r="22" spans="1:10" x14ac:dyDescent="0.25">
      <c r="A22" s="13"/>
      <c r="B22" s="14"/>
      <c r="C22" s="11" t="s">
        <v>26</v>
      </c>
      <c r="D22" s="11"/>
      <c r="E22" s="11"/>
      <c r="F22" s="11"/>
      <c r="G22" s="11"/>
      <c r="H22" s="11"/>
      <c r="I22" s="11"/>
      <c r="J22" s="11"/>
    </row>
    <row r="23" spans="1:10" x14ac:dyDescent="0.25">
      <c r="A23" s="13"/>
      <c r="B23" s="14"/>
      <c r="C23" s="11" t="s">
        <v>29</v>
      </c>
      <c r="D23" s="11"/>
      <c r="E23" s="11"/>
      <c r="F23" s="11"/>
      <c r="G23" s="11"/>
      <c r="H23" s="11"/>
      <c r="I23" s="11"/>
      <c r="J23" s="11"/>
    </row>
    <row r="24" spans="1:10" x14ac:dyDescent="0.25">
      <c r="A24" s="13"/>
      <c r="B24" s="11"/>
      <c r="C24" s="11" t="s">
        <v>27</v>
      </c>
      <c r="D24" s="11"/>
      <c r="E24" s="11"/>
      <c r="F24" s="11"/>
      <c r="G24" s="11"/>
      <c r="H24" s="11"/>
      <c r="I24" s="11"/>
      <c r="J24" s="11"/>
    </row>
    <row r="25" spans="1:10" x14ac:dyDescent="0.25">
      <c r="J25"/>
    </row>
  </sheetData>
  <mergeCells count="2">
    <mergeCell ref="C17:J17"/>
    <mergeCell ref="A1:J1"/>
  </mergeCells>
  <pageMargins left="0.25" right="0.25" top="0.25" bottom="0.5" header="0.25" footer="0.25"/>
  <pageSetup orientation="portrait" horizontalDpi="1200" verticalDpi="1200" r:id="rId1"/>
  <headerFooter>
    <oddFooter>&amp;CPage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452"/>
  <sheetViews>
    <sheetView showGridLines="0" zoomScaleNormal="100" workbookViewId="0">
      <pane ySplit="3" topLeftCell="A4" activePane="bottomLeft" state="frozen"/>
      <selection pane="bottomLeft" activeCell="A4" sqref="A4:D4"/>
    </sheetView>
  </sheetViews>
  <sheetFormatPr defaultRowHeight="15" x14ac:dyDescent="0.25"/>
  <cols>
    <col min="1" max="1" width="13.42578125" style="27" customWidth="1"/>
    <col min="2" max="3" width="10.85546875" style="27" customWidth="1"/>
    <col min="4" max="4" width="100.5703125" style="27" customWidth="1"/>
  </cols>
  <sheetData>
    <row r="1" spans="1:4" s="7" customFormat="1" ht="21" x14ac:dyDescent="0.35">
      <c r="B1" s="815" t="s">
        <v>481</v>
      </c>
      <c r="C1" s="815"/>
      <c r="D1" s="815"/>
    </row>
    <row r="2" spans="1:4" s="1" customFormat="1" x14ac:dyDescent="0.25"/>
    <row r="3" spans="1:4" x14ac:dyDescent="0.25">
      <c r="A3" s="365" t="s">
        <v>479</v>
      </c>
      <c r="B3" s="365" t="s">
        <v>478</v>
      </c>
      <c r="C3" s="365" t="s">
        <v>477</v>
      </c>
      <c r="D3" s="364" t="s">
        <v>476</v>
      </c>
    </row>
    <row r="4" spans="1:4" ht="14.45" customHeight="1" x14ac:dyDescent="0.25">
      <c r="A4" s="822" t="s">
        <v>475</v>
      </c>
      <c r="B4" s="823"/>
      <c r="C4" s="823"/>
      <c r="D4" s="824"/>
    </row>
    <row r="5" spans="1:4" ht="14.45" customHeight="1" x14ac:dyDescent="0.25">
      <c r="A5" s="825" t="s">
        <v>474</v>
      </c>
      <c r="B5" s="826"/>
      <c r="C5" s="826"/>
      <c r="D5" s="827"/>
    </row>
    <row r="6" spans="1:4" x14ac:dyDescent="0.25">
      <c r="A6" s="16" t="s">
        <v>32</v>
      </c>
      <c r="B6" s="598" t="s">
        <v>463</v>
      </c>
      <c r="C6" s="599">
        <v>1</v>
      </c>
      <c r="D6" s="19" t="s">
        <v>473</v>
      </c>
    </row>
    <row r="7" spans="1:4" x14ac:dyDescent="0.25">
      <c r="A7" s="16" t="s">
        <v>32</v>
      </c>
      <c r="B7" s="598" t="s">
        <v>463</v>
      </c>
      <c r="C7" s="599">
        <f>IF(C6="",C5+1,C6+1)</f>
        <v>2</v>
      </c>
      <c r="D7" s="19" t="s">
        <v>472</v>
      </c>
    </row>
    <row r="8" spans="1:4" x14ac:dyDescent="0.25">
      <c r="A8" s="16" t="s">
        <v>32</v>
      </c>
      <c r="B8" s="598" t="s">
        <v>463</v>
      </c>
      <c r="C8" s="599">
        <f>IF(C7="",C6+1,C7+1)</f>
        <v>3</v>
      </c>
      <c r="D8" s="19" t="s">
        <v>471</v>
      </c>
    </row>
    <row r="9" spans="1:4" ht="14.45" customHeight="1" x14ac:dyDescent="0.25">
      <c r="A9" s="825" t="s">
        <v>470</v>
      </c>
      <c r="B9" s="826"/>
      <c r="C9" s="826"/>
      <c r="D9" s="827"/>
    </row>
    <row r="10" spans="1:4" x14ac:dyDescent="0.25">
      <c r="A10" s="16" t="s">
        <v>32</v>
      </c>
      <c r="B10" s="598" t="s">
        <v>463</v>
      </c>
      <c r="C10" s="599">
        <f t="shared" ref="C10:C16" si="0">IF(C9="",C8+1,C9+1)</f>
        <v>4</v>
      </c>
      <c r="D10" s="19" t="s">
        <v>469</v>
      </c>
    </row>
    <row r="11" spans="1:4" x14ac:dyDescent="0.25">
      <c r="A11" s="16" t="s">
        <v>32</v>
      </c>
      <c r="B11" s="598" t="s">
        <v>463</v>
      </c>
      <c r="C11" s="599">
        <f t="shared" si="0"/>
        <v>5</v>
      </c>
      <c r="D11" s="19" t="s">
        <v>468</v>
      </c>
    </row>
    <row r="12" spans="1:4" x14ac:dyDescent="0.25">
      <c r="A12" s="16" t="s">
        <v>32</v>
      </c>
      <c r="B12" s="598" t="s">
        <v>463</v>
      </c>
      <c r="C12" s="599">
        <f t="shared" si="0"/>
        <v>6</v>
      </c>
      <c r="D12" s="19" t="s">
        <v>467</v>
      </c>
    </row>
    <row r="13" spans="1:4" x14ac:dyDescent="0.25">
      <c r="A13" s="16" t="s">
        <v>32</v>
      </c>
      <c r="B13" s="598" t="s">
        <v>463</v>
      </c>
      <c r="C13" s="599">
        <f t="shared" si="0"/>
        <v>7</v>
      </c>
      <c r="D13" s="19" t="s">
        <v>466</v>
      </c>
    </row>
    <row r="14" spans="1:4" x14ac:dyDescent="0.25">
      <c r="A14" s="16" t="s">
        <v>32</v>
      </c>
      <c r="B14" s="598" t="s">
        <v>463</v>
      </c>
      <c r="C14" s="599">
        <f t="shared" si="0"/>
        <v>8</v>
      </c>
      <c r="D14" s="19" t="s">
        <v>465</v>
      </c>
    </row>
    <row r="15" spans="1:4" x14ac:dyDescent="0.25">
      <c r="A15" s="16" t="s">
        <v>32</v>
      </c>
      <c r="B15" s="598" t="s">
        <v>463</v>
      </c>
      <c r="C15" s="599">
        <f t="shared" si="0"/>
        <v>9</v>
      </c>
      <c r="D15" s="19" t="s">
        <v>464</v>
      </c>
    </row>
    <row r="16" spans="1:4" x14ac:dyDescent="0.25">
      <c r="A16" s="16" t="s">
        <v>32</v>
      </c>
      <c r="B16" s="598" t="s">
        <v>463</v>
      </c>
      <c r="C16" s="599">
        <f t="shared" si="0"/>
        <v>10</v>
      </c>
      <c r="D16" s="19" t="s">
        <v>462</v>
      </c>
    </row>
    <row r="17" spans="1:4" ht="14.45" customHeight="1" x14ac:dyDescent="0.25">
      <c r="A17" s="822" t="s">
        <v>461</v>
      </c>
      <c r="B17" s="823"/>
      <c r="C17" s="823"/>
      <c r="D17" s="824"/>
    </row>
    <row r="18" spans="1:4" x14ac:dyDescent="0.25">
      <c r="A18" s="16" t="s">
        <v>32</v>
      </c>
      <c r="B18" s="598" t="s">
        <v>448</v>
      </c>
      <c r="C18" s="599">
        <f t="shared" ref="C18:C30" si="1">IF(C17="",C16+1,C17+1)</f>
        <v>11</v>
      </c>
      <c r="D18" s="19" t="s">
        <v>460</v>
      </c>
    </row>
    <row r="19" spans="1:4" x14ac:dyDescent="0.25">
      <c r="A19" s="16" t="s">
        <v>32</v>
      </c>
      <c r="B19" s="598" t="s">
        <v>448</v>
      </c>
      <c r="C19" s="599">
        <f t="shared" si="1"/>
        <v>12</v>
      </c>
      <c r="D19" s="19" t="s">
        <v>459</v>
      </c>
    </row>
    <row r="20" spans="1:4" x14ac:dyDescent="0.25">
      <c r="A20" s="16" t="s">
        <v>32</v>
      </c>
      <c r="B20" s="598" t="s">
        <v>448</v>
      </c>
      <c r="C20" s="599">
        <f t="shared" si="1"/>
        <v>13</v>
      </c>
      <c r="D20" s="19" t="s">
        <v>458</v>
      </c>
    </row>
    <row r="21" spans="1:4" x14ac:dyDescent="0.25">
      <c r="A21" s="16" t="s">
        <v>32</v>
      </c>
      <c r="B21" s="598" t="s">
        <v>448</v>
      </c>
      <c r="C21" s="599">
        <f t="shared" si="1"/>
        <v>14</v>
      </c>
      <c r="D21" s="19" t="s">
        <v>457</v>
      </c>
    </row>
    <row r="22" spans="1:4" x14ac:dyDescent="0.25">
      <c r="A22" s="16" t="s">
        <v>32</v>
      </c>
      <c r="B22" s="598" t="s">
        <v>448</v>
      </c>
      <c r="C22" s="599">
        <f t="shared" si="1"/>
        <v>15</v>
      </c>
      <c r="D22" s="20" t="s">
        <v>456</v>
      </c>
    </row>
    <row r="23" spans="1:4" x14ac:dyDescent="0.25">
      <c r="A23" s="16" t="s">
        <v>32</v>
      </c>
      <c r="B23" s="598" t="s">
        <v>448</v>
      </c>
      <c r="C23" s="599">
        <f t="shared" si="1"/>
        <v>16</v>
      </c>
      <c r="D23" s="20" t="s">
        <v>455</v>
      </c>
    </row>
    <row r="24" spans="1:4" x14ac:dyDescent="0.25">
      <c r="A24" s="16" t="s">
        <v>32</v>
      </c>
      <c r="B24" s="598" t="s">
        <v>448</v>
      </c>
      <c r="C24" s="599">
        <f t="shared" si="1"/>
        <v>17</v>
      </c>
      <c r="D24" s="20" t="s">
        <v>454</v>
      </c>
    </row>
    <row r="25" spans="1:4" x14ac:dyDescent="0.25">
      <c r="A25" s="16" t="s">
        <v>32</v>
      </c>
      <c r="B25" s="598" t="s">
        <v>448</v>
      </c>
      <c r="C25" s="599">
        <f t="shared" si="1"/>
        <v>18</v>
      </c>
      <c r="D25" s="19" t="s">
        <v>453</v>
      </c>
    </row>
    <row r="26" spans="1:4" x14ac:dyDescent="0.25">
      <c r="A26" s="16" t="s">
        <v>32</v>
      </c>
      <c r="B26" s="598" t="s">
        <v>448</v>
      </c>
      <c r="C26" s="599">
        <f t="shared" si="1"/>
        <v>19</v>
      </c>
      <c r="D26" s="19" t="s">
        <v>452</v>
      </c>
    </row>
    <row r="27" spans="1:4" x14ac:dyDescent="0.25">
      <c r="A27" s="16" t="s">
        <v>32</v>
      </c>
      <c r="B27" s="598" t="s">
        <v>448</v>
      </c>
      <c r="C27" s="599">
        <f t="shared" si="1"/>
        <v>20</v>
      </c>
      <c r="D27" s="19" t="s">
        <v>451</v>
      </c>
    </row>
    <row r="28" spans="1:4" x14ac:dyDescent="0.25">
      <c r="A28" s="16" t="s">
        <v>32</v>
      </c>
      <c r="B28" s="598" t="s">
        <v>448</v>
      </c>
      <c r="C28" s="599">
        <f t="shared" si="1"/>
        <v>21</v>
      </c>
      <c r="D28" s="19" t="s">
        <v>450</v>
      </c>
    </row>
    <row r="29" spans="1:4" x14ac:dyDescent="0.25">
      <c r="A29" s="16" t="s">
        <v>32</v>
      </c>
      <c r="B29" s="598" t="s">
        <v>448</v>
      </c>
      <c r="C29" s="599">
        <f t="shared" si="1"/>
        <v>22</v>
      </c>
      <c r="D29" s="19" t="s">
        <v>449</v>
      </c>
    </row>
    <row r="30" spans="1:4" ht="30" x14ac:dyDescent="0.25">
      <c r="A30" s="16" t="s">
        <v>32</v>
      </c>
      <c r="B30" s="598" t="s">
        <v>448</v>
      </c>
      <c r="C30" s="599">
        <f t="shared" si="1"/>
        <v>23</v>
      </c>
      <c r="D30" s="19" t="s">
        <v>447</v>
      </c>
    </row>
    <row r="31" spans="1:4" ht="14.45" customHeight="1" x14ac:dyDescent="0.25">
      <c r="A31" s="822" t="s">
        <v>446</v>
      </c>
      <c r="B31" s="823"/>
      <c r="C31" s="823"/>
      <c r="D31" s="824"/>
    </row>
    <row r="32" spans="1:4" x14ac:dyDescent="0.25">
      <c r="A32" s="16" t="s">
        <v>32</v>
      </c>
      <c r="B32" s="598" t="s">
        <v>432</v>
      </c>
      <c r="C32" s="599">
        <f t="shared" ref="C32:C45" si="2">IF(C31="",C30+1,C31+1)</f>
        <v>24</v>
      </c>
      <c r="D32" s="19" t="s">
        <v>445</v>
      </c>
    </row>
    <row r="33" spans="1:4" x14ac:dyDescent="0.25">
      <c r="A33" s="16" t="s">
        <v>32</v>
      </c>
      <c r="B33" s="598" t="s">
        <v>432</v>
      </c>
      <c r="C33" s="599">
        <f t="shared" si="2"/>
        <v>25</v>
      </c>
      <c r="D33" s="19" t="s">
        <v>444</v>
      </c>
    </row>
    <row r="34" spans="1:4" x14ac:dyDescent="0.25">
      <c r="A34" s="16" t="s">
        <v>32</v>
      </c>
      <c r="B34" s="598" t="s">
        <v>432</v>
      </c>
      <c r="C34" s="599">
        <f t="shared" si="2"/>
        <v>26</v>
      </c>
      <c r="D34" s="19" t="s">
        <v>443</v>
      </c>
    </row>
    <row r="35" spans="1:4" x14ac:dyDescent="0.25">
      <c r="A35" s="16" t="s">
        <v>32</v>
      </c>
      <c r="B35" s="598" t="s">
        <v>432</v>
      </c>
      <c r="C35" s="599">
        <f t="shared" si="2"/>
        <v>27</v>
      </c>
      <c r="D35" s="19" t="s">
        <v>442</v>
      </c>
    </row>
    <row r="36" spans="1:4" x14ac:dyDescent="0.25">
      <c r="A36" s="16" t="s">
        <v>32</v>
      </c>
      <c r="B36" s="598" t="s">
        <v>432</v>
      </c>
      <c r="C36" s="599">
        <f t="shared" si="2"/>
        <v>28</v>
      </c>
      <c r="D36" s="19" t="s">
        <v>441</v>
      </c>
    </row>
    <row r="37" spans="1:4" x14ac:dyDescent="0.25">
      <c r="A37" s="16" t="s">
        <v>32</v>
      </c>
      <c r="B37" s="598" t="s">
        <v>432</v>
      </c>
      <c r="C37" s="599">
        <f t="shared" si="2"/>
        <v>29</v>
      </c>
      <c r="D37" s="19" t="s">
        <v>440</v>
      </c>
    </row>
    <row r="38" spans="1:4" x14ac:dyDescent="0.25">
      <c r="A38" s="16" t="s">
        <v>32</v>
      </c>
      <c r="B38" s="598" t="s">
        <v>432</v>
      </c>
      <c r="C38" s="599">
        <f t="shared" si="2"/>
        <v>30</v>
      </c>
      <c r="D38" s="19" t="s">
        <v>439</v>
      </c>
    </row>
    <row r="39" spans="1:4" x14ac:dyDescent="0.25">
      <c r="A39" s="16" t="s">
        <v>32</v>
      </c>
      <c r="B39" s="598" t="s">
        <v>432</v>
      </c>
      <c r="C39" s="599">
        <f t="shared" si="2"/>
        <v>31</v>
      </c>
      <c r="D39" s="19" t="s">
        <v>438</v>
      </c>
    </row>
    <row r="40" spans="1:4" x14ac:dyDescent="0.25">
      <c r="A40" s="16" t="s">
        <v>32</v>
      </c>
      <c r="B40" s="598" t="s">
        <v>432</v>
      </c>
      <c r="C40" s="599">
        <f t="shared" si="2"/>
        <v>32</v>
      </c>
      <c r="D40" s="19" t="s">
        <v>437</v>
      </c>
    </row>
    <row r="41" spans="1:4" x14ac:dyDescent="0.25">
      <c r="A41" s="16" t="s">
        <v>32</v>
      </c>
      <c r="B41" s="598" t="s">
        <v>432</v>
      </c>
      <c r="C41" s="599">
        <f t="shared" si="2"/>
        <v>33</v>
      </c>
      <c r="D41" s="19" t="s">
        <v>436</v>
      </c>
    </row>
    <row r="42" spans="1:4" x14ac:dyDescent="0.25">
      <c r="A42" s="16" t="s">
        <v>32</v>
      </c>
      <c r="B42" s="598" t="s">
        <v>432</v>
      </c>
      <c r="C42" s="599">
        <f t="shared" si="2"/>
        <v>34</v>
      </c>
      <c r="D42" s="19" t="s">
        <v>435</v>
      </c>
    </row>
    <row r="43" spans="1:4" x14ac:dyDescent="0.25">
      <c r="A43" s="16" t="s">
        <v>32</v>
      </c>
      <c r="B43" s="598" t="s">
        <v>432</v>
      </c>
      <c r="C43" s="599">
        <f t="shared" si="2"/>
        <v>35</v>
      </c>
      <c r="D43" s="19" t="s">
        <v>434</v>
      </c>
    </row>
    <row r="44" spans="1:4" x14ac:dyDescent="0.25">
      <c r="A44" s="16" t="s">
        <v>32</v>
      </c>
      <c r="B44" s="598" t="s">
        <v>432</v>
      </c>
      <c r="C44" s="599">
        <f t="shared" si="2"/>
        <v>36</v>
      </c>
      <c r="D44" s="19" t="s">
        <v>433</v>
      </c>
    </row>
    <row r="45" spans="1:4" x14ac:dyDescent="0.25">
      <c r="A45" s="16" t="s">
        <v>32</v>
      </c>
      <c r="B45" s="598" t="s">
        <v>432</v>
      </c>
      <c r="C45" s="599">
        <f t="shared" si="2"/>
        <v>37</v>
      </c>
      <c r="D45" s="19" t="s">
        <v>431</v>
      </c>
    </row>
    <row r="46" spans="1:4" ht="14.45" customHeight="1" x14ac:dyDescent="0.25">
      <c r="A46" s="822" t="s">
        <v>430</v>
      </c>
      <c r="B46" s="823"/>
      <c r="C46" s="823"/>
      <c r="D46" s="824"/>
    </row>
    <row r="47" spans="1:4" x14ac:dyDescent="0.25">
      <c r="A47" s="16" t="s">
        <v>32</v>
      </c>
      <c r="B47" s="598" t="s">
        <v>403</v>
      </c>
      <c r="C47" s="599">
        <f t="shared" ref="C47:C52" si="3">IF(C46="",C45+1,C46+1)</f>
        <v>38</v>
      </c>
      <c r="D47" s="19" t="s">
        <v>429</v>
      </c>
    </row>
    <row r="48" spans="1:4" x14ac:dyDescent="0.25">
      <c r="A48" s="16" t="s">
        <v>32</v>
      </c>
      <c r="B48" s="598" t="s">
        <v>403</v>
      </c>
      <c r="C48" s="599">
        <f t="shared" si="3"/>
        <v>39</v>
      </c>
      <c r="D48" s="19" t="s">
        <v>220</v>
      </c>
    </row>
    <row r="49" spans="1:4" x14ac:dyDescent="0.25">
      <c r="A49" s="16" t="s">
        <v>32</v>
      </c>
      <c r="B49" s="598" t="s">
        <v>403</v>
      </c>
      <c r="C49" s="599">
        <f t="shared" si="3"/>
        <v>40</v>
      </c>
      <c r="D49" s="19" t="s">
        <v>219</v>
      </c>
    </row>
    <row r="50" spans="1:4" x14ac:dyDescent="0.25">
      <c r="A50" s="16" t="s">
        <v>32</v>
      </c>
      <c r="B50" s="598" t="s">
        <v>403</v>
      </c>
      <c r="C50" s="599">
        <f t="shared" si="3"/>
        <v>41</v>
      </c>
      <c r="D50" s="19" t="s">
        <v>428</v>
      </c>
    </row>
    <row r="51" spans="1:4" x14ac:dyDescent="0.25">
      <c r="A51" s="16" t="s">
        <v>32</v>
      </c>
      <c r="B51" s="598" t="s">
        <v>403</v>
      </c>
      <c r="C51" s="599">
        <f t="shared" si="3"/>
        <v>42</v>
      </c>
      <c r="D51" s="19" t="s">
        <v>427</v>
      </c>
    </row>
    <row r="52" spans="1:4" x14ac:dyDescent="0.25">
      <c r="A52" s="16" t="s">
        <v>32</v>
      </c>
      <c r="B52" s="598" t="s">
        <v>403</v>
      </c>
      <c r="C52" s="599">
        <f t="shared" si="3"/>
        <v>43</v>
      </c>
      <c r="D52" s="19" t="s">
        <v>426</v>
      </c>
    </row>
    <row r="53" spans="1:4" ht="14.45" customHeight="1" x14ac:dyDescent="0.25">
      <c r="A53" s="822" t="s">
        <v>425</v>
      </c>
      <c r="B53" s="823"/>
      <c r="C53" s="823"/>
      <c r="D53" s="824"/>
    </row>
    <row r="54" spans="1:4" x14ac:dyDescent="0.25">
      <c r="A54" s="16" t="s">
        <v>32</v>
      </c>
      <c r="B54" s="598" t="s">
        <v>408</v>
      </c>
      <c r="C54" s="599">
        <f t="shared" ref="C54:C70" si="4">IF(C53="",C52+1,C53+1)</f>
        <v>44</v>
      </c>
      <c r="D54" s="19" t="s">
        <v>424</v>
      </c>
    </row>
    <row r="55" spans="1:4" ht="30" x14ac:dyDescent="0.25">
      <c r="A55" s="16" t="s">
        <v>32</v>
      </c>
      <c r="B55" s="598" t="s">
        <v>408</v>
      </c>
      <c r="C55" s="599">
        <f t="shared" si="4"/>
        <v>45</v>
      </c>
      <c r="D55" s="21" t="s">
        <v>423</v>
      </c>
    </row>
    <row r="56" spans="1:4" x14ac:dyDescent="0.25">
      <c r="A56" s="16" t="s">
        <v>32</v>
      </c>
      <c r="B56" s="598" t="s">
        <v>408</v>
      </c>
      <c r="C56" s="599">
        <f t="shared" si="4"/>
        <v>46</v>
      </c>
      <c r="D56" s="21" t="s">
        <v>422</v>
      </c>
    </row>
    <row r="57" spans="1:4" ht="30" x14ac:dyDescent="0.25">
      <c r="A57" s="16" t="s">
        <v>32</v>
      </c>
      <c r="B57" s="598" t="s">
        <v>408</v>
      </c>
      <c r="C57" s="599">
        <f t="shared" si="4"/>
        <v>47</v>
      </c>
      <c r="D57" s="21" t="s">
        <v>421</v>
      </c>
    </row>
    <row r="58" spans="1:4" ht="30" x14ac:dyDescent="0.25">
      <c r="A58" s="16" t="s">
        <v>32</v>
      </c>
      <c r="B58" s="598" t="s">
        <v>408</v>
      </c>
      <c r="C58" s="599">
        <f t="shared" si="4"/>
        <v>48</v>
      </c>
      <c r="D58" s="21" t="s">
        <v>420</v>
      </c>
    </row>
    <row r="59" spans="1:4" ht="30" x14ac:dyDescent="0.25">
      <c r="A59" s="16" t="s">
        <v>32</v>
      </c>
      <c r="B59" s="598" t="s">
        <v>408</v>
      </c>
      <c r="C59" s="599">
        <f t="shared" si="4"/>
        <v>49</v>
      </c>
      <c r="D59" s="21" t="s">
        <v>419</v>
      </c>
    </row>
    <row r="60" spans="1:4" ht="30" x14ac:dyDescent="0.25">
      <c r="A60" s="16" t="s">
        <v>32</v>
      </c>
      <c r="B60" s="598" t="s">
        <v>408</v>
      </c>
      <c r="C60" s="599">
        <f t="shared" si="4"/>
        <v>50</v>
      </c>
      <c r="D60" s="21" t="s">
        <v>418</v>
      </c>
    </row>
    <row r="61" spans="1:4" x14ac:dyDescent="0.25">
      <c r="A61" s="16" t="s">
        <v>32</v>
      </c>
      <c r="B61" s="598" t="s">
        <v>408</v>
      </c>
      <c r="C61" s="599">
        <f t="shared" si="4"/>
        <v>51</v>
      </c>
      <c r="D61" s="21" t="s">
        <v>417</v>
      </c>
    </row>
    <row r="62" spans="1:4" x14ac:dyDescent="0.25">
      <c r="A62" s="16" t="s">
        <v>32</v>
      </c>
      <c r="B62" s="598" t="s">
        <v>408</v>
      </c>
      <c r="C62" s="599">
        <f t="shared" si="4"/>
        <v>52</v>
      </c>
      <c r="D62" s="21" t="s">
        <v>416</v>
      </c>
    </row>
    <row r="63" spans="1:4" x14ac:dyDescent="0.25">
      <c r="A63" s="16" t="s">
        <v>32</v>
      </c>
      <c r="B63" s="598" t="s">
        <v>408</v>
      </c>
      <c r="C63" s="599">
        <f t="shared" si="4"/>
        <v>53</v>
      </c>
      <c r="D63" s="21" t="s">
        <v>415</v>
      </c>
    </row>
    <row r="64" spans="1:4" ht="30" x14ac:dyDescent="0.25">
      <c r="A64" s="16" t="s">
        <v>32</v>
      </c>
      <c r="B64" s="598" t="s">
        <v>408</v>
      </c>
      <c r="C64" s="599">
        <f t="shared" si="4"/>
        <v>54</v>
      </c>
      <c r="D64" s="21" t="s">
        <v>414</v>
      </c>
    </row>
    <row r="65" spans="1:4" ht="60" x14ac:dyDescent="0.25">
      <c r="A65" s="16" t="s">
        <v>32</v>
      </c>
      <c r="B65" s="598" t="s">
        <v>408</v>
      </c>
      <c r="C65" s="599">
        <f t="shared" si="4"/>
        <v>55</v>
      </c>
      <c r="D65" s="21" t="s">
        <v>413</v>
      </c>
    </row>
    <row r="66" spans="1:4" x14ac:dyDescent="0.25">
      <c r="A66" s="16" t="s">
        <v>32</v>
      </c>
      <c r="B66" s="598" t="s">
        <v>408</v>
      </c>
      <c r="C66" s="599">
        <f t="shared" si="4"/>
        <v>56</v>
      </c>
      <c r="D66" s="21" t="s">
        <v>412</v>
      </c>
    </row>
    <row r="67" spans="1:4" ht="30" x14ac:dyDescent="0.25">
      <c r="A67" s="16" t="s">
        <v>32</v>
      </c>
      <c r="B67" s="598" t="s">
        <v>408</v>
      </c>
      <c r="C67" s="599">
        <f t="shared" si="4"/>
        <v>57</v>
      </c>
      <c r="D67" s="21" t="s">
        <v>411</v>
      </c>
    </row>
    <row r="68" spans="1:4" x14ac:dyDescent="0.25">
      <c r="A68" s="16" t="s">
        <v>32</v>
      </c>
      <c r="B68" s="598" t="s">
        <v>408</v>
      </c>
      <c r="C68" s="599">
        <f t="shared" si="4"/>
        <v>58</v>
      </c>
      <c r="D68" s="21" t="s">
        <v>410</v>
      </c>
    </row>
    <row r="69" spans="1:4" x14ac:dyDescent="0.25">
      <c r="A69" s="16" t="s">
        <v>32</v>
      </c>
      <c r="B69" s="598" t="s">
        <v>408</v>
      </c>
      <c r="C69" s="599">
        <f t="shared" si="4"/>
        <v>59</v>
      </c>
      <c r="D69" s="21" t="s">
        <v>409</v>
      </c>
    </row>
    <row r="70" spans="1:4" x14ac:dyDescent="0.25">
      <c r="A70" s="16" t="s">
        <v>32</v>
      </c>
      <c r="B70" s="598" t="s">
        <v>408</v>
      </c>
      <c r="C70" s="599">
        <f t="shared" si="4"/>
        <v>60</v>
      </c>
      <c r="D70" s="21" t="s">
        <v>407</v>
      </c>
    </row>
    <row r="71" spans="1:4" ht="14.45" customHeight="1" x14ac:dyDescent="0.25">
      <c r="A71" s="822" t="s">
        <v>406</v>
      </c>
      <c r="B71" s="823"/>
      <c r="C71" s="823"/>
      <c r="D71" s="824"/>
    </row>
    <row r="72" spans="1:4" x14ac:dyDescent="0.25">
      <c r="A72" s="16" t="s">
        <v>32</v>
      </c>
      <c r="B72" s="598" t="s">
        <v>403</v>
      </c>
      <c r="C72" s="599">
        <f>IF(C71="",C70+1,C71+1)</f>
        <v>61</v>
      </c>
      <c r="D72" s="21" t="s">
        <v>405</v>
      </c>
    </row>
    <row r="73" spans="1:4" x14ac:dyDescent="0.25">
      <c r="A73" s="16" t="s">
        <v>32</v>
      </c>
      <c r="B73" s="598" t="s">
        <v>403</v>
      </c>
      <c r="C73" s="599">
        <f>IF(C72="",C71+1,C72+1)</f>
        <v>62</v>
      </c>
      <c r="D73" s="21" t="s">
        <v>404</v>
      </c>
    </row>
    <row r="74" spans="1:4" x14ac:dyDescent="0.25">
      <c r="A74" s="16" t="s">
        <v>32</v>
      </c>
      <c r="B74" s="598" t="s">
        <v>403</v>
      </c>
      <c r="C74" s="599">
        <f>IF(C73="",C72+1,C73+1)</f>
        <v>63</v>
      </c>
      <c r="D74" s="21" t="s">
        <v>402</v>
      </c>
    </row>
    <row r="75" spans="1:4" ht="14.45" customHeight="1" x14ac:dyDescent="0.25">
      <c r="A75" s="822" t="s">
        <v>401</v>
      </c>
      <c r="B75" s="823"/>
      <c r="C75" s="823"/>
      <c r="D75" s="824"/>
    </row>
    <row r="76" spans="1:4" ht="30" x14ac:dyDescent="0.25">
      <c r="A76" s="16" t="s">
        <v>32</v>
      </c>
      <c r="B76" s="598" t="s">
        <v>378</v>
      </c>
      <c r="C76" s="599">
        <f t="shared" ref="C76:C98" si="5">IF(C75="",C74+1,C75+1)</f>
        <v>64</v>
      </c>
      <c r="D76" s="21" t="s">
        <v>400</v>
      </c>
    </row>
    <row r="77" spans="1:4" ht="45" x14ac:dyDescent="0.25">
      <c r="A77" s="16" t="s">
        <v>32</v>
      </c>
      <c r="B77" s="598" t="s">
        <v>378</v>
      </c>
      <c r="C77" s="599">
        <f t="shared" si="5"/>
        <v>65</v>
      </c>
      <c r="D77" s="21" t="s">
        <v>399</v>
      </c>
    </row>
    <row r="78" spans="1:4" x14ac:dyDescent="0.25">
      <c r="A78" s="16" t="s">
        <v>32</v>
      </c>
      <c r="B78" s="598" t="s">
        <v>378</v>
      </c>
      <c r="C78" s="599">
        <f t="shared" si="5"/>
        <v>66</v>
      </c>
      <c r="D78" s="22" t="s">
        <v>398</v>
      </c>
    </row>
    <row r="79" spans="1:4" x14ac:dyDescent="0.25">
      <c r="A79" s="16" t="s">
        <v>32</v>
      </c>
      <c r="B79" s="598" t="s">
        <v>378</v>
      </c>
      <c r="C79" s="599">
        <f t="shared" si="5"/>
        <v>67</v>
      </c>
      <c r="D79" s="22" t="s">
        <v>397</v>
      </c>
    </row>
    <row r="80" spans="1:4" x14ac:dyDescent="0.25">
      <c r="A80" s="16" t="s">
        <v>32</v>
      </c>
      <c r="B80" s="598" t="s">
        <v>378</v>
      </c>
      <c r="C80" s="599">
        <f t="shared" si="5"/>
        <v>68</v>
      </c>
      <c r="D80" s="22" t="s">
        <v>396</v>
      </c>
    </row>
    <row r="81" spans="1:4" x14ac:dyDescent="0.25">
      <c r="A81" s="16" t="s">
        <v>32</v>
      </c>
      <c r="B81" s="598" t="s">
        <v>378</v>
      </c>
      <c r="C81" s="599">
        <f t="shared" si="5"/>
        <v>69</v>
      </c>
      <c r="D81" s="22" t="s">
        <v>395</v>
      </c>
    </row>
    <row r="82" spans="1:4" x14ac:dyDescent="0.25">
      <c r="A82" s="16" t="s">
        <v>32</v>
      </c>
      <c r="B82" s="598" t="s">
        <v>378</v>
      </c>
      <c r="C82" s="599">
        <f t="shared" si="5"/>
        <v>70</v>
      </c>
      <c r="D82" s="22" t="s">
        <v>394</v>
      </c>
    </row>
    <row r="83" spans="1:4" x14ac:dyDescent="0.25">
      <c r="A83" s="16" t="s">
        <v>32</v>
      </c>
      <c r="B83" s="598" t="s">
        <v>378</v>
      </c>
      <c r="C83" s="599">
        <f t="shared" si="5"/>
        <v>71</v>
      </c>
      <c r="D83" s="22" t="s">
        <v>393</v>
      </c>
    </row>
    <row r="84" spans="1:4" x14ac:dyDescent="0.25">
      <c r="A84" s="16" t="s">
        <v>32</v>
      </c>
      <c r="B84" s="598" t="s">
        <v>378</v>
      </c>
      <c r="C84" s="599">
        <f t="shared" si="5"/>
        <v>72</v>
      </c>
      <c r="D84" s="22" t="s">
        <v>392</v>
      </c>
    </row>
    <row r="85" spans="1:4" ht="30" x14ac:dyDescent="0.25">
      <c r="A85" s="16" t="s">
        <v>32</v>
      </c>
      <c r="B85" s="598" t="s">
        <v>378</v>
      </c>
      <c r="C85" s="599">
        <f t="shared" si="5"/>
        <v>73</v>
      </c>
      <c r="D85" s="22" t="s">
        <v>391</v>
      </c>
    </row>
    <row r="86" spans="1:4" ht="45" x14ac:dyDescent="0.25">
      <c r="A86" s="16" t="s">
        <v>32</v>
      </c>
      <c r="B86" s="598" t="s">
        <v>378</v>
      </c>
      <c r="C86" s="599">
        <f t="shared" si="5"/>
        <v>74</v>
      </c>
      <c r="D86" s="22" t="s">
        <v>390</v>
      </c>
    </row>
    <row r="87" spans="1:4" x14ac:dyDescent="0.25">
      <c r="A87" s="16" t="s">
        <v>32</v>
      </c>
      <c r="B87" s="598" t="s">
        <v>378</v>
      </c>
      <c r="C87" s="599">
        <f t="shared" si="5"/>
        <v>75</v>
      </c>
      <c r="D87" s="22" t="s">
        <v>389</v>
      </c>
    </row>
    <row r="88" spans="1:4" x14ac:dyDescent="0.25">
      <c r="A88" s="16" t="s">
        <v>32</v>
      </c>
      <c r="B88" s="598" t="s">
        <v>378</v>
      </c>
      <c r="C88" s="599">
        <f t="shared" si="5"/>
        <v>76</v>
      </c>
      <c r="D88" s="22" t="s">
        <v>388</v>
      </c>
    </row>
    <row r="89" spans="1:4" x14ac:dyDescent="0.25">
      <c r="A89" s="16" t="s">
        <v>32</v>
      </c>
      <c r="B89" s="598" t="s">
        <v>378</v>
      </c>
      <c r="C89" s="599">
        <f t="shared" si="5"/>
        <v>77</v>
      </c>
      <c r="D89" s="22" t="s">
        <v>387</v>
      </c>
    </row>
    <row r="90" spans="1:4" ht="45" x14ac:dyDescent="0.25">
      <c r="A90" s="16" t="s">
        <v>32</v>
      </c>
      <c r="B90" s="598" t="s">
        <v>378</v>
      </c>
      <c r="C90" s="599">
        <f t="shared" si="5"/>
        <v>78</v>
      </c>
      <c r="D90" s="22" t="s">
        <v>386</v>
      </c>
    </row>
    <row r="91" spans="1:4" ht="30" x14ac:dyDescent="0.25">
      <c r="A91" s="16" t="s">
        <v>32</v>
      </c>
      <c r="B91" s="598" t="s">
        <v>378</v>
      </c>
      <c r="C91" s="599">
        <f t="shared" si="5"/>
        <v>79</v>
      </c>
      <c r="D91" s="22" t="s">
        <v>385</v>
      </c>
    </row>
    <row r="92" spans="1:4" ht="30" x14ac:dyDescent="0.25">
      <c r="A92" s="16" t="s">
        <v>32</v>
      </c>
      <c r="B92" s="598" t="s">
        <v>378</v>
      </c>
      <c r="C92" s="599">
        <f t="shared" si="5"/>
        <v>80</v>
      </c>
      <c r="D92" s="22" t="s">
        <v>384</v>
      </c>
    </row>
    <row r="93" spans="1:4" x14ac:dyDescent="0.25">
      <c r="A93" s="16" t="s">
        <v>32</v>
      </c>
      <c r="B93" s="598" t="s">
        <v>378</v>
      </c>
      <c r="C93" s="599">
        <f t="shared" si="5"/>
        <v>81</v>
      </c>
      <c r="D93" s="22" t="s">
        <v>383</v>
      </c>
    </row>
    <row r="94" spans="1:4" x14ac:dyDescent="0.25">
      <c r="A94" s="16" t="s">
        <v>32</v>
      </c>
      <c r="B94" s="598" t="s">
        <v>378</v>
      </c>
      <c r="C94" s="599">
        <f t="shared" si="5"/>
        <v>82</v>
      </c>
      <c r="D94" s="21" t="s">
        <v>382</v>
      </c>
    </row>
    <row r="95" spans="1:4" ht="30" x14ac:dyDescent="0.25">
      <c r="A95" s="16" t="s">
        <v>32</v>
      </c>
      <c r="B95" s="598" t="s">
        <v>378</v>
      </c>
      <c r="C95" s="599">
        <f t="shared" si="5"/>
        <v>83</v>
      </c>
      <c r="D95" s="21" t="s">
        <v>381</v>
      </c>
    </row>
    <row r="96" spans="1:4" x14ac:dyDescent="0.25">
      <c r="A96" s="16" t="s">
        <v>32</v>
      </c>
      <c r="B96" s="598" t="s">
        <v>378</v>
      </c>
      <c r="C96" s="599">
        <f t="shared" si="5"/>
        <v>84</v>
      </c>
      <c r="D96" s="21" t="s">
        <v>380</v>
      </c>
    </row>
    <row r="97" spans="1:4" ht="30" x14ac:dyDescent="0.25">
      <c r="A97" s="16" t="s">
        <v>32</v>
      </c>
      <c r="B97" s="598" t="s">
        <v>378</v>
      </c>
      <c r="C97" s="599">
        <f t="shared" si="5"/>
        <v>85</v>
      </c>
      <c r="D97" s="21" t="s">
        <v>379</v>
      </c>
    </row>
    <row r="98" spans="1:4" x14ac:dyDescent="0.25">
      <c r="A98" s="16" t="s">
        <v>32</v>
      </c>
      <c r="B98" s="598" t="s">
        <v>378</v>
      </c>
      <c r="C98" s="599">
        <f t="shared" si="5"/>
        <v>86</v>
      </c>
      <c r="D98" s="21" t="s">
        <v>377</v>
      </c>
    </row>
    <row r="99" spans="1:4" ht="14.45" customHeight="1" x14ac:dyDescent="0.25">
      <c r="A99" s="822" t="s">
        <v>376</v>
      </c>
      <c r="B99" s="823"/>
      <c r="C99" s="823"/>
      <c r="D99" s="824" t="s">
        <v>369</v>
      </c>
    </row>
    <row r="100" spans="1:4" x14ac:dyDescent="0.25">
      <c r="A100" s="16" t="s">
        <v>32</v>
      </c>
      <c r="B100" s="598" t="s">
        <v>371</v>
      </c>
      <c r="C100" s="599">
        <f>IF(C99="",C98+1,C99+1)</f>
        <v>87</v>
      </c>
      <c r="D100" s="19" t="s">
        <v>375</v>
      </c>
    </row>
    <row r="101" spans="1:4" x14ac:dyDescent="0.25">
      <c r="A101" s="16" t="s">
        <v>32</v>
      </c>
      <c r="B101" s="598" t="s">
        <v>371</v>
      </c>
      <c r="C101" s="599">
        <f>IF(C100="",C99+1,C100+1)</f>
        <v>88</v>
      </c>
      <c r="D101" s="19" t="s">
        <v>374</v>
      </c>
    </row>
    <row r="102" spans="1:4" x14ac:dyDescent="0.25">
      <c r="A102" s="16" t="s">
        <v>32</v>
      </c>
      <c r="B102" s="598" t="s">
        <v>371</v>
      </c>
      <c r="C102" s="599">
        <f>IF(C101="",C100+1,C101+1)</f>
        <v>89</v>
      </c>
      <c r="D102" s="19" t="s">
        <v>373</v>
      </c>
    </row>
    <row r="103" spans="1:4" x14ac:dyDescent="0.25">
      <c r="A103" s="16" t="s">
        <v>32</v>
      </c>
      <c r="B103" s="598" t="s">
        <v>371</v>
      </c>
      <c r="C103" s="599">
        <f>IF(C102="",C101+1,C102+1)</f>
        <v>90</v>
      </c>
      <c r="D103" s="19" t="s">
        <v>372</v>
      </c>
    </row>
    <row r="104" spans="1:4" x14ac:dyDescent="0.25">
      <c r="A104" s="16" t="s">
        <v>32</v>
      </c>
      <c r="B104" s="598" t="s">
        <v>371</v>
      </c>
      <c r="C104" s="599">
        <f>IF(C103="",C102+1,C103+1)</f>
        <v>91</v>
      </c>
      <c r="D104" s="19" t="s">
        <v>370</v>
      </c>
    </row>
    <row r="105" spans="1:4" ht="14.45" customHeight="1" x14ac:dyDescent="0.25">
      <c r="A105" s="822" t="s">
        <v>1204</v>
      </c>
      <c r="B105" s="823"/>
      <c r="C105" s="823"/>
      <c r="D105" s="824" t="s">
        <v>369</v>
      </c>
    </row>
    <row r="106" spans="1:4" x14ac:dyDescent="0.25">
      <c r="A106" s="16" t="s">
        <v>32</v>
      </c>
      <c r="B106" s="598" t="s">
        <v>1205</v>
      </c>
      <c r="C106" s="599">
        <f t="shared" ref="C106:C121" si="6">IF(C105="",C104+1,C105+1)</f>
        <v>92</v>
      </c>
      <c r="D106" s="19" t="s">
        <v>1206</v>
      </c>
    </row>
    <row r="107" spans="1:4" x14ac:dyDescent="0.25">
      <c r="A107" s="16" t="s">
        <v>32</v>
      </c>
      <c r="B107" s="598" t="s">
        <v>1205</v>
      </c>
      <c r="C107" s="599">
        <f t="shared" si="6"/>
        <v>93</v>
      </c>
      <c r="D107" s="19" t="s">
        <v>368</v>
      </c>
    </row>
    <row r="108" spans="1:4" x14ac:dyDescent="0.25">
      <c r="A108" s="16" t="s">
        <v>32</v>
      </c>
      <c r="B108" s="598" t="s">
        <v>1205</v>
      </c>
      <c r="C108" s="599">
        <f t="shared" si="6"/>
        <v>94</v>
      </c>
      <c r="D108" s="19" t="s">
        <v>367</v>
      </c>
    </row>
    <row r="109" spans="1:4" x14ac:dyDescent="0.25">
      <c r="A109" s="16" t="s">
        <v>32</v>
      </c>
      <c r="B109" s="598" t="s">
        <v>1205</v>
      </c>
      <c r="C109" s="599">
        <f t="shared" si="6"/>
        <v>95</v>
      </c>
      <c r="D109" s="19" t="s">
        <v>366</v>
      </c>
    </row>
    <row r="110" spans="1:4" x14ac:dyDescent="0.25">
      <c r="A110" s="16" t="s">
        <v>32</v>
      </c>
      <c r="B110" s="598" t="s">
        <v>1205</v>
      </c>
      <c r="C110" s="599">
        <f t="shared" si="6"/>
        <v>96</v>
      </c>
      <c r="D110" s="19" t="s">
        <v>365</v>
      </c>
    </row>
    <row r="111" spans="1:4" x14ac:dyDescent="0.25">
      <c r="A111" s="16" t="s">
        <v>32</v>
      </c>
      <c r="B111" s="598" t="s">
        <v>1205</v>
      </c>
      <c r="C111" s="599">
        <f t="shared" si="6"/>
        <v>97</v>
      </c>
      <c r="D111" s="19" t="s">
        <v>364</v>
      </c>
    </row>
    <row r="112" spans="1:4" x14ac:dyDescent="0.25">
      <c r="A112" s="16" t="s">
        <v>32</v>
      </c>
      <c r="B112" s="598" t="s">
        <v>1205</v>
      </c>
      <c r="C112" s="599">
        <f t="shared" si="6"/>
        <v>98</v>
      </c>
      <c r="D112" s="19" t="s">
        <v>363</v>
      </c>
    </row>
    <row r="113" spans="1:4" x14ac:dyDescent="0.25">
      <c r="A113" s="16" t="s">
        <v>32</v>
      </c>
      <c r="B113" s="598" t="s">
        <v>1205</v>
      </c>
      <c r="C113" s="599">
        <f t="shared" si="6"/>
        <v>99</v>
      </c>
      <c r="D113" s="19" t="s">
        <v>362</v>
      </c>
    </row>
    <row r="114" spans="1:4" x14ac:dyDescent="0.25">
      <c r="A114" s="16" t="s">
        <v>32</v>
      </c>
      <c r="B114" s="598" t="s">
        <v>1205</v>
      </c>
      <c r="C114" s="599">
        <f t="shared" si="6"/>
        <v>100</v>
      </c>
      <c r="D114" s="19" t="s">
        <v>361</v>
      </c>
    </row>
    <row r="115" spans="1:4" x14ac:dyDescent="0.25">
      <c r="A115" s="16" t="s">
        <v>32</v>
      </c>
      <c r="B115" s="598" t="s">
        <v>1205</v>
      </c>
      <c r="C115" s="599">
        <f t="shared" si="6"/>
        <v>101</v>
      </c>
      <c r="D115" s="19" t="s">
        <v>360</v>
      </c>
    </row>
    <row r="116" spans="1:4" x14ac:dyDescent="0.25">
      <c r="A116" s="16" t="s">
        <v>32</v>
      </c>
      <c r="B116" s="598" t="s">
        <v>1205</v>
      </c>
      <c r="C116" s="599">
        <f t="shared" si="6"/>
        <v>102</v>
      </c>
      <c r="D116" s="19" t="s">
        <v>359</v>
      </c>
    </row>
    <row r="117" spans="1:4" x14ac:dyDescent="0.25">
      <c r="A117" s="16" t="s">
        <v>32</v>
      </c>
      <c r="B117" s="598" t="s">
        <v>1205</v>
      </c>
      <c r="C117" s="599">
        <f t="shared" si="6"/>
        <v>103</v>
      </c>
      <c r="D117" s="19" t="s">
        <v>358</v>
      </c>
    </row>
    <row r="118" spans="1:4" x14ac:dyDescent="0.25">
      <c r="A118" s="16" t="s">
        <v>32</v>
      </c>
      <c r="B118" s="598" t="s">
        <v>1205</v>
      </c>
      <c r="C118" s="599">
        <f t="shared" si="6"/>
        <v>104</v>
      </c>
      <c r="D118" s="19" t="s">
        <v>357</v>
      </c>
    </row>
    <row r="119" spans="1:4" x14ac:dyDescent="0.25">
      <c r="A119" s="16" t="s">
        <v>32</v>
      </c>
      <c r="B119" s="598" t="s">
        <v>1205</v>
      </c>
      <c r="C119" s="599">
        <f t="shared" si="6"/>
        <v>105</v>
      </c>
      <c r="D119" s="19" t="s">
        <v>356</v>
      </c>
    </row>
    <row r="120" spans="1:4" x14ac:dyDescent="0.25">
      <c r="A120" s="16" t="s">
        <v>32</v>
      </c>
      <c r="B120" s="598" t="s">
        <v>1205</v>
      </c>
      <c r="C120" s="599">
        <f t="shared" si="6"/>
        <v>106</v>
      </c>
      <c r="D120" s="19" t="s">
        <v>355</v>
      </c>
    </row>
    <row r="121" spans="1:4" ht="90" x14ac:dyDescent="0.25">
      <c r="A121" s="16" t="s">
        <v>32</v>
      </c>
      <c r="B121" s="598" t="s">
        <v>1205</v>
      </c>
      <c r="C121" s="599">
        <f t="shared" si="6"/>
        <v>107</v>
      </c>
      <c r="D121" s="21" t="s">
        <v>1207</v>
      </c>
    </row>
    <row r="122" spans="1:4" ht="14.45" customHeight="1" x14ac:dyDescent="0.25">
      <c r="A122" s="822" t="s">
        <v>354</v>
      </c>
      <c r="B122" s="823" t="s">
        <v>333</v>
      </c>
      <c r="C122" s="823"/>
      <c r="D122" s="824"/>
    </row>
    <row r="123" spans="1:4" x14ac:dyDescent="0.25">
      <c r="A123" s="16" t="s">
        <v>32</v>
      </c>
      <c r="B123" s="598" t="s">
        <v>333</v>
      </c>
      <c r="C123" s="599">
        <f t="shared" ref="C123:C144" si="7">IF(C122="",C121+1,C122+1)</f>
        <v>108</v>
      </c>
      <c r="D123" s="19" t="s">
        <v>72</v>
      </c>
    </row>
    <row r="124" spans="1:4" x14ac:dyDescent="0.25">
      <c r="A124" s="16" t="s">
        <v>32</v>
      </c>
      <c r="B124" s="598" t="s">
        <v>333</v>
      </c>
      <c r="C124" s="599">
        <f t="shared" si="7"/>
        <v>109</v>
      </c>
      <c r="D124" s="19" t="s">
        <v>353</v>
      </c>
    </row>
    <row r="125" spans="1:4" x14ac:dyDescent="0.25">
      <c r="A125" s="16" t="s">
        <v>32</v>
      </c>
      <c r="B125" s="598" t="s">
        <v>333</v>
      </c>
      <c r="C125" s="599">
        <f t="shared" si="7"/>
        <v>110</v>
      </c>
      <c r="D125" s="19" t="s">
        <v>352</v>
      </c>
    </row>
    <row r="126" spans="1:4" x14ac:dyDescent="0.25">
      <c r="A126" s="16" t="s">
        <v>32</v>
      </c>
      <c r="B126" s="598" t="s">
        <v>333</v>
      </c>
      <c r="C126" s="599">
        <f t="shared" si="7"/>
        <v>111</v>
      </c>
      <c r="D126" s="19" t="s">
        <v>351</v>
      </c>
    </row>
    <row r="127" spans="1:4" x14ac:dyDescent="0.25">
      <c r="A127" s="16" t="s">
        <v>32</v>
      </c>
      <c r="B127" s="598" t="s">
        <v>333</v>
      </c>
      <c r="C127" s="599">
        <f t="shared" si="7"/>
        <v>112</v>
      </c>
      <c r="D127" s="19" t="s">
        <v>350</v>
      </c>
    </row>
    <row r="128" spans="1:4" x14ac:dyDescent="0.25">
      <c r="A128" s="16" t="s">
        <v>32</v>
      </c>
      <c r="B128" s="598" t="s">
        <v>333</v>
      </c>
      <c r="C128" s="599">
        <f t="shared" si="7"/>
        <v>113</v>
      </c>
      <c r="D128" s="19" t="s">
        <v>349</v>
      </c>
    </row>
    <row r="129" spans="1:4" x14ac:dyDescent="0.25">
      <c r="A129" s="16" t="s">
        <v>32</v>
      </c>
      <c r="B129" s="598" t="s">
        <v>333</v>
      </c>
      <c r="C129" s="599">
        <f t="shared" si="7"/>
        <v>114</v>
      </c>
      <c r="D129" s="19" t="s">
        <v>348</v>
      </c>
    </row>
    <row r="130" spans="1:4" x14ac:dyDescent="0.25">
      <c r="A130" s="16" t="s">
        <v>32</v>
      </c>
      <c r="B130" s="598" t="s">
        <v>333</v>
      </c>
      <c r="C130" s="599">
        <f t="shared" si="7"/>
        <v>115</v>
      </c>
      <c r="D130" s="19" t="s">
        <v>347</v>
      </c>
    </row>
    <row r="131" spans="1:4" x14ac:dyDescent="0.25">
      <c r="A131" s="16" t="s">
        <v>32</v>
      </c>
      <c r="B131" s="598" t="s">
        <v>333</v>
      </c>
      <c r="C131" s="599">
        <f t="shared" si="7"/>
        <v>116</v>
      </c>
      <c r="D131" s="19" t="s">
        <v>346</v>
      </c>
    </row>
    <row r="132" spans="1:4" x14ac:dyDescent="0.25">
      <c r="A132" s="16" t="s">
        <v>32</v>
      </c>
      <c r="B132" s="598" t="s">
        <v>333</v>
      </c>
      <c r="C132" s="599">
        <f t="shared" si="7"/>
        <v>117</v>
      </c>
      <c r="D132" s="19" t="s">
        <v>345</v>
      </c>
    </row>
    <row r="133" spans="1:4" x14ac:dyDescent="0.25">
      <c r="A133" s="16" t="s">
        <v>32</v>
      </c>
      <c r="B133" s="598" t="s">
        <v>333</v>
      </c>
      <c r="C133" s="599">
        <f t="shared" si="7"/>
        <v>118</v>
      </c>
      <c r="D133" s="19" t="s">
        <v>344</v>
      </c>
    </row>
    <row r="134" spans="1:4" ht="30" x14ac:dyDescent="0.25">
      <c r="A134" s="16" t="s">
        <v>32</v>
      </c>
      <c r="B134" s="598" t="s">
        <v>333</v>
      </c>
      <c r="C134" s="599">
        <f t="shared" si="7"/>
        <v>119</v>
      </c>
      <c r="D134" s="19" t="s">
        <v>343</v>
      </c>
    </row>
    <row r="135" spans="1:4" x14ac:dyDescent="0.25">
      <c r="A135" s="16" t="s">
        <v>32</v>
      </c>
      <c r="B135" s="598" t="s">
        <v>333</v>
      </c>
      <c r="C135" s="599">
        <f t="shared" si="7"/>
        <v>120</v>
      </c>
      <c r="D135" s="19" t="s">
        <v>342</v>
      </c>
    </row>
    <row r="136" spans="1:4" x14ac:dyDescent="0.25">
      <c r="A136" s="16" t="s">
        <v>32</v>
      </c>
      <c r="B136" s="598" t="s">
        <v>333</v>
      </c>
      <c r="C136" s="599">
        <f t="shared" si="7"/>
        <v>121</v>
      </c>
      <c r="D136" s="19" t="s">
        <v>341</v>
      </c>
    </row>
    <row r="137" spans="1:4" ht="30" x14ac:dyDescent="0.25">
      <c r="A137" s="16" t="s">
        <v>32</v>
      </c>
      <c r="B137" s="598" t="s">
        <v>333</v>
      </c>
      <c r="C137" s="599">
        <f t="shared" si="7"/>
        <v>122</v>
      </c>
      <c r="D137" s="19" t="s">
        <v>340</v>
      </c>
    </row>
    <row r="138" spans="1:4" x14ac:dyDescent="0.25">
      <c r="A138" s="16" t="s">
        <v>32</v>
      </c>
      <c r="B138" s="598" t="s">
        <v>333</v>
      </c>
      <c r="C138" s="599">
        <f t="shared" si="7"/>
        <v>123</v>
      </c>
      <c r="D138" s="19" t="s">
        <v>339</v>
      </c>
    </row>
    <row r="139" spans="1:4" x14ac:dyDescent="0.25">
      <c r="A139" s="16" t="s">
        <v>32</v>
      </c>
      <c r="B139" s="598" t="s">
        <v>333</v>
      </c>
      <c r="C139" s="599">
        <f t="shared" si="7"/>
        <v>124</v>
      </c>
      <c r="D139" s="19" t="s">
        <v>338</v>
      </c>
    </row>
    <row r="140" spans="1:4" ht="30" x14ac:dyDescent="0.25">
      <c r="A140" s="16" t="s">
        <v>32</v>
      </c>
      <c r="B140" s="598" t="s">
        <v>333</v>
      </c>
      <c r="C140" s="599">
        <f t="shared" si="7"/>
        <v>125</v>
      </c>
      <c r="D140" s="19" t="s">
        <v>337</v>
      </c>
    </row>
    <row r="141" spans="1:4" x14ac:dyDescent="0.25">
      <c r="A141" s="16" t="s">
        <v>32</v>
      </c>
      <c r="B141" s="598" t="s">
        <v>333</v>
      </c>
      <c r="C141" s="599">
        <f t="shared" si="7"/>
        <v>126</v>
      </c>
      <c r="D141" s="19" t="s">
        <v>336</v>
      </c>
    </row>
    <row r="142" spans="1:4" x14ac:dyDescent="0.25">
      <c r="A142" s="16" t="s">
        <v>32</v>
      </c>
      <c r="B142" s="598" t="s">
        <v>333</v>
      </c>
      <c r="C142" s="599">
        <f t="shared" si="7"/>
        <v>127</v>
      </c>
      <c r="D142" s="19" t="s">
        <v>335</v>
      </c>
    </row>
    <row r="143" spans="1:4" x14ac:dyDescent="0.25">
      <c r="A143" s="16" t="s">
        <v>32</v>
      </c>
      <c r="B143" s="598" t="s">
        <v>333</v>
      </c>
      <c r="C143" s="599">
        <f t="shared" si="7"/>
        <v>128</v>
      </c>
      <c r="D143" s="19" t="s">
        <v>334</v>
      </c>
    </row>
    <row r="144" spans="1:4" x14ac:dyDescent="0.25">
      <c r="A144" s="16" t="s">
        <v>32</v>
      </c>
      <c r="B144" s="598" t="s">
        <v>333</v>
      </c>
      <c r="C144" s="599">
        <f t="shared" si="7"/>
        <v>129</v>
      </c>
      <c r="D144" s="19" t="s">
        <v>54</v>
      </c>
    </row>
    <row r="145" spans="1:4" ht="14.45" customHeight="1" x14ac:dyDescent="0.25">
      <c r="A145" s="822" t="s">
        <v>332</v>
      </c>
      <c r="B145" s="823" t="s">
        <v>318</v>
      </c>
      <c r="C145" s="823"/>
      <c r="D145" s="824"/>
    </row>
    <row r="146" spans="1:4" x14ac:dyDescent="0.25">
      <c r="A146" s="16" t="s">
        <v>32</v>
      </c>
      <c r="B146" s="598" t="s">
        <v>318</v>
      </c>
      <c r="C146" s="599">
        <f t="shared" ref="C146:C160" si="8">IF(C145="",C144+1,C145+1)</f>
        <v>130</v>
      </c>
      <c r="D146" s="19" t="s">
        <v>72</v>
      </c>
    </row>
    <row r="147" spans="1:4" x14ac:dyDescent="0.25">
      <c r="A147" s="16" t="s">
        <v>32</v>
      </c>
      <c r="B147" s="598" t="s">
        <v>318</v>
      </c>
      <c r="C147" s="599">
        <f t="shared" si="8"/>
        <v>131</v>
      </c>
      <c r="D147" s="19" t="s">
        <v>331</v>
      </c>
    </row>
    <row r="148" spans="1:4" x14ac:dyDescent="0.25">
      <c r="A148" s="16" t="s">
        <v>32</v>
      </c>
      <c r="B148" s="598" t="s">
        <v>318</v>
      </c>
      <c r="C148" s="599">
        <f t="shared" si="8"/>
        <v>132</v>
      </c>
      <c r="D148" s="19" t="s">
        <v>330</v>
      </c>
    </row>
    <row r="149" spans="1:4" x14ac:dyDescent="0.25">
      <c r="A149" s="16" t="s">
        <v>32</v>
      </c>
      <c r="B149" s="598" t="s">
        <v>318</v>
      </c>
      <c r="C149" s="599">
        <f t="shared" si="8"/>
        <v>133</v>
      </c>
      <c r="D149" s="19" t="s">
        <v>329</v>
      </c>
    </row>
    <row r="150" spans="1:4" x14ac:dyDescent="0.25">
      <c r="A150" s="16" t="s">
        <v>32</v>
      </c>
      <c r="B150" s="598" t="s">
        <v>318</v>
      </c>
      <c r="C150" s="599">
        <f t="shared" si="8"/>
        <v>134</v>
      </c>
      <c r="D150" s="19" t="s">
        <v>328</v>
      </c>
    </row>
    <row r="151" spans="1:4" x14ac:dyDescent="0.25">
      <c r="A151" s="16" t="s">
        <v>32</v>
      </c>
      <c r="B151" s="598" t="s">
        <v>318</v>
      </c>
      <c r="C151" s="599">
        <f t="shared" si="8"/>
        <v>135</v>
      </c>
      <c r="D151" s="19" t="s">
        <v>327</v>
      </c>
    </row>
    <row r="152" spans="1:4" x14ac:dyDescent="0.25">
      <c r="A152" s="16" t="s">
        <v>32</v>
      </c>
      <c r="B152" s="598" t="s">
        <v>318</v>
      </c>
      <c r="C152" s="599">
        <f t="shared" si="8"/>
        <v>136</v>
      </c>
      <c r="D152" s="19" t="s">
        <v>326</v>
      </c>
    </row>
    <row r="153" spans="1:4" x14ac:dyDescent="0.25">
      <c r="A153" s="16" t="s">
        <v>32</v>
      </c>
      <c r="B153" s="598" t="s">
        <v>318</v>
      </c>
      <c r="C153" s="599">
        <f t="shared" si="8"/>
        <v>137</v>
      </c>
      <c r="D153" s="19" t="s">
        <v>325</v>
      </c>
    </row>
    <row r="154" spans="1:4" x14ac:dyDescent="0.25">
      <c r="A154" s="16" t="s">
        <v>32</v>
      </c>
      <c r="B154" s="598" t="s">
        <v>318</v>
      </c>
      <c r="C154" s="599">
        <f t="shared" si="8"/>
        <v>138</v>
      </c>
      <c r="D154" s="19" t="s">
        <v>324</v>
      </c>
    </row>
    <row r="155" spans="1:4" x14ac:dyDescent="0.25">
      <c r="A155" s="16" t="s">
        <v>32</v>
      </c>
      <c r="B155" s="598" t="s">
        <v>318</v>
      </c>
      <c r="C155" s="599">
        <f t="shared" si="8"/>
        <v>139</v>
      </c>
      <c r="D155" s="19" t="s">
        <v>323</v>
      </c>
    </row>
    <row r="156" spans="1:4" x14ac:dyDescent="0.25">
      <c r="A156" s="16" t="s">
        <v>32</v>
      </c>
      <c r="B156" s="598" t="s">
        <v>318</v>
      </c>
      <c r="C156" s="599">
        <f t="shared" si="8"/>
        <v>140</v>
      </c>
      <c r="D156" s="19" t="s">
        <v>322</v>
      </c>
    </row>
    <row r="157" spans="1:4" x14ac:dyDescent="0.25">
      <c r="A157" s="16" t="s">
        <v>32</v>
      </c>
      <c r="B157" s="598" t="s">
        <v>318</v>
      </c>
      <c r="C157" s="599">
        <f t="shared" si="8"/>
        <v>141</v>
      </c>
      <c r="D157" s="19" t="s">
        <v>321</v>
      </c>
    </row>
    <row r="158" spans="1:4" x14ac:dyDescent="0.25">
      <c r="A158" s="16" t="s">
        <v>32</v>
      </c>
      <c r="B158" s="598" t="s">
        <v>318</v>
      </c>
      <c r="C158" s="599">
        <f t="shared" si="8"/>
        <v>142</v>
      </c>
      <c r="D158" s="19" t="s">
        <v>320</v>
      </c>
    </row>
    <row r="159" spans="1:4" x14ac:dyDescent="0.25">
      <c r="A159" s="16" t="s">
        <v>32</v>
      </c>
      <c r="B159" s="598" t="s">
        <v>318</v>
      </c>
      <c r="C159" s="599">
        <f t="shared" si="8"/>
        <v>143</v>
      </c>
      <c r="D159" s="19" t="s">
        <v>319</v>
      </c>
    </row>
    <row r="160" spans="1:4" x14ac:dyDescent="0.25">
      <c r="A160" s="16" t="s">
        <v>32</v>
      </c>
      <c r="B160" s="598" t="s">
        <v>318</v>
      </c>
      <c r="C160" s="599">
        <f t="shared" si="8"/>
        <v>144</v>
      </c>
      <c r="D160" s="19" t="s">
        <v>54</v>
      </c>
    </row>
    <row r="161" spans="1:4" ht="14.45" customHeight="1" x14ac:dyDescent="0.25">
      <c r="A161" s="822" t="s">
        <v>317</v>
      </c>
      <c r="B161" s="823" t="s">
        <v>310</v>
      </c>
      <c r="C161" s="823"/>
      <c r="D161" s="824"/>
    </row>
    <row r="162" spans="1:4" x14ac:dyDescent="0.25">
      <c r="A162" s="16" t="s">
        <v>32</v>
      </c>
      <c r="B162" s="598" t="s">
        <v>310</v>
      </c>
      <c r="C162" s="599">
        <f t="shared" ref="C162:C170" si="9">IF(C161="",C160+1,C161+1)</f>
        <v>145</v>
      </c>
      <c r="D162" s="19" t="s">
        <v>72</v>
      </c>
    </row>
    <row r="163" spans="1:4" x14ac:dyDescent="0.25">
      <c r="A163" s="16" t="s">
        <v>32</v>
      </c>
      <c r="B163" s="598" t="s">
        <v>310</v>
      </c>
      <c r="C163" s="599">
        <f t="shared" si="9"/>
        <v>146</v>
      </c>
      <c r="D163" s="19" t="s">
        <v>316</v>
      </c>
    </row>
    <row r="164" spans="1:4" x14ac:dyDescent="0.25">
      <c r="A164" s="16" t="s">
        <v>32</v>
      </c>
      <c r="B164" s="598" t="s">
        <v>310</v>
      </c>
      <c r="C164" s="599">
        <f t="shared" si="9"/>
        <v>147</v>
      </c>
      <c r="D164" s="19" t="s">
        <v>315</v>
      </c>
    </row>
    <row r="165" spans="1:4" x14ac:dyDescent="0.25">
      <c r="A165" s="16" t="s">
        <v>32</v>
      </c>
      <c r="B165" s="598" t="s">
        <v>310</v>
      </c>
      <c r="C165" s="599">
        <f t="shared" si="9"/>
        <v>148</v>
      </c>
      <c r="D165" s="19" t="s">
        <v>314</v>
      </c>
    </row>
    <row r="166" spans="1:4" x14ac:dyDescent="0.25">
      <c r="A166" s="16" t="s">
        <v>32</v>
      </c>
      <c r="B166" s="598" t="s">
        <v>310</v>
      </c>
      <c r="C166" s="599">
        <f t="shared" si="9"/>
        <v>149</v>
      </c>
      <c r="D166" s="19" t="s">
        <v>313</v>
      </c>
    </row>
    <row r="167" spans="1:4" x14ac:dyDescent="0.25">
      <c r="A167" s="16" t="s">
        <v>32</v>
      </c>
      <c r="B167" s="598" t="s">
        <v>310</v>
      </c>
      <c r="C167" s="599">
        <f t="shared" si="9"/>
        <v>150</v>
      </c>
      <c r="D167" s="19" t="s">
        <v>312</v>
      </c>
    </row>
    <row r="168" spans="1:4" x14ac:dyDescent="0.25">
      <c r="A168" s="16" t="s">
        <v>32</v>
      </c>
      <c r="B168" s="598" t="s">
        <v>310</v>
      </c>
      <c r="C168" s="599">
        <f t="shared" si="9"/>
        <v>151</v>
      </c>
      <c r="D168" s="19" t="s">
        <v>286</v>
      </c>
    </row>
    <row r="169" spans="1:4" x14ac:dyDescent="0.25">
      <c r="A169" s="16" t="s">
        <v>32</v>
      </c>
      <c r="B169" s="598" t="s">
        <v>310</v>
      </c>
      <c r="C169" s="599">
        <f t="shared" si="9"/>
        <v>152</v>
      </c>
      <c r="D169" s="19" t="s">
        <v>311</v>
      </c>
    </row>
    <row r="170" spans="1:4" x14ac:dyDescent="0.25">
      <c r="A170" s="16" t="s">
        <v>32</v>
      </c>
      <c r="B170" s="598" t="s">
        <v>310</v>
      </c>
      <c r="C170" s="599">
        <f t="shared" si="9"/>
        <v>153</v>
      </c>
      <c r="D170" s="19" t="s">
        <v>54</v>
      </c>
    </row>
    <row r="171" spans="1:4" ht="14.45" customHeight="1" x14ac:dyDescent="0.25">
      <c r="A171" s="822" t="s">
        <v>309</v>
      </c>
      <c r="B171" s="823"/>
      <c r="C171" s="823"/>
      <c r="D171" s="824"/>
    </row>
    <row r="172" spans="1:4" x14ac:dyDescent="0.25">
      <c r="A172" s="16" t="s">
        <v>32</v>
      </c>
      <c r="B172" s="598" t="s">
        <v>292</v>
      </c>
      <c r="C172" s="599">
        <f t="shared" ref="C172:C191" si="10">IF(C171="",C170+1,C171+1)</f>
        <v>154</v>
      </c>
      <c r="D172" s="19" t="s">
        <v>72</v>
      </c>
    </row>
    <row r="173" spans="1:4" x14ac:dyDescent="0.25">
      <c r="A173" s="16" t="s">
        <v>32</v>
      </c>
      <c r="B173" s="598" t="s">
        <v>292</v>
      </c>
      <c r="C173" s="599">
        <f t="shared" si="10"/>
        <v>155</v>
      </c>
      <c r="D173" s="19" t="s">
        <v>308</v>
      </c>
    </row>
    <row r="174" spans="1:4" x14ac:dyDescent="0.25">
      <c r="A174" s="16" t="s">
        <v>32</v>
      </c>
      <c r="B174" s="598" t="s">
        <v>292</v>
      </c>
      <c r="C174" s="599">
        <f t="shared" si="10"/>
        <v>156</v>
      </c>
      <c r="D174" s="19" t="s">
        <v>307</v>
      </c>
    </row>
    <row r="175" spans="1:4" x14ac:dyDescent="0.25">
      <c r="A175" s="16" t="s">
        <v>32</v>
      </c>
      <c r="B175" s="598" t="s">
        <v>292</v>
      </c>
      <c r="C175" s="599">
        <f t="shared" si="10"/>
        <v>157</v>
      </c>
      <c r="D175" s="19" t="s">
        <v>306</v>
      </c>
    </row>
    <row r="176" spans="1:4" x14ac:dyDescent="0.25">
      <c r="A176" s="16" t="s">
        <v>32</v>
      </c>
      <c r="B176" s="598" t="s">
        <v>292</v>
      </c>
      <c r="C176" s="599">
        <f t="shared" si="10"/>
        <v>158</v>
      </c>
      <c r="D176" s="19" t="s">
        <v>282</v>
      </c>
    </row>
    <row r="177" spans="1:4" x14ac:dyDescent="0.25">
      <c r="A177" s="16" t="s">
        <v>32</v>
      </c>
      <c r="B177" s="598" t="s">
        <v>292</v>
      </c>
      <c r="C177" s="599">
        <f t="shared" si="10"/>
        <v>159</v>
      </c>
      <c r="D177" s="19" t="s">
        <v>305</v>
      </c>
    </row>
    <row r="178" spans="1:4" x14ac:dyDescent="0.25">
      <c r="A178" s="16" t="s">
        <v>32</v>
      </c>
      <c r="B178" s="598" t="s">
        <v>292</v>
      </c>
      <c r="C178" s="599">
        <f t="shared" si="10"/>
        <v>160</v>
      </c>
      <c r="D178" s="19" t="s">
        <v>304</v>
      </c>
    </row>
    <row r="179" spans="1:4" x14ac:dyDescent="0.25">
      <c r="A179" s="16" t="s">
        <v>32</v>
      </c>
      <c r="B179" s="598" t="s">
        <v>292</v>
      </c>
      <c r="C179" s="599">
        <f t="shared" si="10"/>
        <v>161</v>
      </c>
      <c r="D179" s="19" t="s">
        <v>303</v>
      </c>
    </row>
    <row r="180" spans="1:4" x14ac:dyDescent="0.25">
      <c r="A180" s="16" t="s">
        <v>32</v>
      </c>
      <c r="B180" s="598" t="s">
        <v>292</v>
      </c>
      <c r="C180" s="599">
        <f t="shared" si="10"/>
        <v>162</v>
      </c>
      <c r="D180" s="19" t="s">
        <v>286</v>
      </c>
    </row>
    <row r="181" spans="1:4" x14ac:dyDescent="0.25">
      <c r="A181" s="16" t="s">
        <v>32</v>
      </c>
      <c r="B181" s="598" t="s">
        <v>292</v>
      </c>
      <c r="C181" s="599">
        <f t="shared" si="10"/>
        <v>163</v>
      </c>
      <c r="D181" s="19" t="s">
        <v>302</v>
      </c>
    </row>
    <row r="182" spans="1:4" x14ac:dyDescent="0.25">
      <c r="A182" s="16" t="s">
        <v>32</v>
      </c>
      <c r="B182" s="598" t="s">
        <v>292</v>
      </c>
      <c r="C182" s="599">
        <f t="shared" si="10"/>
        <v>164</v>
      </c>
      <c r="D182" s="19" t="s">
        <v>301</v>
      </c>
    </row>
    <row r="183" spans="1:4" x14ac:dyDescent="0.25">
      <c r="A183" s="16" t="s">
        <v>32</v>
      </c>
      <c r="B183" s="598" t="s">
        <v>292</v>
      </c>
      <c r="C183" s="599">
        <f t="shared" si="10"/>
        <v>165</v>
      </c>
      <c r="D183" s="19" t="s">
        <v>300</v>
      </c>
    </row>
    <row r="184" spans="1:4" x14ac:dyDescent="0.25">
      <c r="A184" s="16" t="s">
        <v>32</v>
      </c>
      <c r="B184" s="598" t="s">
        <v>292</v>
      </c>
      <c r="C184" s="599">
        <f t="shared" si="10"/>
        <v>166</v>
      </c>
      <c r="D184" s="19" t="s">
        <v>299</v>
      </c>
    </row>
    <row r="185" spans="1:4" x14ac:dyDescent="0.25">
      <c r="A185" s="16" t="s">
        <v>32</v>
      </c>
      <c r="B185" s="598" t="s">
        <v>292</v>
      </c>
      <c r="C185" s="599">
        <f t="shared" si="10"/>
        <v>167</v>
      </c>
      <c r="D185" s="19" t="s">
        <v>298</v>
      </c>
    </row>
    <row r="186" spans="1:4" x14ac:dyDescent="0.25">
      <c r="A186" s="16" t="s">
        <v>32</v>
      </c>
      <c r="B186" s="598" t="s">
        <v>292</v>
      </c>
      <c r="C186" s="599">
        <f t="shared" si="10"/>
        <v>168</v>
      </c>
      <c r="D186" s="19" t="s">
        <v>297</v>
      </c>
    </row>
    <row r="187" spans="1:4" x14ac:dyDescent="0.25">
      <c r="A187" s="16" t="s">
        <v>32</v>
      </c>
      <c r="B187" s="598" t="s">
        <v>292</v>
      </c>
      <c r="C187" s="599">
        <f t="shared" si="10"/>
        <v>169</v>
      </c>
      <c r="D187" s="19" t="s">
        <v>296</v>
      </c>
    </row>
    <row r="188" spans="1:4" x14ac:dyDescent="0.25">
      <c r="A188" s="16" t="s">
        <v>32</v>
      </c>
      <c r="B188" s="598" t="s">
        <v>292</v>
      </c>
      <c r="C188" s="599">
        <f t="shared" si="10"/>
        <v>170</v>
      </c>
      <c r="D188" s="19" t="s">
        <v>295</v>
      </c>
    </row>
    <row r="189" spans="1:4" x14ac:dyDescent="0.25">
      <c r="A189" s="16" t="s">
        <v>32</v>
      </c>
      <c r="B189" s="598" t="s">
        <v>292</v>
      </c>
      <c r="C189" s="599">
        <f t="shared" si="10"/>
        <v>171</v>
      </c>
      <c r="D189" s="19" t="s">
        <v>294</v>
      </c>
    </row>
    <row r="190" spans="1:4" x14ac:dyDescent="0.25">
      <c r="A190" s="16" t="s">
        <v>32</v>
      </c>
      <c r="B190" s="598" t="s">
        <v>292</v>
      </c>
      <c r="C190" s="599">
        <f t="shared" si="10"/>
        <v>172</v>
      </c>
      <c r="D190" s="19" t="s">
        <v>293</v>
      </c>
    </row>
    <row r="191" spans="1:4" x14ac:dyDescent="0.25">
      <c r="A191" s="16" t="s">
        <v>32</v>
      </c>
      <c r="B191" s="598" t="s">
        <v>292</v>
      </c>
      <c r="C191" s="599">
        <f t="shared" si="10"/>
        <v>173</v>
      </c>
      <c r="D191" s="19" t="s">
        <v>54</v>
      </c>
    </row>
    <row r="192" spans="1:4" ht="14.45" customHeight="1" x14ac:dyDescent="0.25">
      <c r="A192" s="822" t="s">
        <v>291</v>
      </c>
      <c r="B192" s="823" t="s">
        <v>269</v>
      </c>
      <c r="C192" s="823"/>
      <c r="D192" s="824"/>
    </row>
    <row r="193" spans="1:4" x14ac:dyDescent="0.25">
      <c r="A193" s="16" t="s">
        <v>32</v>
      </c>
      <c r="B193" s="598" t="s">
        <v>269</v>
      </c>
      <c r="C193" s="599">
        <f t="shared" ref="C193:C215" si="11">IF(C192="",C191+1,C192+1)</f>
        <v>174</v>
      </c>
      <c r="D193" s="19" t="s">
        <v>72</v>
      </c>
    </row>
    <row r="194" spans="1:4" x14ac:dyDescent="0.25">
      <c r="A194" s="16" t="s">
        <v>32</v>
      </c>
      <c r="B194" s="598" t="s">
        <v>269</v>
      </c>
      <c r="C194" s="599">
        <f t="shared" si="11"/>
        <v>175</v>
      </c>
      <c r="D194" s="19" t="s">
        <v>290</v>
      </c>
    </row>
    <row r="195" spans="1:4" x14ac:dyDescent="0.25">
      <c r="A195" s="16" t="s">
        <v>32</v>
      </c>
      <c r="B195" s="598" t="s">
        <v>269</v>
      </c>
      <c r="C195" s="599">
        <f t="shared" si="11"/>
        <v>176</v>
      </c>
      <c r="D195" s="19" t="s">
        <v>289</v>
      </c>
    </row>
    <row r="196" spans="1:4" x14ac:dyDescent="0.25">
      <c r="A196" s="16" t="s">
        <v>32</v>
      </c>
      <c r="B196" s="598" t="s">
        <v>269</v>
      </c>
      <c r="C196" s="599">
        <f t="shared" si="11"/>
        <v>177</v>
      </c>
      <c r="D196" s="19" t="s">
        <v>288</v>
      </c>
    </row>
    <row r="197" spans="1:4" x14ac:dyDescent="0.25">
      <c r="A197" s="16" t="s">
        <v>32</v>
      </c>
      <c r="B197" s="598" t="s">
        <v>269</v>
      </c>
      <c r="C197" s="599">
        <f t="shared" si="11"/>
        <v>178</v>
      </c>
      <c r="D197" s="19" t="s">
        <v>287</v>
      </c>
    </row>
    <row r="198" spans="1:4" x14ac:dyDescent="0.25">
      <c r="A198" s="16" t="s">
        <v>32</v>
      </c>
      <c r="B198" s="598" t="s">
        <v>269</v>
      </c>
      <c r="C198" s="599">
        <f t="shared" si="11"/>
        <v>179</v>
      </c>
      <c r="D198" s="19" t="s">
        <v>286</v>
      </c>
    </row>
    <row r="199" spans="1:4" x14ac:dyDescent="0.25">
      <c r="A199" s="16" t="s">
        <v>32</v>
      </c>
      <c r="B199" s="598" t="s">
        <v>269</v>
      </c>
      <c r="C199" s="599">
        <f t="shared" si="11"/>
        <v>180</v>
      </c>
      <c r="D199" s="19" t="s">
        <v>285</v>
      </c>
    </row>
    <row r="200" spans="1:4" x14ac:dyDescent="0.25">
      <c r="A200" s="16" t="s">
        <v>32</v>
      </c>
      <c r="B200" s="598" t="s">
        <v>269</v>
      </c>
      <c r="C200" s="599">
        <f t="shared" si="11"/>
        <v>181</v>
      </c>
      <c r="D200" s="19" t="s">
        <v>284</v>
      </c>
    </row>
    <row r="201" spans="1:4" x14ac:dyDescent="0.25">
      <c r="A201" s="16" t="s">
        <v>32</v>
      </c>
      <c r="B201" s="598" t="s">
        <v>269</v>
      </c>
      <c r="C201" s="599">
        <f t="shared" si="11"/>
        <v>182</v>
      </c>
      <c r="D201" s="19" t="s">
        <v>283</v>
      </c>
    </row>
    <row r="202" spans="1:4" x14ac:dyDescent="0.25">
      <c r="A202" s="16" t="s">
        <v>32</v>
      </c>
      <c r="B202" s="598" t="s">
        <v>269</v>
      </c>
      <c r="C202" s="599">
        <f t="shared" si="11"/>
        <v>183</v>
      </c>
      <c r="D202" s="19" t="s">
        <v>282</v>
      </c>
    </row>
    <row r="203" spans="1:4" x14ac:dyDescent="0.25">
      <c r="A203" s="16" t="s">
        <v>32</v>
      </c>
      <c r="B203" s="598" t="s">
        <v>269</v>
      </c>
      <c r="C203" s="599">
        <f t="shared" si="11"/>
        <v>184</v>
      </c>
      <c r="D203" s="19" t="s">
        <v>281</v>
      </c>
    </row>
    <row r="204" spans="1:4" x14ac:dyDescent="0.25">
      <c r="A204" s="16" t="s">
        <v>32</v>
      </c>
      <c r="B204" s="598" t="s">
        <v>269</v>
      </c>
      <c r="C204" s="599">
        <f t="shared" si="11"/>
        <v>185</v>
      </c>
      <c r="D204" s="19" t="s">
        <v>280</v>
      </c>
    </row>
    <row r="205" spans="1:4" x14ac:dyDescent="0.25">
      <c r="A205" s="16" t="s">
        <v>32</v>
      </c>
      <c r="B205" s="598" t="s">
        <v>269</v>
      </c>
      <c r="C205" s="599">
        <f t="shared" si="11"/>
        <v>186</v>
      </c>
      <c r="D205" s="19" t="s">
        <v>279</v>
      </c>
    </row>
    <row r="206" spans="1:4" x14ac:dyDescent="0.25">
      <c r="A206" s="16" t="s">
        <v>32</v>
      </c>
      <c r="B206" s="598" t="s">
        <v>269</v>
      </c>
      <c r="C206" s="599">
        <f t="shared" si="11"/>
        <v>187</v>
      </c>
      <c r="D206" s="19" t="s">
        <v>278</v>
      </c>
    </row>
    <row r="207" spans="1:4" x14ac:dyDescent="0.25">
      <c r="A207" s="16" t="s">
        <v>32</v>
      </c>
      <c r="B207" s="598" t="s">
        <v>269</v>
      </c>
      <c r="C207" s="599">
        <f t="shared" si="11"/>
        <v>188</v>
      </c>
      <c r="D207" s="19" t="s">
        <v>277</v>
      </c>
    </row>
    <row r="208" spans="1:4" x14ac:dyDescent="0.25">
      <c r="A208" s="16" t="s">
        <v>32</v>
      </c>
      <c r="B208" s="598" t="s">
        <v>269</v>
      </c>
      <c r="C208" s="599">
        <f t="shared" si="11"/>
        <v>189</v>
      </c>
      <c r="D208" s="19" t="s">
        <v>276</v>
      </c>
    </row>
    <row r="209" spans="1:4" x14ac:dyDescent="0.25">
      <c r="A209" s="16" t="s">
        <v>32</v>
      </c>
      <c r="B209" s="598" t="s">
        <v>269</v>
      </c>
      <c r="C209" s="599">
        <f t="shared" si="11"/>
        <v>190</v>
      </c>
      <c r="D209" s="19" t="s">
        <v>275</v>
      </c>
    </row>
    <row r="210" spans="1:4" x14ac:dyDescent="0.25">
      <c r="A210" s="16" t="s">
        <v>32</v>
      </c>
      <c r="B210" s="598" t="s">
        <v>269</v>
      </c>
      <c r="C210" s="599">
        <f t="shared" si="11"/>
        <v>191</v>
      </c>
      <c r="D210" s="19" t="s">
        <v>274</v>
      </c>
    </row>
    <row r="211" spans="1:4" x14ac:dyDescent="0.25">
      <c r="A211" s="16" t="s">
        <v>32</v>
      </c>
      <c r="B211" s="598" t="s">
        <v>269</v>
      </c>
      <c r="C211" s="599">
        <f t="shared" si="11"/>
        <v>192</v>
      </c>
      <c r="D211" s="19" t="s">
        <v>273</v>
      </c>
    </row>
    <row r="212" spans="1:4" x14ac:dyDescent="0.25">
      <c r="A212" s="16" t="s">
        <v>32</v>
      </c>
      <c r="B212" s="598" t="s">
        <v>269</v>
      </c>
      <c r="C212" s="599">
        <f t="shared" si="11"/>
        <v>193</v>
      </c>
      <c r="D212" s="19" t="s">
        <v>272</v>
      </c>
    </row>
    <row r="213" spans="1:4" x14ac:dyDescent="0.25">
      <c r="A213" s="16" t="s">
        <v>32</v>
      </c>
      <c r="B213" s="598" t="s">
        <v>269</v>
      </c>
      <c r="C213" s="599">
        <f t="shared" si="11"/>
        <v>194</v>
      </c>
      <c r="D213" s="19" t="s">
        <v>271</v>
      </c>
    </row>
    <row r="214" spans="1:4" x14ac:dyDescent="0.25">
      <c r="A214" s="16" t="s">
        <v>32</v>
      </c>
      <c r="B214" s="598" t="s">
        <v>269</v>
      </c>
      <c r="C214" s="599">
        <f t="shared" si="11"/>
        <v>195</v>
      </c>
      <c r="D214" s="19" t="s">
        <v>270</v>
      </c>
    </row>
    <row r="215" spans="1:4" x14ac:dyDescent="0.25">
      <c r="A215" s="16" t="s">
        <v>32</v>
      </c>
      <c r="B215" s="598" t="s">
        <v>269</v>
      </c>
      <c r="C215" s="599">
        <f t="shared" si="11"/>
        <v>196</v>
      </c>
      <c r="D215" s="19" t="s">
        <v>54</v>
      </c>
    </row>
    <row r="216" spans="1:4" ht="14.45" customHeight="1" x14ac:dyDescent="0.25">
      <c r="A216" s="822" t="s">
        <v>268</v>
      </c>
      <c r="B216" s="823" t="s">
        <v>262</v>
      </c>
      <c r="C216" s="823"/>
      <c r="D216" s="824"/>
    </row>
    <row r="217" spans="1:4" x14ac:dyDescent="0.25">
      <c r="A217" s="16" t="s">
        <v>32</v>
      </c>
      <c r="B217" s="598" t="s">
        <v>262</v>
      </c>
      <c r="C217" s="599">
        <f t="shared" ref="C217:C222" si="12">IF(C216="",C215+1,C216+1)</f>
        <v>197</v>
      </c>
      <c r="D217" s="19" t="s">
        <v>267</v>
      </c>
    </row>
    <row r="218" spans="1:4" ht="30" x14ac:dyDescent="0.25">
      <c r="A218" s="16" t="s">
        <v>32</v>
      </c>
      <c r="B218" s="598" t="s">
        <v>262</v>
      </c>
      <c r="C218" s="599">
        <f t="shared" si="12"/>
        <v>198</v>
      </c>
      <c r="D218" s="19" t="s">
        <v>266</v>
      </c>
    </row>
    <row r="219" spans="1:4" x14ac:dyDescent="0.25">
      <c r="A219" s="16" t="s">
        <v>32</v>
      </c>
      <c r="B219" s="598" t="s">
        <v>262</v>
      </c>
      <c r="C219" s="599">
        <f t="shared" si="12"/>
        <v>199</v>
      </c>
      <c r="D219" s="19" t="s">
        <v>265</v>
      </c>
    </row>
    <row r="220" spans="1:4" x14ac:dyDescent="0.25">
      <c r="A220" s="16" t="s">
        <v>32</v>
      </c>
      <c r="B220" s="598" t="s">
        <v>262</v>
      </c>
      <c r="C220" s="599">
        <f t="shared" si="12"/>
        <v>200</v>
      </c>
      <c r="D220" s="19" t="s">
        <v>264</v>
      </c>
    </row>
    <row r="221" spans="1:4" x14ac:dyDescent="0.25">
      <c r="A221" s="16" t="s">
        <v>32</v>
      </c>
      <c r="B221" s="598" t="s">
        <v>262</v>
      </c>
      <c r="C221" s="599">
        <f t="shared" si="12"/>
        <v>201</v>
      </c>
      <c r="D221" s="19" t="s">
        <v>263</v>
      </c>
    </row>
    <row r="222" spans="1:4" x14ac:dyDescent="0.25">
      <c r="A222" s="16" t="s">
        <v>32</v>
      </c>
      <c r="B222" s="598" t="s">
        <v>262</v>
      </c>
      <c r="C222" s="599">
        <f t="shared" si="12"/>
        <v>202</v>
      </c>
      <c r="D222" s="19" t="s">
        <v>54</v>
      </c>
    </row>
    <row r="223" spans="1:4" ht="14.45" customHeight="1" x14ac:dyDescent="0.25">
      <c r="A223" s="822" t="s">
        <v>261</v>
      </c>
      <c r="B223" s="823" t="s">
        <v>214</v>
      </c>
      <c r="C223" s="823"/>
      <c r="D223" s="824"/>
    </row>
    <row r="224" spans="1:4" x14ac:dyDescent="0.25">
      <c r="A224" s="16" t="s">
        <v>32</v>
      </c>
      <c r="B224" s="598" t="s">
        <v>214</v>
      </c>
      <c r="C224" s="599">
        <f t="shared" ref="C224:C256" si="13">IF(C223="",C222+1,C223+1)</f>
        <v>203</v>
      </c>
      <c r="D224" s="19" t="s">
        <v>260</v>
      </c>
    </row>
    <row r="225" spans="1:4" x14ac:dyDescent="0.25">
      <c r="A225" s="16" t="s">
        <v>32</v>
      </c>
      <c r="B225" s="598" t="s">
        <v>214</v>
      </c>
      <c r="C225" s="599">
        <f t="shared" si="13"/>
        <v>204</v>
      </c>
      <c r="D225" s="19" t="s">
        <v>259</v>
      </c>
    </row>
    <row r="226" spans="1:4" x14ac:dyDescent="0.25">
      <c r="A226" s="16" t="s">
        <v>32</v>
      </c>
      <c r="B226" s="598" t="s">
        <v>214</v>
      </c>
      <c r="C226" s="599">
        <f t="shared" si="13"/>
        <v>205</v>
      </c>
      <c r="D226" s="19" t="s">
        <v>258</v>
      </c>
    </row>
    <row r="227" spans="1:4" x14ac:dyDescent="0.25">
      <c r="A227" s="16" t="s">
        <v>32</v>
      </c>
      <c r="B227" s="598" t="s">
        <v>214</v>
      </c>
      <c r="C227" s="599">
        <f t="shared" si="13"/>
        <v>206</v>
      </c>
      <c r="D227" s="19" t="s">
        <v>257</v>
      </c>
    </row>
    <row r="228" spans="1:4" x14ac:dyDescent="0.25">
      <c r="A228" s="16" t="s">
        <v>32</v>
      </c>
      <c r="B228" s="598" t="s">
        <v>214</v>
      </c>
      <c r="C228" s="599">
        <f t="shared" si="13"/>
        <v>207</v>
      </c>
      <c r="D228" s="19" t="s">
        <v>256</v>
      </c>
    </row>
    <row r="229" spans="1:4" x14ac:dyDescent="0.25">
      <c r="A229" s="16" t="s">
        <v>32</v>
      </c>
      <c r="B229" s="598" t="s">
        <v>214</v>
      </c>
      <c r="C229" s="599">
        <f t="shared" si="13"/>
        <v>208</v>
      </c>
      <c r="D229" s="19" t="s">
        <v>255</v>
      </c>
    </row>
    <row r="230" spans="1:4" x14ac:dyDescent="0.25">
      <c r="A230" s="16" t="s">
        <v>32</v>
      </c>
      <c r="B230" s="598" t="s">
        <v>214</v>
      </c>
      <c r="C230" s="599">
        <f t="shared" si="13"/>
        <v>209</v>
      </c>
      <c r="D230" s="19" t="s">
        <v>254</v>
      </c>
    </row>
    <row r="231" spans="1:4" x14ac:dyDescent="0.25">
      <c r="A231" s="16" t="s">
        <v>32</v>
      </c>
      <c r="B231" s="598" t="s">
        <v>214</v>
      </c>
      <c r="C231" s="599">
        <f t="shared" si="13"/>
        <v>210</v>
      </c>
      <c r="D231" s="19" t="s">
        <v>253</v>
      </c>
    </row>
    <row r="232" spans="1:4" x14ac:dyDescent="0.25">
      <c r="A232" s="16" t="s">
        <v>32</v>
      </c>
      <c r="B232" s="598" t="s">
        <v>214</v>
      </c>
      <c r="C232" s="599">
        <f t="shared" si="13"/>
        <v>211</v>
      </c>
      <c r="D232" s="19" t="s">
        <v>252</v>
      </c>
    </row>
    <row r="233" spans="1:4" x14ac:dyDescent="0.25">
      <c r="A233" s="16" t="s">
        <v>32</v>
      </c>
      <c r="B233" s="598" t="s">
        <v>214</v>
      </c>
      <c r="C233" s="599">
        <f t="shared" si="13"/>
        <v>212</v>
      </c>
      <c r="D233" s="19" t="s">
        <v>251</v>
      </c>
    </row>
    <row r="234" spans="1:4" x14ac:dyDescent="0.25">
      <c r="A234" s="16" t="s">
        <v>32</v>
      </c>
      <c r="B234" s="598" t="s">
        <v>214</v>
      </c>
      <c r="C234" s="599">
        <f t="shared" si="13"/>
        <v>213</v>
      </c>
      <c r="D234" s="19" t="s">
        <v>250</v>
      </c>
    </row>
    <row r="235" spans="1:4" x14ac:dyDescent="0.25">
      <c r="A235" s="16" t="s">
        <v>32</v>
      </c>
      <c r="B235" s="598" t="s">
        <v>214</v>
      </c>
      <c r="C235" s="599">
        <f t="shared" si="13"/>
        <v>214</v>
      </c>
      <c r="D235" s="19" t="s">
        <v>249</v>
      </c>
    </row>
    <row r="236" spans="1:4" x14ac:dyDescent="0.25">
      <c r="A236" s="16" t="s">
        <v>32</v>
      </c>
      <c r="B236" s="598" t="s">
        <v>214</v>
      </c>
      <c r="C236" s="599">
        <f t="shared" si="13"/>
        <v>215</v>
      </c>
      <c r="D236" s="19" t="s">
        <v>248</v>
      </c>
    </row>
    <row r="237" spans="1:4" x14ac:dyDescent="0.25">
      <c r="A237" s="16" t="s">
        <v>32</v>
      </c>
      <c r="B237" s="598" t="s">
        <v>214</v>
      </c>
      <c r="C237" s="599">
        <f t="shared" si="13"/>
        <v>216</v>
      </c>
      <c r="D237" s="19" t="s">
        <v>247</v>
      </c>
    </row>
    <row r="238" spans="1:4" x14ac:dyDescent="0.25">
      <c r="A238" s="16" t="s">
        <v>32</v>
      </c>
      <c r="B238" s="598" t="s">
        <v>214</v>
      </c>
      <c r="C238" s="599">
        <f t="shared" si="13"/>
        <v>217</v>
      </c>
      <c r="D238" s="19" t="s">
        <v>246</v>
      </c>
    </row>
    <row r="239" spans="1:4" x14ac:dyDescent="0.25">
      <c r="A239" s="16" t="s">
        <v>32</v>
      </c>
      <c r="B239" s="598" t="s">
        <v>214</v>
      </c>
      <c r="C239" s="599">
        <f t="shared" si="13"/>
        <v>218</v>
      </c>
      <c r="D239" s="19" t="s">
        <v>245</v>
      </c>
    </row>
    <row r="240" spans="1:4" x14ac:dyDescent="0.25">
      <c r="A240" s="16" t="s">
        <v>32</v>
      </c>
      <c r="B240" s="598" t="s">
        <v>214</v>
      </c>
      <c r="C240" s="599">
        <f t="shared" si="13"/>
        <v>219</v>
      </c>
      <c r="D240" s="19" t="s">
        <v>244</v>
      </c>
    </row>
    <row r="241" spans="1:4" x14ac:dyDescent="0.25">
      <c r="A241" s="16" t="s">
        <v>32</v>
      </c>
      <c r="B241" s="598" t="s">
        <v>214</v>
      </c>
      <c r="C241" s="599">
        <f t="shared" si="13"/>
        <v>220</v>
      </c>
      <c r="D241" s="19" t="s">
        <v>243</v>
      </c>
    </row>
    <row r="242" spans="1:4" x14ac:dyDescent="0.25">
      <c r="A242" s="16" t="s">
        <v>32</v>
      </c>
      <c r="B242" s="598" t="s">
        <v>214</v>
      </c>
      <c r="C242" s="599">
        <f t="shared" si="13"/>
        <v>221</v>
      </c>
      <c r="D242" s="19" t="s">
        <v>242</v>
      </c>
    </row>
    <row r="243" spans="1:4" x14ac:dyDescent="0.25">
      <c r="A243" s="16" t="s">
        <v>32</v>
      </c>
      <c r="B243" s="598" t="s">
        <v>214</v>
      </c>
      <c r="C243" s="599">
        <f t="shared" si="13"/>
        <v>222</v>
      </c>
      <c r="D243" s="19" t="s">
        <v>241</v>
      </c>
    </row>
    <row r="244" spans="1:4" x14ac:dyDescent="0.25">
      <c r="A244" s="16" t="s">
        <v>32</v>
      </c>
      <c r="B244" s="598" t="s">
        <v>214</v>
      </c>
      <c r="C244" s="599">
        <f t="shared" si="13"/>
        <v>223</v>
      </c>
      <c r="D244" s="19" t="s">
        <v>240</v>
      </c>
    </row>
    <row r="245" spans="1:4" x14ac:dyDescent="0.25">
      <c r="A245" s="16" t="s">
        <v>32</v>
      </c>
      <c r="B245" s="598" t="s">
        <v>214</v>
      </c>
      <c r="C245" s="599">
        <f t="shared" si="13"/>
        <v>224</v>
      </c>
      <c r="D245" s="19" t="s">
        <v>239</v>
      </c>
    </row>
    <row r="246" spans="1:4" x14ac:dyDescent="0.25">
      <c r="A246" s="16" t="s">
        <v>32</v>
      </c>
      <c r="B246" s="598" t="s">
        <v>214</v>
      </c>
      <c r="C246" s="599">
        <f t="shared" si="13"/>
        <v>225</v>
      </c>
      <c r="D246" s="19" t="s">
        <v>238</v>
      </c>
    </row>
    <row r="247" spans="1:4" x14ac:dyDescent="0.25">
      <c r="A247" s="16" t="s">
        <v>32</v>
      </c>
      <c r="B247" s="598" t="s">
        <v>214</v>
      </c>
      <c r="C247" s="599">
        <f t="shared" si="13"/>
        <v>226</v>
      </c>
      <c r="D247" s="19" t="s">
        <v>118</v>
      </c>
    </row>
    <row r="248" spans="1:4" x14ac:dyDescent="0.25">
      <c r="A248" s="16" t="s">
        <v>32</v>
      </c>
      <c r="B248" s="598" t="s">
        <v>214</v>
      </c>
      <c r="C248" s="599">
        <f t="shared" si="13"/>
        <v>227</v>
      </c>
      <c r="D248" s="20" t="s">
        <v>237</v>
      </c>
    </row>
    <row r="249" spans="1:4" x14ac:dyDescent="0.25">
      <c r="A249" s="16" t="s">
        <v>32</v>
      </c>
      <c r="B249" s="598" t="s">
        <v>214</v>
      </c>
      <c r="C249" s="599">
        <f t="shared" si="13"/>
        <v>228</v>
      </c>
      <c r="D249" s="20" t="s">
        <v>236</v>
      </c>
    </row>
    <row r="250" spans="1:4" x14ac:dyDescent="0.25">
      <c r="A250" s="16" t="s">
        <v>32</v>
      </c>
      <c r="B250" s="598" t="s">
        <v>214</v>
      </c>
      <c r="C250" s="599">
        <f t="shared" si="13"/>
        <v>229</v>
      </c>
      <c r="D250" s="20" t="s">
        <v>235</v>
      </c>
    </row>
    <row r="251" spans="1:4" x14ac:dyDescent="0.25">
      <c r="A251" s="16" t="s">
        <v>32</v>
      </c>
      <c r="B251" s="598" t="s">
        <v>214</v>
      </c>
      <c r="C251" s="599">
        <f t="shared" si="13"/>
        <v>230</v>
      </c>
      <c r="D251" s="20" t="s">
        <v>234</v>
      </c>
    </row>
    <row r="252" spans="1:4" x14ac:dyDescent="0.25">
      <c r="A252" s="16" t="s">
        <v>32</v>
      </c>
      <c r="B252" s="598" t="s">
        <v>214</v>
      </c>
      <c r="C252" s="599">
        <f t="shared" si="13"/>
        <v>231</v>
      </c>
      <c r="D252" s="20" t="s">
        <v>233</v>
      </c>
    </row>
    <row r="253" spans="1:4" x14ac:dyDescent="0.25">
      <c r="A253" s="16" t="s">
        <v>32</v>
      </c>
      <c r="B253" s="598" t="s">
        <v>214</v>
      </c>
      <c r="C253" s="599">
        <f t="shared" si="13"/>
        <v>232</v>
      </c>
      <c r="D253" s="20" t="s">
        <v>232</v>
      </c>
    </row>
    <row r="254" spans="1:4" x14ac:dyDescent="0.25">
      <c r="A254" s="16" t="s">
        <v>32</v>
      </c>
      <c r="B254" s="598" t="s">
        <v>214</v>
      </c>
      <c r="C254" s="599">
        <f t="shared" si="13"/>
        <v>233</v>
      </c>
      <c r="D254" s="20" t="s">
        <v>231</v>
      </c>
    </row>
    <row r="255" spans="1:4" x14ac:dyDescent="0.25">
      <c r="A255" s="16" t="s">
        <v>32</v>
      </c>
      <c r="B255" s="598" t="s">
        <v>214</v>
      </c>
      <c r="C255" s="599">
        <f t="shared" si="13"/>
        <v>234</v>
      </c>
      <c r="D255" s="19" t="s">
        <v>54</v>
      </c>
    </row>
    <row r="256" spans="1:4" x14ac:dyDescent="0.25">
      <c r="A256" s="16" t="s">
        <v>32</v>
      </c>
      <c r="B256" s="598" t="s">
        <v>214</v>
      </c>
      <c r="C256" s="599">
        <f t="shared" si="13"/>
        <v>235</v>
      </c>
      <c r="D256" s="19" t="s">
        <v>230</v>
      </c>
    </row>
    <row r="257" spans="1:4" x14ac:dyDescent="0.25">
      <c r="A257" s="822" t="s">
        <v>229</v>
      </c>
      <c r="B257" s="823"/>
      <c r="C257" s="823"/>
      <c r="D257" s="824" t="s">
        <v>228</v>
      </c>
    </row>
    <row r="258" spans="1:4" x14ac:dyDescent="0.25">
      <c r="A258" s="16" t="s">
        <v>32</v>
      </c>
      <c r="B258" s="598" t="s">
        <v>217</v>
      </c>
      <c r="C258" s="599">
        <f t="shared" ref="C258:C269" si="14">IF(C257="",C256+1,C257+1)</f>
        <v>236</v>
      </c>
      <c r="D258" s="23" t="s">
        <v>227</v>
      </c>
    </row>
    <row r="259" spans="1:4" x14ac:dyDescent="0.25">
      <c r="A259" s="16" t="s">
        <v>32</v>
      </c>
      <c r="B259" s="598" t="s">
        <v>217</v>
      </c>
      <c r="C259" s="599">
        <f t="shared" si="14"/>
        <v>237</v>
      </c>
      <c r="D259" s="19" t="s">
        <v>226</v>
      </c>
    </row>
    <row r="260" spans="1:4" x14ac:dyDescent="0.25">
      <c r="A260" s="16" t="s">
        <v>32</v>
      </c>
      <c r="B260" s="598" t="s">
        <v>217</v>
      </c>
      <c r="C260" s="599">
        <f t="shared" si="14"/>
        <v>238</v>
      </c>
      <c r="D260" s="19" t="s">
        <v>225</v>
      </c>
    </row>
    <row r="261" spans="1:4" x14ac:dyDescent="0.25">
      <c r="A261" s="16" t="s">
        <v>32</v>
      </c>
      <c r="B261" s="598" t="s">
        <v>217</v>
      </c>
      <c r="C261" s="599">
        <f t="shared" si="14"/>
        <v>239</v>
      </c>
      <c r="D261" s="19" t="s">
        <v>224</v>
      </c>
    </row>
    <row r="262" spans="1:4" x14ac:dyDescent="0.25">
      <c r="A262" s="16" t="s">
        <v>32</v>
      </c>
      <c r="B262" s="598" t="s">
        <v>217</v>
      </c>
      <c r="C262" s="599">
        <f t="shared" si="14"/>
        <v>240</v>
      </c>
      <c r="D262" s="19" t="s">
        <v>223</v>
      </c>
    </row>
    <row r="263" spans="1:4" x14ac:dyDescent="0.25">
      <c r="A263" s="16" t="s">
        <v>32</v>
      </c>
      <c r="B263" s="598" t="s">
        <v>217</v>
      </c>
      <c r="C263" s="599">
        <f t="shared" si="14"/>
        <v>241</v>
      </c>
      <c r="D263" s="19" t="s">
        <v>222</v>
      </c>
    </row>
    <row r="264" spans="1:4" x14ac:dyDescent="0.25">
      <c r="A264" s="16" t="s">
        <v>32</v>
      </c>
      <c r="B264" s="598" t="s">
        <v>217</v>
      </c>
      <c r="C264" s="599">
        <f t="shared" si="14"/>
        <v>242</v>
      </c>
      <c r="D264" s="19" t="s">
        <v>221</v>
      </c>
    </row>
    <row r="265" spans="1:4" x14ac:dyDescent="0.25">
      <c r="A265" s="16" t="s">
        <v>32</v>
      </c>
      <c r="B265" s="598" t="s">
        <v>217</v>
      </c>
      <c r="C265" s="599">
        <f t="shared" si="14"/>
        <v>243</v>
      </c>
      <c r="D265" s="19" t="s">
        <v>220</v>
      </c>
    </row>
    <row r="266" spans="1:4" x14ac:dyDescent="0.25">
      <c r="A266" s="16" t="s">
        <v>32</v>
      </c>
      <c r="B266" s="598" t="s">
        <v>217</v>
      </c>
      <c r="C266" s="599">
        <f t="shared" si="14"/>
        <v>244</v>
      </c>
      <c r="D266" s="19" t="s">
        <v>219</v>
      </c>
    </row>
    <row r="267" spans="1:4" ht="45" x14ac:dyDescent="0.25">
      <c r="A267" s="16" t="s">
        <v>32</v>
      </c>
      <c r="B267" s="598" t="s">
        <v>217</v>
      </c>
      <c r="C267" s="599">
        <f t="shared" si="14"/>
        <v>245</v>
      </c>
      <c r="D267" s="19" t="s">
        <v>1276</v>
      </c>
    </row>
    <row r="268" spans="1:4" x14ac:dyDescent="0.25">
      <c r="A268" s="16" t="s">
        <v>32</v>
      </c>
      <c r="B268" s="598" t="s">
        <v>217</v>
      </c>
      <c r="C268" s="599">
        <f t="shared" si="14"/>
        <v>246</v>
      </c>
      <c r="D268" s="19" t="s">
        <v>218</v>
      </c>
    </row>
    <row r="269" spans="1:4" x14ac:dyDescent="0.25">
      <c r="A269" s="16" t="s">
        <v>32</v>
      </c>
      <c r="B269" s="598" t="s">
        <v>217</v>
      </c>
      <c r="C269" s="599">
        <f t="shared" si="14"/>
        <v>247</v>
      </c>
      <c r="D269" s="19" t="s">
        <v>216</v>
      </c>
    </row>
    <row r="270" spans="1:4" ht="14.45" customHeight="1" x14ac:dyDescent="0.25">
      <c r="A270" s="822" t="s">
        <v>215</v>
      </c>
      <c r="B270" s="823" t="s">
        <v>214</v>
      </c>
      <c r="C270" s="823"/>
      <c r="D270" s="824"/>
    </row>
    <row r="271" spans="1:4" x14ac:dyDescent="0.25">
      <c r="A271" s="16" t="s">
        <v>32</v>
      </c>
      <c r="B271" s="598" t="s">
        <v>205</v>
      </c>
      <c r="C271" s="599">
        <f t="shared" ref="C271:C279" si="15">IF(C270="",C269+1,C270+1)</f>
        <v>248</v>
      </c>
      <c r="D271" s="19" t="s">
        <v>213</v>
      </c>
    </row>
    <row r="272" spans="1:4" x14ac:dyDescent="0.25">
      <c r="A272" s="16" t="s">
        <v>32</v>
      </c>
      <c r="B272" s="598" t="s">
        <v>205</v>
      </c>
      <c r="C272" s="599">
        <f t="shared" si="15"/>
        <v>249</v>
      </c>
      <c r="D272" s="19" t="s">
        <v>212</v>
      </c>
    </row>
    <row r="273" spans="1:4" x14ac:dyDescent="0.25">
      <c r="A273" s="16" t="s">
        <v>32</v>
      </c>
      <c r="B273" s="598" t="s">
        <v>205</v>
      </c>
      <c r="C273" s="599">
        <f t="shared" si="15"/>
        <v>250</v>
      </c>
      <c r="D273" s="19" t="s">
        <v>211</v>
      </c>
    </row>
    <row r="274" spans="1:4" x14ac:dyDescent="0.25">
      <c r="A274" s="16" t="s">
        <v>32</v>
      </c>
      <c r="B274" s="598" t="s">
        <v>205</v>
      </c>
      <c r="C274" s="599">
        <f t="shared" si="15"/>
        <v>251</v>
      </c>
      <c r="D274" s="19" t="s">
        <v>210</v>
      </c>
    </row>
    <row r="275" spans="1:4" x14ac:dyDescent="0.25">
      <c r="A275" s="16" t="s">
        <v>32</v>
      </c>
      <c r="B275" s="598" t="s">
        <v>205</v>
      </c>
      <c r="C275" s="599">
        <f t="shared" si="15"/>
        <v>252</v>
      </c>
      <c r="D275" s="19" t="s">
        <v>209</v>
      </c>
    </row>
    <row r="276" spans="1:4" x14ac:dyDescent="0.25">
      <c r="A276" s="16" t="s">
        <v>32</v>
      </c>
      <c r="B276" s="598" t="s">
        <v>205</v>
      </c>
      <c r="C276" s="599">
        <f t="shared" si="15"/>
        <v>253</v>
      </c>
      <c r="D276" s="19" t="s">
        <v>208</v>
      </c>
    </row>
    <row r="277" spans="1:4" x14ac:dyDescent="0.25">
      <c r="A277" s="16" t="s">
        <v>32</v>
      </c>
      <c r="B277" s="598" t="s">
        <v>205</v>
      </c>
      <c r="C277" s="599">
        <f t="shared" si="15"/>
        <v>254</v>
      </c>
      <c r="D277" s="19" t="s">
        <v>207</v>
      </c>
    </row>
    <row r="278" spans="1:4" x14ac:dyDescent="0.25">
      <c r="A278" s="16" t="s">
        <v>32</v>
      </c>
      <c r="B278" s="598" t="s">
        <v>205</v>
      </c>
      <c r="C278" s="599">
        <f t="shared" si="15"/>
        <v>255</v>
      </c>
      <c r="D278" s="19" t="s">
        <v>206</v>
      </c>
    </row>
    <row r="279" spans="1:4" x14ac:dyDescent="0.25">
      <c r="A279" s="16" t="s">
        <v>32</v>
      </c>
      <c r="B279" s="598" t="s">
        <v>205</v>
      </c>
      <c r="C279" s="599">
        <f t="shared" si="15"/>
        <v>256</v>
      </c>
      <c r="D279" s="19" t="s">
        <v>204</v>
      </c>
    </row>
    <row r="280" spans="1:4" ht="14.45" customHeight="1" x14ac:dyDescent="0.25">
      <c r="A280" s="822" t="s">
        <v>203</v>
      </c>
      <c r="B280" s="823"/>
      <c r="C280" s="823"/>
      <c r="D280" s="824"/>
    </row>
    <row r="281" spans="1:4" x14ac:dyDescent="0.25">
      <c r="A281" s="16" t="s">
        <v>32</v>
      </c>
      <c r="B281" s="598" t="s">
        <v>89</v>
      </c>
      <c r="C281" s="599">
        <f t="shared" ref="C281:C344" si="16">IF(C280="",C279+1,C280+1)</f>
        <v>257</v>
      </c>
      <c r="D281" s="19" t="s">
        <v>202</v>
      </c>
    </row>
    <row r="282" spans="1:4" x14ac:dyDescent="0.25">
      <c r="A282" s="16" t="s">
        <v>32</v>
      </c>
      <c r="B282" s="598" t="s">
        <v>89</v>
      </c>
      <c r="C282" s="599">
        <f t="shared" si="16"/>
        <v>258</v>
      </c>
      <c r="D282" s="19" t="s">
        <v>201</v>
      </c>
    </row>
    <row r="283" spans="1:4" x14ac:dyDescent="0.25">
      <c r="A283" s="16" t="s">
        <v>32</v>
      </c>
      <c r="B283" s="598" t="s">
        <v>89</v>
      </c>
      <c r="C283" s="599">
        <f t="shared" si="16"/>
        <v>259</v>
      </c>
      <c r="D283" s="19" t="s">
        <v>200</v>
      </c>
    </row>
    <row r="284" spans="1:4" x14ac:dyDescent="0.25">
      <c r="A284" s="16" t="s">
        <v>32</v>
      </c>
      <c r="B284" s="598" t="s">
        <v>89</v>
      </c>
      <c r="C284" s="599">
        <f t="shared" si="16"/>
        <v>260</v>
      </c>
      <c r="D284" s="19" t="s">
        <v>199</v>
      </c>
    </row>
    <row r="285" spans="1:4" x14ac:dyDescent="0.25">
      <c r="A285" s="16" t="s">
        <v>32</v>
      </c>
      <c r="B285" s="598" t="s">
        <v>89</v>
      </c>
      <c r="C285" s="599">
        <f t="shared" si="16"/>
        <v>261</v>
      </c>
      <c r="D285" s="19" t="s">
        <v>198</v>
      </c>
    </row>
    <row r="286" spans="1:4" x14ac:dyDescent="0.25">
      <c r="A286" s="16" t="s">
        <v>32</v>
      </c>
      <c r="B286" s="598" t="s">
        <v>89</v>
      </c>
      <c r="C286" s="599">
        <f t="shared" si="16"/>
        <v>262</v>
      </c>
      <c r="D286" s="19" t="s">
        <v>197</v>
      </c>
    </row>
    <row r="287" spans="1:4" x14ac:dyDescent="0.25">
      <c r="A287" s="16" t="s">
        <v>32</v>
      </c>
      <c r="B287" s="598" t="s">
        <v>196</v>
      </c>
      <c r="C287" s="599">
        <f t="shared" si="16"/>
        <v>263</v>
      </c>
      <c r="D287" s="19" t="s">
        <v>195</v>
      </c>
    </row>
    <row r="288" spans="1:4" x14ac:dyDescent="0.25">
      <c r="A288" s="16" t="s">
        <v>32</v>
      </c>
      <c r="B288" s="598" t="s">
        <v>89</v>
      </c>
      <c r="C288" s="599">
        <f t="shared" si="16"/>
        <v>264</v>
      </c>
      <c r="D288" s="19" t="s">
        <v>194</v>
      </c>
    </row>
    <row r="289" spans="1:4" x14ac:dyDescent="0.25">
      <c r="A289" s="16" t="s">
        <v>32</v>
      </c>
      <c r="B289" s="598" t="s">
        <v>89</v>
      </c>
      <c r="C289" s="599">
        <f t="shared" si="16"/>
        <v>265</v>
      </c>
      <c r="D289" s="19" t="s">
        <v>193</v>
      </c>
    </row>
    <row r="290" spans="1:4" x14ac:dyDescent="0.25">
      <c r="A290" s="16" t="s">
        <v>32</v>
      </c>
      <c r="B290" s="598" t="s">
        <v>89</v>
      </c>
      <c r="C290" s="599">
        <f t="shared" si="16"/>
        <v>266</v>
      </c>
      <c r="D290" s="19" t="s">
        <v>134</v>
      </c>
    </row>
    <row r="291" spans="1:4" x14ac:dyDescent="0.25">
      <c r="A291" s="16" t="s">
        <v>32</v>
      </c>
      <c r="B291" s="598" t="s">
        <v>89</v>
      </c>
      <c r="C291" s="599">
        <f t="shared" si="16"/>
        <v>267</v>
      </c>
      <c r="D291" s="19" t="s">
        <v>136</v>
      </c>
    </row>
    <row r="292" spans="1:4" x14ac:dyDescent="0.25">
      <c r="A292" s="16" t="s">
        <v>32</v>
      </c>
      <c r="B292" s="598" t="s">
        <v>89</v>
      </c>
      <c r="C292" s="599">
        <f t="shared" si="16"/>
        <v>268</v>
      </c>
      <c r="D292" s="19" t="s">
        <v>192</v>
      </c>
    </row>
    <row r="293" spans="1:4" x14ac:dyDescent="0.25">
      <c r="A293" s="16" t="s">
        <v>32</v>
      </c>
      <c r="B293" s="598" t="s">
        <v>89</v>
      </c>
      <c r="C293" s="599">
        <f t="shared" si="16"/>
        <v>269</v>
      </c>
      <c r="D293" s="19" t="s">
        <v>191</v>
      </c>
    </row>
    <row r="294" spans="1:4" x14ac:dyDescent="0.25">
      <c r="A294" s="16" t="s">
        <v>32</v>
      </c>
      <c r="B294" s="598" t="s">
        <v>89</v>
      </c>
      <c r="C294" s="599">
        <f t="shared" si="16"/>
        <v>270</v>
      </c>
      <c r="D294" s="19" t="s">
        <v>190</v>
      </c>
    </row>
    <row r="295" spans="1:4" x14ac:dyDescent="0.25">
      <c r="A295" s="16" t="s">
        <v>32</v>
      </c>
      <c r="B295" s="598" t="s">
        <v>89</v>
      </c>
      <c r="C295" s="599">
        <f t="shared" si="16"/>
        <v>271</v>
      </c>
      <c r="D295" s="19" t="s">
        <v>189</v>
      </c>
    </row>
    <row r="296" spans="1:4" x14ac:dyDescent="0.25">
      <c r="A296" s="16" t="s">
        <v>32</v>
      </c>
      <c r="B296" s="598" t="s">
        <v>89</v>
      </c>
      <c r="C296" s="599">
        <f t="shared" si="16"/>
        <v>272</v>
      </c>
      <c r="D296" s="19" t="s">
        <v>188</v>
      </c>
    </row>
    <row r="297" spans="1:4" x14ac:dyDescent="0.25">
      <c r="A297" s="16" t="s">
        <v>32</v>
      </c>
      <c r="B297" s="598" t="s">
        <v>89</v>
      </c>
      <c r="C297" s="599">
        <f t="shared" si="16"/>
        <v>273</v>
      </c>
      <c r="D297" s="19" t="s">
        <v>187</v>
      </c>
    </row>
    <row r="298" spans="1:4" x14ac:dyDescent="0.25">
      <c r="A298" s="16" t="s">
        <v>32</v>
      </c>
      <c r="B298" s="598" t="s">
        <v>89</v>
      </c>
      <c r="C298" s="599">
        <f t="shared" si="16"/>
        <v>274</v>
      </c>
      <c r="D298" s="19" t="s">
        <v>186</v>
      </c>
    </row>
    <row r="299" spans="1:4" x14ac:dyDescent="0.25">
      <c r="A299" s="16" t="s">
        <v>32</v>
      </c>
      <c r="B299" s="598" t="s">
        <v>89</v>
      </c>
      <c r="C299" s="599">
        <f t="shared" si="16"/>
        <v>275</v>
      </c>
      <c r="D299" s="19" t="s">
        <v>185</v>
      </c>
    </row>
    <row r="300" spans="1:4" x14ac:dyDescent="0.25">
      <c r="A300" s="16" t="s">
        <v>32</v>
      </c>
      <c r="B300" s="598" t="s">
        <v>89</v>
      </c>
      <c r="C300" s="599">
        <f t="shared" si="16"/>
        <v>276</v>
      </c>
      <c r="D300" s="19" t="s">
        <v>184</v>
      </c>
    </row>
    <row r="301" spans="1:4" x14ac:dyDescent="0.25">
      <c r="A301" s="16" t="s">
        <v>32</v>
      </c>
      <c r="B301" s="598" t="s">
        <v>89</v>
      </c>
      <c r="C301" s="599">
        <f t="shared" si="16"/>
        <v>277</v>
      </c>
      <c r="D301" s="19" t="s">
        <v>183</v>
      </c>
    </row>
    <row r="302" spans="1:4" x14ac:dyDescent="0.25">
      <c r="A302" s="16" t="s">
        <v>32</v>
      </c>
      <c r="B302" s="598" t="s">
        <v>89</v>
      </c>
      <c r="C302" s="599">
        <f t="shared" si="16"/>
        <v>278</v>
      </c>
      <c r="D302" s="19" t="s">
        <v>133</v>
      </c>
    </row>
    <row r="303" spans="1:4" x14ac:dyDescent="0.25">
      <c r="A303" s="16" t="s">
        <v>32</v>
      </c>
      <c r="B303" s="598" t="s">
        <v>89</v>
      </c>
      <c r="C303" s="599">
        <f t="shared" si="16"/>
        <v>279</v>
      </c>
      <c r="D303" s="19" t="s">
        <v>182</v>
      </c>
    </row>
    <row r="304" spans="1:4" x14ac:dyDescent="0.25">
      <c r="A304" s="16" t="s">
        <v>32</v>
      </c>
      <c r="B304" s="598" t="s">
        <v>89</v>
      </c>
      <c r="C304" s="599">
        <f t="shared" si="16"/>
        <v>280</v>
      </c>
      <c r="D304" s="19" t="s">
        <v>181</v>
      </c>
    </row>
    <row r="305" spans="1:4" x14ac:dyDescent="0.25">
      <c r="A305" s="16" t="s">
        <v>32</v>
      </c>
      <c r="B305" s="598" t="s">
        <v>89</v>
      </c>
      <c r="C305" s="599">
        <f t="shared" si="16"/>
        <v>281</v>
      </c>
      <c r="D305" s="19" t="s">
        <v>180</v>
      </c>
    </row>
    <row r="306" spans="1:4" x14ac:dyDescent="0.25">
      <c r="A306" s="16" t="s">
        <v>32</v>
      </c>
      <c r="B306" s="598" t="s">
        <v>89</v>
      </c>
      <c r="C306" s="599">
        <f t="shared" si="16"/>
        <v>282</v>
      </c>
      <c r="D306" s="19" t="s">
        <v>179</v>
      </c>
    </row>
    <row r="307" spans="1:4" x14ac:dyDescent="0.25">
      <c r="A307" s="16" t="s">
        <v>32</v>
      </c>
      <c r="B307" s="598" t="s">
        <v>89</v>
      </c>
      <c r="C307" s="599">
        <f t="shared" si="16"/>
        <v>283</v>
      </c>
      <c r="D307" s="19" t="s">
        <v>178</v>
      </c>
    </row>
    <row r="308" spans="1:4" x14ac:dyDescent="0.25">
      <c r="A308" s="16" t="s">
        <v>32</v>
      </c>
      <c r="B308" s="598" t="s">
        <v>89</v>
      </c>
      <c r="C308" s="599">
        <f t="shared" si="16"/>
        <v>284</v>
      </c>
      <c r="D308" s="19" t="s">
        <v>177</v>
      </c>
    </row>
    <row r="309" spans="1:4" x14ac:dyDescent="0.25">
      <c r="A309" s="16" t="s">
        <v>32</v>
      </c>
      <c r="B309" s="598" t="s">
        <v>89</v>
      </c>
      <c r="C309" s="599">
        <f t="shared" si="16"/>
        <v>285</v>
      </c>
      <c r="D309" s="19" t="s">
        <v>176</v>
      </c>
    </row>
    <row r="310" spans="1:4" x14ac:dyDescent="0.25">
      <c r="A310" s="16" t="s">
        <v>32</v>
      </c>
      <c r="B310" s="598" t="s">
        <v>89</v>
      </c>
      <c r="C310" s="599">
        <f t="shared" si="16"/>
        <v>286</v>
      </c>
      <c r="D310" s="19" t="s">
        <v>175</v>
      </c>
    </row>
    <row r="311" spans="1:4" x14ac:dyDescent="0.25">
      <c r="A311" s="16" t="s">
        <v>32</v>
      </c>
      <c r="B311" s="598" t="s">
        <v>89</v>
      </c>
      <c r="C311" s="599">
        <f t="shared" si="16"/>
        <v>287</v>
      </c>
      <c r="D311" s="19" t="s">
        <v>174</v>
      </c>
    </row>
    <row r="312" spans="1:4" x14ac:dyDescent="0.25">
      <c r="A312" s="16" t="s">
        <v>32</v>
      </c>
      <c r="B312" s="598" t="s">
        <v>89</v>
      </c>
      <c r="C312" s="599">
        <f t="shared" si="16"/>
        <v>288</v>
      </c>
      <c r="D312" s="19" t="s">
        <v>173</v>
      </c>
    </row>
    <row r="313" spans="1:4" x14ac:dyDescent="0.25">
      <c r="A313" s="16" t="s">
        <v>32</v>
      </c>
      <c r="B313" s="598" t="s">
        <v>89</v>
      </c>
      <c r="C313" s="599">
        <f t="shared" si="16"/>
        <v>289</v>
      </c>
      <c r="D313" s="19" t="s">
        <v>172</v>
      </c>
    </row>
    <row r="314" spans="1:4" x14ac:dyDescent="0.25">
      <c r="A314" s="16" t="s">
        <v>32</v>
      </c>
      <c r="B314" s="598" t="s">
        <v>89</v>
      </c>
      <c r="C314" s="599">
        <f t="shared" si="16"/>
        <v>290</v>
      </c>
      <c r="D314" s="20" t="s">
        <v>171</v>
      </c>
    </row>
    <row r="315" spans="1:4" x14ac:dyDescent="0.25">
      <c r="A315" s="16" t="s">
        <v>32</v>
      </c>
      <c r="B315" s="598" t="s">
        <v>89</v>
      </c>
      <c r="C315" s="599">
        <f t="shared" si="16"/>
        <v>291</v>
      </c>
      <c r="D315" s="20" t="s">
        <v>170</v>
      </c>
    </row>
    <row r="316" spans="1:4" x14ac:dyDescent="0.25">
      <c r="A316" s="16" t="s">
        <v>32</v>
      </c>
      <c r="B316" s="598" t="s">
        <v>89</v>
      </c>
      <c r="C316" s="599">
        <f t="shared" si="16"/>
        <v>292</v>
      </c>
      <c r="D316" s="20" t="s">
        <v>169</v>
      </c>
    </row>
    <row r="317" spans="1:4" x14ac:dyDescent="0.25">
      <c r="A317" s="16" t="s">
        <v>32</v>
      </c>
      <c r="B317" s="598" t="s">
        <v>89</v>
      </c>
      <c r="C317" s="599">
        <f t="shared" si="16"/>
        <v>293</v>
      </c>
      <c r="D317" s="20" t="s">
        <v>168</v>
      </c>
    </row>
    <row r="318" spans="1:4" x14ac:dyDescent="0.25">
      <c r="A318" s="16" t="s">
        <v>32</v>
      </c>
      <c r="B318" s="598" t="s">
        <v>89</v>
      </c>
      <c r="C318" s="599">
        <f t="shared" si="16"/>
        <v>294</v>
      </c>
      <c r="D318" s="20" t="s">
        <v>167</v>
      </c>
    </row>
    <row r="319" spans="1:4" x14ac:dyDescent="0.25">
      <c r="A319" s="16" t="s">
        <v>32</v>
      </c>
      <c r="B319" s="598" t="s">
        <v>89</v>
      </c>
      <c r="C319" s="599">
        <f t="shared" si="16"/>
        <v>295</v>
      </c>
      <c r="D319" s="20" t="s">
        <v>166</v>
      </c>
    </row>
    <row r="320" spans="1:4" x14ac:dyDescent="0.25">
      <c r="A320" s="16" t="s">
        <v>32</v>
      </c>
      <c r="B320" s="598" t="s">
        <v>89</v>
      </c>
      <c r="C320" s="599">
        <f t="shared" si="16"/>
        <v>296</v>
      </c>
      <c r="D320" s="20" t="s">
        <v>165</v>
      </c>
    </row>
    <row r="321" spans="1:4" x14ac:dyDescent="0.25">
      <c r="A321" s="16" t="s">
        <v>32</v>
      </c>
      <c r="B321" s="598" t="s">
        <v>89</v>
      </c>
      <c r="C321" s="599">
        <f t="shared" si="16"/>
        <v>297</v>
      </c>
      <c r="D321" s="20" t="s">
        <v>164</v>
      </c>
    </row>
    <row r="322" spans="1:4" x14ac:dyDescent="0.25">
      <c r="A322" s="16" t="s">
        <v>32</v>
      </c>
      <c r="B322" s="598" t="s">
        <v>89</v>
      </c>
      <c r="C322" s="599">
        <f t="shared" si="16"/>
        <v>298</v>
      </c>
      <c r="D322" s="20" t="s">
        <v>163</v>
      </c>
    </row>
    <row r="323" spans="1:4" x14ac:dyDescent="0.25">
      <c r="A323" s="16" t="s">
        <v>32</v>
      </c>
      <c r="B323" s="598" t="s">
        <v>89</v>
      </c>
      <c r="C323" s="599">
        <f t="shared" si="16"/>
        <v>299</v>
      </c>
      <c r="D323" s="20" t="s">
        <v>162</v>
      </c>
    </row>
    <row r="324" spans="1:4" x14ac:dyDescent="0.25">
      <c r="A324" s="16" t="s">
        <v>32</v>
      </c>
      <c r="B324" s="598" t="s">
        <v>89</v>
      </c>
      <c r="C324" s="599">
        <f t="shared" si="16"/>
        <v>300</v>
      </c>
      <c r="D324" s="19" t="s">
        <v>161</v>
      </c>
    </row>
    <row r="325" spans="1:4" x14ac:dyDescent="0.25">
      <c r="A325" s="16" t="s">
        <v>32</v>
      </c>
      <c r="B325" s="598" t="s">
        <v>89</v>
      </c>
      <c r="C325" s="599">
        <f t="shared" si="16"/>
        <v>301</v>
      </c>
      <c r="D325" s="19" t="s">
        <v>160</v>
      </c>
    </row>
    <row r="326" spans="1:4" x14ac:dyDescent="0.25">
      <c r="A326" s="16" t="s">
        <v>32</v>
      </c>
      <c r="B326" s="598" t="s">
        <v>89</v>
      </c>
      <c r="C326" s="599">
        <f t="shared" si="16"/>
        <v>302</v>
      </c>
      <c r="D326" s="19" t="s">
        <v>159</v>
      </c>
    </row>
    <row r="327" spans="1:4" x14ac:dyDescent="0.25">
      <c r="A327" s="16" t="s">
        <v>32</v>
      </c>
      <c r="B327" s="598" t="s">
        <v>89</v>
      </c>
      <c r="C327" s="599">
        <f t="shared" si="16"/>
        <v>303</v>
      </c>
      <c r="D327" s="19" t="s">
        <v>158</v>
      </c>
    </row>
    <row r="328" spans="1:4" x14ac:dyDescent="0.25">
      <c r="A328" s="16" t="s">
        <v>32</v>
      </c>
      <c r="B328" s="598" t="s">
        <v>89</v>
      </c>
      <c r="C328" s="599">
        <f t="shared" si="16"/>
        <v>304</v>
      </c>
      <c r="D328" s="19" t="s">
        <v>157</v>
      </c>
    </row>
    <row r="329" spans="1:4" x14ac:dyDescent="0.25">
      <c r="A329" s="16" t="s">
        <v>32</v>
      </c>
      <c r="B329" s="598" t="s">
        <v>89</v>
      </c>
      <c r="C329" s="599">
        <f t="shared" si="16"/>
        <v>305</v>
      </c>
      <c r="D329" s="19" t="s">
        <v>156</v>
      </c>
    </row>
    <row r="330" spans="1:4" x14ac:dyDescent="0.25">
      <c r="A330" s="16" t="s">
        <v>32</v>
      </c>
      <c r="B330" s="598" t="s">
        <v>89</v>
      </c>
      <c r="C330" s="599">
        <f t="shared" si="16"/>
        <v>306</v>
      </c>
      <c r="D330" s="19" t="s">
        <v>155</v>
      </c>
    </row>
    <row r="331" spans="1:4" x14ac:dyDescent="0.25">
      <c r="A331" s="16" t="s">
        <v>32</v>
      </c>
      <c r="B331" s="598" t="s">
        <v>89</v>
      </c>
      <c r="C331" s="599">
        <f t="shared" si="16"/>
        <v>307</v>
      </c>
      <c r="D331" s="19" t="s">
        <v>154</v>
      </c>
    </row>
    <row r="332" spans="1:4" x14ac:dyDescent="0.25">
      <c r="A332" s="16" t="s">
        <v>32</v>
      </c>
      <c r="B332" s="598" t="s">
        <v>89</v>
      </c>
      <c r="C332" s="599">
        <f t="shared" si="16"/>
        <v>308</v>
      </c>
      <c r="D332" s="19" t="s">
        <v>153</v>
      </c>
    </row>
    <row r="333" spans="1:4" x14ac:dyDescent="0.25">
      <c r="A333" s="16" t="s">
        <v>32</v>
      </c>
      <c r="B333" s="598" t="s">
        <v>89</v>
      </c>
      <c r="C333" s="599">
        <f t="shared" si="16"/>
        <v>309</v>
      </c>
      <c r="D333" s="19" t="s">
        <v>152</v>
      </c>
    </row>
    <row r="334" spans="1:4" x14ac:dyDescent="0.25">
      <c r="A334" s="16" t="s">
        <v>32</v>
      </c>
      <c r="B334" s="598" t="s">
        <v>89</v>
      </c>
      <c r="C334" s="599">
        <f t="shared" si="16"/>
        <v>310</v>
      </c>
      <c r="D334" s="19" t="s">
        <v>151</v>
      </c>
    </row>
    <row r="335" spans="1:4" x14ac:dyDescent="0.25">
      <c r="A335" s="16" t="s">
        <v>32</v>
      </c>
      <c r="B335" s="598" t="s">
        <v>89</v>
      </c>
      <c r="C335" s="599">
        <f t="shared" si="16"/>
        <v>311</v>
      </c>
      <c r="D335" s="19" t="s">
        <v>150</v>
      </c>
    </row>
    <row r="336" spans="1:4" x14ac:dyDescent="0.25">
      <c r="A336" s="16" t="s">
        <v>32</v>
      </c>
      <c r="B336" s="598" t="s">
        <v>89</v>
      </c>
      <c r="C336" s="599">
        <f t="shared" si="16"/>
        <v>312</v>
      </c>
      <c r="D336" s="19" t="s">
        <v>149</v>
      </c>
    </row>
    <row r="337" spans="1:4" x14ac:dyDescent="0.25">
      <c r="A337" s="16" t="s">
        <v>32</v>
      </c>
      <c r="B337" s="598" t="s">
        <v>89</v>
      </c>
      <c r="C337" s="599">
        <f t="shared" si="16"/>
        <v>313</v>
      </c>
      <c r="D337" s="19" t="s">
        <v>148</v>
      </c>
    </row>
    <row r="338" spans="1:4" x14ac:dyDescent="0.25">
      <c r="A338" s="16" t="s">
        <v>32</v>
      </c>
      <c r="B338" s="598" t="s">
        <v>89</v>
      </c>
      <c r="C338" s="599">
        <f t="shared" si="16"/>
        <v>314</v>
      </c>
      <c r="D338" s="19" t="s">
        <v>147</v>
      </c>
    </row>
    <row r="339" spans="1:4" x14ac:dyDescent="0.25">
      <c r="A339" s="16" t="s">
        <v>32</v>
      </c>
      <c r="B339" s="598" t="s">
        <v>89</v>
      </c>
      <c r="C339" s="599">
        <f t="shared" si="16"/>
        <v>315</v>
      </c>
      <c r="D339" s="19" t="s">
        <v>146</v>
      </c>
    </row>
    <row r="340" spans="1:4" x14ac:dyDescent="0.25">
      <c r="A340" s="16" t="s">
        <v>32</v>
      </c>
      <c r="B340" s="598" t="s">
        <v>89</v>
      </c>
      <c r="C340" s="599">
        <f t="shared" si="16"/>
        <v>316</v>
      </c>
      <c r="D340" s="19" t="s">
        <v>145</v>
      </c>
    </row>
    <row r="341" spans="1:4" x14ac:dyDescent="0.25">
      <c r="A341" s="16" t="s">
        <v>32</v>
      </c>
      <c r="B341" s="598" t="s">
        <v>89</v>
      </c>
      <c r="C341" s="599">
        <f t="shared" si="16"/>
        <v>317</v>
      </c>
      <c r="D341" s="19" t="s">
        <v>144</v>
      </c>
    </row>
    <row r="342" spans="1:4" x14ac:dyDescent="0.25">
      <c r="A342" s="16" t="s">
        <v>32</v>
      </c>
      <c r="B342" s="598" t="s">
        <v>89</v>
      </c>
      <c r="C342" s="599">
        <f t="shared" si="16"/>
        <v>318</v>
      </c>
      <c r="D342" s="19" t="s">
        <v>143</v>
      </c>
    </row>
    <row r="343" spans="1:4" x14ac:dyDescent="0.25">
      <c r="A343" s="16" t="s">
        <v>32</v>
      </c>
      <c r="B343" s="598" t="s">
        <v>89</v>
      </c>
      <c r="C343" s="599">
        <f t="shared" si="16"/>
        <v>319</v>
      </c>
      <c r="D343" s="19" t="s">
        <v>142</v>
      </c>
    </row>
    <row r="344" spans="1:4" ht="30" x14ac:dyDescent="0.25">
      <c r="A344" s="16" t="s">
        <v>32</v>
      </c>
      <c r="B344" s="598" t="s">
        <v>89</v>
      </c>
      <c r="C344" s="599">
        <f t="shared" si="16"/>
        <v>320</v>
      </c>
      <c r="D344" s="19" t="s">
        <v>141</v>
      </c>
    </row>
    <row r="345" spans="1:4" x14ac:dyDescent="0.25">
      <c r="A345" s="16" t="s">
        <v>32</v>
      </c>
      <c r="B345" s="598" t="s">
        <v>89</v>
      </c>
      <c r="C345" s="599">
        <f t="shared" ref="C345:C400" si="17">IF(C344="",C343+1,C344+1)</f>
        <v>321</v>
      </c>
      <c r="D345" s="19" t="s">
        <v>140</v>
      </c>
    </row>
    <row r="346" spans="1:4" x14ac:dyDescent="0.25">
      <c r="A346" s="16" t="s">
        <v>32</v>
      </c>
      <c r="B346" s="598" t="s">
        <v>89</v>
      </c>
      <c r="C346" s="599">
        <f t="shared" si="17"/>
        <v>322</v>
      </c>
      <c r="D346" s="19" t="s">
        <v>139</v>
      </c>
    </row>
    <row r="347" spans="1:4" x14ac:dyDescent="0.25">
      <c r="A347" s="16" t="s">
        <v>32</v>
      </c>
      <c r="B347" s="598" t="s">
        <v>89</v>
      </c>
      <c r="C347" s="599">
        <f t="shared" si="17"/>
        <v>323</v>
      </c>
      <c r="D347" s="19" t="s">
        <v>138</v>
      </c>
    </row>
    <row r="348" spans="1:4" x14ac:dyDescent="0.25">
      <c r="A348" s="16" t="s">
        <v>32</v>
      </c>
      <c r="B348" s="598" t="s">
        <v>89</v>
      </c>
      <c r="C348" s="599">
        <f t="shared" si="17"/>
        <v>324</v>
      </c>
      <c r="D348" s="19" t="s">
        <v>137</v>
      </c>
    </row>
    <row r="349" spans="1:4" x14ac:dyDescent="0.25">
      <c r="A349" s="16" t="s">
        <v>32</v>
      </c>
      <c r="B349" s="598" t="s">
        <v>89</v>
      </c>
      <c r="C349" s="599">
        <f t="shared" si="17"/>
        <v>325</v>
      </c>
      <c r="D349" s="19" t="s">
        <v>136</v>
      </c>
    </row>
    <row r="350" spans="1:4" x14ac:dyDescent="0.25">
      <c r="A350" s="16" t="s">
        <v>32</v>
      </c>
      <c r="B350" s="598" t="s">
        <v>89</v>
      </c>
      <c r="C350" s="599">
        <f t="shared" si="17"/>
        <v>326</v>
      </c>
      <c r="D350" s="19" t="s">
        <v>135</v>
      </c>
    </row>
    <row r="351" spans="1:4" x14ac:dyDescent="0.25">
      <c r="A351" s="16" t="s">
        <v>32</v>
      </c>
      <c r="B351" s="598" t="s">
        <v>89</v>
      </c>
      <c r="C351" s="599">
        <f t="shared" si="17"/>
        <v>327</v>
      </c>
      <c r="D351" s="19" t="s">
        <v>134</v>
      </c>
    </row>
    <row r="352" spans="1:4" x14ac:dyDescent="0.25">
      <c r="A352" s="16" t="s">
        <v>32</v>
      </c>
      <c r="B352" s="598" t="s">
        <v>89</v>
      </c>
      <c r="C352" s="599">
        <f t="shared" si="17"/>
        <v>328</v>
      </c>
      <c r="D352" s="19" t="s">
        <v>133</v>
      </c>
    </row>
    <row r="353" spans="1:4" x14ac:dyDescent="0.25">
      <c r="A353" s="16" t="s">
        <v>32</v>
      </c>
      <c r="B353" s="598" t="s">
        <v>89</v>
      </c>
      <c r="C353" s="599">
        <f t="shared" si="17"/>
        <v>329</v>
      </c>
      <c r="D353" s="19" t="s">
        <v>132</v>
      </c>
    </row>
    <row r="354" spans="1:4" x14ac:dyDescent="0.25">
      <c r="A354" s="16" t="s">
        <v>32</v>
      </c>
      <c r="B354" s="598" t="s">
        <v>89</v>
      </c>
      <c r="C354" s="599">
        <f t="shared" si="17"/>
        <v>330</v>
      </c>
      <c r="D354" s="19" t="s">
        <v>131</v>
      </c>
    </row>
    <row r="355" spans="1:4" ht="30" x14ac:dyDescent="0.25">
      <c r="A355" s="16" t="s">
        <v>32</v>
      </c>
      <c r="B355" s="598" t="s">
        <v>89</v>
      </c>
      <c r="C355" s="599">
        <f t="shared" si="17"/>
        <v>331</v>
      </c>
      <c r="D355" s="19" t="s">
        <v>130</v>
      </c>
    </row>
    <row r="356" spans="1:4" x14ac:dyDescent="0.25">
      <c r="A356" s="16" t="s">
        <v>32</v>
      </c>
      <c r="B356" s="598" t="s">
        <v>89</v>
      </c>
      <c r="C356" s="599">
        <f t="shared" si="17"/>
        <v>332</v>
      </c>
      <c r="D356" s="19" t="s">
        <v>129</v>
      </c>
    </row>
    <row r="357" spans="1:4" x14ac:dyDescent="0.25">
      <c r="A357" s="16" t="s">
        <v>32</v>
      </c>
      <c r="B357" s="598" t="s">
        <v>89</v>
      </c>
      <c r="C357" s="599">
        <f t="shared" si="17"/>
        <v>333</v>
      </c>
      <c r="D357" s="20" t="s">
        <v>128</v>
      </c>
    </row>
    <row r="358" spans="1:4" x14ac:dyDescent="0.25">
      <c r="A358" s="16" t="s">
        <v>32</v>
      </c>
      <c r="B358" s="598" t="s">
        <v>89</v>
      </c>
      <c r="C358" s="599">
        <f t="shared" si="17"/>
        <v>334</v>
      </c>
      <c r="D358" s="20" t="s">
        <v>127</v>
      </c>
    </row>
    <row r="359" spans="1:4" x14ac:dyDescent="0.25">
      <c r="A359" s="16" t="s">
        <v>32</v>
      </c>
      <c r="B359" s="598" t="s">
        <v>89</v>
      </c>
      <c r="C359" s="599">
        <f t="shared" si="17"/>
        <v>335</v>
      </c>
      <c r="D359" s="20" t="s">
        <v>126</v>
      </c>
    </row>
    <row r="360" spans="1:4" x14ac:dyDescent="0.25">
      <c r="A360" s="16" t="s">
        <v>32</v>
      </c>
      <c r="B360" s="598" t="s">
        <v>89</v>
      </c>
      <c r="C360" s="599">
        <f t="shared" si="17"/>
        <v>336</v>
      </c>
      <c r="D360" s="24" t="s">
        <v>125</v>
      </c>
    </row>
    <row r="361" spans="1:4" x14ac:dyDescent="0.25">
      <c r="A361" s="16" t="s">
        <v>32</v>
      </c>
      <c r="B361" s="598" t="s">
        <v>89</v>
      </c>
      <c r="C361" s="599">
        <f t="shared" si="17"/>
        <v>337</v>
      </c>
      <c r="D361" s="24" t="s">
        <v>124</v>
      </c>
    </row>
    <row r="362" spans="1:4" x14ac:dyDescent="0.25">
      <c r="A362" s="16" t="s">
        <v>32</v>
      </c>
      <c r="B362" s="598" t="s">
        <v>89</v>
      </c>
      <c r="C362" s="599">
        <f t="shared" si="17"/>
        <v>338</v>
      </c>
      <c r="D362" s="24" t="s">
        <v>123</v>
      </c>
    </row>
    <row r="363" spans="1:4" x14ac:dyDescent="0.25">
      <c r="A363" s="16" t="s">
        <v>32</v>
      </c>
      <c r="B363" s="598" t="s">
        <v>89</v>
      </c>
      <c r="C363" s="599">
        <f t="shared" si="17"/>
        <v>339</v>
      </c>
      <c r="D363" s="20" t="s">
        <v>122</v>
      </c>
    </row>
    <row r="364" spans="1:4" x14ac:dyDescent="0.25">
      <c r="A364" s="16" t="s">
        <v>32</v>
      </c>
      <c r="B364" s="598" t="s">
        <v>89</v>
      </c>
      <c r="C364" s="599">
        <f t="shared" si="17"/>
        <v>340</v>
      </c>
      <c r="D364" s="20" t="s">
        <v>121</v>
      </c>
    </row>
    <row r="365" spans="1:4" x14ac:dyDescent="0.25">
      <c r="A365" s="16" t="s">
        <v>32</v>
      </c>
      <c r="B365" s="598" t="s">
        <v>89</v>
      </c>
      <c r="C365" s="599">
        <f t="shared" si="17"/>
        <v>341</v>
      </c>
      <c r="D365" s="20" t="s">
        <v>120</v>
      </c>
    </row>
    <row r="366" spans="1:4" x14ac:dyDescent="0.25">
      <c r="A366" s="16" t="s">
        <v>32</v>
      </c>
      <c r="B366" s="598" t="s">
        <v>89</v>
      </c>
      <c r="C366" s="599">
        <f t="shared" si="17"/>
        <v>342</v>
      </c>
      <c r="D366" s="19" t="s">
        <v>119</v>
      </c>
    </row>
    <row r="367" spans="1:4" x14ac:dyDescent="0.25">
      <c r="A367" s="16" t="s">
        <v>32</v>
      </c>
      <c r="B367" s="598" t="s">
        <v>89</v>
      </c>
      <c r="C367" s="599">
        <f t="shared" si="17"/>
        <v>343</v>
      </c>
      <c r="D367" s="19" t="s">
        <v>118</v>
      </c>
    </row>
    <row r="368" spans="1:4" x14ac:dyDescent="0.25">
      <c r="A368" s="16" t="s">
        <v>32</v>
      </c>
      <c r="B368" s="598" t="s">
        <v>89</v>
      </c>
      <c r="C368" s="599">
        <f t="shared" si="17"/>
        <v>344</v>
      </c>
      <c r="D368" s="20" t="s">
        <v>117</v>
      </c>
    </row>
    <row r="369" spans="1:4" x14ac:dyDescent="0.25">
      <c r="A369" s="16" t="s">
        <v>32</v>
      </c>
      <c r="B369" s="598" t="s">
        <v>89</v>
      </c>
      <c r="C369" s="599">
        <f t="shared" si="17"/>
        <v>345</v>
      </c>
      <c r="D369" s="20" t="s">
        <v>116</v>
      </c>
    </row>
    <row r="370" spans="1:4" x14ac:dyDescent="0.25">
      <c r="A370" s="16" t="s">
        <v>32</v>
      </c>
      <c r="B370" s="598" t="s">
        <v>89</v>
      </c>
      <c r="C370" s="599">
        <f t="shared" si="17"/>
        <v>346</v>
      </c>
      <c r="D370" s="20" t="s">
        <v>115</v>
      </c>
    </row>
    <row r="371" spans="1:4" x14ac:dyDescent="0.25">
      <c r="A371" s="16" t="s">
        <v>32</v>
      </c>
      <c r="B371" s="598" t="s">
        <v>89</v>
      </c>
      <c r="C371" s="599">
        <f t="shared" si="17"/>
        <v>347</v>
      </c>
      <c r="D371" s="20" t="s">
        <v>114</v>
      </c>
    </row>
    <row r="372" spans="1:4" x14ac:dyDescent="0.25">
      <c r="A372" s="16" t="s">
        <v>32</v>
      </c>
      <c r="B372" s="598" t="s">
        <v>89</v>
      </c>
      <c r="C372" s="599">
        <f t="shared" si="17"/>
        <v>348</v>
      </c>
      <c r="D372" s="20" t="s">
        <v>113</v>
      </c>
    </row>
    <row r="373" spans="1:4" x14ac:dyDescent="0.25">
      <c r="A373" s="16" t="s">
        <v>32</v>
      </c>
      <c r="B373" s="598" t="s">
        <v>89</v>
      </c>
      <c r="C373" s="599">
        <f t="shared" si="17"/>
        <v>349</v>
      </c>
      <c r="D373" s="19" t="s">
        <v>112</v>
      </c>
    </row>
    <row r="374" spans="1:4" x14ac:dyDescent="0.25">
      <c r="A374" s="16" t="s">
        <v>32</v>
      </c>
      <c r="B374" s="598" t="s">
        <v>89</v>
      </c>
      <c r="C374" s="599">
        <f t="shared" si="17"/>
        <v>350</v>
      </c>
      <c r="D374" s="19" t="s">
        <v>111</v>
      </c>
    </row>
    <row r="375" spans="1:4" x14ac:dyDescent="0.25">
      <c r="A375" s="16" t="s">
        <v>32</v>
      </c>
      <c r="B375" s="598" t="s">
        <v>89</v>
      </c>
      <c r="C375" s="599">
        <f t="shared" si="17"/>
        <v>351</v>
      </c>
      <c r="D375" s="19" t="s">
        <v>110</v>
      </c>
    </row>
    <row r="376" spans="1:4" x14ac:dyDescent="0.25">
      <c r="A376" s="16" t="s">
        <v>32</v>
      </c>
      <c r="B376" s="598" t="s">
        <v>89</v>
      </c>
      <c r="C376" s="599">
        <f t="shared" si="17"/>
        <v>352</v>
      </c>
      <c r="D376" s="19" t="s">
        <v>109</v>
      </c>
    </row>
    <row r="377" spans="1:4" x14ac:dyDescent="0.25">
      <c r="A377" s="16" t="s">
        <v>32</v>
      </c>
      <c r="B377" s="598" t="s">
        <v>89</v>
      </c>
      <c r="C377" s="599">
        <f t="shared" si="17"/>
        <v>353</v>
      </c>
      <c r="D377" s="19" t="s">
        <v>54</v>
      </c>
    </row>
    <row r="378" spans="1:4" x14ac:dyDescent="0.25">
      <c r="A378" s="16" t="s">
        <v>32</v>
      </c>
      <c r="B378" s="598" t="s">
        <v>89</v>
      </c>
      <c r="C378" s="599">
        <f t="shared" si="17"/>
        <v>354</v>
      </c>
      <c r="D378" s="25" t="s">
        <v>108</v>
      </c>
    </row>
    <row r="379" spans="1:4" ht="195" x14ac:dyDescent="0.25">
      <c r="A379" s="16" t="s">
        <v>32</v>
      </c>
      <c r="B379" s="598" t="s">
        <v>89</v>
      </c>
      <c r="C379" s="599">
        <f t="shared" si="17"/>
        <v>355</v>
      </c>
      <c r="D379" s="22" t="s">
        <v>107</v>
      </c>
    </row>
    <row r="380" spans="1:4" ht="30" x14ac:dyDescent="0.25">
      <c r="A380" s="16" t="s">
        <v>32</v>
      </c>
      <c r="B380" s="598" t="s">
        <v>89</v>
      </c>
      <c r="C380" s="599">
        <f t="shared" si="17"/>
        <v>356</v>
      </c>
      <c r="D380" s="22" t="s">
        <v>106</v>
      </c>
    </row>
    <row r="381" spans="1:4" ht="30" x14ac:dyDescent="0.25">
      <c r="A381" s="16" t="s">
        <v>32</v>
      </c>
      <c r="B381" s="598" t="s">
        <v>89</v>
      </c>
      <c r="C381" s="599">
        <f t="shared" si="17"/>
        <v>357</v>
      </c>
      <c r="D381" s="22" t="s">
        <v>480</v>
      </c>
    </row>
    <row r="382" spans="1:4" x14ac:dyDescent="0.25">
      <c r="A382" s="16" t="s">
        <v>32</v>
      </c>
      <c r="B382" s="598" t="s">
        <v>89</v>
      </c>
      <c r="C382" s="599">
        <f t="shared" si="17"/>
        <v>358</v>
      </c>
      <c r="D382" s="26" t="s">
        <v>53</v>
      </c>
    </row>
    <row r="383" spans="1:4" x14ac:dyDescent="0.25">
      <c r="A383" s="16" t="s">
        <v>32</v>
      </c>
      <c r="B383" s="598" t="s">
        <v>89</v>
      </c>
      <c r="C383" s="599">
        <f t="shared" si="17"/>
        <v>359</v>
      </c>
      <c r="D383" s="20" t="s">
        <v>105</v>
      </c>
    </row>
    <row r="384" spans="1:4" x14ac:dyDescent="0.25">
      <c r="A384" s="16" t="s">
        <v>32</v>
      </c>
      <c r="B384" s="598" t="s">
        <v>89</v>
      </c>
      <c r="C384" s="599">
        <f t="shared" si="17"/>
        <v>360</v>
      </c>
      <c r="D384" s="20" t="s">
        <v>104</v>
      </c>
    </row>
    <row r="385" spans="1:4" x14ac:dyDescent="0.25">
      <c r="A385" s="16" t="s">
        <v>32</v>
      </c>
      <c r="B385" s="598" t="s">
        <v>89</v>
      </c>
      <c r="C385" s="599">
        <f t="shared" si="17"/>
        <v>361</v>
      </c>
      <c r="D385" s="20" t="s">
        <v>103</v>
      </c>
    </row>
    <row r="386" spans="1:4" x14ac:dyDescent="0.25">
      <c r="A386" s="16" t="s">
        <v>32</v>
      </c>
      <c r="B386" s="598" t="s">
        <v>89</v>
      </c>
      <c r="C386" s="599">
        <f t="shared" si="17"/>
        <v>362</v>
      </c>
      <c r="D386" s="20" t="s">
        <v>102</v>
      </c>
    </row>
    <row r="387" spans="1:4" x14ac:dyDescent="0.25">
      <c r="A387" s="16" t="s">
        <v>32</v>
      </c>
      <c r="B387" s="598" t="s">
        <v>89</v>
      </c>
      <c r="C387" s="599">
        <f t="shared" si="17"/>
        <v>363</v>
      </c>
      <c r="D387" s="20" t="s">
        <v>101</v>
      </c>
    </row>
    <row r="388" spans="1:4" x14ac:dyDescent="0.25">
      <c r="A388" s="16" t="s">
        <v>32</v>
      </c>
      <c r="B388" s="598" t="s">
        <v>89</v>
      </c>
      <c r="C388" s="599">
        <f t="shared" si="17"/>
        <v>364</v>
      </c>
      <c r="D388" s="20" t="s">
        <v>100</v>
      </c>
    </row>
    <row r="389" spans="1:4" x14ac:dyDescent="0.25">
      <c r="A389" s="16" t="s">
        <v>32</v>
      </c>
      <c r="B389" s="598" t="s">
        <v>89</v>
      </c>
      <c r="C389" s="599">
        <f t="shared" si="17"/>
        <v>365</v>
      </c>
      <c r="D389" s="20" t="s">
        <v>99</v>
      </c>
    </row>
    <row r="390" spans="1:4" x14ac:dyDescent="0.25">
      <c r="A390" s="16" t="s">
        <v>32</v>
      </c>
      <c r="B390" s="598" t="s">
        <v>89</v>
      </c>
      <c r="C390" s="599">
        <f t="shared" si="17"/>
        <v>366</v>
      </c>
      <c r="D390" s="20" t="s">
        <v>98</v>
      </c>
    </row>
    <row r="391" spans="1:4" ht="30" x14ac:dyDescent="0.25">
      <c r="A391" s="16" t="s">
        <v>32</v>
      </c>
      <c r="B391" s="598" t="s">
        <v>89</v>
      </c>
      <c r="C391" s="599">
        <f t="shared" si="17"/>
        <v>367</v>
      </c>
      <c r="D391" s="20" t="s">
        <v>97</v>
      </c>
    </row>
    <row r="392" spans="1:4" x14ac:dyDescent="0.25">
      <c r="A392" s="16" t="s">
        <v>32</v>
      </c>
      <c r="B392" s="598" t="s">
        <v>89</v>
      </c>
      <c r="C392" s="599">
        <f t="shared" si="17"/>
        <v>368</v>
      </c>
      <c r="D392" s="20" t="s">
        <v>96</v>
      </c>
    </row>
    <row r="393" spans="1:4" x14ac:dyDescent="0.25">
      <c r="A393" s="16" t="s">
        <v>32</v>
      </c>
      <c r="B393" s="598" t="s">
        <v>89</v>
      </c>
      <c r="C393" s="599">
        <f t="shared" si="17"/>
        <v>369</v>
      </c>
      <c r="D393" s="25" t="s">
        <v>95</v>
      </c>
    </row>
    <row r="394" spans="1:4" x14ac:dyDescent="0.25">
      <c r="A394" s="16" t="s">
        <v>32</v>
      </c>
      <c r="B394" s="598" t="s">
        <v>89</v>
      </c>
      <c r="C394" s="599">
        <f t="shared" si="17"/>
        <v>370</v>
      </c>
      <c r="D394" s="20" t="s">
        <v>94</v>
      </c>
    </row>
    <row r="395" spans="1:4" x14ac:dyDescent="0.25">
      <c r="A395" s="16" t="s">
        <v>32</v>
      </c>
      <c r="B395" s="598" t="s">
        <v>89</v>
      </c>
      <c r="C395" s="599">
        <f t="shared" si="17"/>
        <v>371</v>
      </c>
      <c r="D395" s="20" t="s">
        <v>93</v>
      </c>
    </row>
    <row r="396" spans="1:4" x14ac:dyDescent="0.25">
      <c r="A396" s="16" t="s">
        <v>32</v>
      </c>
      <c r="B396" s="598" t="s">
        <v>89</v>
      </c>
      <c r="C396" s="599">
        <f t="shared" si="17"/>
        <v>372</v>
      </c>
      <c r="D396" s="20" t="s">
        <v>92</v>
      </c>
    </row>
    <row r="397" spans="1:4" x14ac:dyDescent="0.25">
      <c r="A397" s="16" t="s">
        <v>32</v>
      </c>
      <c r="B397" s="598" t="s">
        <v>89</v>
      </c>
      <c r="C397" s="599">
        <f t="shared" si="17"/>
        <v>373</v>
      </c>
      <c r="D397" s="20" t="s">
        <v>91</v>
      </c>
    </row>
    <row r="398" spans="1:4" x14ac:dyDescent="0.25">
      <c r="A398" s="16" t="s">
        <v>32</v>
      </c>
      <c r="B398" s="598" t="s">
        <v>89</v>
      </c>
      <c r="C398" s="599">
        <f t="shared" si="17"/>
        <v>374</v>
      </c>
      <c r="D398" s="20" t="s">
        <v>90</v>
      </c>
    </row>
    <row r="399" spans="1:4" x14ac:dyDescent="0.25">
      <c r="A399" s="16" t="s">
        <v>32</v>
      </c>
      <c r="B399" s="598" t="s">
        <v>89</v>
      </c>
      <c r="C399" s="599">
        <f t="shared" si="17"/>
        <v>375</v>
      </c>
      <c r="D399" s="20" t="s">
        <v>88</v>
      </c>
    </row>
    <row r="400" spans="1:4" x14ac:dyDescent="0.25">
      <c r="A400" s="16" t="s">
        <v>32</v>
      </c>
      <c r="B400" s="598" t="s">
        <v>87</v>
      </c>
      <c r="C400" s="599">
        <f t="shared" si="17"/>
        <v>376</v>
      </c>
      <c r="D400" s="20" t="s">
        <v>86</v>
      </c>
    </row>
    <row r="401" spans="1:4" ht="14.45" customHeight="1" x14ac:dyDescent="0.25">
      <c r="A401" s="822" t="s">
        <v>85</v>
      </c>
      <c r="B401" s="823" t="s">
        <v>75</v>
      </c>
      <c r="C401" s="823"/>
      <c r="D401" s="824"/>
    </row>
    <row r="402" spans="1:4" x14ac:dyDescent="0.25">
      <c r="A402" s="16" t="s">
        <v>32</v>
      </c>
      <c r="B402" s="598" t="s">
        <v>75</v>
      </c>
      <c r="C402" s="599">
        <f t="shared" ref="C402:C411" si="18">IF(C401="",C400+1,C401+1)</f>
        <v>377</v>
      </c>
      <c r="D402" s="19" t="s">
        <v>84</v>
      </c>
    </row>
    <row r="403" spans="1:4" x14ac:dyDescent="0.25">
      <c r="A403" s="16" t="s">
        <v>32</v>
      </c>
      <c r="B403" s="598" t="s">
        <v>75</v>
      </c>
      <c r="C403" s="599">
        <f t="shared" si="18"/>
        <v>378</v>
      </c>
      <c r="D403" s="20" t="s">
        <v>83</v>
      </c>
    </row>
    <row r="404" spans="1:4" x14ac:dyDescent="0.25">
      <c r="A404" s="16" t="s">
        <v>32</v>
      </c>
      <c r="B404" s="598" t="s">
        <v>75</v>
      </c>
      <c r="C404" s="599">
        <f t="shared" si="18"/>
        <v>379</v>
      </c>
      <c r="D404" s="19" t="s">
        <v>82</v>
      </c>
    </row>
    <row r="405" spans="1:4" x14ac:dyDescent="0.25">
      <c r="A405" s="16" t="s">
        <v>32</v>
      </c>
      <c r="B405" s="598" t="s">
        <v>75</v>
      </c>
      <c r="C405" s="599">
        <f t="shared" si="18"/>
        <v>380</v>
      </c>
      <c r="D405" s="19" t="s">
        <v>81</v>
      </c>
    </row>
    <row r="406" spans="1:4" ht="30" x14ac:dyDescent="0.25">
      <c r="A406" s="16" t="s">
        <v>32</v>
      </c>
      <c r="B406" s="598" t="s">
        <v>75</v>
      </c>
      <c r="C406" s="599">
        <f t="shared" si="18"/>
        <v>381</v>
      </c>
      <c r="D406" s="19" t="s">
        <v>80</v>
      </c>
    </row>
    <row r="407" spans="1:4" x14ac:dyDescent="0.25">
      <c r="A407" s="16" t="s">
        <v>32</v>
      </c>
      <c r="B407" s="598" t="s">
        <v>75</v>
      </c>
      <c r="C407" s="599">
        <f t="shared" si="18"/>
        <v>382</v>
      </c>
      <c r="D407" s="19" t="s">
        <v>79</v>
      </c>
    </row>
    <row r="408" spans="1:4" x14ac:dyDescent="0.25">
      <c r="A408" s="16" t="s">
        <v>32</v>
      </c>
      <c r="B408" s="598" t="s">
        <v>75</v>
      </c>
      <c r="C408" s="599">
        <f t="shared" si="18"/>
        <v>383</v>
      </c>
      <c r="D408" s="19" t="s">
        <v>78</v>
      </c>
    </row>
    <row r="409" spans="1:4" x14ac:dyDescent="0.25">
      <c r="A409" s="16" t="s">
        <v>32</v>
      </c>
      <c r="B409" s="598" t="s">
        <v>75</v>
      </c>
      <c r="C409" s="599">
        <f t="shared" si="18"/>
        <v>384</v>
      </c>
      <c r="D409" s="19" t="s">
        <v>77</v>
      </c>
    </row>
    <row r="410" spans="1:4" ht="30" x14ac:dyDescent="0.25">
      <c r="A410" s="16" t="s">
        <v>32</v>
      </c>
      <c r="B410" s="598" t="s">
        <v>75</v>
      </c>
      <c r="C410" s="599">
        <f t="shared" si="18"/>
        <v>385</v>
      </c>
      <c r="D410" s="19" t="s">
        <v>76</v>
      </c>
    </row>
    <row r="411" spans="1:4" x14ac:dyDescent="0.25">
      <c r="A411" s="16" t="s">
        <v>32</v>
      </c>
      <c r="B411" s="598" t="s">
        <v>75</v>
      </c>
      <c r="C411" s="599">
        <f t="shared" si="18"/>
        <v>386</v>
      </c>
      <c r="D411" s="19" t="s">
        <v>54</v>
      </c>
    </row>
    <row r="412" spans="1:4" ht="14.45" customHeight="1" x14ac:dyDescent="0.25">
      <c r="A412" s="822" t="s">
        <v>74</v>
      </c>
      <c r="B412" s="823"/>
      <c r="C412" s="823"/>
      <c r="D412" s="824" t="s">
        <v>73</v>
      </c>
    </row>
    <row r="413" spans="1:4" x14ac:dyDescent="0.25">
      <c r="A413" s="16" t="s">
        <v>32</v>
      </c>
      <c r="B413" s="598" t="s">
        <v>43</v>
      </c>
      <c r="C413" s="599">
        <f>IF(C392="",C391+1,C392+1)</f>
        <v>369</v>
      </c>
      <c r="D413" s="19" t="s">
        <v>72</v>
      </c>
    </row>
    <row r="414" spans="1:4" x14ac:dyDescent="0.25">
      <c r="A414" s="16" t="s">
        <v>32</v>
      </c>
      <c r="B414" s="598" t="s">
        <v>43</v>
      </c>
      <c r="C414" s="599">
        <f>IF(C413="",C392+1,C413+1)</f>
        <v>370</v>
      </c>
      <c r="D414" s="19" t="s">
        <v>71</v>
      </c>
    </row>
    <row r="415" spans="1:4" x14ac:dyDescent="0.25">
      <c r="A415" s="16" t="s">
        <v>32</v>
      </c>
      <c r="B415" s="598" t="s">
        <v>43</v>
      </c>
      <c r="C415" s="599">
        <f t="shared" ref="C415:C442" si="19">IF(C414="",C413+1,C414+1)</f>
        <v>371</v>
      </c>
      <c r="D415" s="19" t="s">
        <v>70</v>
      </c>
    </row>
    <row r="416" spans="1:4" x14ac:dyDescent="0.25">
      <c r="A416" s="16" t="s">
        <v>32</v>
      </c>
      <c r="B416" s="598" t="s">
        <v>43</v>
      </c>
      <c r="C416" s="599">
        <f t="shared" si="19"/>
        <v>372</v>
      </c>
      <c r="D416" s="19" t="s">
        <v>69</v>
      </c>
    </row>
    <row r="417" spans="1:4" x14ac:dyDescent="0.25">
      <c r="A417" s="16" t="s">
        <v>32</v>
      </c>
      <c r="B417" s="598" t="s">
        <v>43</v>
      </c>
      <c r="C417" s="599">
        <f t="shared" si="19"/>
        <v>373</v>
      </c>
      <c r="D417" s="19" t="s">
        <v>68</v>
      </c>
    </row>
    <row r="418" spans="1:4" x14ac:dyDescent="0.25">
      <c r="A418" s="16" t="s">
        <v>32</v>
      </c>
      <c r="B418" s="598" t="s">
        <v>43</v>
      </c>
      <c r="C418" s="599">
        <f t="shared" si="19"/>
        <v>374</v>
      </c>
      <c r="D418" s="20" t="s">
        <v>67</v>
      </c>
    </row>
    <row r="419" spans="1:4" ht="30" x14ac:dyDescent="0.25">
      <c r="A419" s="16" t="s">
        <v>32</v>
      </c>
      <c r="B419" s="598" t="s">
        <v>43</v>
      </c>
      <c r="C419" s="599">
        <f t="shared" si="19"/>
        <v>375</v>
      </c>
      <c r="D419" s="19" t="s">
        <v>66</v>
      </c>
    </row>
    <row r="420" spans="1:4" x14ac:dyDescent="0.25">
      <c r="A420" s="16" t="s">
        <v>32</v>
      </c>
      <c r="B420" s="598" t="s">
        <v>43</v>
      </c>
      <c r="C420" s="599">
        <f t="shared" si="19"/>
        <v>376</v>
      </c>
      <c r="D420" s="19" t="s">
        <v>65</v>
      </c>
    </row>
    <row r="421" spans="1:4" x14ac:dyDescent="0.25">
      <c r="A421" s="16" t="s">
        <v>32</v>
      </c>
      <c r="B421" s="598" t="s">
        <v>43</v>
      </c>
      <c r="C421" s="599">
        <f t="shared" si="19"/>
        <v>377</v>
      </c>
      <c r="D421" s="19" t="s">
        <v>64</v>
      </c>
    </row>
    <row r="422" spans="1:4" x14ac:dyDescent="0.25">
      <c r="A422" s="16" t="s">
        <v>32</v>
      </c>
      <c r="B422" s="598" t="s">
        <v>43</v>
      </c>
      <c r="C422" s="599">
        <f t="shared" si="19"/>
        <v>378</v>
      </c>
      <c r="D422" s="20" t="s">
        <v>63</v>
      </c>
    </row>
    <row r="423" spans="1:4" x14ac:dyDescent="0.25">
      <c r="A423" s="16" t="s">
        <v>32</v>
      </c>
      <c r="B423" s="598" t="s">
        <v>43</v>
      </c>
      <c r="C423" s="599">
        <f t="shared" si="19"/>
        <v>379</v>
      </c>
      <c r="D423" s="20" t="s">
        <v>62</v>
      </c>
    </row>
    <row r="424" spans="1:4" x14ac:dyDescent="0.25">
      <c r="A424" s="16" t="s">
        <v>32</v>
      </c>
      <c r="B424" s="598" t="s">
        <v>43</v>
      </c>
      <c r="C424" s="599">
        <f t="shared" si="19"/>
        <v>380</v>
      </c>
      <c r="D424" s="19" t="s">
        <v>61</v>
      </c>
    </row>
    <row r="425" spans="1:4" x14ac:dyDescent="0.25">
      <c r="A425" s="16" t="s">
        <v>32</v>
      </c>
      <c r="B425" s="598" t="s">
        <v>43</v>
      </c>
      <c r="C425" s="599">
        <f t="shared" si="19"/>
        <v>381</v>
      </c>
      <c r="D425" s="19" t="s">
        <v>60</v>
      </c>
    </row>
    <row r="426" spans="1:4" x14ac:dyDescent="0.25">
      <c r="A426" s="16" t="s">
        <v>32</v>
      </c>
      <c r="B426" s="598" t="s">
        <v>43</v>
      </c>
      <c r="C426" s="599">
        <f t="shared" si="19"/>
        <v>382</v>
      </c>
      <c r="D426" s="20" t="s">
        <v>59</v>
      </c>
    </row>
    <row r="427" spans="1:4" x14ac:dyDescent="0.25">
      <c r="A427" s="16" t="s">
        <v>32</v>
      </c>
      <c r="B427" s="598" t="s">
        <v>43</v>
      </c>
      <c r="C427" s="599">
        <f t="shared" si="19"/>
        <v>383</v>
      </c>
      <c r="D427" s="19" t="s">
        <v>58</v>
      </c>
    </row>
    <row r="428" spans="1:4" x14ac:dyDescent="0.25">
      <c r="A428" s="16" t="s">
        <v>32</v>
      </c>
      <c r="B428" s="598" t="s">
        <v>43</v>
      </c>
      <c r="C428" s="599">
        <f t="shared" si="19"/>
        <v>384</v>
      </c>
      <c r="D428" s="19" t="s">
        <v>57</v>
      </c>
    </row>
    <row r="429" spans="1:4" x14ac:dyDescent="0.25">
      <c r="A429" s="16" t="s">
        <v>32</v>
      </c>
      <c r="B429" s="598" t="s">
        <v>43</v>
      </c>
      <c r="C429" s="599">
        <f t="shared" si="19"/>
        <v>385</v>
      </c>
      <c r="D429" s="19" t="s">
        <v>56</v>
      </c>
    </row>
    <row r="430" spans="1:4" x14ac:dyDescent="0.25">
      <c r="A430" s="16" t="s">
        <v>32</v>
      </c>
      <c r="B430" s="598" t="s">
        <v>43</v>
      </c>
      <c r="C430" s="599">
        <f t="shared" si="19"/>
        <v>386</v>
      </c>
      <c r="D430" s="19" t="s">
        <v>55</v>
      </c>
    </row>
    <row r="431" spans="1:4" x14ac:dyDescent="0.25">
      <c r="A431" s="16" t="s">
        <v>32</v>
      </c>
      <c r="B431" s="598" t="s">
        <v>43</v>
      </c>
      <c r="C431" s="599">
        <f t="shared" si="19"/>
        <v>387</v>
      </c>
      <c r="D431" s="19" t="s">
        <v>54</v>
      </c>
    </row>
    <row r="432" spans="1:4" x14ac:dyDescent="0.25">
      <c r="A432" s="16" t="s">
        <v>32</v>
      </c>
      <c r="B432" s="598" t="s">
        <v>43</v>
      </c>
      <c r="C432" s="599">
        <f t="shared" si="19"/>
        <v>388</v>
      </c>
      <c r="D432" s="19" t="s">
        <v>53</v>
      </c>
    </row>
    <row r="433" spans="1:4" x14ac:dyDescent="0.25">
      <c r="A433" s="16" t="s">
        <v>32</v>
      </c>
      <c r="B433" s="598" t="s">
        <v>43</v>
      </c>
      <c r="C433" s="599">
        <f t="shared" si="19"/>
        <v>389</v>
      </c>
      <c r="D433" s="20" t="s">
        <v>52</v>
      </c>
    </row>
    <row r="434" spans="1:4" x14ac:dyDescent="0.25">
      <c r="A434" s="16" t="s">
        <v>32</v>
      </c>
      <c r="B434" s="598" t="s">
        <v>43</v>
      </c>
      <c r="C434" s="599">
        <f t="shared" si="19"/>
        <v>390</v>
      </c>
      <c r="D434" s="20" t="s">
        <v>51</v>
      </c>
    </row>
    <row r="435" spans="1:4" x14ac:dyDescent="0.25">
      <c r="A435" s="16" t="s">
        <v>32</v>
      </c>
      <c r="B435" s="598" t="s">
        <v>43</v>
      </c>
      <c r="C435" s="599">
        <f t="shared" si="19"/>
        <v>391</v>
      </c>
      <c r="D435" s="20" t="s">
        <v>50</v>
      </c>
    </row>
    <row r="436" spans="1:4" x14ac:dyDescent="0.25">
      <c r="A436" s="16" t="s">
        <v>32</v>
      </c>
      <c r="B436" s="598" t="s">
        <v>43</v>
      </c>
      <c r="C436" s="599">
        <f t="shared" si="19"/>
        <v>392</v>
      </c>
      <c r="D436" s="20" t="s">
        <v>49</v>
      </c>
    </row>
    <row r="437" spans="1:4" x14ac:dyDescent="0.25">
      <c r="A437" s="16" t="s">
        <v>32</v>
      </c>
      <c r="B437" s="598" t="s">
        <v>43</v>
      </c>
      <c r="C437" s="599">
        <f t="shared" si="19"/>
        <v>393</v>
      </c>
      <c r="D437" s="20" t="s">
        <v>48</v>
      </c>
    </row>
    <row r="438" spans="1:4" x14ac:dyDescent="0.25">
      <c r="A438" s="16" t="s">
        <v>32</v>
      </c>
      <c r="B438" s="598" t="s">
        <v>43</v>
      </c>
      <c r="C438" s="599">
        <f t="shared" si="19"/>
        <v>394</v>
      </c>
      <c r="D438" s="20" t="s">
        <v>47</v>
      </c>
    </row>
    <row r="439" spans="1:4" x14ac:dyDescent="0.25">
      <c r="A439" s="16" t="s">
        <v>32</v>
      </c>
      <c r="B439" s="598" t="s">
        <v>43</v>
      </c>
      <c r="C439" s="599">
        <f t="shared" si="19"/>
        <v>395</v>
      </c>
      <c r="D439" s="20" t="s">
        <v>46</v>
      </c>
    </row>
    <row r="440" spans="1:4" x14ac:dyDescent="0.25">
      <c r="A440" s="16" t="s">
        <v>32</v>
      </c>
      <c r="B440" s="598" t="s">
        <v>43</v>
      </c>
      <c r="C440" s="599">
        <f t="shared" si="19"/>
        <v>396</v>
      </c>
      <c r="D440" s="20" t="s">
        <v>45</v>
      </c>
    </row>
    <row r="441" spans="1:4" x14ac:dyDescent="0.25">
      <c r="A441" s="16" t="s">
        <v>32</v>
      </c>
      <c r="B441" s="598" t="s">
        <v>43</v>
      </c>
      <c r="C441" s="599">
        <f t="shared" si="19"/>
        <v>397</v>
      </c>
      <c r="D441" s="20" t="s">
        <v>44</v>
      </c>
    </row>
    <row r="442" spans="1:4" x14ac:dyDescent="0.25">
      <c r="A442" s="16" t="s">
        <v>32</v>
      </c>
      <c r="B442" s="598" t="s">
        <v>43</v>
      </c>
      <c r="C442" s="599">
        <f t="shared" si="19"/>
        <v>398</v>
      </c>
      <c r="D442" s="20" t="s">
        <v>42</v>
      </c>
    </row>
    <row r="443" spans="1:4" ht="14.45" customHeight="1" x14ac:dyDescent="0.25">
      <c r="A443" s="822" t="s">
        <v>41</v>
      </c>
      <c r="B443" s="823"/>
      <c r="C443" s="823"/>
      <c r="D443" s="824"/>
    </row>
    <row r="444" spans="1:4" x14ac:dyDescent="0.25">
      <c r="A444" s="16" t="s">
        <v>32</v>
      </c>
      <c r="B444" s="598" t="s">
        <v>31</v>
      </c>
      <c r="C444" s="599">
        <f t="shared" ref="C444:C452" si="20">IF(C443="",C442+1,C443+1)</f>
        <v>399</v>
      </c>
      <c r="D444" s="19" t="s">
        <v>40</v>
      </c>
    </row>
    <row r="445" spans="1:4" x14ac:dyDescent="0.25">
      <c r="A445" s="16" t="s">
        <v>32</v>
      </c>
      <c r="B445" s="598" t="s">
        <v>31</v>
      </c>
      <c r="C445" s="599">
        <f t="shared" si="20"/>
        <v>400</v>
      </c>
      <c r="D445" s="19" t="s">
        <v>39</v>
      </c>
    </row>
    <row r="446" spans="1:4" x14ac:dyDescent="0.25">
      <c r="A446" s="16" t="s">
        <v>32</v>
      </c>
      <c r="B446" s="598" t="s">
        <v>31</v>
      </c>
      <c r="C446" s="599">
        <f t="shared" si="20"/>
        <v>401</v>
      </c>
      <c r="D446" s="19" t="s">
        <v>38</v>
      </c>
    </row>
    <row r="447" spans="1:4" x14ac:dyDescent="0.25">
      <c r="A447" s="16" t="s">
        <v>32</v>
      </c>
      <c r="B447" s="598" t="s">
        <v>31</v>
      </c>
      <c r="C447" s="599">
        <f t="shared" si="20"/>
        <v>402</v>
      </c>
      <c r="D447" s="19" t="s">
        <v>37</v>
      </c>
    </row>
    <row r="448" spans="1:4" x14ac:dyDescent="0.25">
      <c r="A448" s="16" t="s">
        <v>32</v>
      </c>
      <c r="B448" s="598" t="s">
        <v>31</v>
      </c>
      <c r="C448" s="599">
        <f t="shared" si="20"/>
        <v>403</v>
      </c>
      <c r="D448" s="19" t="s">
        <v>36</v>
      </c>
    </row>
    <row r="449" spans="1:4" x14ac:dyDescent="0.25">
      <c r="A449" s="16" t="s">
        <v>32</v>
      </c>
      <c r="B449" s="598" t="s">
        <v>31</v>
      </c>
      <c r="C449" s="599">
        <f t="shared" si="20"/>
        <v>404</v>
      </c>
      <c r="D449" s="19" t="s">
        <v>35</v>
      </c>
    </row>
    <row r="450" spans="1:4" x14ac:dyDescent="0.25">
      <c r="A450" s="16" t="s">
        <v>32</v>
      </c>
      <c r="B450" s="598" t="s">
        <v>31</v>
      </c>
      <c r="C450" s="599">
        <f t="shared" si="20"/>
        <v>405</v>
      </c>
      <c r="D450" s="19" t="s">
        <v>34</v>
      </c>
    </row>
    <row r="451" spans="1:4" x14ac:dyDescent="0.25">
      <c r="A451" s="16" t="s">
        <v>32</v>
      </c>
      <c r="B451" s="598" t="s">
        <v>31</v>
      </c>
      <c r="C451" s="599">
        <f t="shared" si="20"/>
        <v>406</v>
      </c>
      <c r="D451" s="19" t="s">
        <v>33</v>
      </c>
    </row>
    <row r="452" spans="1:4" x14ac:dyDescent="0.25">
      <c r="A452" s="16" t="s">
        <v>32</v>
      </c>
      <c r="B452" s="598" t="s">
        <v>31</v>
      </c>
      <c r="C452" s="599">
        <f t="shared" si="20"/>
        <v>407</v>
      </c>
      <c r="D452" s="19" t="s">
        <v>30</v>
      </c>
    </row>
  </sheetData>
  <autoFilter ref="A3:D452" xr:uid="{00000000-0009-0000-0000-000006000000}"/>
  <mergeCells count="25">
    <mergeCell ref="A4:D4"/>
    <mergeCell ref="A443:D443"/>
    <mergeCell ref="A9:D9"/>
    <mergeCell ref="A31:D31"/>
    <mergeCell ref="A17:D17"/>
    <mergeCell ref="A46:D46"/>
    <mergeCell ref="A53:D53"/>
    <mergeCell ref="A71:D71"/>
    <mergeCell ref="A75:D75"/>
    <mergeCell ref="B1:D1"/>
    <mergeCell ref="A412:D412"/>
    <mergeCell ref="A270:D270"/>
    <mergeCell ref="A280:D280"/>
    <mergeCell ref="A401:D401"/>
    <mergeCell ref="A192:D192"/>
    <mergeCell ref="A216:D216"/>
    <mergeCell ref="A223:D223"/>
    <mergeCell ref="A257:D257"/>
    <mergeCell ref="A122:D122"/>
    <mergeCell ref="A145:D145"/>
    <mergeCell ref="A99:D99"/>
    <mergeCell ref="A105:D105"/>
    <mergeCell ref="A161:D161"/>
    <mergeCell ref="A171:D171"/>
    <mergeCell ref="A5:D5"/>
  </mergeCells>
  <dataValidations disablePrompts="1" count="4">
    <dataValidation allowBlank="1" showInputMessage="1" showErrorMessage="1" prompt="Include Risk Event for evaluation?" sqref="A99:D99 A105:D105 A432:D432" xr:uid="{00000000-0002-0000-0600-000000000000}"/>
    <dataValidation type="list" allowBlank="1" showInputMessage="1" showErrorMessage="1" sqref="C280 C46" xr:uid="{00000000-0002-0000-0600-000001000000}">
      <formula1>RT</formula1>
    </dataValidation>
    <dataValidation type="list" allowBlank="1" showInputMessage="1" showErrorMessage="1" sqref="B18:B30 B6:B8 B146:B160 B32:B45 B444:B452 B258:B269 B54:B70 B172:B191 B193:B215 B123:B144 B217:B222 B224:B256 B271:B279 B76:B98 B47:B52 B10:B16 B100:B104 B72:B74 B281:B400 B162:B170 B402:B442 B106:B121" xr:uid="{00000000-0002-0000-0600-000002000000}">
      <formula1>RTA</formula1>
    </dataValidation>
    <dataValidation type="list" allowBlank="1" showInputMessage="1" showErrorMessage="1" prompt="Include Risk Event for evaluation?" sqref="A18:A30 A6:A8 A10:A16 A32:A45 A444:A452 A106:A121 A100:A104 A162:A170 A172:A191 A193:A215 A146:A160 A123:A144 A217:A222 A224:A256 A271:A279 A47:A52 A54:A70 A72:A74 A76:A98 A258:A269 A402:A442 A281:A400" xr:uid="{00000000-0002-0000-0600-000003000000}">
      <formula1>Include</formula1>
    </dataValidation>
  </dataValidations>
  <pageMargins left="0.25" right="0.25" top="0.25" bottom="0.5" header="0.25" footer="0.25"/>
  <pageSetup scale="84" fitToHeight="0" orientation="portrait" horizontalDpi="1200" verticalDpi="1200" r:id="rId1"/>
  <headerFooter>
    <oddFooter>&amp;CPage &amp;P of &amp;N</oddFooter>
  </headerFooter>
  <rowBreaks count="1" manualBreakCount="1">
    <brk id="191"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D367"/>
  <sheetViews>
    <sheetView showGridLines="0" zoomScaleNormal="100" workbookViewId="0">
      <pane ySplit="3" topLeftCell="A4" activePane="bottomLeft" state="frozen"/>
      <selection pane="bottomLeft" activeCell="A4" sqref="A4:D4"/>
    </sheetView>
  </sheetViews>
  <sheetFormatPr defaultRowHeight="15" x14ac:dyDescent="0.25"/>
  <cols>
    <col min="1" max="1" width="13.42578125" style="27" customWidth="1"/>
    <col min="2" max="3" width="10.85546875" style="27" customWidth="1"/>
    <col min="4" max="4" width="100.5703125" style="27" customWidth="1"/>
  </cols>
  <sheetData>
    <row r="1" spans="1:4" s="7" customFormat="1" ht="21" x14ac:dyDescent="0.35">
      <c r="B1" s="815" t="s">
        <v>632</v>
      </c>
      <c r="C1" s="815"/>
      <c r="D1" s="815"/>
    </row>
    <row r="2" spans="1:4" s="1" customFormat="1" x14ac:dyDescent="0.25"/>
    <row r="3" spans="1:4" x14ac:dyDescent="0.25">
      <c r="A3" s="365" t="s">
        <v>479</v>
      </c>
      <c r="B3" s="365" t="s">
        <v>478</v>
      </c>
      <c r="C3" s="365" t="s">
        <v>477</v>
      </c>
      <c r="D3" s="364" t="s">
        <v>476</v>
      </c>
    </row>
    <row r="4" spans="1:4" x14ac:dyDescent="0.25">
      <c r="A4" s="822" t="s">
        <v>475</v>
      </c>
      <c r="B4" s="828"/>
      <c r="C4" s="828"/>
      <c r="D4" s="824"/>
    </row>
    <row r="5" spans="1:4" x14ac:dyDescent="0.25">
      <c r="A5" s="16" t="s">
        <v>32</v>
      </c>
      <c r="B5" s="17" t="s">
        <v>463</v>
      </c>
      <c r="C5" s="18">
        <v>1</v>
      </c>
      <c r="D5" s="19" t="s">
        <v>631</v>
      </c>
    </row>
    <row r="6" spans="1:4" x14ac:dyDescent="0.25">
      <c r="A6" s="16" t="s">
        <v>32</v>
      </c>
      <c r="B6" s="17" t="s">
        <v>463</v>
      </c>
      <c r="C6" s="18">
        <f>IF(C5="",#REF!+1,C5+1)</f>
        <v>2</v>
      </c>
      <c r="D6" s="19" t="s">
        <v>630</v>
      </c>
    </row>
    <row r="7" spans="1:4" x14ac:dyDescent="0.25">
      <c r="A7" s="16" t="s">
        <v>32</v>
      </c>
      <c r="B7" s="17" t="s">
        <v>463</v>
      </c>
      <c r="C7" s="18">
        <f t="shared" ref="C7:C36" si="0">IF(C6="",C5+1,C6+1)</f>
        <v>3</v>
      </c>
      <c r="D7" s="19" t="s">
        <v>629</v>
      </c>
    </row>
    <row r="8" spans="1:4" x14ac:dyDescent="0.25">
      <c r="A8" s="16" t="s">
        <v>32</v>
      </c>
      <c r="B8" s="17" t="s">
        <v>463</v>
      </c>
      <c r="C8" s="18">
        <f t="shared" si="0"/>
        <v>4</v>
      </c>
      <c r="D8" s="19" t="s">
        <v>628</v>
      </c>
    </row>
    <row r="9" spans="1:4" x14ac:dyDescent="0.25">
      <c r="A9" s="16" t="s">
        <v>32</v>
      </c>
      <c r="B9" s="17" t="s">
        <v>463</v>
      </c>
      <c r="C9" s="18">
        <f t="shared" si="0"/>
        <v>5</v>
      </c>
      <c r="D9" s="19" t="s">
        <v>627</v>
      </c>
    </row>
    <row r="10" spans="1:4" x14ac:dyDescent="0.25">
      <c r="A10" s="16" t="s">
        <v>32</v>
      </c>
      <c r="B10" s="17" t="s">
        <v>463</v>
      </c>
      <c r="C10" s="18">
        <f t="shared" si="0"/>
        <v>6</v>
      </c>
      <c r="D10" s="19" t="s">
        <v>626</v>
      </c>
    </row>
    <row r="11" spans="1:4" x14ac:dyDescent="0.25">
      <c r="A11" s="16" t="s">
        <v>32</v>
      </c>
      <c r="B11" s="17" t="s">
        <v>463</v>
      </c>
      <c r="C11" s="18">
        <f t="shared" si="0"/>
        <v>7</v>
      </c>
      <c r="D11" s="19" t="s">
        <v>625</v>
      </c>
    </row>
    <row r="12" spans="1:4" x14ac:dyDescent="0.25">
      <c r="A12" s="16" t="s">
        <v>32</v>
      </c>
      <c r="B12" s="17" t="s">
        <v>463</v>
      </c>
      <c r="C12" s="18">
        <f t="shared" si="0"/>
        <v>8</v>
      </c>
      <c r="D12" s="19" t="s">
        <v>624</v>
      </c>
    </row>
    <row r="13" spans="1:4" x14ac:dyDescent="0.25">
      <c r="A13" s="16" t="s">
        <v>32</v>
      </c>
      <c r="B13" s="17" t="s">
        <v>463</v>
      </c>
      <c r="C13" s="18">
        <f t="shared" si="0"/>
        <v>9</v>
      </c>
      <c r="D13" s="19" t="s">
        <v>623</v>
      </c>
    </row>
    <row r="14" spans="1:4" x14ac:dyDescent="0.25">
      <c r="A14" s="16" t="s">
        <v>32</v>
      </c>
      <c r="B14" s="17" t="s">
        <v>463</v>
      </c>
      <c r="C14" s="18">
        <f t="shared" si="0"/>
        <v>10</v>
      </c>
      <c r="D14" s="19" t="s">
        <v>622</v>
      </c>
    </row>
    <row r="15" spans="1:4" x14ac:dyDescent="0.25">
      <c r="A15" s="16" t="s">
        <v>32</v>
      </c>
      <c r="B15" s="17" t="s">
        <v>463</v>
      </c>
      <c r="C15" s="18">
        <f t="shared" si="0"/>
        <v>11</v>
      </c>
      <c r="D15" s="19" t="s">
        <v>621</v>
      </c>
    </row>
    <row r="16" spans="1:4" x14ac:dyDescent="0.25">
      <c r="A16" s="16" t="s">
        <v>32</v>
      </c>
      <c r="B16" s="17" t="s">
        <v>463</v>
      </c>
      <c r="C16" s="18">
        <f t="shared" si="0"/>
        <v>12</v>
      </c>
      <c r="D16" s="19" t="s">
        <v>620</v>
      </c>
    </row>
    <row r="17" spans="1:4" x14ac:dyDescent="0.25">
      <c r="A17" s="16" t="s">
        <v>32</v>
      </c>
      <c r="B17" s="17" t="s">
        <v>463</v>
      </c>
      <c r="C17" s="18">
        <f t="shared" si="0"/>
        <v>13</v>
      </c>
      <c r="D17" s="19" t="s">
        <v>619</v>
      </c>
    </row>
    <row r="18" spans="1:4" x14ac:dyDescent="0.25">
      <c r="A18" s="16" t="s">
        <v>32</v>
      </c>
      <c r="B18" s="17" t="s">
        <v>463</v>
      </c>
      <c r="C18" s="18">
        <f t="shared" si="0"/>
        <v>14</v>
      </c>
      <c r="D18" s="19" t="s">
        <v>618</v>
      </c>
    </row>
    <row r="19" spans="1:4" x14ac:dyDescent="0.25">
      <c r="A19" s="16" t="s">
        <v>32</v>
      </c>
      <c r="B19" s="17" t="s">
        <v>463</v>
      </c>
      <c r="C19" s="18">
        <f t="shared" si="0"/>
        <v>15</v>
      </c>
      <c r="D19" s="19" t="s">
        <v>617</v>
      </c>
    </row>
    <row r="20" spans="1:4" x14ac:dyDescent="0.25">
      <c r="A20" s="16" t="s">
        <v>32</v>
      </c>
      <c r="B20" s="17" t="s">
        <v>463</v>
      </c>
      <c r="C20" s="18">
        <f t="shared" si="0"/>
        <v>16</v>
      </c>
      <c r="D20" s="19" t="s">
        <v>616</v>
      </c>
    </row>
    <row r="21" spans="1:4" x14ac:dyDescent="0.25">
      <c r="A21" s="16" t="s">
        <v>32</v>
      </c>
      <c r="B21" s="17" t="s">
        <v>463</v>
      </c>
      <c r="C21" s="18">
        <f t="shared" si="0"/>
        <v>17</v>
      </c>
      <c r="D21" s="20" t="s">
        <v>615</v>
      </c>
    </row>
    <row r="22" spans="1:4" x14ac:dyDescent="0.25">
      <c r="A22" s="16" t="s">
        <v>32</v>
      </c>
      <c r="B22" s="17" t="s">
        <v>463</v>
      </c>
      <c r="C22" s="18">
        <f t="shared" si="0"/>
        <v>18</v>
      </c>
      <c r="D22" s="20" t="s">
        <v>614</v>
      </c>
    </row>
    <row r="23" spans="1:4" x14ac:dyDescent="0.25">
      <c r="A23" s="16" t="s">
        <v>32</v>
      </c>
      <c r="B23" s="17" t="s">
        <v>463</v>
      </c>
      <c r="C23" s="18">
        <f t="shared" si="0"/>
        <v>19</v>
      </c>
      <c r="D23" s="19" t="s">
        <v>613</v>
      </c>
    </row>
    <row r="24" spans="1:4" x14ac:dyDescent="0.25">
      <c r="A24" s="16" t="s">
        <v>32</v>
      </c>
      <c r="B24" s="17" t="s">
        <v>463</v>
      </c>
      <c r="C24" s="18">
        <f t="shared" si="0"/>
        <v>20</v>
      </c>
      <c r="D24" s="19" t="s">
        <v>612</v>
      </c>
    </row>
    <row r="25" spans="1:4" x14ac:dyDescent="0.25">
      <c r="A25" s="16" t="s">
        <v>32</v>
      </c>
      <c r="B25" s="17" t="s">
        <v>463</v>
      </c>
      <c r="C25" s="18">
        <f t="shared" si="0"/>
        <v>21</v>
      </c>
      <c r="D25" s="19" t="s">
        <v>611</v>
      </c>
    </row>
    <row r="26" spans="1:4" x14ac:dyDescent="0.25">
      <c r="A26" s="16" t="s">
        <v>32</v>
      </c>
      <c r="B26" s="17" t="s">
        <v>463</v>
      </c>
      <c r="C26" s="18">
        <f t="shared" si="0"/>
        <v>22</v>
      </c>
      <c r="D26" s="19" t="s">
        <v>610</v>
      </c>
    </row>
    <row r="27" spans="1:4" x14ac:dyDescent="0.25">
      <c r="A27" s="16" t="s">
        <v>32</v>
      </c>
      <c r="B27" s="17" t="s">
        <v>463</v>
      </c>
      <c r="C27" s="18">
        <f t="shared" si="0"/>
        <v>23</v>
      </c>
      <c r="D27" s="19" t="s">
        <v>609</v>
      </c>
    </row>
    <row r="28" spans="1:4" x14ac:dyDescent="0.25">
      <c r="A28" s="16" t="s">
        <v>32</v>
      </c>
      <c r="B28" s="17" t="s">
        <v>463</v>
      </c>
      <c r="C28" s="18">
        <f t="shared" si="0"/>
        <v>24</v>
      </c>
      <c r="D28" s="19" t="s">
        <v>608</v>
      </c>
    </row>
    <row r="29" spans="1:4" x14ac:dyDescent="0.25">
      <c r="A29" s="16" t="s">
        <v>32</v>
      </c>
      <c r="B29" s="17" t="s">
        <v>463</v>
      </c>
      <c r="C29" s="18">
        <f t="shared" si="0"/>
        <v>25</v>
      </c>
      <c r="D29" s="19" t="s">
        <v>607</v>
      </c>
    </row>
    <row r="30" spans="1:4" x14ac:dyDescent="0.25">
      <c r="A30" s="16" t="s">
        <v>32</v>
      </c>
      <c r="B30" s="17" t="s">
        <v>463</v>
      </c>
      <c r="C30" s="18">
        <f t="shared" si="0"/>
        <v>26</v>
      </c>
      <c r="D30" s="19" t="s">
        <v>606</v>
      </c>
    </row>
    <row r="31" spans="1:4" x14ac:dyDescent="0.25">
      <c r="A31" s="16" t="s">
        <v>32</v>
      </c>
      <c r="B31" s="17" t="s">
        <v>463</v>
      </c>
      <c r="C31" s="18">
        <f t="shared" si="0"/>
        <v>27</v>
      </c>
      <c r="D31" s="19" t="s">
        <v>605</v>
      </c>
    </row>
    <row r="32" spans="1:4" x14ac:dyDescent="0.25">
      <c r="A32" s="16" t="s">
        <v>32</v>
      </c>
      <c r="B32" s="17" t="s">
        <v>463</v>
      </c>
      <c r="C32" s="18">
        <f t="shared" si="0"/>
        <v>28</v>
      </c>
      <c r="D32" s="19" t="s">
        <v>604</v>
      </c>
    </row>
    <row r="33" spans="1:4" x14ac:dyDescent="0.25">
      <c r="A33" s="16" t="s">
        <v>32</v>
      </c>
      <c r="B33" s="17" t="s">
        <v>463</v>
      </c>
      <c r="C33" s="18">
        <f t="shared" si="0"/>
        <v>29</v>
      </c>
      <c r="D33" s="19" t="s">
        <v>603</v>
      </c>
    </row>
    <row r="34" spans="1:4" x14ac:dyDescent="0.25">
      <c r="A34" s="16" t="s">
        <v>32</v>
      </c>
      <c r="B34" s="17" t="s">
        <v>463</v>
      </c>
      <c r="C34" s="18">
        <f t="shared" si="0"/>
        <v>30</v>
      </c>
      <c r="D34" s="19" t="s">
        <v>1277</v>
      </c>
    </row>
    <row r="35" spans="1:4" x14ac:dyDescent="0.25">
      <c r="A35" s="16" t="s">
        <v>32</v>
      </c>
      <c r="B35" s="17" t="s">
        <v>463</v>
      </c>
      <c r="C35" s="18">
        <f t="shared" si="0"/>
        <v>31</v>
      </c>
      <c r="D35" s="19" t="s">
        <v>602</v>
      </c>
    </row>
    <row r="36" spans="1:4" x14ac:dyDescent="0.25">
      <c r="A36" s="16" t="s">
        <v>32</v>
      </c>
      <c r="B36" s="17" t="s">
        <v>463</v>
      </c>
      <c r="C36" s="18">
        <f t="shared" si="0"/>
        <v>32</v>
      </c>
      <c r="D36" s="19" t="s">
        <v>601</v>
      </c>
    </row>
    <row r="37" spans="1:4" x14ac:dyDescent="0.25">
      <c r="A37" s="822" t="s">
        <v>446</v>
      </c>
      <c r="B37" s="828"/>
      <c r="C37" s="828"/>
      <c r="D37" s="824"/>
    </row>
    <row r="38" spans="1:4" x14ac:dyDescent="0.25">
      <c r="A38" s="16" t="s">
        <v>32</v>
      </c>
      <c r="B38" s="17" t="s">
        <v>432</v>
      </c>
      <c r="C38" s="18">
        <f t="shared" ref="C38:C55" si="1">IF(C37="",C36+1,C37+1)</f>
        <v>33</v>
      </c>
      <c r="D38" s="19" t="s">
        <v>600</v>
      </c>
    </row>
    <row r="39" spans="1:4" x14ac:dyDescent="0.25">
      <c r="A39" s="16" t="s">
        <v>32</v>
      </c>
      <c r="B39" s="17" t="s">
        <v>432</v>
      </c>
      <c r="C39" s="18">
        <f t="shared" si="1"/>
        <v>34</v>
      </c>
      <c r="D39" s="19" t="s">
        <v>599</v>
      </c>
    </row>
    <row r="40" spans="1:4" x14ac:dyDescent="0.25">
      <c r="A40" s="16" t="s">
        <v>32</v>
      </c>
      <c r="B40" s="17" t="s">
        <v>432</v>
      </c>
      <c r="C40" s="18">
        <f t="shared" si="1"/>
        <v>35</v>
      </c>
      <c r="D40" s="19" t="s">
        <v>598</v>
      </c>
    </row>
    <row r="41" spans="1:4" x14ac:dyDescent="0.25">
      <c r="A41" s="16" t="s">
        <v>32</v>
      </c>
      <c r="B41" s="17" t="s">
        <v>432</v>
      </c>
      <c r="C41" s="18">
        <f t="shared" si="1"/>
        <v>36</v>
      </c>
      <c r="D41" s="19" t="s">
        <v>597</v>
      </c>
    </row>
    <row r="42" spans="1:4" ht="30" x14ac:dyDescent="0.25">
      <c r="A42" s="16" t="s">
        <v>32</v>
      </c>
      <c r="B42" s="17" t="s">
        <v>432</v>
      </c>
      <c r="C42" s="18">
        <f t="shared" si="1"/>
        <v>37</v>
      </c>
      <c r="D42" s="19" t="s">
        <v>596</v>
      </c>
    </row>
    <row r="43" spans="1:4" x14ac:dyDescent="0.25">
      <c r="A43" s="16" t="s">
        <v>32</v>
      </c>
      <c r="B43" s="17" t="s">
        <v>432</v>
      </c>
      <c r="C43" s="18">
        <f t="shared" si="1"/>
        <v>38</v>
      </c>
      <c r="D43" s="19" t="s">
        <v>595</v>
      </c>
    </row>
    <row r="44" spans="1:4" x14ac:dyDescent="0.25">
      <c r="A44" s="16" t="s">
        <v>32</v>
      </c>
      <c r="B44" s="17" t="s">
        <v>432</v>
      </c>
      <c r="C44" s="18">
        <f t="shared" si="1"/>
        <v>39</v>
      </c>
      <c r="D44" s="19" t="s">
        <v>594</v>
      </c>
    </row>
    <row r="45" spans="1:4" x14ac:dyDescent="0.25">
      <c r="A45" s="16" t="s">
        <v>32</v>
      </c>
      <c r="B45" s="17" t="s">
        <v>432</v>
      </c>
      <c r="C45" s="18">
        <f t="shared" si="1"/>
        <v>40</v>
      </c>
      <c r="D45" s="19" t="s">
        <v>593</v>
      </c>
    </row>
    <row r="46" spans="1:4" x14ac:dyDescent="0.25">
      <c r="A46" s="16" t="s">
        <v>32</v>
      </c>
      <c r="B46" s="17" t="s">
        <v>432</v>
      </c>
      <c r="C46" s="18">
        <f t="shared" si="1"/>
        <v>41</v>
      </c>
      <c r="D46" s="19" t="s">
        <v>592</v>
      </c>
    </row>
    <row r="47" spans="1:4" x14ac:dyDescent="0.25">
      <c r="A47" s="16" t="s">
        <v>32</v>
      </c>
      <c r="B47" s="17" t="s">
        <v>432</v>
      </c>
      <c r="C47" s="18">
        <f t="shared" si="1"/>
        <v>42</v>
      </c>
      <c r="D47" s="19" t="s">
        <v>591</v>
      </c>
    </row>
    <row r="48" spans="1:4" x14ac:dyDescent="0.25">
      <c r="A48" s="16" t="s">
        <v>32</v>
      </c>
      <c r="B48" s="17" t="s">
        <v>432</v>
      </c>
      <c r="C48" s="18">
        <f t="shared" si="1"/>
        <v>43</v>
      </c>
      <c r="D48" s="19" t="s">
        <v>590</v>
      </c>
    </row>
    <row r="49" spans="1:4" ht="30" x14ac:dyDescent="0.25">
      <c r="A49" s="16" t="s">
        <v>32</v>
      </c>
      <c r="B49" s="17" t="s">
        <v>432</v>
      </c>
      <c r="C49" s="18">
        <f t="shared" si="1"/>
        <v>44</v>
      </c>
      <c r="D49" s="19" t="s">
        <v>589</v>
      </c>
    </row>
    <row r="50" spans="1:4" x14ac:dyDescent="0.25">
      <c r="A50" s="16" t="s">
        <v>32</v>
      </c>
      <c r="B50" s="17" t="s">
        <v>432</v>
      </c>
      <c r="C50" s="18">
        <f t="shared" si="1"/>
        <v>45</v>
      </c>
      <c r="D50" s="19" t="s">
        <v>588</v>
      </c>
    </row>
    <row r="51" spans="1:4" x14ac:dyDescent="0.25">
      <c r="A51" s="16" t="s">
        <v>32</v>
      </c>
      <c r="B51" s="17" t="s">
        <v>432</v>
      </c>
      <c r="C51" s="18">
        <f t="shared" si="1"/>
        <v>46</v>
      </c>
      <c r="D51" s="19" t="s">
        <v>587</v>
      </c>
    </row>
    <row r="52" spans="1:4" x14ac:dyDescent="0.25">
      <c r="A52" s="16" t="s">
        <v>32</v>
      </c>
      <c r="B52" s="17" t="s">
        <v>432</v>
      </c>
      <c r="C52" s="18">
        <f t="shared" si="1"/>
        <v>47</v>
      </c>
      <c r="D52" s="19" t="s">
        <v>586</v>
      </c>
    </row>
    <row r="53" spans="1:4" x14ac:dyDescent="0.25">
      <c r="A53" s="16" t="s">
        <v>32</v>
      </c>
      <c r="B53" s="17" t="s">
        <v>432</v>
      </c>
      <c r="C53" s="18">
        <f t="shared" si="1"/>
        <v>48</v>
      </c>
      <c r="D53" s="19" t="s">
        <v>585</v>
      </c>
    </row>
    <row r="54" spans="1:4" x14ac:dyDescent="0.25">
      <c r="A54" s="16" t="s">
        <v>32</v>
      </c>
      <c r="B54" s="17" t="s">
        <v>432</v>
      </c>
      <c r="C54" s="18">
        <f t="shared" si="1"/>
        <v>49</v>
      </c>
      <c r="D54" s="19" t="s">
        <v>584</v>
      </c>
    </row>
    <row r="55" spans="1:4" x14ac:dyDescent="0.25">
      <c r="A55" s="16" t="s">
        <v>32</v>
      </c>
      <c r="B55" s="17" t="s">
        <v>432</v>
      </c>
      <c r="C55" s="18">
        <f t="shared" si="1"/>
        <v>50</v>
      </c>
      <c r="D55" s="19" t="s">
        <v>494</v>
      </c>
    </row>
    <row r="56" spans="1:4" x14ac:dyDescent="0.25">
      <c r="A56" s="822" t="s">
        <v>583</v>
      </c>
      <c r="B56" s="828"/>
      <c r="C56" s="828"/>
      <c r="D56" s="824"/>
    </row>
    <row r="57" spans="1:4" x14ac:dyDescent="0.25">
      <c r="A57" s="16" t="s">
        <v>32</v>
      </c>
      <c r="B57" s="17" t="s">
        <v>196</v>
      </c>
      <c r="C57" s="18">
        <f t="shared" ref="C57:C85" si="2">IF(C56="",C55+1,C56+1)</f>
        <v>51</v>
      </c>
      <c r="D57" s="21" t="s">
        <v>582</v>
      </c>
    </row>
    <row r="58" spans="1:4" x14ac:dyDescent="0.25">
      <c r="A58" s="16" t="s">
        <v>32</v>
      </c>
      <c r="B58" s="17" t="s">
        <v>196</v>
      </c>
      <c r="C58" s="18">
        <f t="shared" si="2"/>
        <v>52</v>
      </c>
      <c r="D58" s="21" t="s">
        <v>581</v>
      </c>
    </row>
    <row r="59" spans="1:4" x14ac:dyDescent="0.25">
      <c r="A59" s="16" t="s">
        <v>32</v>
      </c>
      <c r="B59" s="17" t="s">
        <v>196</v>
      </c>
      <c r="C59" s="18">
        <f t="shared" si="2"/>
        <v>53</v>
      </c>
      <c r="D59" s="21" t="s">
        <v>580</v>
      </c>
    </row>
    <row r="60" spans="1:4" x14ac:dyDescent="0.25">
      <c r="A60" s="16" t="s">
        <v>32</v>
      </c>
      <c r="B60" s="17" t="s">
        <v>196</v>
      </c>
      <c r="C60" s="18">
        <f t="shared" si="2"/>
        <v>54</v>
      </c>
      <c r="D60" s="21" t="s">
        <v>579</v>
      </c>
    </row>
    <row r="61" spans="1:4" x14ac:dyDescent="0.25">
      <c r="A61" s="16" t="s">
        <v>32</v>
      </c>
      <c r="B61" s="17" t="s">
        <v>196</v>
      </c>
      <c r="C61" s="18">
        <f t="shared" si="2"/>
        <v>55</v>
      </c>
      <c r="D61" s="21" t="s">
        <v>372</v>
      </c>
    </row>
    <row r="62" spans="1:4" x14ac:dyDescent="0.25">
      <c r="A62" s="16" t="s">
        <v>32</v>
      </c>
      <c r="B62" s="17" t="s">
        <v>196</v>
      </c>
      <c r="C62" s="18">
        <f t="shared" si="2"/>
        <v>56</v>
      </c>
      <c r="D62" s="21" t="s">
        <v>449</v>
      </c>
    </row>
    <row r="63" spans="1:4" ht="30" x14ac:dyDescent="0.25">
      <c r="A63" s="16" t="s">
        <v>32</v>
      </c>
      <c r="B63" s="17" t="s">
        <v>196</v>
      </c>
      <c r="C63" s="18">
        <f t="shared" si="2"/>
        <v>57</v>
      </c>
      <c r="D63" s="21" t="s">
        <v>447</v>
      </c>
    </row>
    <row r="64" spans="1:4" x14ac:dyDescent="0.25">
      <c r="A64" s="16" t="s">
        <v>32</v>
      </c>
      <c r="B64" s="17" t="s">
        <v>196</v>
      </c>
      <c r="C64" s="18">
        <f t="shared" si="2"/>
        <v>58</v>
      </c>
      <c r="D64" s="21" t="s">
        <v>578</v>
      </c>
    </row>
    <row r="65" spans="1:4" ht="30" x14ac:dyDescent="0.25">
      <c r="A65" s="16" t="s">
        <v>32</v>
      </c>
      <c r="B65" s="17" t="s">
        <v>196</v>
      </c>
      <c r="C65" s="18">
        <f t="shared" si="2"/>
        <v>59</v>
      </c>
      <c r="D65" s="21" t="s">
        <v>577</v>
      </c>
    </row>
    <row r="66" spans="1:4" x14ac:dyDescent="0.25">
      <c r="A66" s="16" t="s">
        <v>32</v>
      </c>
      <c r="B66" s="17" t="s">
        <v>196</v>
      </c>
      <c r="C66" s="18">
        <f t="shared" si="2"/>
        <v>60</v>
      </c>
      <c r="D66" s="21" t="s">
        <v>576</v>
      </c>
    </row>
    <row r="67" spans="1:4" x14ac:dyDescent="0.25">
      <c r="A67" s="16" t="s">
        <v>32</v>
      </c>
      <c r="B67" s="17" t="s">
        <v>196</v>
      </c>
      <c r="C67" s="18">
        <f t="shared" si="2"/>
        <v>61</v>
      </c>
      <c r="D67" s="21" t="s">
        <v>575</v>
      </c>
    </row>
    <row r="68" spans="1:4" x14ac:dyDescent="0.25">
      <c r="A68" s="16" t="s">
        <v>32</v>
      </c>
      <c r="B68" s="17" t="s">
        <v>196</v>
      </c>
      <c r="C68" s="18">
        <f t="shared" si="2"/>
        <v>62</v>
      </c>
      <c r="D68" s="21" t="s">
        <v>574</v>
      </c>
    </row>
    <row r="69" spans="1:4" x14ac:dyDescent="0.25">
      <c r="A69" s="16" t="s">
        <v>32</v>
      </c>
      <c r="B69" s="17" t="s">
        <v>196</v>
      </c>
      <c r="C69" s="18">
        <f t="shared" si="2"/>
        <v>63</v>
      </c>
      <c r="D69" s="21" t="s">
        <v>573</v>
      </c>
    </row>
    <row r="70" spans="1:4" x14ac:dyDescent="0.25">
      <c r="A70" s="16" t="s">
        <v>32</v>
      </c>
      <c r="B70" s="17" t="s">
        <v>196</v>
      </c>
      <c r="C70" s="18">
        <f t="shared" si="2"/>
        <v>64</v>
      </c>
      <c r="D70" s="21" t="s">
        <v>572</v>
      </c>
    </row>
    <row r="71" spans="1:4" x14ac:dyDescent="0.25">
      <c r="A71" s="16" t="s">
        <v>32</v>
      </c>
      <c r="B71" s="17" t="s">
        <v>196</v>
      </c>
      <c r="C71" s="18">
        <f t="shared" si="2"/>
        <v>65</v>
      </c>
      <c r="D71" s="21" t="s">
        <v>571</v>
      </c>
    </row>
    <row r="72" spans="1:4" x14ac:dyDescent="0.25">
      <c r="A72" s="16" t="s">
        <v>32</v>
      </c>
      <c r="B72" s="17" t="s">
        <v>196</v>
      </c>
      <c r="C72" s="18">
        <f t="shared" si="2"/>
        <v>66</v>
      </c>
      <c r="D72" s="21" t="s">
        <v>570</v>
      </c>
    </row>
    <row r="73" spans="1:4" ht="30" x14ac:dyDescent="0.25">
      <c r="A73" s="16" t="s">
        <v>32</v>
      </c>
      <c r="B73" s="17" t="s">
        <v>196</v>
      </c>
      <c r="C73" s="18">
        <f t="shared" si="2"/>
        <v>67</v>
      </c>
      <c r="D73" s="21" t="s">
        <v>569</v>
      </c>
    </row>
    <row r="74" spans="1:4" x14ac:dyDescent="0.25">
      <c r="A74" s="16" t="s">
        <v>32</v>
      </c>
      <c r="B74" s="17" t="s">
        <v>196</v>
      </c>
      <c r="C74" s="18">
        <f t="shared" si="2"/>
        <v>68</v>
      </c>
      <c r="D74" s="21" t="s">
        <v>195</v>
      </c>
    </row>
    <row r="75" spans="1:4" x14ac:dyDescent="0.25">
      <c r="A75" s="16" t="s">
        <v>32</v>
      </c>
      <c r="B75" s="17" t="s">
        <v>196</v>
      </c>
      <c r="C75" s="18">
        <f t="shared" si="2"/>
        <v>69</v>
      </c>
      <c r="D75" s="21" t="s">
        <v>568</v>
      </c>
    </row>
    <row r="76" spans="1:4" x14ac:dyDescent="0.25">
      <c r="A76" s="16" t="s">
        <v>32</v>
      </c>
      <c r="B76" s="17" t="s">
        <v>196</v>
      </c>
      <c r="C76" s="18">
        <f t="shared" si="2"/>
        <v>70</v>
      </c>
      <c r="D76" s="21" t="s">
        <v>567</v>
      </c>
    </row>
    <row r="77" spans="1:4" x14ac:dyDescent="0.25">
      <c r="A77" s="16" t="s">
        <v>32</v>
      </c>
      <c r="B77" s="17" t="s">
        <v>196</v>
      </c>
      <c r="C77" s="18">
        <f t="shared" si="2"/>
        <v>71</v>
      </c>
      <c r="D77" s="21" t="s">
        <v>566</v>
      </c>
    </row>
    <row r="78" spans="1:4" ht="30" x14ac:dyDescent="0.25">
      <c r="A78" s="16" t="s">
        <v>32</v>
      </c>
      <c r="B78" s="17" t="s">
        <v>196</v>
      </c>
      <c r="C78" s="18">
        <f t="shared" si="2"/>
        <v>72</v>
      </c>
      <c r="D78" s="21" t="s">
        <v>565</v>
      </c>
    </row>
    <row r="79" spans="1:4" ht="30" x14ac:dyDescent="0.25">
      <c r="A79" s="16" t="s">
        <v>32</v>
      </c>
      <c r="B79" s="17" t="s">
        <v>196</v>
      </c>
      <c r="C79" s="18">
        <f t="shared" si="2"/>
        <v>73</v>
      </c>
      <c r="D79" s="21" t="s">
        <v>97</v>
      </c>
    </row>
    <row r="80" spans="1:4" x14ac:dyDescent="0.25">
      <c r="A80" s="16" t="s">
        <v>32</v>
      </c>
      <c r="B80" s="17" t="s">
        <v>196</v>
      </c>
      <c r="C80" s="18">
        <f t="shared" si="2"/>
        <v>74</v>
      </c>
      <c r="D80" s="21" t="s">
        <v>319</v>
      </c>
    </row>
    <row r="81" spans="1:4" x14ac:dyDescent="0.25">
      <c r="A81" s="16" t="s">
        <v>32</v>
      </c>
      <c r="B81" s="17" t="s">
        <v>196</v>
      </c>
      <c r="C81" s="18">
        <f t="shared" si="2"/>
        <v>75</v>
      </c>
      <c r="D81" s="21" t="s">
        <v>424</v>
      </c>
    </row>
    <row r="82" spans="1:4" x14ac:dyDescent="0.25">
      <c r="A82" s="16" t="s">
        <v>32</v>
      </c>
      <c r="B82" s="17" t="s">
        <v>196</v>
      </c>
      <c r="C82" s="18">
        <f t="shared" si="2"/>
        <v>76</v>
      </c>
      <c r="D82" s="21" t="s">
        <v>564</v>
      </c>
    </row>
    <row r="83" spans="1:4" x14ac:dyDescent="0.25">
      <c r="A83" s="16" t="s">
        <v>32</v>
      </c>
      <c r="B83" s="17" t="s">
        <v>196</v>
      </c>
      <c r="C83" s="18">
        <f t="shared" si="2"/>
        <v>77</v>
      </c>
      <c r="D83" s="21" t="s">
        <v>563</v>
      </c>
    </row>
    <row r="84" spans="1:4" x14ac:dyDescent="0.25">
      <c r="A84" s="16" t="s">
        <v>32</v>
      </c>
      <c r="B84" s="17" t="s">
        <v>196</v>
      </c>
      <c r="C84" s="18">
        <f t="shared" si="2"/>
        <v>78</v>
      </c>
      <c r="D84" s="21" t="s">
        <v>562</v>
      </c>
    </row>
    <row r="85" spans="1:4" x14ac:dyDescent="0.25">
      <c r="A85" s="16" t="s">
        <v>32</v>
      </c>
      <c r="B85" s="17" t="s">
        <v>196</v>
      </c>
      <c r="C85" s="18">
        <f t="shared" si="2"/>
        <v>79</v>
      </c>
      <c r="D85" s="21" t="s">
        <v>54</v>
      </c>
    </row>
    <row r="86" spans="1:4" x14ac:dyDescent="0.25">
      <c r="A86" s="822" t="s">
        <v>354</v>
      </c>
      <c r="B86" s="828" t="s">
        <v>333</v>
      </c>
      <c r="C86" s="828"/>
      <c r="D86" s="824"/>
    </row>
    <row r="87" spans="1:4" x14ac:dyDescent="0.25">
      <c r="A87" s="16" t="s">
        <v>32</v>
      </c>
      <c r="B87" s="17" t="s">
        <v>333</v>
      </c>
      <c r="C87" s="18">
        <f t="shared" ref="C87:C110" si="3">IF(C86="",C85+1,C86+1)</f>
        <v>80</v>
      </c>
      <c r="D87" s="19" t="s">
        <v>72</v>
      </c>
    </row>
    <row r="88" spans="1:4" x14ac:dyDescent="0.25">
      <c r="A88" s="16" t="s">
        <v>32</v>
      </c>
      <c r="B88" s="17" t="s">
        <v>333</v>
      </c>
      <c r="C88" s="18">
        <f t="shared" si="3"/>
        <v>81</v>
      </c>
      <c r="D88" s="19" t="s">
        <v>353</v>
      </c>
    </row>
    <row r="89" spans="1:4" x14ac:dyDescent="0.25">
      <c r="A89" s="16" t="s">
        <v>32</v>
      </c>
      <c r="B89" s="17" t="s">
        <v>333</v>
      </c>
      <c r="C89" s="18">
        <f t="shared" si="3"/>
        <v>82</v>
      </c>
      <c r="D89" s="19" t="s">
        <v>352</v>
      </c>
    </row>
    <row r="90" spans="1:4" x14ac:dyDescent="0.25">
      <c r="A90" s="16" t="s">
        <v>32</v>
      </c>
      <c r="B90" s="17" t="s">
        <v>333</v>
      </c>
      <c r="C90" s="18">
        <f t="shared" si="3"/>
        <v>83</v>
      </c>
      <c r="D90" s="19" t="s">
        <v>351</v>
      </c>
    </row>
    <row r="91" spans="1:4" x14ac:dyDescent="0.25">
      <c r="A91" s="16" t="s">
        <v>32</v>
      </c>
      <c r="B91" s="17" t="s">
        <v>333</v>
      </c>
      <c r="C91" s="18">
        <f t="shared" si="3"/>
        <v>84</v>
      </c>
      <c r="D91" s="19" t="s">
        <v>350</v>
      </c>
    </row>
    <row r="92" spans="1:4" x14ac:dyDescent="0.25">
      <c r="A92" s="16"/>
      <c r="B92" s="17"/>
      <c r="C92" s="18">
        <f t="shared" si="3"/>
        <v>85</v>
      </c>
      <c r="D92" s="19" t="s">
        <v>349</v>
      </c>
    </row>
    <row r="93" spans="1:4" x14ac:dyDescent="0.25">
      <c r="A93" s="16"/>
      <c r="B93" s="17"/>
      <c r="C93" s="18">
        <f t="shared" si="3"/>
        <v>86</v>
      </c>
      <c r="D93" s="19" t="s">
        <v>348</v>
      </c>
    </row>
    <row r="94" spans="1:4" x14ac:dyDescent="0.25">
      <c r="A94" s="16" t="s">
        <v>32</v>
      </c>
      <c r="B94" s="17" t="s">
        <v>333</v>
      </c>
      <c r="C94" s="18">
        <f t="shared" si="3"/>
        <v>87</v>
      </c>
      <c r="D94" s="19" t="s">
        <v>347</v>
      </c>
    </row>
    <row r="95" spans="1:4" x14ac:dyDescent="0.25">
      <c r="A95" s="16" t="s">
        <v>32</v>
      </c>
      <c r="B95" s="17" t="s">
        <v>333</v>
      </c>
      <c r="C95" s="18">
        <f t="shared" si="3"/>
        <v>88</v>
      </c>
      <c r="D95" s="19" t="s">
        <v>346</v>
      </c>
    </row>
    <row r="96" spans="1:4" x14ac:dyDescent="0.25">
      <c r="A96" s="16" t="s">
        <v>32</v>
      </c>
      <c r="B96" s="17" t="s">
        <v>333</v>
      </c>
      <c r="C96" s="18">
        <f t="shared" si="3"/>
        <v>89</v>
      </c>
      <c r="D96" s="19" t="s">
        <v>345</v>
      </c>
    </row>
    <row r="97" spans="1:4" x14ac:dyDescent="0.25">
      <c r="A97" s="16" t="s">
        <v>32</v>
      </c>
      <c r="B97" s="17" t="s">
        <v>333</v>
      </c>
      <c r="C97" s="18">
        <f t="shared" si="3"/>
        <v>90</v>
      </c>
      <c r="D97" s="19" t="s">
        <v>344</v>
      </c>
    </row>
    <row r="98" spans="1:4" ht="30" x14ac:dyDescent="0.25">
      <c r="A98" s="16" t="s">
        <v>32</v>
      </c>
      <c r="B98" s="17" t="s">
        <v>333</v>
      </c>
      <c r="C98" s="18">
        <f t="shared" si="3"/>
        <v>91</v>
      </c>
      <c r="D98" s="19" t="s">
        <v>343</v>
      </c>
    </row>
    <row r="99" spans="1:4" x14ac:dyDescent="0.25">
      <c r="A99" s="16" t="s">
        <v>32</v>
      </c>
      <c r="B99" s="17" t="s">
        <v>333</v>
      </c>
      <c r="C99" s="18">
        <f t="shared" si="3"/>
        <v>92</v>
      </c>
      <c r="D99" s="19" t="s">
        <v>342</v>
      </c>
    </row>
    <row r="100" spans="1:4" x14ac:dyDescent="0.25">
      <c r="A100" s="16" t="s">
        <v>32</v>
      </c>
      <c r="B100" s="17" t="s">
        <v>333</v>
      </c>
      <c r="C100" s="18">
        <f t="shared" si="3"/>
        <v>93</v>
      </c>
      <c r="D100" s="19" t="s">
        <v>341</v>
      </c>
    </row>
    <row r="101" spans="1:4" ht="30" x14ac:dyDescent="0.25">
      <c r="A101" s="16" t="s">
        <v>32</v>
      </c>
      <c r="B101" s="17" t="s">
        <v>333</v>
      </c>
      <c r="C101" s="18">
        <f t="shared" si="3"/>
        <v>94</v>
      </c>
      <c r="D101" s="19" t="s">
        <v>340</v>
      </c>
    </row>
    <row r="102" spans="1:4" x14ac:dyDescent="0.25">
      <c r="A102" s="16" t="s">
        <v>32</v>
      </c>
      <c r="B102" s="17" t="s">
        <v>333</v>
      </c>
      <c r="C102" s="18">
        <f t="shared" si="3"/>
        <v>95</v>
      </c>
      <c r="D102" s="19" t="s">
        <v>561</v>
      </c>
    </row>
    <row r="103" spans="1:4" x14ac:dyDescent="0.25">
      <c r="A103" s="16" t="s">
        <v>32</v>
      </c>
      <c r="B103" s="17" t="s">
        <v>333</v>
      </c>
      <c r="C103" s="18">
        <f t="shared" si="3"/>
        <v>96</v>
      </c>
      <c r="D103" s="19" t="s">
        <v>338</v>
      </c>
    </row>
    <row r="104" spans="1:4" ht="30" x14ac:dyDescent="0.25">
      <c r="A104" s="16" t="s">
        <v>32</v>
      </c>
      <c r="B104" s="17" t="s">
        <v>333</v>
      </c>
      <c r="C104" s="18">
        <f t="shared" si="3"/>
        <v>97</v>
      </c>
      <c r="D104" s="19" t="s">
        <v>337</v>
      </c>
    </row>
    <row r="105" spans="1:4" ht="30" x14ac:dyDescent="0.25">
      <c r="A105" s="16" t="s">
        <v>32</v>
      </c>
      <c r="B105" s="17" t="s">
        <v>333</v>
      </c>
      <c r="C105" s="18">
        <f t="shared" si="3"/>
        <v>98</v>
      </c>
      <c r="D105" s="19" t="s">
        <v>560</v>
      </c>
    </row>
    <row r="106" spans="1:4" x14ac:dyDescent="0.25">
      <c r="A106" s="16" t="s">
        <v>32</v>
      </c>
      <c r="B106" s="17" t="s">
        <v>333</v>
      </c>
      <c r="C106" s="18">
        <f t="shared" si="3"/>
        <v>99</v>
      </c>
      <c r="D106" s="19" t="s">
        <v>336</v>
      </c>
    </row>
    <row r="107" spans="1:4" x14ac:dyDescent="0.25">
      <c r="A107" s="16" t="s">
        <v>32</v>
      </c>
      <c r="B107" s="17" t="s">
        <v>333</v>
      </c>
      <c r="C107" s="18">
        <f t="shared" si="3"/>
        <v>100</v>
      </c>
      <c r="D107" s="19" t="s">
        <v>335</v>
      </c>
    </row>
    <row r="108" spans="1:4" x14ac:dyDescent="0.25">
      <c r="A108" s="16" t="s">
        <v>32</v>
      </c>
      <c r="B108" s="17" t="s">
        <v>333</v>
      </c>
      <c r="C108" s="18">
        <f t="shared" si="3"/>
        <v>101</v>
      </c>
      <c r="D108" s="19" t="s">
        <v>286</v>
      </c>
    </row>
    <row r="109" spans="1:4" x14ac:dyDescent="0.25">
      <c r="A109" s="16" t="s">
        <v>32</v>
      </c>
      <c r="B109" s="17" t="s">
        <v>333</v>
      </c>
      <c r="C109" s="18">
        <f t="shared" si="3"/>
        <v>102</v>
      </c>
      <c r="D109" s="19" t="s">
        <v>334</v>
      </c>
    </row>
    <row r="110" spans="1:4" x14ac:dyDescent="0.25">
      <c r="A110" s="16" t="s">
        <v>32</v>
      </c>
      <c r="B110" s="17" t="s">
        <v>333</v>
      </c>
      <c r="C110" s="18">
        <f t="shared" si="3"/>
        <v>103</v>
      </c>
      <c r="D110" s="19" t="s">
        <v>54</v>
      </c>
    </row>
    <row r="111" spans="1:4" x14ac:dyDescent="0.25">
      <c r="A111" s="822" t="s">
        <v>332</v>
      </c>
      <c r="B111" s="828" t="s">
        <v>318</v>
      </c>
      <c r="C111" s="828"/>
      <c r="D111" s="824"/>
    </row>
    <row r="112" spans="1:4" x14ac:dyDescent="0.25">
      <c r="A112" s="16" t="s">
        <v>32</v>
      </c>
      <c r="B112" s="17" t="s">
        <v>318</v>
      </c>
      <c r="C112" s="18">
        <f t="shared" ref="C112:C125" si="4">IF(C111="",C110+1,C111+1)</f>
        <v>104</v>
      </c>
      <c r="D112" s="19" t="s">
        <v>72</v>
      </c>
    </row>
    <row r="113" spans="1:4" x14ac:dyDescent="0.25">
      <c r="A113" s="16" t="s">
        <v>32</v>
      </c>
      <c r="B113" s="17" t="s">
        <v>318</v>
      </c>
      <c r="C113" s="18">
        <f t="shared" si="4"/>
        <v>105</v>
      </c>
      <c r="D113" s="19" t="s">
        <v>331</v>
      </c>
    </row>
    <row r="114" spans="1:4" x14ac:dyDescent="0.25">
      <c r="A114" s="16" t="s">
        <v>32</v>
      </c>
      <c r="B114" s="17" t="s">
        <v>318</v>
      </c>
      <c r="C114" s="18">
        <f t="shared" si="4"/>
        <v>106</v>
      </c>
      <c r="D114" s="19" t="s">
        <v>330</v>
      </c>
    </row>
    <row r="115" spans="1:4" x14ac:dyDescent="0.25">
      <c r="A115" s="16" t="s">
        <v>32</v>
      </c>
      <c r="B115" s="17" t="s">
        <v>318</v>
      </c>
      <c r="C115" s="18">
        <f t="shared" si="4"/>
        <v>107</v>
      </c>
      <c r="D115" s="19" t="s">
        <v>329</v>
      </c>
    </row>
    <row r="116" spans="1:4" x14ac:dyDescent="0.25">
      <c r="A116" s="16" t="s">
        <v>32</v>
      </c>
      <c r="B116" s="17" t="s">
        <v>318</v>
      </c>
      <c r="C116" s="18">
        <f t="shared" si="4"/>
        <v>108</v>
      </c>
      <c r="D116" s="19" t="s">
        <v>328</v>
      </c>
    </row>
    <row r="117" spans="1:4" x14ac:dyDescent="0.25">
      <c r="A117" s="16" t="s">
        <v>32</v>
      </c>
      <c r="B117" s="17" t="s">
        <v>318</v>
      </c>
      <c r="C117" s="18">
        <f t="shared" si="4"/>
        <v>109</v>
      </c>
      <c r="D117" s="19" t="s">
        <v>327</v>
      </c>
    </row>
    <row r="118" spans="1:4" x14ac:dyDescent="0.25">
      <c r="A118" s="16" t="s">
        <v>32</v>
      </c>
      <c r="B118" s="17" t="s">
        <v>318</v>
      </c>
      <c r="C118" s="18">
        <f t="shared" si="4"/>
        <v>110</v>
      </c>
      <c r="D118" s="19" t="s">
        <v>326</v>
      </c>
    </row>
    <row r="119" spans="1:4" x14ac:dyDescent="0.25">
      <c r="A119" s="16" t="s">
        <v>32</v>
      </c>
      <c r="B119" s="17" t="s">
        <v>318</v>
      </c>
      <c r="C119" s="18">
        <f t="shared" si="4"/>
        <v>111</v>
      </c>
      <c r="D119" s="19" t="s">
        <v>325</v>
      </c>
    </row>
    <row r="120" spans="1:4" x14ac:dyDescent="0.25">
      <c r="A120" s="16" t="s">
        <v>32</v>
      </c>
      <c r="B120" s="17" t="s">
        <v>318</v>
      </c>
      <c r="C120" s="18">
        <f t="shared" si="4"/>
        <v>112</v>
      </c>
      <c r="D120" s="19" t="s">
        <v>324</v>
      </c>
    </row>
    <row r="121" spans="1:4" x14ac:dyDescent="0.25">
      <c r="A121" s="16" t="s">
        <v>32</v>
      </c>
      <c r="B121" s="17" t="s">
        <v>318</v>
      </c>
      <c r="C121" s="18">
        <f t="shared" si="4"/>
        <v>113</v>
      </c>
      <c r="D121" s="19" t="s">
        <v>323</v>
      </c>
    </row>
    <row r="122" spans="1:4" x14ac:dyDescent="0.25">
      <c r="A122" s="16" t="s">
        <v>32</v>
      </c>
      <c r="B122" s="17" t="s">
        <v>318</v>
      </c>
      <c r="C122" s="18">
        <f t="shared" si="4"/>
        <v>114</v>
      </c>
      <c r="D122" s="19" t="s">
        <v>322</v>
      </c>
    </row>
    <row r="123" spans="1:4" x14ac:dyDescent="0.25">
      <c r="A123" s="16" t="s">
        <v>32</v>
      </c>
      <c r="B123" s="17" t="s">
        <v>318</v>
      </c>
      <c r="C123" s="18">
        <f t="shared" si="4"/>
        <v>115</v>
      </c>
      <c r="D123" s="19" t="s">
        <v>321</v>
      </c>
    </row>
    <row r="124" spans="1:4" x14ac:dyDescent="0.25">
      <c r="A124" s="16" t="s">
        <v>32</v>
      </c>
      <c r="B124" s="17" t="s">
        <v>318</v>
      </c>
      <c r="C124" s="18">
        <f t="shared" si="4"/>
        <v>116</v>
      </c>
      <c r="D124" s="19" t="s">
        <v>320</v>
      </c>
    </row>
    <row r="125" spans="1:4" x14ac:dyDescent="0.25">
      <c r="A125" s="16" t="s">
        <v>32</v>
      </c>
      <c r="B125" s="17" t="s">
        <v>318</v>
      </c>
      <c r="C125" s="18">
        <f t="shared" si="4"/>
        <v>117</v>
      </c>
      <c r="D125" s="19" t="s">
        <v>54</v>
      </c>
    </row>
    <row r="126" spans="1:4" x14ac:dyDescent="0.25">
      <c r="A126" s="822" t="s">
        <v>317</v>
      </c>
      <c r="B126" s="828" t="s">
        <v>310</v>
      </c>
      <c r="C126" s="828"/>
      <c r="D126" s="824"/>
    </row>
    <row r="127" spans="1:4" x14ac:dyDescent="0.25">
      <c r="A127" s="16" t="s">
        <v>32</v>
      </c>
      <c r="B127" s="17" t="s">
        <v>310</v>
      </c>
      <c r="C127" s="18">
        <f t="shared" ref="C127:C135" si="5">IF(C126="",C125+1,C126+1)</f>
        <v>118</v>
      </c>
      <c r="D127" s="19" t="s">
        <v>72</v>
      </c>
    </row>
    <row r="128" spans="1:4" x14ac:dyDescent="0.25">
      <c r="A128" s="16" t="s">
        <v>32</v>
      </c>
      <c r="B128" s="17" t="s">
        <v>310</v>
      </c>
      <c r="C128" s="18">
        <f t="shared" si="5"/>
        <v>119</v>
      </c>
      <c r="D128" s="19" t="s">
        <v>316</v>
      </c>
    </row>
    <row r="129" spans="1:4" x14ac:dyDescent="0.25">
      <c r="A129" s="16" t="s">
        <v>32</v>
      </c>
      <c r="B129" s="17" t="s">
        <v>310</v>
      </c>
      <c r="C129" s="18">
        <f t="shared" si="5"/>
        <v>120</v>
      </c>
      <c r="D129" s="19" t="s">
        <v>315</v>
      </c>
    </row>
    <row r="130" spans="1:4" x14ac:dyDescent="0.25">
      <c r="A130" s="16" t="s">
        <v>32</v>
      </c>
      <c r="B130" s="17" t="s">
        <v>310</v>
      </c>
      <c r="C130" s="18">
        <f t="shared" si="5"/>
        <v>121</v>
      </c>
      <c r="D130" s="19" t="s">
        <v>314</v>
      </c>
    </row>
    <row r="131" spans="1:4" x14ac:dyDescent="0.25">
      <c r="A131" s="16" t="s">
        <v>32</v>
      </c>
      <c r="B131" s="17" t="s">
        <v>310</v>
      </c>
      <c r="C131" s="18">
        <f t="shared" si="5"/>
        <v>122</v>
      </c>
      <c r="D131" s="19" t="s">
        <v>313</v>
      </c>
    </row>
    <row r="132" spans="1:4" x14ac:dyDescent="0.25">
      <c r="A132" s="16" t="s">
        <v>32</v>
      </c>
      <c r="B132" s="17" t="s">
        <v>310</v>
      </c>
      <c r="C132" s="18">
        <f t="shared" si="5"/>
        <v>123</v>
      </c>
      <c r="D132" s="19" t="s">
        <v>312</v>
      </c>
    </row>
    <row r="133" spans="1:4" x14ac:dyDescent="0.25">
      <c r="A133" s="16" t="s">
        <v>32</v>
      </c>
      <c r="B133" s="17" t="s">
        <v>310</v>
      </c>
      <c r="C133" s="18">
        <f t="shared" si="5"/>
        <v>124</v>
      </c>
      <c r="D133" s="19" t="s">
        <v>286</v>
      </c>
    </row>
    <row r="134" spans="1:4" x14ac:dyDescent="0.25">
      <c r="A134" s="16" t="s">
        <v>32</v>
      </c>
      <c r="B134" s="17" t="s">
        <v>310</v>
      </c>
      <c r="C134" s="18">
        <f t="shared" si="5"/>
        <v>125</v>
      </c>
      <c r="D134" s="19" t="s">
        <v>311</v>
      </c>
    </row>
    <row r="135" spans="1:4" x14ac:dyDescent="0.25">
      <c r="A135" s="16" t="s">
        <v>32</v>
      </c>
      <c r="B135" s="17" t="s">
        <v>310</v>
      </c>
      <c r="C135" s="18">
        <f t="shared" si="5"/>
        <v>126</v>
      </c>
      <c r="D135" s="19" t="s">
        <v>54</v>
      </c>
    </row>
    <row r="136" spans="1:4" x14ac:dyDescent="0.25">
      <c r="A136" s="822" t="s">
        <v>309</v>
      </c>
      <c r="B136" s="828"/>
      <c r="C136" s="828"/>
      <c r="D136" s="824"/>
    </row>
    <row r="137" spans="1:4" x14ac:dyDescent="0.25">
      <c r="A137" s="16" t="s">
        <v>32</v>
      </c>
      <c r="B137" s="17" t="s">
        <v>292</v>
      </c>
      <c r="C137" s="18">
        <f t="shared" ref="C137:C156" si="6">IF(C136="",C135+1,C136+1)</f>
        <v>127</v>
      </c>
      <c r="D137" s="19" t="s">
        <v>72</v>
      </c>
    </row>
    <row r="138" spans="1:4" x14ac:dyDescent="0.25">
      <c r="A138" s="16" t="s">
        <v>32</v>
      </c>
      <c r="B138" s="17" t="s">
        <v>292</v>
      </c>
      <c r="C138" s="18">
        <f t="shared" si="6"/>
        <v>128</v>
      </c>
      <c r="D138" s="19" t="s">
        <v>308</v>
      </c>
    </row>
    <row r="139" spans="1:4" x14ac:dyDescent="0.25">
      <c r="A139" s="16" t="s">
        <v>32</v>
      </c>
      <c r="B139" s="17" t="s">
        <v>292</v>
      </c>
      <c r="C139" s="18">
        <f t="shared" si="6"/>
        <v>129</v>
      </c>
      <c r="D139" s="19" t="s">
        <v>307</v>
      </c>
    </row>
    <row r="140" spans="1:4" x14ac:dyDescent="0.25">
      <c r="A140" s="16" t="s">
        <v>32</v>
      </c>
      <c r="B140" s="17" t="s">
        <v>292</v>
      </c>
      <c r="C140" s="18">
        <f t="shared" si="6"/>
        <v>130</v>
      </c>
      <c r="D140" s="19" t="s">
        <v>306</v>
      </c>
    </row>
    <row r="141" spans="1:4" x14ac:dyDescent="0.25">
      <c r="A141" s="16" t="s">
        <v>32</v>
      </c>
      <c r="B141" s="17" t="s">
        <v>292</v>
      </c>
      <c r="C141" s="18">
        <f t="shared" si="6"/>
        <v>131</v>
      </c>
      <c r="D141" s="19" t="s">
        <v>282</v>
      </c>
    </row>
    <row r="142" spans="1:4" x14ac:dyDescent="0.25">
      <c r="A142" s="16" t="s">
        <v>32</v>
      </c>
      <c r="B142" s="17" t="s">
        <v>292</v>
      </c>
      <c r="C142" s="18">
        <f t="shared" si="6"/>
        <v>132</v>
      </c>
      <c r="D142" s="19" t="s">
        <v>305</v>
      </c>
    </row>
    <row r="143" spans="1:4" x14ac:dyDescent="0.25">
      <c r="A143" s="16" t="s">
        <v>32</v>
      </c>
      <c r="B143" s="17" t="s">
        <v>292</v>
      </c>
      <c r="C143" s="18">
        <f t="shared" si="6"/>
        <v>133</v>
      </c>
      <c r="D143" s="19" t="s">
        <v>304</v>
      </c>
    </row>
    <row r="144" spans="1:4" x14ac:dyDescent="0.25">
      <c r="A144" s="16" t="s">
        <v>32</v>
      </c>
      <c r="B144" s="17" t="s">
        <v>292</v>
      </c>
      <c r="C144" s="18">
        <f t="shared" si="6"/>
        <v>134</v>
      </c>
      <c r="D144" s="19" t="s">
        <v>303</v>
      </c>
    </row>
    <row r="145" spans="1:4" x14ac:dyDescent="0.25">
      <c r="A145" s="16" t="s">
        <v>32</v>
      </c>
      <c r="B145" s="17" t="s">
        <v>292</v>
      </c>
      <c r="C145" s="18">
        <f t="shared" si="6"/>
        <v>135</v>
      </c>
      <c r="D145" s="19" t="s">
        <v>286</v>
      </c>
    </row>
    <row r="146" spans="1:4" x14ac:dyDescent="0.25">
      <c r="A146" s="16" t="s">
        <v>32</v>
      </c>
      <c r="B146" s="17" t="s">
        <v>292</v>
      </c>
      <c r="C146" s="18">
        <f t="shared" si="6"/>
        <v>136</v>
      </c>
      <c r="D146" s="19" t="s">
        <v>302</v>
      </c>
    </row>
    <row r="147" spans="1:4" x14ac:dyDescent="0.25">
      <c r="A147" s="16" t="s">
        <v>32</v>
      </c>
      <c r="B147" s="17" t="s">
        <v>292</v>
      </c>
      <c r="C147" s="18">
        <f t="shared" si="6"/>
        <v>137</v>
      </c>
      <c r="D147" s="19" t="s">
        <v>301</v>
      </c>
    </row>
    <row r="148" spans="1:4" x14ac:dyDescent="0.25">
      <c r="A148" s="16" t="s">
        <v>32</v>
      </c>
      <c r="B148" s="17" t="s">
        <v>292</v>
      </c>
      <c r="C148" s="18">
        <f t="shared" si="6"/>
        <v>138</v>
      </c>
      <c r="D148" s="19" t="s">
        <v>300</v>
      </c>
    </row>
    <row r="149" spans="1:4" x14ac:dyDescent="0.25">
      <c r="A149" s="16" t="s">
        <v>32</v>
      </c>
      <c r="B149" s="17" t="s">
        <v>292</v>
      </c>
      <c r="C149" s="18">
        <f t="shared" si="6"/>
        <v>139</v>
      </c>
      <c r="D149" s="19" t="s">
        <v>299</v>
      </c>
    </row>
    <row r="150" spans="1:4" x14ac:dyDescent="0.25">
      <c r="A150" s="16" t="s">
        <v>32</v>
      </c>
      <c r="B150" s="17" t="s">
        <v>292</v>
      </c>
      <c r="C150" s="18">
        <f t="shared" si="6"/>
        <v>140</v>
      </c>
      <c r="D150" s="19" t="s">
        <v>298</v>
      </c>
    </row>
    <row r="151" spans="1:4" x14ac:dyDescent="0.25">
      <c r="A151" s="16" t="s">
        <v>32</v>
      </c>
      <c r="B151" s="17" t="s">
        <v>292</v>
      </c>
      <c r="C151" s="18">
        <f t="shared" si="6"/>
        <v>141</v>
      </c>
      <c r="D151" s="19" t="s">
        <v>297</v>
      </c>
    </row>
    <row r="152" spans="1:4" x14ac:dyDescent="0.25">
      <c r="A152" s="16" t="s">
        <v>32</v>
      </c>
      <c r="B152" s="17" t="s">
        <v>292</v>
      </c>
      <c r="C152" s="18">
        <f t="shared" si="6"/>
        <v>142</v>
      </c>
      <c r="D152" s="19" t="s">
        <v>296</v>
      </c>
    </row>
    <row r="153" spans="1:4" x14ac:dyDescent="0.25">
      <c r="A153" s="16" t="s">
        <v>32</v>
      </c>
      <c r="B153" s="17" t="s">
        <v>292</v>
      </c>
      <c r="C153" s="18">
        <f t="shared" si="6"/>
        <v>143</v>
      </c>
      <c r="D153" s="19" t="s">
        <v>295</v>
      </c>
    </row>
    <row r="154" spans="1:4" x14ac:dyDescent="0.25">
      <c r="A154" s="16" t="s">
        <v>32</v>
      </c>
      <c r="B154" s="17" t="s">
        <v>292</v>
      </c>
      <c r="C154" s="18">
        <f t="shared" si="6"/>
        <v>144</v>
      </c>
      <c r="D154" s="19" t="s">
        <v>294</v>
      </c>
    </row>
    <row r="155" spans="1:4" x14ac:dyDescent="0.25">
      <c r="A155" s="16" t="s">
        <v>32</v>
      </c>
      <c r="B155" s="17" t="s">
        <v>292</v>
      </c>
      <c r="C155" s="18">
        <f t="shared" si="6"/>
        <v>145</v>
      </c>
      <c r="D155" s="19" t="s">
        <v>293</v>
      </c>
    </row>
    <row r="156" spans="1:4" x14ac:dyDescent="0.25">
      <c r="A156" s="16" t="s">
        <v>32</v>
      </c>
      <c r="B156" s="17" t="s">
        <v>292</v>
      </c>
      <c r="C156" s="18">
        <f t="shared" si="6"/>
        <v>146</v>
      </c>
      <c r="D156" s="19" t="s">
        <v>54</v>
      </c>
    </row>
    <row r="157" spans="1:4" x14ac:dyDescent="0.25">
      <c r="A157" s="822" t="s">
        <v>291</v>
      </c>
      <c r="B157" s="828" t="s">
        <v>269</v>
      </c>
      <c r="C157" s="828"/>
      <c r="D157" s="824"/>
    </row>
    <row r="158" spans="1:4" x14ac:dyDescent="0.25">
      <c r="A158" s="16" t="s">
        <v>32</v>
      </c>
      <c r="B158" s="17" t="s">
        <v>269</v>
      </c>
      <c r="C158" s="18">
        <f t="shared" ref="C158:C180" si="7">IF(C157="",C156+1,C157+1)</f>
        <v>147</v>
      </c>
      <c r="D158" s="19" t="s">
        <v>72</v>
      </c>
    </row>
    <row r="159" spans="1:4" x14ac:dyDescent="0.25">
      <c r="A159" s="16" t="s">
        <v>32</v>
      </c>
      <c r="B159" s="17" t="s">
        <v>269</v>
      </c>
      <c r="C159" s="18">
        <f t="shared" si="7"/>
        <v>148</v>
      </c>
      <c r="D159" s="19" t="s">
        <v>290</v>
      </c>
    </row>
    <row r="160" spans="1:4" x14ac:dyDescent="0.25">
      <c r="A160" s="16" t="s">
        <v>32</v>
      </c>
      <c r="B160" s="17" t="s">
        <v>269</v>
      </c>
      <c r="C160" s="18">
        <f t="shared" si="7"/>
        <v>149</v>
      </c>
      <c r="D160" s="19" t="s">
        <v>289</v>
      </c>
    </row>
    <row r="161" spans="1:4" x14ac:dyDescent="0.25">
      <c r="A161" s="16" t="s">
        <v>32</v>
      </c>
      <c r="B161" s="17" t="s">
        <v>269</v>
      </c>
      <c r="C161" s="18">
        <f t="shared" si="7"/>
        <v>150</v>
      </c>
      <c r="D161" s="19" t="s">
        <v>288</v>
      </c>
    </row>
    <row r="162" spans="1:4" x14ac:dyDescent="0.25">
      <c r="A162" s="16" t="s">
        <v>32</v>
      </c>
      <c r="B162" s="17" t="s">
        <v>269</v>
      </c>
      <c r="C162" s="18">
        <f t="shared" si="7"/>
        <v>151</v>
      </c>
      <c r="D162" s="19" t="s">
        <v>287</v>
      </c>
    </row>
    <row r="163" spans="1:4" x14ac:dyDescent="0.25">
      <c r="A163" s="16" t="s">
        <v>32</v>
      </c>
      <c r="B163" s="17" t="s">
        <v>269</v>
      </c>
      <c r="C163" s="18">
        <f t="shared" si="7"/>
        <v>152</v>
      </c>
      <c r="D163" s="19" t="s">
        <v>286</v>
      </c>
    </row>
    <row r="164" spans="1:4" x14ac:dyDescent="0.25">
      <c r="A164" s="16" t="s">
        <v>32</v>
      </c>
      <c r="B164" s="17" t="s">
        <v>269</v>
      </c>
      <c r="C164" s="18">
        <f t="shared" si="7"/>
        <v>153</v>
      </c>
      <c r="D164" s="19" t="s">
        <v>285</v>
      </c>
    </row>
    <row r="165" spans="1:4" x14ac:dyDescent="0.25">
      <c r="A165" s="16" t="s">
        <v>32</v>
      </c>
      <c r="B165" s="17" t="s">
        <v>269</v>
      </c>
      <c r="C165" s="18">
        <f t="shared" si="7"/>
        <v>154</v>
      </c>
      <c r="D165" s="19" t="s">
        <v>284</v>
      </c>
    </row>
    <row r="166" spans="1:4" x14ac:dyDescent="0.25">
      <c r="A166" s="16" t="s">
        <v>32</v>
      </c>
      <c r="B166" s="17" t="s">
        <v>269</v>
      </c>
      <c r="C166" s="18">
        <f t="shared" si="7"/>
        <v>155</v>
      </c>
      <c r="D166" s="19" t="s">
        <v>283</v>
      </c>
    </row>
    <row r="167" spans="1:4" x14ac:dyDescent="0.25">
      <c r="A167" s="16" t="s">
        <v>32</v>
      </c>
      <c r="B167" s="17" t="s">
        <v>269</v>
      </c>
      <c r="C167" s="18">
        <f t="shared" si="7"/>
        <v>156</v>
      </c>
      <c r="D167" s="19" t="s">
        <v>282</v>
      </c>
    </row>
    <row r="168" spans="1:4" x14ac:dyDescent="0.25">
      <c r="A168" s="16" t="s">
        <v>32</v>
      </c>
      <c r="B168" s="17" t="s">
        <v>269</v>
      </c>
      <c r="C168" s="18">
        <f t="shared" si="7"/>
        <v>157</v>
      </c>
      <c r="D168" s="19" t="s">
        <v>281</v>
      </c>
    </row>
    <row r="169" spans="1:4" x14ac:dyDescent="0.25">
      <c r="A169" s="16" t="s">
        <v>32</v>
      </c>
      <c r="B169" s="17" t="s">
        <v>269</v>
      </c>
      <c r="C169" s="18">
        <f t="shared" si="7"/>
        <v>158</v>
      </c>
      <c r="D169" s="19" t="s">
        <v>280</v>
      </c>
    </row>
    <row r="170" spans="1:4" x14ac:dyDescent="0.25">
      <c r="A170" s="16" t="s">
        <v>32</v>
      </c>
      <c r="B170" s="17" t="s">
        <v>269</v>
      </c>
      <c r="C170" s="18">
        <f t="shared" si="7"/>
        <v>159</v>
      </c>
      <c r="D170" s="19" t="s">
        <v>279</v>
      </c>
    </row>
    <row r="171" spans="1:4" x14ac:dyDescent="0.25">
      <c r="A171" s="16" t="s">
        <v>32</v>
      </c>
      <c r="B171" s="17" t="s">
        <v>269</v>
      </c>
      <c r="C171" s="18">
        <f t="shared" si="7"/>
        <v>160</v>
      </c>
      <c r="D171" s="19" t="s">
        <v>278</v>
      </c>
    </row>
    <row r="172" spans="1:4" x14ac:dyDescent="0.25">
      <c r="A172" s="16" t="s">
        <v>32</v>
      </c>
      <c r="B172" s="17" t="s">
        <v>269</v>
      </c>
      <c r="C172" s="18">
        <f t="shared" si="7"/>
        <v>161</v>
      </c>
      <c r="D172" s="19" t="s">
        <v>277</v>
      </c>
    </row>
    <row r="173" spans="1:4" x14ac:dyDescent="0.25">
      <c r="A173" s="16" t="s">
        <v>32</v>
      </c>
      <c r="B173" s="17" t="s">
        <v>269</v>
      </c>
      <c r="C173" s="18">
        <f t="shared" si="7"/>
        <v>162</v>
      </c>
      <c r="D173" s="19" t="s">
        <v>276</v>
      </c>
    </row>
    <row r="174" spans="1:4" x14ac:dyDescent="0.25">
      <c r="A174" s="16" t="s">
        <v>32</v>
      </c>
      <c r="B174" s="17" t="s">
        <v>269</v>
      </c>
      <c r="C174" s="18">
        <f t="shared" si="7"/>
        <v>163</v>
      </c>
      <c r="D174" s="19" t="s">
        <v>275</v>
      </c>
    </row>
    <row r="175" spans="1:4" x14ac:dyDescent="0.25">
      <c r="A175" s="16" t="s">
        <v>32</v>
      </c>
      <c r="B175" s="17" t="s">
        <v>269</v>
      </c>
      <c r="C175" s="18">
        <f t="shared" si="7"/>
        <v>164</v>
      </c>
      <c r="D175" s="19" t="s">
        <v>274</v>
      </c>
    </row>
    <row r="176" spans="1:4" x14ac:dyDescent="0.25">
      <c r="A176" s="16" t="s">
        <v>32</v>
      </c>
      <c r="B176" s="17" t="s">
        <v>269</v>
      </c>
      <c r="C176" s="18">
        <f t="shared" si="7"/>
        <v>165</v>
      </c>
      <c r="D176" s="19" t="s">
        <v>273</v>
      </c>
    </row>
    <row r="177" spans="1:4" x14ac:dyDescent="0.25">
      <c r="A177" s="16" t="s">
        <v>32</v>
      </c>
      <c r="B177" s="17" t="s">
        <v>269</v>
      </c>
      <c r="C177" s="18">
        <f t="shared" si="7"/>
        <v>166</v>
      </c>
      <c r="D177" s="19" t="s">
        <v>272</v>
      </c>
    </row>
    <row r="178" spans="1:4" x14ac:dyDescent="0.25">
      <c r="A178" s="16" t="s">
        <v>32</v>
      </c>
      <c r="B178" s="17" t="s">
        <v>269</v>
      </c>
      <c r="C178" s="18">
        <f t="shared" si="7"/>
        <v>167</v>
      </c>
      <c r="D178" s="19" t="s">
        <v>271</v>
      </c>
    </row>
    <row r="179" spans="1:4" x14ac:dyDescent="0.25">
      <c r="A179" s="16" t="s">
        <v>32</v>
      </c>
      <c r="B179" s="17" t="s">
        <v>269</v>
      </c>
      <c r="C179" s="18">
        <f t="shared" si="7"/>
        <v>168</v>
      </c>
      <c r="D179" s="19" t="s">
        <v>270</v>
      </c>
    </row>
    <row r="180" spans="1:4" x14ac:dyDescent="0.25">
      <c r="A180" s="16" t="s">
        <v>32</v>
      </c>
      <c r="B180" s="17" t="s">
        <v>269</v>
      </c>
      <c r="C180" s="18">
        <f t="shared" si="7"/>
        <v>169</v>
      </c>
      <c r="D180" s="19" t="s">
        <v>54</v>
      </c>
    </row>
    <row r="181" spans="1:4" x14ac:dyDescent="0.25">
      <c r="A181" s="822" t="s">
        <v>268</v>
      </c>
      <c r="B181" s="828" t="s">
        <v>262</v>
      </c>
      <c r="C181" s="828"/>
      <c r="D181" s="824"/>
    </row>
    <row r="182" spans="1:4" x14ac:dyDescent="0.25">
      <c r="A182" s="16" t="s">
        <v>32</v>
      </c>
      <c r="B182" s="17" t="s">
        <v>262</v>
      </c>
      <c r="C182" s="18">
        <f t="shared" ref="C182:C189" si="8">IF(C181="",C180+1,C181+1)</f>
        <v>170</v>
      </c>
      <c r="D182" s="19" t="s">
        <v>559</v>
      </c>
    </row>
    <row r="183" spans="1:4" x14ac:dyDescent="0.25">
      <c r="A183" s="16" t="s">
        <v>32</v>
      </c>
      <c r="B183" s="17" t="s">
        <v>262</v>
      </c>
      <c r="C183" s="18">
        <f t="shared" si="8"/>
        <v>171</v>
      </c>
      <c r="D183" s="19" t="s">
        <v>558</v>
      </c>
    </row>
    <row r="184" spans="1:4" ht="30" x14ac:dyDescent="0.25">
      <c r="A184" s="16" t="s">
        <v>32</v>
      </c>
      <c r="B184" s="17" t="s">
        <v>262</v>
      </c>
      <c r="C184" s="18">
        <f t="shared" si="8"/>
        <v>172</v>
      </c>
      <c r="D184" s="19" t="s">
        <v>266</v>
      </c>
    </row>
    <row r="185" spans="1:4" x14ac:dyDescent="0.25">
      <c r="A185" s="16"/>
      <c r="B185" s="17"/>
      <c r="C185" s="18">
        <f t="shared" si="8"/>
        <v>173</v>
      </c>
      <c r="D185" s="19" t="s">
        <v>265</v>
      </c>
    </row>
    <row r="186" spans="1:4" x14ac:dyDescent="0.25">
      <c r="A186" s="16"/>
      <c r="B186" s="17"/>
      <c r="C186" s="18">
        <f t="shared" si="8"/>
        <v>174</v>
      </c>
      <c r="D186" s="19" t="s">
        <v>264</v>
      </c>
    </row>
    <row r="187" spans="1:4" x14ac:dyDescent="0.25">
      <c r="A187" s="16" t="s">
        <v>32</v>
      </c>
      <c r="B187" s="17" t="s">
        <v>262</v>
      </c>
      <c r="C187" s="18">
        <f t="shared" si="8"/>
        <v>175</v>
      </c>
      <c r="D187" s="19" t="s">
        <v>557</v>
      </c>
    </row>
    <row r="188" spans="1:4" x14ac:dyDescent="0.25">
      <c r="A188" s="16" t="s">
        <v>32</v>
      </c>
      <c r="B188" s="17" t="s">
        <v>262</v>
      </c>
      <c r="C188" s="18">
        <f t="shared" si="8"/>
        <v>176</v>
      </c>
      <c r="D188" s="19" t="s">
        <v>263</v>
      </c>
    </row>
    <row r="189" spans="1:4" x14ac:dyDescent="0.25">
      <c r="A189" s="16" t="s">
        <v>32</v>
      </c>
      <c r="B189" s="17" t="s">
        <v>262</v>
      </c>
      <c r="C189" s="18">
        <f t="shared" si="8"/>
        <v>177</v>
      </c>
      <c r="D189" s="19" t="s">
        <v>54</v>
      </c>
    </row>
    <row r="190" spans="1:4" x14ac:dyDescent="0.25">
      <c r="A190" s="822" t="s">
        <v>74</v>
      </c>
      <c r="B190" s="828"/>
      <c r="C190" s="828"/>
      <c r="D190" s="824" t="s">
        <v>73</v>
      </c>
    </row>
    <row r="191" spans="1:4" x14ac:dyDescent="0.25">
      <c r="A191" s="16" t="s">
        <v>32</v>
      </c>
      <c r="B191" s="17" t="s">
        <v>43</v>
      </c>
      <c r="C191" s="18">
        <f t="shared" ref="C191:C209" si="9">IF(C190="",C189+1,C190+1)</f>
        <v>178</v>
      </c>
      <c r="D191" s="21" t="s">
        <v>72</v>
      </c>
    </row>
    <row r="192" spans="1:4" x14ac:dyDescent="0.25">
      <c r="A192" s="16" t="s">
        <v>32</v>
      </c>
      <c r="B192" s="17" t="s">
        <v>43</v>
      </c>
      <c r="C192" s="18">
        <f t="shared" si="9"/>
        <v>179</v>
      </c>
      <c r="D192" s="21" t="s">
        <v>71</v>
      </c>
    </row>
    <row r="193" spans="1:4" x14ac:dyDescent="0.25">
      <c r="A193" s="16" t="s">
        <v>32</v>
      </c>
      <c r="B193" s="17" t="s">
        <v>43</v>
      </c>
      <c r="C193" s="18">
        <f t="shared" si="9"/>
        <v>180</v>
      </c>
      <c r="D193" s="21" t="s">
        <v>70</v>
      </c>
    </row>
    <row r="194" spans="1:4" x14ac:dyDescent="0.25">
      <c r="A194" s="16" t="s">
        <v>32</v>
      </c>
      <c r="B194" s="17" t="s">
        <v>43</v>
      </c>
      <c r="C194" s="18">
        <f t="shared" si="9"/>
        <v>181</v>
      </c>
      <c r="D194" s="21" t="s">
        <v>69</v>
      </c>
    </row>
    <row r="195" spans="1:4" x14ac:dyDescent="0.25">
      <c r="A195" s="16" t="s">
        <v>32</v>
      </c>
      <c r="B195" s="17" t="s">
        <v>43</v>
      </c>
      <c r="C195" s="18">
        <f t="shared" si="9"/>
        <v>182</v>
      </c>
      <c r="D195" s="19" t="s">
        <v>68</v>
      </c>
    </row>
    <row r="196" spans="1:4" x14ac:dyDescent="0.25">
      <c r="A196" s="16" t="s">
        <v>32</v>
      </c>
      <c r="B196" s="17" t="s">
        <v>43</v>
      </c>
      <c r="C196" s="18">
        <f t="shared" si="9"/>
        <v>183</v>
      </c>
      <c r="D196" s="20" t="s">
        <v>67</v>
      </c>
    </row>
    <row r="197" spans="1:4" ht="30" x14ac:dyDescent="0.25">
      <c r="A197" s="16" t="s">
        <v>32</v>
      </c>
      <c r="B197" s="17" t="s">
        <v>43</v>
      </c>
      <c r="C197" s="18">
        <f t="shared" si="9"/>
        <v>184</v>
      </c>
      <c r="D197" s="19" t="s">
        <v>66</v>
      </c>
    </row>
    <row r="198" spans="1:4" x14ac:dyDescent="0.25">
      <c r="A198" s="16" t="s">
        <v>32</v>
      </c>
      <c r="B198" s="17" t="s">
        <v>43</v>
      </c>
      <c r="C198" s="18">
        <f t="shared" si="9"/>
        <v>185</v>
      </c>
      <c r="D198" s="19" t="s">
        <v>65</v>
      </c>
    </row>
    <row r="199" spans="1:4" x14ac:dyDescent="0.25">
      <c r="A199" s="16" t="s">
        <v>32</v>
      </c>
      <c r="B199" s="17" t="s">
        <v>43</v>
      </c>
      <c r="C199" s="18">
        <f t="shared" si="9"/>
        <v>186</v>
      </c>
      <c r="D199" s="19" t="s">
        <v>64</v>
      </c>
    </row>
    <row r="200" spans="1:4" x14ac:dyDescent="0.25">
      <c r="A200" s="16" t="s">
        <v>32</v>
      </c>
      <c r="B200" s="17" t="s">
        <v>43</v>
      </c>
      <c r="C200" s="18">
        <f t="shared" si="9"/>
        <v>187</v>
      </c>
      <c r="D200" s="20" t="s">
        <v>63</v>
      </c>
    </row>
    <row r="201" spans="1:4" x14ac:dyDescent="0.25">
      <c r="A201" s="16" t="s">
        <v>32</v>
      </c>
      <c r="B201" s="17" t="s">
        <v>43</v>
      </c>
      <c r="C201" s="18">
        <f t="shared" si="9"/>
        <v>188</v>
      </c>
      <c r="D201" s="20" t="s">
        <v>62</v>
      </c>
    </row>
    <row r="202" spans="1:4" x14ac:dyDescent="0.25">
      <c r="A202" s="16" t="s">
        <v>32</v>
      </c>
      <c r="B202" s="17" t="s">
        <v>43</v>
      </c>
      <c r="C202" s="18">
        <f t="shared" si="9"/>
        <v>189</v>
      </c>
      <c r="D202" s="19" t="s">
        <v>61</v>
      </c>
    </row>
    <row r="203" spans="1:4" x14ac:dyDescent="0.25">
      <c r="A203" s="16" t="s">
        <v>32</v>
      </c>
      <c r="B203" s="17" t="s">
        <v>43</v>
      </c>
      <c r="C203" s="18">
        <f t="shared" si="9"/>
        <v>190</v>
      </c>
      <c r="D203" s="19" t="s">
        <v>60</v>
      </c>
    </row>
    <row r="204" spans="1:4" x14ac:dyDescent="0.25">
      <c r="A204" s="16" t="s">
        <v>32</v>
      </c>
      <c r="B204" s="17" t="s">
        <v>43</v>
      </c>
      <c r="C204" s="18">
        <f t="shared" si="9"/>
        <v>191</v>
      </c>
      <c r="D204" s="20" t="s">
        <v>59</v>
      </c>
    </row>
    <row r="205" spans="1:4" x14ac:dyDescent="0.25">
      <c r="A205" s="16" t="s">
        <v>32</v>
      </c>
      <c r="B205" s="17" t="s">
        <v>43</v>
      </c>
      <c r="C205" s="18">
        <f t="shared" si="9"/>
        <v>192</v>
      </c>
      <c r="D205" s="19" t="s">
        <v>58</v>
      </c>
    </row>
    <row r="206" spans="1:4" x14ac:dyDescent="0.25">
      <c r="A206" s="16" t="s">
        <v>32</v>
      </c>
      <c r="B206" s="17" t="s">
        <v>43</v>
      </c>
      <c r="C206" s="18">
        <f t="shared" si="9"/>
        <v>193</v>
      </c>
      <c r="D206" s="19" t="s">
        <v>57</v>
      </c>
    </row>
    <row r="207" spans="1:4" x14ac:dyDescent="0.25">
      <c r="A207" s="16" t="s">
        <v>32</v>
      </c>
      <c r="B207" s="17" t="s">
        <v>43</v>
      </c>
      <c r="C207" s="18">
        <f t="shared" si="9"/>
        <v>194</v>
      </c>
      <c r="D207" s="19" t="s">
        <v>56</v>
      </c>
    </row>
    <row r="208" spans="1:4" x14ac:dyDescent="0.25">
      <c r="A208" s="16" t="s">
        <v>32</v>
      </c>
      <c r="B208" s="17" t="s">
        <v>43</v>
      </c>
      <c r="C208" s="18">
        <f t="shared" si="9"/>
        <v>195</v>
      </c>
      <c r="D208" s="19" t="s">
        <v>55</v>
      </c>
    </row>
    <row r="209" spans="1:4" x14ac:dyDescent="0.25">
      <c r="A209" s="16" t="s">
        <v>32</v>
      </c>
      <c r="B209" s="17" t="s">
        <v>43</v>
      </c>
      <c r="C209" s="18">
        <f t="shared" si="9"/>
        <v>196</v>
      </c>
      <c r="D209" s="19" t="s">
        <v>54</v>
      </c>
    </row>
    <row r="210" spans="1:4" x14ac:dyDescent="0.25">
      <c r="A210" s="822" t="s">
        <v>556</v>
      </c>
      <c r="B210" s="828"/>
      <c r="C210" s="828"/>
      <c r="D210" s="824" t="s">
        <v>228</v>
      </c>
    </row>
    <row r="211" spans="1:4" x14ac:dyDescent="0.25">
      <c r="A211" s="16" t="s">
        <v>32</v>
      </c>
      <c r="B211" s="17" t="s">
        <v>75</v>
      </c>
      <c r="C211" s="18">
        <f t="shared" ref="C211:C220" si="10">IF(C210="",C209+1,C210+1)</f>
        <v>197</v>
      </c>
      <c r="D211" s="23" t="s">
        <v>84</v>
      </c>
    </row>
    <row r="212" spans="1:4" x14ac:dyDescent="0.25">
      <c r="A212" s="16" t="s">
        <v>32</v>
      </c>
      <c r="B212" s="17" t="s">
        <v>75</v>
      </c>
      <c r="C212" s="18">
        <f t="shared" si="10"/>
        <v>198</v>
      </c>
      <c r="D212" s="20" t="s">
        <v>83</v>
      </c>
    </row>
    <row r="213" spans="1:4" x14ac:dyDescent="0.25">
      <c r="A213" s="16" t="s">
        <v>32</v>
      </c>
      <c r="B213" s="17" t="s">
        <v>75</v>
      </c>
      <c r="C213" s="18">
        <f t="shared" si="10"/>
        <v>199</v>
      </c>
      <c r="D213" s="19" t="s">
        <v>82</v>
      </c>
    </row>
    <row r="214" spans="1:4" x14ac:dyDescent="0.25">
      <c r="A214" s="16" t="s">
        <v>32</v>
      </c>
      <c r="B214" s="17" t="s">
        <v>75</v>
      </c>
      <c r="C214" s="18">
        <f t="shared" si="10"/>
        <v>200</v>
      </c>
      <c r="D214" s="19" t="s">
        <v>81</v>
      </c>
    </row>
    <row r="215" spans="1:4" ht="30" x14ac:dyDescent="0.25">
      <c r="A215" s="16" t="s">
        <v>32</v>
      </c>
      <c r="B215" s="17" t="s">
        <v>75</v>
      </c>
      <c r="C215" s="18">
        <f t="shared" si="10"/>
        <v>201</v>
      </c>
      <c r="D215" s="19" t="s">
        <v>80</v>
      </c>
    </row>
    <row r="216" spans="1:4" x14ac:dyDescent="0.25">
      <c r="A216" s="16" t="s">
        <v>32</v>
      </c>
      <c r="B216" s="17" t="s">
        <v>75</v>
      </c>
      <c r="C216" s="18">
        <f t="shared" si="10"/>
        <v>202</v>
      </c>
      <c r="D216" s="19" t="s">
        <v>79</v>
      </c>
    </row>
    <row r="217" spans="1:4" x14ac:dyDescent="0.25">
      <c r="A217" s="16" t="s">
        <v>32</v>
      </c>
      <c r="B217" s="17" t="s">
        <v>75</v>
      </c>
      <c r="C217" s="18">
        <f t="shared" si="10"/>
        <v>203</v>
      </c>
      <c r="D217" s="19" t="s">
        <v>78</v>
      </c>
    </row>
    <row r="218" spans="1:4" x14ac:dyDescent="0.25">
      <c r="A218" s="16" t="s">
        <v>32</v>
      </c>
      <c r="B218" s="17" t="s">
        <v>75</v>
      </c>
      <c r="C218" s="18">
        <f t="shared" si="10"/>
        <v>204</v>
      </c>
      <c r="D218" s="19" t="s">
        <v>77</v>
      </c>
    </row>
    <row r="219" spans="1:4" ht="30" x14ac:dyDescent="0.25">
      <c r="A219" s="16" t="s">
        <v>32</v>
      </c>
      <c r="B219" s="17" t="s">
        <v>75</v>
      </c>
      <c r="C219" s="18">
        <f t="shared" si="10"/>
        <v>205</v>
      </c>
      <c r="D219" s="19" t="s">
        <v>76</v>
      </c>
    </row>
    <row r="220" spans="1:4" x14ac:dyDescent="0.25">
      <c r="A220" s="16" t="s">
        <v>32</v>
      </c>
      <c r="B220" s="17" t="s">
        <v>75</v>
      </c>
      <c r="C220" s="18">
        <f t="shared" si="10"/>
        <v>206</v>
      </c>
      <c r="D220" s="19" t="s">
        <v>54</v>
      </c>
    </row>
    <row r="221" spans="1:4" x14ac:dyDescent="0.25">
      <c r="A221" s="822" t="s">
        <v>555</v>
      </c>
      <c r="B221" s="828"/>
      <c r="C221" s="828"/>
      <c r="D221" s="824" t="s">
        <v>228</v>
      </c>
    </row>
    <row r="222" spans="1:4" x14ac:dyDescent="0.25">
      <c r="A222" s="16" t="s">
        <v>32</v>
      </c>
      <c r="B222" s="17" t="s">
        <v>546</v>
      </c>
      <c r="C222" s="18">
        <f t="shared" ref="C222:C230" si="11">IF(C221="",C220+1,C221+1)</f>
        <v>207</v>
      </c>
      <c r="D222" s="23" t="s">
        <v>554</v>
      </c>
    </row>
    <row r="223" spans="1:4" x14ac:dyDescent="0.25">
      <c r="A223" s="16" t="s">
        <v>32</v>
      </c>
      <c r="B223" s="17" t="s">
        <v>546</v>
      </c>
      <c r="C223" s="18">
        <f t="shared" si="11"/>
        <v>208</v>
      </c>
      <c r="D223" s="19" t="s">
        <v>553</v>
      </c>
    </row>
    <row r="224" spans="1:4" x14ac:dyDescent="0.25">
      <c r="A224" s="16" t="s">
        <v>32</v>
      </c>
      <c r="B224" s="17" t="s">
        <v>546</v>
      </c>
      <c r="C224" s="18">
        <f t="shared" si="11"/>
        <v>209</v>
      </c>
      <c r="D224" s="19" t="s">
        <v>552</v>
      </c>
    </row>
    <row r="225" spans="1:4" x14ac:dyDescent="0.25">
      <c r="A225" s="16" t="s">
        <v>32</v>
      </c>
      <c r="B225" s="17" t="s">
        <v>546</v>
      </c>
      <c r="C225" s="18">
        <f t="shared" si="11"/>
        <v>210</v>
      </c>
      <c r="D225" s="19" t="s">
        <v>551</v>
      </c>
    </row>
    <row r="226" spans="1:4" x14ac:dyDescent="0.25">
      <c r="A226" s="16" t="s">
        <v>32</v>
      </c>
      <c r="B226" s="17" t="s">
        <v>546</v>
      </c>
      <c r="C226" s="18">
        <f t="shared" si="11"/>
        <v>211</v>
      </c>
      <c r="D226" s="19" t="s">
        <v>550</v>
      </c>
    </row>
    <row r="227" spans="1:4" x14ac:dyDescent="0.25">
      <c r="A227" s="16" t="s">
        <v>32</v>
      </c>
      <c r="B227" s="17" t="s">
        <v>546</v>
      </c>
      <c r="C227" s="18">
        <f t="shared" si="11"/>
        <v>212</v>
      </c>
      <c r="D227" s="19" t="s">
        <v>549</v>
      </c>
    </row>
    <row r="228" spans="1:4" x14ac:dyDescent="0.25">
      <c r="A228" s="16" t="s">
        <v>32</v>
      </c>
      <c r="B228" s="17" t="s">
        <v>546</v>
      </c>
      <c r="C228" s="18">
        <f t="shared" si="11"/>
        <v>213</v>
      </c>
      <c r="D228" s="19" t="s">
        <v>548</v>
      </c>
    </row>
    <row r="229" spans="1:4" x14ac:dyDescent="0.25">
      <c r="A229" s="16" t="s">
        <v>32</v>
      </c>
      <c r="B229" s="17" t="s">
        <v>546</v>
      </c>
      <c r="C229" s="18">
        <f t="shared" si="11"/>
        <v>214</v>
      </c>
      <c r="D229" s="19" t="s">
        <v>547</v>
      </c>
    </row>
    <row r="230" spans="1:4" x14ac:dyDescent="0.25">
      <c r="A230" s="16" t="s">
        <v>32</v>
      </c>
      <c r="B230" s="17" t="s">
        <v>546</v>
      </c>
      <c r="C230" s="18">
        <f t="shared" si="11"/>
        <v>215</v>
      </c>
      <c r="D230" s="19" t="s">
        <v>54</v>
      </c>
    </row>
    <row r="231" spans="1:4" x14ac:dyDescent="0.25">
      <c r="A231" s="822" t="s">
        <v>545</v>
      </c>
      <c r="B231" s="828"/>
      <c r="C231" s="828"/>
      <c r="D231" s="824" t="s">
        <v>228</v>
      </c>
    </row>
    <row r="232" spans="1:4" x14ac:dyDescent="0.25">
      <c r="A232" s="16" t="s">
        <v>32</v>
      </c>
      <c r="B232" s="17" t="s">
        <v>531</v>
      </c>
      <c r="C232" s="18">
        <f t="shared" ref="C232:C245" si="12">IF(C231="",C230+1,C231+1)</f>
        <v>216</v>
      </c>
      <c r="D232" s="23" t="s">
        <v>544</v>
      </c>
    </row>
    <row r="233" spans="1:4" ht="30" x14ac:dyDescent="0.25">
      <c r="A233" s="16" t="s">
        <v>32</v>
      </c>
      <c r="B233" s="17" t="s">
        <v>531</v>
      </c>
      <c r="C233" s="18">
        <f t="shared" si="12"/>
        <v>217</v>
      </c>
      <c r="D233" s="19" t="s">
        <v>543</v>
      </c>
    </row>
    <row r="234" spans="1:4" x14ac:dyDescent="0.25">
      <c r="A234" s="16" t="s">
        <v>32</v>
      </c>
      <c r="B234" s="17" t="s">
        <v>531</v>
      </c>
      <c r="C234" s="18">
        <f t="shared" si="12"/>
        <v>218</v>
      </c>
      <c r="D234" s="19" t="s">
        <v>542</v>
      </c>
    </row>
    <row r="235" spans="1:4" ht="30" x14ac:dyDescent="0.25">
      <c r="A235" s="16" t="s">
        <v>32</v>
      </c>
      <c r="B235" s="17" t="s">
        <v>531</v>
      </c>
      <c r="C235" s="18">
        <f t="shared" si="12"/>
        <v>219</v>
      </c>
      <c r="D235" s="19" t="s">
        <v>541</v>
      </c>
    </row>
    <row r="236" spans="1:4" ht="30" x14ac:dyDescent="0.25">
      <c r="A236" s="16" t="s">
        <v>32</v>
      </c>
      <c r="B236" s="17" t="s">
        <v>531</v>
      </c>
      <c r="C236" s="18">
        <f t="shared" si="12"/>
        <v>220</v>
      </c>
      <c r="D236" s="19" t="s">
        <v>540</v>
      </c>
    </row>
    <row r="237" spans="1:4" x14ac:dyDescent="0.25">
      <c r="A237" s="16" t="s">
        <v>32</v>
      </c>
      <c r="B237" s="17" t="s">
        <v>531</v>
      </c>
      <c r="C237" s="18">
        <f t="shared" si="12"/>
        <v>221</v>
      </c>
      <c r="D237" s="19" t="s">
        <v>539</v>
      </c>
    </row>
    <row r="238" spans="1:4" x14ac:dyDescent="0.25">
      <c r="A238" s="16" t="s">
        <v>32</v>
      </c>
      <c r="B238" s="17" t="s">
        <v>531</v>
      </c>
      <c r="C238" s="18">
        <f t="shared" si="12"/>
        <v>222</v>
      </c>
      <c r="D238" s="19" t="s">
        <v>538</v>
      </c>
    </row>
    <row r="239" spans="1:4" x14ac:dyDescent="0.25">
      <c r="A239" s="16" t="s">
        <v>32</v>
      </c>
      <c r="B239" s="17" t="s">
        <v>531</v>
      </c>
      <c r="C239" s="18">
        <f t="shared" si="12"/>
        <v>223</v>
      </c>
      <c r="D239" s="19" t="s">
        <v>537</v>
      </c>
    </row>
    <row r="240" spans="1:4" ht="30" x14ac:dyDescent="0.25">
      <c r="A240" s="16" t="s">
        <v>32</v>
      </c>
      <c r="B240" s="17" t="s">
        <v>531</v>
      </c>
      <c r="C240" s="18">
        <f t="shared" si="12"/>
        <v>224</v>
      </c>
      <c r="D240" s="19" t="s">
        <v>536</v>
      </c>
    </row>
    <row r="241" spans="1:4" x14ac:dyDescent="0.25">
      <c r="A241" s="16" t="s">
        <v>32</v>
      </c>
      <c r="B241" s="17" t="s">
        <v>531</v>
      </c>
      <c r="C241" s="18">
        <f t="shared" si="12"/>
        <v>225</v>
      </c>
      <c r="D241" s="19" t="s">
        <v>535</v>
      </c>
    </row>
    <row r="242" spans="1:4" x14ac:dyDescent="0.25">
      <c r="A242" s="16" t="s">
        <v>32</v>
      </c>
      <c r="B242" s="17" t="s">
        <v>531</v>
      </c>
      <c r="C242" s="18">
        <f t="shared" si="12"/>
        <v>226</v>
      </c>
      <c r="D242" s="19" t="s">
        <v>534</v>
      </c>
    </row>
    <row r="243" spans="1:4" x14ac:dyDescent="0.25">
      <c r="A243" s="16" t="s">
        <v>32</v>
      </c>
      <c r="B243" s="17" t="s">
        <v>531</v>
      </c>
      <c r="C243" s="18">
        <f t="shared" si="12"/>
        <v>227</v>
      </c>
      <c r="D243" s="19" t="s">
        <v>533</v>
      </c>
    </row>
    <row r="244" spans="1:4" ht="30" x14ac:dyDescent="0.25">
      <c r="A244" s="16" t="s">
        <v>32</v>
      </c>
      <c r="B244" s="17" t="s">
        <v>531</v>
      </c>
      <c r="C244" s="18">
        <f t="shared" si="12"/>
        <v>228</v>
      </c>
      <c r="D244" s="19" t="s">
        <v>532</v>
      </c>
    </row>
    <row r="245" spans="1:4" x14ac:dyDescent="0.25">
      <c r="A245" s="16" t="s">
        <v>32</v>
      </c>
      <c r="B245" s="17" t="s">
        <v>531</v>
      </c>
      <c r="C245" s="18">
        <f t="shared" si="12"/>
        <v>229</v>
      </c>
      <c r="D245" s="19" t="s">
        <v>54</v>
      </c>
    </row>
    <row r="246" spans="1:4" x14ac:dyDescent="0.25">
      <c r="A246" s="822" t="s">
        <v>203</v>
      </c>
      <c r="B246" s="828"/>
      <c r="C246" s="828"/>
      <c r="D246" s="824"/>
    </row>
    <row r="247" spans="1:4" x14ac:dyDescent="0.25">
      <c r="A247" s="16" t="s">
        <v>32</v>
      </c>
      <c r="B247" s="17" t="s">
        <v>89</v>
      </c>
      <c r="C247" s="18">
        <f t="shared" ref="C247:C278" si="13">IF(C246="",C245+1,C246+1)</f>
        <v>230</v>
      </c>
      <c r="D247" s="19" t="s">
        <v>148</v>
      </c>
    </row>
    <row r="248" spans="1:4" x14ac:dyDescent="0.25">
      <c r="A248" s="16" t="s">
        <v>32</v>
      </c>
      <c r="B248" s="17" t="s">
        <v>89</v>
      </c>
      <c r="C248" s="18">
        <f t="shared" si="13"/>
        <v>231</v>
      </c>
      <c r="D248" s="19" t="s">
        <v>147</v>
      </c>
    </row>
    <row r="249" spans="1:4" x14ac:dyDescent="0.25">
      <c r="A249" s="16" t="s">
        <v>32</v>
      </c>
      <c r="B249" s="17" t="s">
        <v>89</v>
      </c>
      <c r="C249" s="18">
        <f t="shared" si="13"/>
        <v>232</v>
      </c>
      <c r="D249" s="19" t="s">
        <v>146</v>
      </c>
    </row>
    <row r="250" spans="1:4" x14ac:dyDescent="0.25">
      <c r="A250" s="16" t="s">
        <v>32</v>
      </c>
      <c r="B250" s="17" t="s">
        <v>89</v>
      </c>
      <c r="C250" s="18">
        <f t="shared" si="13"/>
        <v>233</v>
      </c>
      <c r="D250" s="19" t="s">
        <v>145</v>
      </c>
    </row>
    <row r="251" spans="1:4" x14ac:dyDescent="0.25">
      <c r="A251" s="16" t="s">
        <v>32</v>
      </c>
      <c r="B251" s="17" t="s">
        <v>89</v>
      </c>
      <c r="C251" s="18">
        <f t="shared" si="13"/>
        <v>234</v>
      </c>
      <c r="D251" s="19" t="s">
        <v>144</v>
      </c>
    </row>
    <row r="252" spans="1:4" x14ac:dyDescent="0.25">
      <c r="A252" s="16" t="s">
        <v>32</v>
      </c>
      <c r="B252" s="17" t="s">
        <v>89</v>
      </c>
      <c r="C252" s="18">
        <f t="shared" si="13"/>
        <v>235</v>
      </c>
      <c r="D252" s="19" t="s">
        <v>530</v>
      </c>
    </row>
    <row r="253" spans="1:4" x14ac:dyDescent="0.25">
      <c r="A253" s="16" t="s">
        <v>32</v>
      </c>
      <c r="B253" s="17" t="s">
        <v>196</v>
      </c>
      <c r="C253" s="18">
        <f t="shared" si="13"/>
        <v>236</v>
      </c>
      <c r="D253" s="19" t="s">
        <v>529</v>
      </c>
    </row>
    <row r="254" spans="1:4" x14ac:dyDescent="0.25">
      <c r="A254" s="16" t="s">
        <v>32</v>
      </c>
      <c r="B254" s="17" t="s">
        <v>89</v>
      </c>
      <c r="C254" s="18">
        <f t="shared" si="13"/>
        <v>237</v>
      </c>
      <c r="D254" s="19" t="s">
        <v>143</v>
      </c>
    </row>
    <row r="255" spans="1:4" x14ac:dyDescent="0.25">
      <c r="A255" s="16" t="s">
        <v>32</v>
      </c>
      <c r="B255" s="17" t="s">
        <v>89</v>
      </c>
      <c r="C255" s="18">
        <f t="shared" si="13"/>
        <v>238</v>
      </c>
      <c r="D255" s="19" t="s">
        <v>528</v>
      </c>
    </row>
    <row r="256" spans="1:4" x14ac:dyDescent="0.25">
      <c r="A256" s="16" t="s">
        <v>32</v>
      </c>
      <c r="B256" s="17" t="s">
        <v>89</v>
      </c>
      <c r="C256" s="18">
        <f t="shared" si="13"/>
        <v>239</v>
      </c>
      <c r="D256" s="19" t="s">
        <v>527</v>
      </c>
    </row>
    <row r="257" spans="1:4" x14ac:dyDescent="0.25">
      <c r="A257" s="16" t="s">
        <v>32</v>
      </c>
      <c r="B257" s="17" t="s">
        <v>89</v>
      </c>
      <c r="C257" s="18">
        <f t="shared" si="13"/>
        <v>240</v>
      </c>
      <c r="D257" s="19" t="s">
        <v>142</v>
      </c>
    </row>
    <row r="258" spans="1:4" ht="30" x14ac:dyDescent="0.25">
      <c r="A258" s="16" t="s">
        <v>32</v>
      </c>
      <c r="B258" s="17" t="s">
        <v>89</v>
      </c>
      <c r="C258" s="18">
        <f t="shared" si="13"/>
        <v>241</v>
      </c>
      <c r="D258" s="19" t="s">
        <v>141</v>
      </c>
    </row>
    <row r="259" spans="1:4" x14ac:dyDescent="0.25">
      <c r="A259" s="16" t="s">
        <v>32</v>
      </c>
      <c r="B259" s="17" t="s">
        <v>89</v>
      </c>
      <c r="C259" s="18">
        <f t="shared" si="13"/>
        <v>242</v>
      </c>
      <c r="D259" s="19" t="s">
        <v>140</v>
      </c>
    </row>
    <row r="260" spans="1:4" x14ac:dyDescent="0.25">
      <c r="A260" s="16" t="s">
        <v>32</v>
      </c>
      <c r="B260" s="17" t="s">
        <v>89</v>
      </c>
      <c r="C260" s="18">
        <f t="shared" si="13"/>
        <v>243</v>
      </c>
      <c r="D260" s="19" t="s">
        <v>139</v>
      </c>
    </row>
    <row r="261" spans="1:4" x14ac:dyDescent="0.25">
      <c r="A261" s="16" t="s">
        <v>32</v>
      </c>
      <c r="B261" s="17" t="s">
        <v>89</v>
      </c>
      <c r="C261" s="18">
        <f t="shared" si="13"/>
        <v>244</v>
      </c>
      <c r="D261" s="19" t="s">
        <v>138</v>
      </c>
    </row>
    <row r="262" spans="1:4" x14ac:dyDescent="0.25">
      <c r="A262" s="16" t="s">
        <v>32</v>
      </c>
      <c r="B262" s="17" t="s">
        <v>89</v>
      </c>
      <c r="C262" s="18">
        <f t="shared" si="13"/>
        <v>245</v>
      </c>
      <c r="D262" s="19" t="s">
        <v>137</v>
      </c>
    </row>
    <row r="263" spans="1:4" x14ac:dyDescent="0.25">
      <c r="A263" s="16" t="s">
        <v>32</v>
      </c>
      <c r="B263" s="17" t="s">
        <v>89</v>
      </c>
      <c r="C263" s="18">
        <f t="shared" si="13"/>
        <v>246</v>
      </c>
      <c r="D263" s="19" t="s">
        <v>136</v>
      </c>
    </row>
    <row r="264" spans="1:4" x14ac:dyDescent="0.25">
      <c r="A264" s="16" t="s">
        <v>32</v>
      </c>
      <c r="B264" s="17" t="s">
        <v>89</v>
      </c>
      <c r="C264" s="18">
        <f t="shared" si="13"/>
        <v>247</v>
      </c>
      <c r="D264" s="19" t="s">
        <v>526</v>
      </c>
    </row>
    <row r="265" spans="1:4" ht="30" x14ac:dyDescent="0.25">
      <c r="A265" s="16" t="s">
        <v>32</v>
      </c>
      <c r="B265" s="17" t="s">
        <v>89</v>
      </c>
      <c r="C265" s="18">
        <f t="shared" si="13"/>
        <v>248</v>
      </c>
      <c r="D265" s="19" t="s">
        <v>525</v>
      </c>
    </row>
    <row r="266" spans="1:4" x14ac:dyDescent="0.25">
      <c r="A266" s="16" t="s">
        <v>32</v>
      </c>
      <c r="B266" s="17" t="s">
        <v>89</v>
      </c>
      <c r="C266" s="18">
        <f t="shared" si="13"/>
        <v>249</v>
      </c>
      <c r="D266" s="19" t="s">
        <v>135</v>
      </c>
    </row>
    <row r="267" spans="1:4" x14ac:dyDescent="0.25">
      <c r="A267" s="16" t="s">
        <v>32</v>
      </c>
      <c r="B267" s="17" t="s">
        <v>89</v>
      </c>
      <c r="C267" s="18">
        <f t="shared" si="13"/>
        <v>250</v>
      </c>
      <c r="D267" s="19" t="s">
        <v>134</v>
      </c>
    </row>
    <row r="268" spans="1:4" x14ac:dyDescent="0.25">
      <c r="A268" s="16" t="s">
        <v>32</v>
      </c>
      <c r="B268" s="17" t="s">
        <v>89</v>
      </c>
      <c r="C268" s="18">
        <f t="shared" si="13"/>
        <v>251</v>
      </c>
      <c r="D268" s="19" t="s">
        <v>133</v>
      </c>
    </row>
    <row r="269" spans="1:4" x14ac:dyDescent="0.25">
      <c r="A269" s="16" t="s">
        <v>32</v>
      </c>
      <c r="B269" s="17" t="s">
        <v>89</v>
      </c>
      <c r="C269" s="18">
        <f t="shared" si="13"/>
        <v>252</v>
      </c>
      <c r="D269" s="19" t="s">
        <v>132</v>
      </c>
    </row>
    <row r="270" spans="1:4" x14ac:dyDescent="0.25">
      <c r="A270" s="16" t="s">
        <v>32</v>
      </c>
      <c r="B270" s="17" t="s">
        <v>89</v>
      </c>
      <c r="C270" s="18">
        <f t="shared" si="13"/>
        <v>253</v>
      </c>
      <c r="D270" s="19" t="s">
        <v>131</v>
      </c>
    </row>
    <row r="271" spans="1:4" ht="30" x14ac:dyDescent="0.25">
      <c r="A271" s="16" t="s">
        <v>32</v>
      </c>
      <c r="B271" s="17" t="s">
        <v>89</v>
      </c>
      <c r="C271" s="18">
        <f t="shared" si="13"/>
        <v>254</v>
      </c>
      <c r="D271" s="19" t="s">
        <v>130</v>
      </c>
    </row>
    <row r="272" spans="1:4" x14ac:dyDescent="0.25">
      <c r="A272" s="16" t="s">
        <v>32</v>
      </c>
      <c r="B272" s="17" t="s">
        <v>89</v>
      </c>
      <c r="C272" s="18">
        <f t="shared" si="13"/>
        <v>255</v>
      </c>
      <c r="D272" s="19" t="s">
        <v>129</v>
      </c>
    </row>
    <row r="273" spans="1:4" x14ac:dyDescent="0.25">
      <c r="A273" s="16" t="s">
        <v>32</v>
      </c>
      <c r="B273" s="17" t="s">
        <v>89</v>
      </c>
      <c r="C273" s="18">
        <f t="shared" si="13"/>
        <v>256</v>
      </c>
      <c r="D273" s="20" t="s">
        <v>524</v>
      </c>
    </row>
    <row r="274" spans="1:4" x14ac:dyDescent="0.25">
      <c r="A274" s="16" t="s">
        <v>32</v>
      </c>
      <c r="B274" s="17" t="s">
        <v>89</v>
      </c>
      <c r="C274" s="18">
        <f t="shared" si="13"/>
        <v>257</v>
      </c>
      <c r="D274" s="20" t="s">
        <v>523</v>
      </c>
    </row>
    <row r="275" spans="1:4" x14ac:dyDescent="0.25">
      <c r="A275" s="16" t="s">
        <v>32</v>
      </c>
      <c r="B275" s="17" t="s">
        <v>89</v>
      </c>
      <c r="C275" s="18">
        <f t="shared" si="13"/>
        <v>258</v>
      </c>
      <c r="D275" s="20" t="s">
        <v>522</v>
      </c>
    </row>
    <row r="276" spans="1:4" x14ac:dyDescent="0.25">
      <c r="A276" s="16" t="s">
        <v>32</v>
      </c>
      <c r="B276" s="17" t="s">
        <v>89</v>
      </c>
      <c r="C276" s="18">
        <f t="shared" si="13"/>
        <v>259</v>
      </c>
      <c r="D276" s="20" t="s">
        <v>521</v>
      </c>
    </row>
    <row r="277" spans="1:4" x14ac:dyDescent="0.25">
      <c r="A277" s="16" t="s">
        <v>32</v>
      </c>
      <c r="B277" s="17" t="s">
        <v>89</v>
      </c>
      <c r="C277" s="18">
        <f t="shared" si="13"/>
        <v>260</v>
      </c>
      <c r="D277" s="20" t="s">
        <v>520</v>
      </c>
    </row>
    <row r="278" spans="1:4" x14ac:dyDescent="0.25">
      <c r="A278" s="16" t="s">
        <v>32</v>
      </c>
      <c r="B278" s="17" t="s">
        <v>89</v>
      </c>
      <c r="C278" s="18">
        <f t="shared" si="13"/>
        <v>261</v>
      </c>
      <c r="D278" s="20" t="s">
        <v>519</v>
      </c>
    </row>
    <row r="279" spans="1:4" x14ac:dyDescent="0.25">
      <c r="A279" s="16" t="s">
        <v>32</v>
      </c>
      <c r="B279" s="17" t="s">
        <v>89</v>
      </c>
      <c r="C279" s="18">
        <f t="shared" ref="C279:C303" si="14">IF(C278="",C277+1,C278+1)</f>
        <v>262</v>
      </c>
      <c r="D279" s="20" t="s">
        <v>518</v>
      </c>
    </row>
    <row r="280" spans="1:4" x14ac:dyDescent="0.25">
      <c r="A280" s="16" t="s">
        <v>32</v>
      </c>
      <c r="B280" s="17" t="s">
        <v>89</v>
      </c>
      <c r="C280" s="18">
        <f t="shared" si="14"/>
        <v>263</v>
      </c>
      <c r="D280" s="20" t="s">
        <v>517</v>
      </c>
    </row>
    <row r="281" spans="1:4" x14ac:dyDescent="0.25">
      <c r="A281" s="16" t="s">
        <v>32</v>
      </c>
      <c r="B281" s="17" t="s">
        <v>89</v>
      </c>
      <c r="C281" s="18">
        <f t="shared" si="14"/>
        <v>264</v>
      </c>
      <c r="D281" s="20" t="s">
        <v>516</v>
      </c>
    </row>
    <row r="282" spans="1:4" x14ac:dyDescent="0.25">
      <c r="A282" s="16" t="s">
        <v>32</v>
      </c>
      <c r="B282" s="17" t="s">
        <v>89</v>
      </c>
      <c r="C282" s="18">
        <f t="shared" si="14"/>
        <v>265</v>
      </c>
      <c r="D282" s="19" t="s">
        <v>119</v>
      </c>
    </row>
    <row r="283" spans="1:4" x14ac:dyDescent="0.25">
      <c r="A283" s="16" t="s">
        <v>32</v>
      </c>
      <c r="B283" s="17" t="s">
        <v>89</v>
      </c>
      <c r="C283" s="18">
        <f t="shared" si="14"/>
        <v>266</v>
      </c>
      <c r="D283" s="19" t="s">
        <v>515</v>
      </c>
    </row>
    <row r="284" spans="1:4" x14ac:dyDescent="0.25">
      <c r="A284" s="16" t="s">
        <v>32</v>
      </c>
      <c r="B284" s="17" t="s">
        <v>89</v>
      </c>
      <c r="C284" s="18">
        <f t="shared" si="14"/>
        <v>267</v>
      </c>
      <c r="D284" s="19" t="s">
        <v>514</v>
      </c>
    </row>
    <row r="285" spans="1:4" x14ac:dyDescent="0.25">
      <c r="A285" s="16" t="s">
        <v>32</v>
      </c>
      <c r="B285" s="17" t="s">
        <v>89</v>
      </c>
      <c r="C285" s="18">
        <f t="shared" si="14"/>
        <v>268</v>
      </c>
      <c r="D285" s="19" t="s">
        <v>513</v>
      </c>
    </row>
    <row r="286" spans="1:4" x14ac:dyDescent="0.25">
      <c r="A286" s="16" t="s">
        <v>32</v>
      </c>
      <c r="B286" s="17" t="s">
        <v>89</v>
      </c>
      <c r="C286" s="18">
        <f t="shared" si="14"/>
        <v>269</v>
      </c>
      <c r="D286" s="19" t="s">
        <v>512</v>
      </c>
    </row>
    <row r="287" spans="1:4" ht="60" x14ac:dyDescent="0.25">
      <c r="A287" s="16" t="s">
        <v>32</v>
      </c>
      <c r="B287" s="17" t="s">
        <v>89</v>
      </c>
      <c r="C287" s="18">
        <f t="shared" si="14"/>
        <v>270</v>
      </c>
      <c r="D287" s="19" t="s">
        <v>511</v>
      </c>
    </row>
    <row r="288" spans="1:4" x14ac:dyDescent="0.25">
      <c r="A288" s="16" t="s">
        <v>32</v>
      </c>
      <c r="B288" s="17" t="s">
        <v>89</v>
      </c>
      <c r="C288" s="18">
        <f t="shared" si="14"/>
        <v>271</v>
      </c>
      <c r="D288" s="19" t="s">
        <v>510</v>
      </c>
    </row>
    <row r="289" spans="1:4" x14ac:dyDescent="0.25">
      <c r="A289" s="16" t="s">
        <v>32</v>
      </c>
      <c r="B289" s="17" t="s">
        <v>89</v>
      </c>
      <c r="C289" s="18">
        <f t="shared" si="14"/>
        <v>272</v>
      </c>
      <c r="D289" s="19" t="s">
        <v>509</v>
      </c>
    </row>
    <row r="290" spans="1:4" x14ac:dyDescent="0.25">
      <c r="A290" s="16" t="s">
        <v>32</v>
      </c>
      <c r="B290" s="17" t="s">
        <v>89</v>
      </c>
      <c r="C290" s="18">
        <f t="shared" si="14"/>
        <v>273</v>
      </c>
      <c r="D290" s="19" t="s">
        <v>508</v>
      </c>
    </row>
    <row r="291" spans="1:4" x14ac:dyDescent="0.25">
      <c r="A291" s="16" t="s">
        <v>32</v>
      </c>
      <c r="B291" s="17" t="s">
        <v>89</v>
      </c>
      <c r="C291" s="18">
        <f t="shared" si="14"/>
        <v>274</v>
      </c>
      <c r="D291" s="19" t="s">
        <v>507</v>
      </c>
    </row>
    <row r="292" spans="1:4" x14ac:dyDescent="0.25">
      <c r="A292" s="16" t="s">
        <v>32</v>
      </c>
      <c r="B292" s="17" t="s">
        <v>89</v>
      </c>
      <c r="C292" s="18">
        <f t="shared" si="14"/>
        <v>275</v>
      </c>
      <c r="D292" s="19" t="s">
        <v>506</v>
      </c>
    </row>
    <row r="293" spans="1:4" x14ac:dyDescent="0.25">
      <c r="A293" s="16" t="s">
        <v>32</v>
      </c>
      <c r="B293" s="17" t="s">
        <v>89</v>
      </c>
      <c r="C293" s="18">
        <f t="shared" si="14"/>
        <v>276</v>
      </c>
      <c r="D293" s="19" t="s">
        <v>118</v>
      </c>
    </row>
    <row r="294" spans="1:4" x14ac:dyDescent="0.25">
      <c r="A294" s="16" t="s">
        <v>32</v>
      </c>
      <c r="B294" s="17" t="s">
        <v>89</v>
      </c>
      <c r="C294" s="18">
        <f t="shared" si="14"/>
        <v>277</v>
      </c>
      <c r="D294" s="20" t="s">
        <v>237</v>
      </c>
    </row>
    <row r="295" spans="1:4" x14ac:dyDescent="0.25">
      <c r="A295" s="16" t="s">
        <v>32</v>
      </c>
      <c r="B295" s="17" t="s">
        <v>89</v>
      </c>
      <c r="C295" s="18">
        <f t="shared" si="14"/>
        <v>278</v>
      </c>
      <c r="D295" s="20" t="s">
        <v>236</v>
      </c>
    </row>
    <row r="296" spans="1:4" x14ac:dyDescent="0.25">
      <c r="A296" s="16" t="s">
        <v>32</v>
      </c>
      <c r="B296" s="17" t="s">
        <v>89</v>
      </c>
      <c r="C296" s="18">
        <f t="shared" si="14"/>
        <v>279</v>
      </c>
      <c r="D296" s="20" t="s">
        <v>235</v>
      </c>
    </row>
    <row r="297" spans="1:4" x14ac:dyDescent="0.25">
      <c r="A297" s="16" t="s">
        <v>32</v>
      </c>
      <c r="B297" s="17" t="s">
        <v>89</v>
      </c>
      <c r="C297" s="18">
        <f t="shared" si="14"/>
        <v>280</v>
      </c>
      <c r="D297" s="20" t="s">
        <v>234</v>
      </c>
    </row>
    <row r="298" spans="1:4" x14ac:dyDescent="0.25">
      <c r="A298" s="16" t="s">
        <v>32</v>
      </c>
      <c r="B298" s="17" t="s">
        <v>89</v>
      </c>
      <c r="C298" s="18">
        <f t="shared" si="14"/>
        <v>281</v>
      </c>
      <c r="D298" s="20" t="s">
        <v>233</v>
      </c>
    </row>
    <row r="299" spans="1:4" x14ac:dyDescent="0.25">
      <c r="A299" s="16" t="s">
        <v>32</v>
      </c>
      <c r="B299" s="17" t="s">
        <v>89</v>
      </c>
      <c r="C299" s="18">
        <f t="shared" si="14"/>
        <v>282</v>
      </c>
      <c r="D299" s="19" t="s">
        <v>112</v>
      </c>
    </row>
    <row r="300" spans="1:4" x14ac:dyDescent="0.25">
      <c r="A300" s="16" t="s">
        <v>32</v>
      </c>
      <c r="B300" s="17" t="s">
        <v>89</v>
      </c>
      <c r="C300" s="18">
        <f t="shared" si="14"/>
        <v>283</v>
      </c>
      <c r="D300" s="19" t="s">
        <v>111</v>
      </c>
    </row>
    <row r="301" spans="1:4" x14ac:dyDescent="0.25">
      <c r="A301" s="16" t="s">
        <v>32</v>
      </c>
      <c r="B301" s="17" t="s">
        <v>89</v>
      </c>
      <c r="C301" s="18">
        <f t="shared" si="14"/>
        <v>284</v>
      </c>
      <c r="D301" s="19" t="s">
        <v>110</v>
      </c>
    </row>
    <row r="302" spans="1:4" x14ac:dyDescent="0.25">
      <c r="A302" s="16" t="s">
        <v>32</v>
      </c>
      <c r="B302" s="17" t="s">
        <v>89</v>
      </c>
      <c r="C302" s="18">
        <f t="shared" si="14"/>
        <v>285</v>
      </c>
      <c r="D302" s="19" t="s">
        <v>109</v>
      </c>
    </row>
    <row r="303" spans="1:4" x14ac:dyDescent="0.25">
      <c r="A303" s="16" t="s">
        <v>32</v>
      </c>
      <c r="B303" s="17" t="s">
        <v>89</v>
      </c>
      <c r="C303" s="18">
        <f t="shared" si="14"/>
        <v>286</v>
      </c>
      <c r="D303" s="19" t="s">
        <v>54</v>
      </c>
    </row>
    <row r="304" spans="1:4" x14ac:dyDescent="0.25">
      <c r="A304" s="822" t="s">
        <v>261</v>
      </c>
      <c r="B304" s="828" t="s">
        <v>214</v>
      </c>
      <c r="C304" s="828"/>
      <c r="D304" s="824"/>
    </row>
    <row r="305" spans="1:4" ht="30" x14ac:dyDescent="0.25">
      <c r="A305" s="16" t="s">
        <v>32</v>
      </c>
      <c r="B305" s="17" t="s">
        <v>214</v>
      </c>
      <c r="C305" s="18">
        <f t="shared" ref="C305:C346" si="15">IF(C304="",C303+1,C304+1)</f>
        <v>287</v>
      </c>
      <c r="D305" s="19" t="s">
        <v>505</v>
      </c>
    </row>
    <row r="306" spans="1:4" x14ac:dyDescent="0.25">
      <c r="A306" s="16" t="s">
        <v>32</v>
      </c>
      <c r="B306" s="17" t="s">
        <v>214</v>
      </c>
      <c r="C306" s="18">
        <f t="shared" si="15"/>
        <v>288</v>
      </c>
      <c r="D306" s="19" t="s">
        <v>504</v>
      </c>
    </row>
    <row r="307" spans="1:4" x14ac:dyDescent="0.25">
      <c r="A307" s="16" t="s">
        <v>32</v>
      </c>
      <c r="B307" s="17" t="s">
        <v>214</v>
      </c>
      <c r="C307" s="18">
        <f t="shared" si="15"/>
        <v>289</v>
      </c>
      <c r="D307" s="19" t="s">
        <v>503</v>
      </c>
    </row>
    <row r="308" spans="1:4" x14ac:dyDescent="0.25">
      <c r="A308" s="16" t="s">
        <v>32</v>
      </c>
      <c r="B308" s="17" t="s">
        <v>214</v>
      </c>
      <c r="C308" s="18">
        <f t="shared" si="15"/>
        <v>290</v>
      </c>
      <c r="D308" s="19" t="s">
        <v>260</v>
      </c>
    </row>
    <row r="309" spans="1:4" x14ac:dyDescent="0.25">
      <c r="A309" s="16" t="s">
        <v>32</v>
      </c>
      <c r="B309" s="17" t="s">
        <v>214</v>
      </c>
      <c r="C309" s="18">
        <f t="shared" si="15"/>
        <v>291</v>
      </c>
      <c r="D309" s="19" t="s">
        <v>502</v>
      </c>
    </row>
    <row r="310" spans="1:4" x14ac:dyDescent="0.25">
      <c r="A310" s="16" t="s">
        <v>32</v>
      </c>
      <c r="B310" s="17" t="s">
        <v>214</v>
      </c>
      <c r="C310" s="18">
        <f t="shared" si="15"/>
        <v>292</v>
      </c>
      <c r="D310" s="19" t="s">
        <v>501</v>
      </c>
    </row>
    <row r="311" spans="1:4" x14ac:dyDescent="0.25">
      <c r="A311" s="16" t="s">
        <v>32</v>
      </c>
      <c r="B311" s="17" t="s">
        <v>214</v>
      </c>
      <c r="C311" s="18">
        <f t="shared" si="15"/>
        <v>293</v>
      </c>
      <c r="D311" s="19" t="s">
        <v>259</v>
      </c>
    </row>
    <row r="312" spans="1:4" x14ac:dyDescent="0.25">
      <c r="A312" s="16" t="s">
        <v>32</v>
      </c>
      <c r="B312" s="17" t="s">
        <v>214</v>
      </c>
      <c r="C312" s="18">
        <f t="shared" si="15"/>
        <v>294</v>
      </c>
      <c r="D312" s="19" t="s">
        <v>258</v>
      </c>
    </row>
    <row r="313" spans="1:4" x14ac:dyDescent="0.25">
      <c r="A313" s="16" t="s">
        <v>32</v>
      </c>
      <c r="B313" s="17" t="s">
        <v>214</v>
      </c>
      <c r="C313" s="18">
        <f t="shared" si="15"/>
        <v>295</v>
      </c>
      <c r="D313" s="19" t="s">
        <v>257</v>
      </c>
    </row>
    <row r="314" spans="1:4" x14ac:dyDescent="0.25">
      <c r="A314" s="16" t="s">
        <v>32</v>
      </c>
      <c r="B314" s="17" t="s">
        <v>214</v>
      </c>
      <c r="C314" s="18">
        <f t="shared" si="15"/>
        <v>296</v>
      </c>
      <c r="D314" s="19" t="s">
        <v>256</v>
      </c>
    </row>
    <row r="315" spans="1:4" x14ac:dyDescent="0.25">
      <c r="A315" s="16" t="s">
        <v>32</v>
      </c>
      <c r="B315" s="17" t="s">
        <v>214</v>
      </c>
      <c r="C315" s="18">
        <f t="shared" si="15"/>
        <v>297</v>
      </c>
      <c r="D315" s="19" t="s">
        <v>255</v>
      </c>
    </row>
    <row r="316" spans="1:4" x14ac:dyDescent="0.25">
      <c r="A316" s="16" t="s">
        <v>32</v>
      </c>
      <c r="B316" s="17" t="s">
        <v>214</v>
      </c>
      <c r="C316" s="18">
        <f t="shared" si="15"/>
        <v>298</v>
      </c>
      <c r="D316" s="19" t="s">
        <v>254</v>
      </c>
    </row>
    <row r="317" spans="1:4" x14ac:dyDescent="0.25">
      <c r="A317" s="16" t="s">
        <v>32</v>
      </c>
      <c r="B317" s="17" t="s">
        <v>214</v>
      </c>
      <c r="C317" s="18">
        <f t="shared" si="15"/>
        <v>299</v>
      </c>
      <c r="D317" s="19" t="s">
        <v>253</v>
      </c>
    </row>
    <row r="318" spans="1:4" x14ac:dyDescent="0.25">
      <c r="A318" s="16" t="s">
        <v>32</v>
      </c>
      <c r="B318" s="17" t="s">
        <v>214</v>
      </c>
      <c r="C318" s="18">
        <f t="shared" si="15"/>
        <v>300</v>
      </c>
      <c r="D318" s="19" t="s">
        <v>500</v>
      </c>
    </row>
    <row r="319" spans="1:4" x14ac:dyDescent="0.25">
      <c r="A319" s="16" t="s">
        <v>32</v>
      </c>
      <c r="B319" s="17" t="s">
        <v>214</v>
      </c>
      <c r="C319" s="18">
        <f t="shared" si="15"/>
        <v>301</v>
      </c>
      <c r="D319" s="19" t="s">
        <v>252</v>
      </c>
    </row>
    <row r="320" spans="1:4" x14ac:dyDescent="0.25">
      <c r="A320" s="16" t="s">
        <v>32</v>
      </c>
      <c r="B320" s="17" t="s">
        <v>214</v>
      </c>
      <c r="C320" s="18">
        <f t="shared" si="15"/>
        <v>302</v>
      </c>
      <c r="D320" s="19" t="s">
        <v>251</v>
      </c>
    </row>
    <row r="321" spans="1:4" x14ac:dyDescent="0.25">
      <c r="A321" s="16" t="s">
        <v>32</v>
      </c>
      <c r="B321" s="17" t="s">
        <v>214</v>
      </c>
      <c r="C321" s="18">
        <f t="shared" si="15"/>
        <v>303</v>
      </c>
      <c r="D321" s="19" t="s">
        <v>250</v>
      </c>
    </row>
    <row r="322" spans="1:4" x14ac:dyDescent="0.25">
      <c r="A322" s="16" t="s">
        <v>32</v>
      </c>
      <c r="B322" s="17" t="s">
        <v>214</v>
      </c>
      <c r="C322" s="18">
        <f t="shared" si="15"/>
        <v>304</v>
      </c>
      <c r="D322" s="19" t="s">
        <v>249</v>
      </c>
    </row>
    <row r="323" spans="1:4" x14ac:dyDescent="0.25">
      <c r="A323" s="16" t="s">
        <v>32</v>
      </c>
      <c r="B323" s="17" t="s">
        <v>214</v>
      </c>
      <c r="C323" s="18">
        <f t="shared" si="15"/>
        <v>305</v>
      </c>
      <c r="D323" s="19" t="s">
        <v>248</v>
      </c>
    </row>
    <row r="324" spans="1:4" x14ac:dyDescent="0.25">
      <c r="A324" s="16" t="s">
        <v>32</v>
      </c>
      <c r="B324" s="17" t="s">
        <v>214</v>
      </c>
      <c r="C324" s="18">
        <f t="shared" si="15"/>
        <v>306</v>
      </c>
      <c r="D324" s="19" t="s">
        <v>247</v>
      </c>
    </row>
    <row r="325" spans="1:4" x14ac:dyDescent="0.25">
      <c r="A325" s="16" t="s">
        <v>32</v>
      </c>
      <c r="B325" s="17" t="s">
        <v>214</v>
      </c>
      <c r="C325" s="18">
        <f t="shared" si="15"/>
        <v>307</v>
      </c>
      <c r="D325" s="19" t="s">
        <v>246</v>
      </c>
    </row>
    <row r="326" spans="1:4" x14ac:dyDescent="0.25">
      <c r="A326" s="16" t="s">
        <v>32</v>
      </c>
      <c r="B326" s="17" t="s">
        <v>214</v>
      </c>
      <c r="C326" s="18">
        <f t="shared" si="15"/>
        <v>308</v>
      </c>
      <c r="D326" s="19" t="s">
        <v>245</v>
      </c>
    </row>
    <row r="327" spans="1:4" x14ac:dyDescent="0.25">
      <c r="A327" s="16" t="s">
        <v>32</v>
      </c>
      <c r="B327" s="17" t="s">
        <v>214</v>
      </c>
      <c r="C327" s="18">
        <f t="shared" si="15"/>
        <v>309</v>
      </c>
      <c r="D327" s="19" t="s">
        <v>244</v>
      </c>
    </row>
    <row r="328" spans="1:4" x14ac:dyDescent="0.25">
      <c r="A328" s="16" t="s">
        <v>32</v>
      </c>
      <c r="B328" s="17" t="s">
        <v>214</v>
      </c>
      <c r="C328" s="18">
        <f t="shared" si="15"/>
        <v>310</v>
      </c>
      <c r="D328" s="19" t="s">
        <v>243</v>
      </c>
    </row>
    <row r="329" spans="1:4" x14ac:dyDescent="0.25">
      <c r="A329" s="16" t="s">
        <v>32</v>
      </c>
      <c r="B329" s="17" t="s">
        <v>214</v>
      </c>
      <c r="C329" s="18">
        <f t="shared" si="15"/>
        <v>311</v>
      </c>
      <c r="D329" s="19" t="s">
        <v>499</v>
      </c>
    </row>
    <row r="330" spans="1:4" x14ac:dyDescent="0.25">
      <c r="A330" s="16" t="s">
        <v>32</v>
      </c>
      <c r="B330" s="17" t="s">
        <v>214</v>
      </c>
      <c r="C330" s="18">
        <f t="shared" si="15"/>
        <v>312</v>
      </c>
      <c r="D330" s="19" t="s">
        <v>242</v>
      </c>
    </row>
    <row r="331" spans="1:4" x14ac:dyDescent="0.25">
      <c r="A331" s="16" t="s">
        <v>32</v>
      </c>
      <c r="B331" s="17" t="s">
        <v>214</v>
      </c>
      <c r="C331" s="18">
        <f t="shared" si="15"/>
        <v>313</v>
      </c>
      <c r="D331" s="19" t="s">
        <v>498</v>
      </c>
    </row>
    <row r="332" spans="1:4" x14ac:dyDescent="0.25">
      <c r="A332" s="16" t="s">
        <v>32</v>
      </c>
      <c r="B332" s="17" t="s">
        <v>214</v>
      </c>
      <c r="C332" s="18">
        <f t="shared" si="15"/>
        <v>314</v>
      </c>
      <c r="D332" s="19" t="s">
        <v>241</v>
      </c>
    </row>
    <row r="333" spans="1:4" x14ac:dyDescent="0.25">
      <c r="A333" s="16" t="s">
        <v>32</v>
      </c>
      <c r="B333" s="17" t="s">
        <v>214</v>
      </c>
      <c r="C333" s="18">
        <f t="shared" si="15"/>
        <v>315</v>
      </c>
      <c r="D333" s="19" t="s">
        <v>240</v>
      </c>
    </row>
    <row r="334" spans="1:4" x14ac:dyDescent="0.25">
      <c r="A334" s="16" t="s">
        <v>32</v>
      </c>
      <c r="B334" s="17" t="s">
        <v>214</v>
      </c>
      <c r="C334" s="18">
        <f t="shared" si="15"/>
        <v>316</v>
      </c>
      <c r="D334" s="19" t="s">
        <v>239</v>
      </c>
    </row>
    <row r="335" spans="1:4" x14ac:dyDescent="0.25">
      <c r="A335" s="16" t="s">
        <v>32</v>
      </c>
      <c r="B335" s="17" t="s">
        <v>214</v>
      </c>
      <c r="C335" s="18">
        <f t="shared" si="15"/>
        <v>317</v>
      </c>
      <c r="D335" s="19" t="s">
        <v>497</v>
      </c>
    </row>
    <row r="336" spans="1:4" x14ac:dyDescent="0.25">
      <c r="A336" s="16" t="s">
        <v>32</v>
      </c>
      <c r="B336" s="17" t="s">
        <v>214</v>
      </c>
      <c r="C336" s="18">
        <f t="shared" si="15"/>
        <v>318</v>
      </c>
      <c r="D336" s="19" t="s">
        <v>496</v>
      </c>
    </row>
    <row r="337" spans="1:4" x14ac:dyDescent="0.25">
      <c r="A337" s="16" t="s">
        <v>32</v>
      </c>
      <c r="B337" s="17" t="s">
        <v>214</v>
      </c>
      <c r="C337" s="18">
        <f t="shared" si="15"/>
        <v>319</v>
      </c>
      <c r="D337" s="19" t="s">
        <v>238</v>
      </c>
    </row>
    <row r="338" spans="1:4" x14ac:dyDescent="0.25">
      <c r="A338" s="16" t="s">
        <v>32</v>
      </c>
      <c r="B338" s="17" t="s">
        <v>214</v>
      </c>
      <c r="C338" s="18">
        <f t="shared" si="15"/>
        <v>320</v>
      </c>
      <c r="D338" s="19" t="s">
        <v>495</v>
      </c>
    </row>
    <row r="339" spans="1:4" x14ac:dyDescent="0.25">
      <c r="A339" s="16" t="s">
        <v>32</v>
      </c>
      <c r="B339" s="17" t="s">
        <v>214</v>
      </c>
      <c r="C339" s="18">
        <f t="shared" si="15"/>
        <v>321</v>
      </c>
      <c r="D339" s="19" t="s">
        <v>118</v>
      </c>
    </row>
    <row r="340" spans="1:4" x14ac:dyDescent="0.25">
      <c r="A340" s="16" t="s">
        <v>32</v>
      </c>
      <c r="B340" s="17" t="s">
        <v>214</v>
      </c>
      <c r="C340" s="18">
        <f t="shared" si="15"/>
        <v>322</v>
      </c>
      <c r="D340" s="20" t="s">
        <v>237</v>
      </c>
    </row>
    <row r="341" spans="1:4" x14ac:dyDescent="0.25">
      <c r="A341" s="16" t="s">
        <v>32</v>
      </c>
      <c r="B341" s="17" t="s">
        <v>214</v>
      </c>
      <c r="C341" s="18">
        <f t="shared" si="15"/>
        <v>323</v>
      </c>
      <c r="D341" s="20" t="s">
        <v>236</v>
      </c>
    </row>
    <row r="342" spans="1:4" x14ac:dyDescent="0.25">
      <c r="A342" s="16" t="s">
        <v>32</v>
      </c>
      <c r="B342" s="17" t="s">
        <v>214</v>
      </c>
      <c r="C342" s="18">
        <f t="shared" si="15"/>
        <v>324</v>
      </c>
      <c r="D342" s="20" t="s">
        <v>235</v>
      </c>
    </row>
    <row r="343" spans="1:4" x14ac:dyDescent="0.25">
      <c r="A343" s="16" t="s">
        <v>32</v>
      </c>
      <c r="B343" s="17" t="s">
        <v>214</v>
      </c>
      <c r="C343" s="18">
        <f t="shared" si="15"/>
        <v>325</v>
      </c>
      <c r="D343" s="20" t="s">
        <v>234</v>
      </c>
    </row>
    <row r="344" spans="1:4" x14ac:dyDescent="0.25">
      <c r="A344" s="16" t="s">
        <v>32</v>
      </c>
      <c r="B344" s="17" t="s">
        <v>214</v>
      </c>
      <c r="C344" s="18">
        <f t="shared" si="15"/>
        <v>326</v>
      </c>
      <c r="D344" s="20" t="s">
        <v>233</v>
      </c>
    </row>
    <row r="345" spans="1:4" x14ac:dyDescent="0.25">
      <c r="A345" s="16" t="s">
        <v>32</v>
      </c>
      <c r="B345" s="17" t="s">
        <v>214</v>
      </c>
      <c r="C345" s="18">
        <f t="shared" si="15"/>
        <v>327</v>
      </c>
      <c r="D345" s="20" t="s">
        <v>232</v>
      </c>
    </row>
    <row r="346" spans="1:4" x14ac:dyDescent="0.25">
      <c r="A346" s="16" t="s">
        <v>32</v>
      </c>
      <c r="B346" s="17" t="s">
        <v>214</v>
      </c>
      <c r="C346" s="18">
        <f t="shared" si="15"/>
        <v>328</v>
      </c>
      <c r="D346" s="19" t="s">
        <v>494</v>
      </c>
    </row>
    <row r="347" spans="1:4" x14ac:dyDescent="0.25">
      <c r="A347" s="822" t="s">
        <v>461</v>
      </c>
      <c r="B347" s="828"/>
      <c r="C347" s="828"/>
      <c r="D347" s="824" t="s">
        <v>228</v>
      </c>
    </row>
    <row r="348" spans="1:4" x14ac:dyDescent="0.25">
      <c r="A348" s="16" t="s">
        <v>32</v>
      </c>
      <c r="B348" s="17" t="s">
        <v>448</v>
      </c>
      <c r="C348" s="18">
        <f t="shared" ref="C348:C367" si="16">IF(C347="",C346+1,C347+1)</f>
        <v>329</v>
      </c>
      <c r="D348" s="23" t="s">
        <v>493</v>
      </c>
    </row>
    <row r="349" spans="1:4" x14ac:dyDescent="0.25">
      <c r="A349" s="16" t="s">
        <v>32</v>
      </c>
      <c r="B349" s="17" t="s">
        <v>448</v>
      </c>
      <c r="C349" s="18">
        <f t="shared" si="16"/>
        <v>330</v>
      </c>
      <c r="D349" s="19" t="s">
        <v>458</v>
      </c>
    </row>
    <row r="350" spans="1:4" x14ac:dyDescent="0.25">
      <c r="A350" s="16" t="s">
        <v>32</v>
      </c>
      <c r="B350" s="17" t="s">
        <v>448</v>
      </c>
      <c r="C350" s="18">
        <f t="shared" si="16"/>
        <v>331</v>
      </c>
      <c r="D350" s="19" t="s">
        <v>492</v>
      </c>
    </row>
    <row r="351" spans="1:4" x14ac:dyDescent="0.25">
      <c r="A351" s="16" t="s">
        <v>32</v>
      </c>
      <c r="B351" s="17" t="s">
        <v>448</v>
      </c>
      <c r="C351" s="18">
        <f t="shared" si="16"/>
        <v>332</v>
      </c>
      <c r="D351" s="19" t="s">
        <v>457</v>
      </c>
    </row>
    <row r="352" spans="1:4" x14ac:dyDescent="0.25">
      <c r="A352" s="16" t="s">
        <v>32</v>
      </c>
      <c r="B352" s="17" t="s">
        <v>448</v>
      </c>
      <c r="C352" s="18">
        <f t="shared" si="16"/>
        <v>333</v>
      </c>
      <c r="D352" s="20" t="s">
        <v>491</v>
      </c>
    </row>
    <row r="353" spans="1:4" x14ac:dyDescent="0.25">
      <c r="A353" s="16" t="s">
        <v>32</v>
      </c>
      <c r="B353" s="17" t="s">
        <v>448</v>
      </c>
      <c r="C353" s="18">
        <f t="shared" si="16"/>
        <v>334</v>
      </c>
      <c r="D353" s="20" t="s">
        <v>490</v>
      </c>
    </row>
    <row r="354" spans="1:4" x14ac:dyDescent="0.25">
      <c r="A354" s="16" t="s">
        <v>32</v>
      </c>
      <c r="B354" s="17" t="s">
        <v>448</v>
      </c>
      <c r="C354" s="18">
        <f t="shared" si="16"/>
        <v>335</v>
      </c>
      <c r="D354" s="20" t="s">
        <v>489</v>
      </c>
    </row>
    <row r="355" spans="1:4" x14ac:dyDescent="0.25">
      <c r="A355" s="16" t="s">
        <v>32</v>
      </c>
      <c r="B355" s="17" t="s">
        <v>448</v>
      </c>
      <c r="C355" s="18">
        <f t="shared" si="16"/>
        <v>336</v>
      </c>
      <c r="D355" s="19" t="s">
        <v>453</v>
      </c>
    </row>
    <row r="356" spans="1:4" x14ac:dyDescent="0.25">
      <c r="A356" s="16" t="s">
        <v>32</v>
      </c>
      <c r="B356" s="17" t="s">
        <v>448</v>
      </c>
      <c r="C356" s="18">
        <f t="shared" si="16"/>
        <v>337</v>
      </c>
      <c r="D356" s="19" t="s">
        <v>488</v>
      </c>
    </row>
    <row r="357" spans="1:4" x14ac:dyDescent="0.25">
      <c r="A357" s="16" t="s">
        <v>32</v>
      </c>
      <c r="B357" s="17" t="s">
        <v>448</v>
      </c>
      <c r="C357" s="18">
        <f t="shared" si="16"/>
        <v>338</v>
      </c>
      <c r="D357" s="19" t="s">
        <v>487</v>
      </c>
    </row>
    <row r="358" spans="1:4" x14ac:dyDescent="0.25">
      <c r="A358" s="16" t="s">
        <v>32</v>
      </c>
      <c r="B358" s="17" t="s">
        <v>448</v>
      </c>
      <c r="C358" s="18">
        <f t="shared" si="16"/>
        <v>339</v>
      </c>
      <c r="D358" s="19" t="s">
        <v>486</v>
      </c>
    </row>
    <row r="359" spans="1:4" x14ac:dyDescent="0.25">
      <c r="A359" s="16" t="s">
        <v>32</v>
      </c>
      <c r="B359" s="17" t="s">
        <v>448</v>
      </c>
      <c r="C359" s="18">
        <f t="shared" si="16"/>
        <v>340</v>
      </c>
      <c r="D359" s="19" t="s">
        <v>485</v>
      </c>
    </row>
    <row r="360" spans="1:4" x14ac:dyDescent="0.25">
      <c r="A360" s="16" t="s">
        <v>32</v>
      </c>
      <c r="B360" s="17" t="s">
        <v>448</v>
      </c>
      <c r="C360" s="18">
        <f t="shared" si="16"/>
        <v>341</v>
      </c>
      <c r="D360" s="19" t="s">
        <v>484</v>
      </c>
    </row>
    <row r="361" spans="1:4" x14ac:dyDescent="0.25">
      <c r="A361" s="16" t="s">
        <v>32</v>
      </c>
      <c r="B361" s="17" t="s">
        <v>448</v>
      </c>
      <c r="C361" s="18">
        <f t="shared" si="16"/>
        <v>342</v>
      </c>
      <c r="D361" s="19" t="s">
        <v>452</v>
      </c>
    </row>
    <row r="362" spans="1:4" x14ac:dyDescent="0.25">
      <c r="A362" s="16" t="s">
        <v>32</v>
      </c>
      <c r="B362" s="17" t="s">
        <v>448</v>
      </c>
      <c r="C362" s="18">
        <f t="shared" si="16"/>
        <v>343</v>
      </c>
      <c r="D362" s="19" t="s">
        <v>230</v>
      </c>
    </row>
    <row r="363" spans="1:4" x14ac:dyDescent="0.25">
      <c r="A363" s="16" t="s">
        <v>32</v>
      </c>
      <c r="B363" s="17" t="s">
        <v>448</v>
      </c>
      <c r="C363" s="18">
        <f t="shared" si="16"/>
        <v>344</v>
      </c>
      <c r="D363" s="19" t="s">
        <v>483</v>
      </c>
    </row>
    <row r="364" spans="1:4" x14ac:dyDescent="0.25">
      <c r="A364" s="16" t="s">
        <v>32</v>
      </c>
      <c r="B364" s="17" t="s">
        <v>448</v>
      </c>
      <c r="C364" s="18">
        <f t="shared" si="16"/>
        <v>345</v>
      </c>
      <c r="D364" s="19" t="s">
        <v>482</v>
      </c>
    </row>
    <row r="365" spans="1:4" x14ac:dyDescent="0.25">
      <c r="A365" s="16" t="s">
        <v>32</v>
      </c>
      <c r="B365" s="17" t="s">
        <v>448</v>
      </c>
      <c r="C365" s="18">
        <f t="shared" si="16"/>
        <v>346</v>
      </c>
      <c r="D365" s="19" t="s">
        <v>451</v>
      </c>
    </row>
    <row r="366" spans="1:4" x14ac:dyDescent="0.25">
      <c r="A366" s="16" t="s">
        <v>32</v>
      </c>
      <c r="B366" s="17" t="s">
        <v>448</v>
      </c>
      <c r="C366" s="18">
        <f t="shared" si="16"/>
        <v>347</v>
      </c>
      <c r="D366" s="19" t="s">
        <v>450</v>
      </c>
    </row>
    <row r="367" spans="1:4" x14ac:dyDescent="0.25">
      <c r="A367" s="16" t="s">
        <v>32</v>
      </c>
      <c r="B367" s="17" t="s">
        <v>448</v>
      </c>
      <c r="C367" s="18">
        <f t="shared" si="16"/>
        <v>348</v>
      </c>
      <c r="D367" s="19" t="s">
        <v>54</v>
      </c>
    </row>
  </sheetData>
  <autoFilter ref="A3:D367" xr:uid="{00000000-0009-0000-0000-000007000000}"/>
  <mergeCells count="17">
    <mergeCell ref="A347:D347"/>
    <mergeCell ref="A246:D246"/>
    <mergeCell ref="A190:D190"/>
    <mergeCell ref="A111:D111"/>
    <mergeCell ref="A126:D126"/>
    <mergeCell ref="A136:D136"/>
    <mergeCell ref="A157:D157"/>
    <mergeCell ref="A181:D181"/>
    <mergeCell ref="A304:D304"/>
    <mergeCell ref="B1:D1"/>
    <mergeCell ref="A56:D56"/>
    <mergeCell ref="A37:D37"/>
    <mergeCell ref="A231:D231"/>
    <mergeCell ref="A221:D221"/>
    <mergeCell ref="A210:D210"/>
    <mergeCell ref="A86:D86"/>
    <mergeCell ref="A4:D4"/>
  </mergeCells>
  <dataValidations disablePrompts="1" count="3">
    <dataValidation type="list" allowBlank="1" showInputMessage="1" showErrorMessage="1" prompt="Include Risk Event for evaluation?" sqref="A5:A36 A127:A135 A137:A156 A158:A180 A112:A125 A87:A110 A57:A85 A38:A55 A305:A346 A232:A303 A182:A209 A211:A220 A222:A230 A348:A367" xr:uid="{00000000-0002-0000-0700-000000000000}">
      <formula1>Include</formula1>
    </dataValidation>
    <dataValidation type="list" allowBlank="1" showInputMessage="1" showErrorMessage="1" sqref="B112:B125 B5:B36 B305:B346 B57:B85 B137:B156 B158:B180 B87:B110 B127:B135 B38:B55 B232:B303 B182:B209 B222:B230 B211:B220 B348:B367" xr:uid="{00000000-0002-0000-0700-000001000000}">
      <formula1>RTA</formula1>
    </dataValidation>
    <dataValidation type="list" allowBlank="1" showInputMessage="1" showErrorMessage="1" sqref="C246 C56" xr:uid="{00000000-0002-0000-0700-000002000000}">
      <formula1>RT</formula1>
    </dataValidation>
  </dataValidations>
  <pageMargins left="0.25" right="0.25" top="0.25" bottom="0.5" header="0.25" footer="0.25"/>
  <pageSetup scale="84" fitToHeight="0" orientation="portrait" horizontalDpi="1200" verticalDpi="1200" r:id="rId1"/>
  <headerFooter>
    <oddFooter>&amp;CPage &amp;P of &amp;N</oddFooter>
  </headerFooter>
  <rowBreaks count="2" manualBreakCount="2">
    <brk id="55" min="1" max="3" man="1"/>
    <brk id="156"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D20"/>
  <sheetViews>
    <sheetView showGridLines="0" zoomScaleNormal="100" workbookViewId="0">
      <pane ySplit="3" topLeftCell="A4" activePane="bottomLeft" state="frozen"/>
      <selection pane="bottomLeft" activeCell="M19" sqref="M19"/>
    </sheetView>
  </sheetViews>
  <sheetFormatPr defaultRowHeight="15" x14ac:dyDescent="0.25"/>
  <cols>
    <col min="1" max="1" width="1.5703125" style="8" customWidth="1"/>
    <col min="2" max="2" width="24.140625" style="8" bestFit="1" customWidth="1"/>
    <col min="3" max="3" width="80.7109375" style="8" customWidth="1"/>
    <col min="4" max="4" width="8.85546875" style="8"/>
  </cols>
  <sheetData>
    <row r="1" spans="1:4" x14ac:dyDescent="0.25">
      <c r="A1" s="28"/>
      <c r="B1" s="28"/>
      <c r="C1" s="28"/>
      <c r="D1" s="28"/>
    </row>
    <row r="2" spans="1:4" s="35" customFormat="1" ht="21.75" thickBot="1" x14ac:dyDescent="0.4">
      <c r="A2" s="32"/>
      <c r="B2" s="33" t="s">
        <v>641</v>
      </c>
      <c r="C2" s="34"/>
      <c r="D2" s="34"/>
    </row>
    <row r="3" spans="1:4" ht="15.75" thickTop="1" x14ac:dyDescent="0.25">
      <c r="A3" s="28"/>
      <c r="B3" s="28"/>
      <c r="C3" s="28"/>
      <c r="D3" s="28"/>
    </row>
    <row r="4" spans="1:4" x14ac:dyDescent="0.25">
      <c r="A4" s="28"/>
      <c r="B4" s="29" t="s">
        <v>642</v>
      </c>
      <c r="C4" s="660" t="s">
        <v>1062</v>
      </c>
      <c r="D4" s="28"/>
    </row>
    <row r="5" spans="1:4" x14ac:dyDescent="0.25">
      <c r="A5" s="28"/>
      <c r="B5" s="30" t="s">
        <v>1194</v>
      </c>
      <c r="C5" s="661" t="s">
        <v>907</v>
      </c>
      <c r="D5" s="28"/>
    </row>
    <row r="6" spans="1:4" x14ac:dyDescent="0.25">
      <c r="A6" s="28"/>
      <c r="B6" s="29" t="s">
        <v>998</v>
      </c>
      <c r="C6" s="592">
        <v>0.85</v>
      </c>
      <c r="D6" s="28"/>
    </row>
    <row r="7" spans="1:4" ht="5.0999999999999996" customHeight="1" x14ac:dyDescent="0.25">
      <c r="A7" s="28"/>
      <c r="B7" s="28"/>
      <c r="C7" s="28"/>
      <c r="D7" s="28"/>
    </row>
    <row r="8" spans="1:4" x14ac:dyDescent="0.25">
      <c r="A8" s="28"/>
      <c r="B8" s="28"/>
      <c r="C8" s="814" t="str">
        <f ca="1">CONCATENATE(" - Cost risk ranges are rounded to the nearest ",TEXT('H-Risk Register-Model'!B6,"$#,##0"),".  See worksheet '",'A-Quick Instructions'!L9,",' cell ",'A-Quick Instructions'!H6,".")</f>
        <v xml:space="preserve"> - Cost risk ranges are rounded to the nearest $100,000.  See worksheet 'H-Risk Register-Model,' cell B6.</v>
      </c>
      <c r="D8" s="28"/>
    </row>
    <row r="9" spans="1:4" x14ac:dyDescent="0.25">
      <c r="A9" s="28"/>
      <c r="B9" s="28"/>
      <c r="C9" s="814" t="str">
        <f ca="1">CONCATENATE("- Schedule risk ranges are rounded to the nearest ",TEXT('H-Risk Register-Model'!C6,"0.00")," MO.  See worksheet '",'A-Quick Instructions'!L9,"', cell ",'A-Quick Instructions'!H7,".")</f>
        <v>- Schedule risk ranges are rounded to the nearest 0.25 MO.  See worksheet 'H-Risk Register-Model', cell C6.</v>
      </c>
      <c r="D9" s="28"/>
    </row>
    <row r="10" spans="1:4" ht="36" x14ac:dyDescent="0.25">
      <c r="A10" s="28"/>
      <c r="B10" s="28"/>
      <c r="C10" s="814" t="str">
        <f ca="1">CONCATENATE("- The ",TEXT(C6,"0%")," confidence level (defined in cell ",'A-Quick Instructions'!H10," on this sheet) as well as the ",TEXT('J-Sensitivity Charts'!R8,"0%")," and ",TEXT('J-Sensitivity Charts'!R9,"0%")," confidence levels are displayed on the 'Top Risk Drivers by Confidence Levels' charts on worksheet '",'A-Quick Instructions'!G27,"'.  To change the other confidence levels graphed, see worksheet '",'A-Quick Instructions'!G27,"', cells ",'A-Quick Instructions'!H27," and ",'A-Quick Instructions'!H28,".")</f>
        <v>- The 85% confidence level (defined in cell C6 on this sheet) as well as the 50% and 90% confidence levels are displayed on the 'Top Risk Drivers by Confidence Levels' charts on worksheet 'J-Sensitivity Charts'.  To change the other confidence levels graphed, see worksheet 'J-Sensitivity Charts', cells R8 and R9.</v>
      </c>
      <c r="D10" s="28"/>
    </row>
    <row r="11" spans="1:4" ht="5.0999999999999996" customHeight="1" x14ac:dyDescent="0.25">
      <c r="A11" s="28"/>
      <c r="B11" s="28"/>
      <c r="C11" s="28"/>
      <c r="D11" s="28"/>
    </row>
    <row r="12" spans="1:4" x14ac:dyDescent="0.25">
      <c r="A12" s="28"/>
      <c r="B12" s="30" t="s">
        <v>640</v>
      </c>
      <c r="C12" s="662" t="s">
        <v>1142</v>
      </c>
      <c r="D12" s="28"/>
    </row>
    <row r="13" spans="1:4" x14ac:dyDescent="0.25">
      <c r="A13" s="28"/>
      <c r="B13" s="30" t="s">
        <v>638</v>
      </c>
      <c r="C13" s="662" t="s">
        <v>1147</v>
      </c>
      <c r="D13" s="28"/>
    </row>
    <row r="14" spans="1:4" x14ac:dyDescent="0.25">
      <c r="A14" s="28"/>
      <c r="B14" s="30" t="s">
        <v>637</v>
      </c>
      <c r="C14" s="662" t="s">
        <v>1148</v>
      </c>
      <c r="D14" s="28"/>
    </row>
    <row r="15" spans="1:4" x14ac:dyDescent="0.25">
      <c r="A15" s="28"/>
      <c r="B15" s="30" t="s">
        <v>1029</v>
      </c>
      <c r="C15" s="662" t="s">
        <v>728</v>
      </c>
      <c r="D15" s="28"/>
    </row>
    <row r="16" spans="1:4" x14ac:dyDescent="0.25">
      <c r="A16" s="28"/>
      <c r="B16" s="30" t="s">
        <v>635</v>
      </c>
      <c r="C16" s="662" t="s">
        <v>1218</v>
      </c>
      <c r="D16" s="28"/>
    </row>
    <row r="17" spans="1:4" x14ac:dyDescent="0.25">
      <c r="A17" s="28"/>
      <c r="B17" s="30" t="s">
        <v>634</v>
      </c>
      <c r="C17" s="663">
        <v>45505</v>
      </c>
      <c r="D17" s="28"/>
    </row>
    <row r="18" spans="1:4" x14ac:dyDescent="0.25">
      <c r="A18" s="28"/>
      <c r="B18" s="28"/>
      <c r="C18" s="28"/>
      <c r="D18" s="28"/>
    </row>
    <row r="19" spans="1:4" ht="399.95" customHeight="1" x14ac:dyDescent="0.25">
      <c r="A19" s="28"/>
      <c r="B19" s="366" t="s">
        <v>633</v>
      </c>
      <c r="C19" s="664" t="s">
        <v>1149</v>
      </c>
      <c r="D19" s="28"/>
    </row>
    <row r="20" spans="1:4" x14ac:dyDescent="0.25">
      <c r="A20" s="28"/>
      <c r="B20" s="28"/>
      <c r="C20" s="28"/>
      <c r="D20" s="28"/>
    </row>
  </sheetData>
  <dataValidations count="2">
    <dataValidation type="list" allowBlank="1" showInputMessage="1" showErrorMessage="1" sqref="C15" xr:uid="{00000000-0002-0000-0800-000000000000}">
      <formula1>PD</formula1>
    </dataValidation>
    <dataValidation type="list" allowBlank="1" showInputMessage="1" showErrorMessage="1" sqref="C5" xr:uid="{00000000-0002-0000-0800-000001000000}">
      <formula1>PROGRAM</formula1>
    </dataValidation>
  </dataValidations>
  <pageMargins left="0.25" right="0.25" top="0.25" bottom="0.5" header="0.25" footer="0.25"/>
  <pageSetup scale="92" fitToHeight="0"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2000000}">
          <x14:formula1>
            <xm:f>'I-Project Contingency'!$C$61:$C$81</xm:f>
          </x14:formula1>
          <xm:sqref>C6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E74FF56111874F8528354EA601358C" ma:contentTypeVersion="15" ma:contentTypeDescription="Create a new document." ma:contentTypeScope="" ma:versionID="bc365eb8a216edf35691829a2a213399">
  <xsd:schema xmlns:xsd="http://www.w3.org/2001/XMLSchema" xmlns:xs="http://www.w3.org/2001/XMLSchema" xmlns:p="http://schemas.microsoft.com/office/2006/metadata/properties" xmlns:ns3="f29e537e-536d-4c3d-a73c-f40e94626c0e" xmlns:ns4="30e15a99-2787-4658-9a49-e1375a37af84" targetNamespace="http://schemas.microsoft.com/office/2006/metadata/properties" ma:root="true" ma:fieldsID="932667d4a0a74da61c23c1c052925811" ns3:_="" ns4:_="">
    <xsd:import namespace="f29e537e-536d-4c3d-a73c-f40e94626c0e"/>
    <xsd:import namespace="30e15a99-2787-4658-9a49-e1375a37af84"/>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ServiceDateTaken" minOccurs="0"/>
                <xsd:element ref="ns4:MediaServiceObjectDetectorVersions" minOccurs="0"/>
                <xsd:element ref="ns4:MediaServiceSearchProperties" minOccurs="0"/>
                <xsd:element ref="ns4:MediaServiceSystemTags"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9e537e-536d-4c3d-a73c-f40e94626c0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e15a99-2787-4658-9a49-e1375a37af8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30e15a99-2787-4658-9a49-e1375a37af84" xsi:nil="true"/>
  </documentManagement>
</p:properties>
</file>

<file path=customXml/itemProps1.xml><?xml version="1.0" encoding="utf-8"?>
<ds:datastoreItem xmlns:ds="http://schemas.openxmlformats.org/officeDocument/2006/customXml" ds:itemID="{DAA3C273-2E1C-4994-9A25-5BD7C622C0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9e537e-536d-4c3d-a73c-f40e94626c0e"/>
    <ds:schemaRef ds:uri="30e15a99-2787-4658-9a49-e1375a37af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59BD1B-2BBB-4222-8BC2-88C3B098B1BB}">
  <ds:schemaRefs>
    <ds:schemaRef ds:uri="http://schemas.microsoft.com/sharepoint/v3/contenttype/forms"/>
  </ds:schemaRefs>
</ds:datastoreItem>
</file>

<file path=customXml/itemProps3.xml><?xml version="1.0" encoding="utf-8"?>
<ds:datastoreItem xmlns:ds="http://schemas.openxmlformats.org/officeDocument/2006/customXml" ds:itemID="{D9F7ED2E-0E70-4219-B7B1-9B81A4B5B6A8}">
  <ds:schemaRefs>
    <ds:schemaRef ds:uri="http://purl.org/dc/terms/"/>
    <ds:schemaRef ds:uri="http://schemas.openxmlformats.org/package/2006/metadata/core-properties"/>
    <ds:schemaRef ds:uri="http://schemas.microsoft.com/office/2006/documentManagement/types"/>
    <ds:schemaRef ds:uri="f29e537e-536d-4c3d-a73c-f40e94626c0e"/>
    <ds:schemaRef ds:uri="http://purl.org/dc/elements/1.1/"/>
    <ds:schemaRef ds:uri="http://schemas.microsoft.com/office/2006/metadata/properties"/>
    <ds:schemaRef ds:uri="http://schemas.microsoft.com/office/infopath/2007/PartnerControls"/>
    <ds:schemaRef ds:uri="30e15a99-2787-4658-9a49-e1375a37af8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43</vt:i4>
      </vt:variant>
    </vt:vector>
  </HeadingPairs>
  <TitlesOfParts>
    <vt:vector size="65" baseType="lpstr">
      <vt:lpstr>0-Change Control Log</vt:lpstr>
      <vt:lpstr>1-Drop Down List</vt:lpstr>
      <vt:lpstr>2-Risk Register Legend</vt:lpstr>
      <vt:lpstr>&lt;---Reference Info</vt:lpstr>
      <vt:lpstr>A-Quick Instructions</vt:lpstr>
      <vt:lpstr>B-Meeting Agenda</vt:lpstr>
      <vt:lpstr>C1-Risk Checklist (MILCON)</vt:lpstr>
      <vt:lpstr>C2-Risk Checklist (Civil Works)</vt:lpstr>
      <vt:lpstr>D-Project Data</vt:lpstr>
      <vt:lpstr>E-Cost &amp; Schedule Summary</vt:lpstr>
      <vt:lpstr>E-Cost &amp; Sched Summary (v2)</vt:lpstr>
      <vt:lpstr>F-Meeting Attendance</vt:lpstr>
      <vt:lpstr>G-Assumptions</vt:lpstr>
      <vt:lpstr>H-Risk Register-Model</vt:lpstr>
      <vt:lpstr>I-Project Contingency</vt:lpstr>
      <vt:lpstr>J-Sensitivity Charts</vt:lpstr>
      <vt:lpstr>K1-Risk Dashboard (Cost)</vt:lpstr>
      <vt:lpstr>K2-Risk Dashboard (Schedule)</vt:lpstr>
      <vt:lpstr>Optional Sheets--&gt;</vt:lpstr>
      <vt:lpstr>L-CHARTS FOR REPORT</vt:lpstr>
      <vt:lpstr>E1-Estimate Summary</vt:lpstr>
      <vt:lpstr>REF Risk Detail Template</vt:lpstr>
      <vt:lpstr>APC</vt:lpstr>
      <vt:lpstr>CW_WBS</vt:lpstr>
      <vt:lpstr>Distri</vt:lpstr>
      <vt:lpstr>Impact</vt:lpstr>
      <vt:lpstr>Include</vt:lpstr>
      <vt:lpstr>LikeH</vt:lpstr>
      <vt:lpstr>MILCON_WBS</vt:lpstr>
      <vt:lpstr>PD</vt:lpstr>
      <vt:lpstr>POC</vt:lpstr>
      <vt:lpstr>'0-Change Control Log'!Print_Area</vt:lpstr>
      <vt:lpstr>'1-Drop Down List'!Print_Area</vt:lpstr>
      <vt:lpstr>'2-Risk Register Legend'!Print_Area</vt:lpstr>
      <vt:lpstr>'A-Quick Instructions'!Print_Area</vt:lpstr>
      <vt:lpstr>'C1-Risk Checklist (MILCON)'!Print_Area</vt:lpstr>
      <vt:lpstr>'C2-Risk Checklist (Civil Works)'!Print_Area</vt:lpstr>
      <vt:lpstr>'E1-Estimate Summary'!Print_Area</vt:lpstr>
      <vt:lpstr>'E-Cost &amp; Schedule Summary'!Print_Area</vt:lpstr>
      <vt:lpstr>'G-Assumptions'!Print_Area</vt:lpstr>
      <vt:lpstr>'H-Risk Register-Model'!Print_Area</vt:lpstr>
      <vt:lpstr>'I-Project Contingency'!Print_Area</vt:lpstr>
      <vt:lpstr>'J-Sensitivity Charts'!Print_Area</vt:lpstr>
      <vt:lpstr>'K1-Risk Dashboard (Cost)'!Print_Area</vt:lpstr>
      <vt:lpstr>'K2-Risk Dashboard (Schedule)'!Print_Area</vt:lpstr>
      <vt:lpstr>'0-Change Control Log'!Print_Titles</vt:lpstr>
      <vt:lpstr>'1-Drop Down List'!Print_Titles</vt:lpstr>
      <vt:lpstr>'2-Risk Register Legend'!Print_Titles</vt:lpstr>
      <vt:lpstr>'A-Quick Instructions'!Print_Titles</vt:lpstr>
      <vt:lpstr>'B-Meeting Agenda'!Print_Titles</vt:lpstr>
      <vt:lpstr>'C1-Risk Checklist (MILCON)'!Print_Titles</vt:lpstr>
      <vt:lpstr>'C2-Risk Checklist (Civil Works)'!Print_Titles</vt:lpstr>
      <vt:lpstr>'E1-Estimate Summary'!Print_Titles</vt:lpstr>
      <vt:lpstr>'E-Cost &amp; Sched Summary (v2)'!Print_Titles</vt:lpstr>
      <vt:lpstr>'E-Cost &amp; Schedule Summary'!Print_Titles</vt:lpstr>
      <vt:lpstr>'F-Meeting Attendance'!Print_Titles</vt:lpstr>
      <vt:lpstr>'H-Risk Register-Model'!Print_Titles</vt:lpstr>
      <vt:lpstr>'I-Project Contingency'!Print_Titles</vt:lpstr>
      <vt:lpstr>'J-Sensitivity Charts'!Print_Titles</vt:lpstr>
      <vt:lpstr>'K1-Risk Dashboard (Cost)'!Print_Titles</vt:lpstr>
      <vt:lpstr>'K2-Risk Dashboard (Schedule)'!Print_Titles</vt:lpstr>
      <vt:lpstr>'L-CHARTS FOR REPORT'!Print_Titles</vt:lpstr>
      <vt:lpstr>'REF Risk Detail Template'!Print_Titles</vt:lpstr>
      <vt:lpstr>PROGRAM</vt:lpstr>
      <vt:lpstr>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Dustin Sawyers</dc:creator>
  <cp:lastModifiedBy>Bowers, Derek A CIV USN NAVFAC LANT NOR VA (USA)</cp:lastModifiedBy>
  <cp:lastPrinted>2024-01-22T16:42:15Z</cp:lastPrinted>
  <dcterms:created xsi:type="dcterms:W3CDTF">2022-03-30T12:48:30Z</dcterms:created>
  <dcterms:modified xsi:type="dcterms:W3CDTF">2024-08-19T18:22:40Z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0x0101002CE74FF56111874F8528354EA601358C</vt:lpwstr>
  </property>
</Properties>
</file>