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Override PartName="/xl/drawings/drawing8.xml" ContentType="application/vnd.openxmlformats-officedocument.drawingml.chartshapes+xml"/>
  <Override PartName="/xl/drawings/drawing9.xml" ContentType="application/vnd.openxmlformats-officedocument.drawing+xml"/>
  <Override PartName="/xl/charts/chart4.xml" ContentType="application/vnd.openxmlformats-officedocument.drawingml.chart+xml"/>
  <Override PartName="/xl/charts/style1.xml" ContentType="application/vnd.ms-office.chartstyle+xml"/>
  <Override PartName="/xl/charts/colors1.xml" ContentType="application/vnd.ms-office.chartcolorstyle+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charts/chart7.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0.xml" ContentType="application/vnd.openxmlformats-officedocument.drawing+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1.xml" ContentType="application/vnd.openxmlformats-officedocument.drawingml.chartshapes+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2.xml" ContentType="application/vnd.openxmlformats-officedocument.drawing+xml"/>
  <Override PartName="/xl/charts/chart10.xml" ContentType="application/vnd.openxmlformats-officedocument.drawingml.chart+xml"/>
  <Override PartName="/xl/charts/style7.xml" ContentType="application/vnd.ms-office.chartstyle+xml"/>
  <Override PartName="/xl/charts/colors7.xml" ContentType="application/vnd.ms-office.chartcolorstyle+xml"/>
  <Override PartName="/xl/charts/chart11.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ashley.kennedy\Desktop\"/>
    </mc:Choice>
  </mc:AlternateContent>
  <bookViews>
    <workbookView xWindow="-120" yWindow="50" windowWidth="24240" windowHeight="13110" tabRatio="901" firstSheet="5" activeTab="5"/>
  </bookViews>
  <sheets>
    <sheet name="0-Change Control Log" sheetId="1" r:id="rId1"/>
    <sheet name="1-Drop Down List" sheetId="19" r:id="rId2"/>
    <sheet name="DLS Notes on Changes" sheetId="52" r:id="rId3"/>
    <sheet name="2-Risk Register Legend" sheetId="13" r:id="rId4"/>
    <sheet name="&lt;---Reference Info" sheetId="48" r:id="rId5"/>
    <sheet name="A-Quick Instructions" sheetId="2" r:id="rId6"/>
    <sheet name="B-Meeting Agenda" sheetId="3" r:id="rId7"/>
    <sheet name="C1-Risk Checklist (MILCON)" sheetId="4" r:id="rId8"/>
    <sheet name="C2-Risk Checklist (Civil Works)" sheetId="5" r:id="rId9"/>
    <sheet name="D-Project Data" sheetId="6" r:id="rId10"/>
    <sheet name="E-Cost &amp; Schedule Summary" sheetId="7" r:id="rId11"/>
    <sheet name="E-Cost &amp; Sched Summary (v2)" sheetId="20" state="hidden" r:id="rId12"/>
    <sheet name="F-Meeting Attendance" sheetId="10" r:id="rId13"/>
    <sheet name="G-Assumptions" sheetId="11" r:id="rId14"/>
    <sheet name="H-Risk Register-Model" sheetId="12" r:id="rId15"/>
    <sheet name="I-Project Contingency" sheetId="14" r:id="rId16"/>
    <sheet name="J-Sensitivity Charts" sheetId="15" r:id="rId17"/>
    <sheet name="K1-Risk Dashboard (Cost)" sheetId="17" r:id="rId18"/>
    <sheet name="K2-Risk Dashboard (Schedule)" sheetId="51" r:id="rId19"/>
    <sheet name="Optional Sheets--&gt;" sheetId="46" r:id="rId20"/>
    <sheet name="L-CHARTS FOR REPORT" sheetId="18" r:id="rId21"/>
    <sheet name="E1-Estimate Summary" sheetId="8" r:id="rId22"/>
    <sheet name="CB_DATA_" sheetId="44" state="veryHidden" r:id="rId23"/>
    <sheet name="REF Risk Detail Template" sheetId="22" r:id="rId24"/>
  </sheets>
  <definedNames>
    <definedName name="_xlnm._FilterDatabase" localSheetId="7" hidden="1">'C1-Risk Checklist (MILCON)'!$A$3:$D$452</definedName>
    <definedName name="_xlnm._FilterDatabase" localSheetId="8" hidden="1">'C2-Risk Checklist (Civil Works)'!$A$3:$D$367</definedName>
    <definedName name="_xlnm._FilterDatabase" localSheetId="14" hidden="1">'H-Risk Register-Model'!$A$17:$BX$116</definedName>
    <definedName name="APC">'1-Drop Down List'!$H$5:$H$13</definedName>
    <definedName name="CB_02ef8329c6b2400c97e65f7585015668" localSheetId="14" hidden="1">'H-Risk Register-Model'!$AU$95</definedName>
    <definedName name="CB_082fc5f7836b43d9a795fdbab0bda105" localSheetId="14" hidden="1">'H-Risk Register-Model'!$BB$102</definedName>
    <definedName name="CB_0a2bdcbdc5444d68abf848ea17d5fdf2" localSheetId="14" hidden="1">'H-Risk Register-Model'!$AU$32</definedName>
    <definedName name="CB_0ad26421d6c345a0814fe8bc3f461f88" localSheetId="14" hidden="1">'H-Risk Register-Model'!$AU$67</definedName>
    <definedName name="CB_0b22eedf01ab4975aac40c47b35daed0" localSheetId="14" hidden="1">'H-Risk Register-Model'!$AU$113</definedName>
    <definedName name="CB_0b29f18adbe94145a6ea676ba4adc855" localSheetId="14" hidden="1">'H-Risk Register-Model'!$BB$73</definedName>
    <definedName name="CB_0b63673162514f418a0d4e29b0d04b24" localSheetId="14" hidden="1">'H-Risk Register-Model'!$AU$116</definedName>
    <definedName name="CB_0cb728e4551f4566ab0c3ae772c6c779" localSheetId="14" hidden="1">'H-Risk Register-Model'!$BB$76</definedName>
    <definedName name="CB_0d020751689246f5a0c872cef9aeb53e" localSheetId="14" hidden="1">'H-Risk Register-Model'!$BB$38</definedName>
    <definedName name="CB_1425155a07c44d61a51b5dd1aaff9f65" localSheetId="14" hidden="1">'H-Risk Register-Model'!$BB$25</definedName>
    <definedName name="CB_1451df2108b64a13a38dbe4b65c549db" localSheetId="14" hidden="1">'H-Risk Register-Model'!$BB$71</definedName>
    <definedName name="CB_18326adf61d74500acbc83f540e854c5" localSheetId="14" hidden="1">'H-Risk Register-Model'!$BB$30</definedName>
    <definedName name="CB_18378e5536604ec5b1da19fda1fb1428" localSheetId="14" hidden="1">'H-Risk Register-Model'!$AU$112</definedName>
    <definedName name="CB_18eb6a56d3374d29a61d525a726a3d41" localSheetId="14" hidden="1">'H-Risk Register-Model'!$AU$115</definedName>
    <definedName name="CB_19cfc46ff20342fcb08b336e6dfe9f66" localSheetId="14" hidden="1">'H-Risk Register-Model'!$BB$81</definedName>
    <definedName name="CB_1e6877bdfda24bb2b26ff09ed0d9d456" localSheetId="14" hidden="1">'H-Risk Register-Model'!$AD$18</definedName>
    <definedName name="CB_1f758b8ba5ae4f2ba8b700a09795ff36" localSheetId="14" hidden="1">'H-Risk Register-Model'!$AU$30</definedName>
    <definedName name="CB_1f8a480aca9b45a888b307c8a9b60ae6" localSheetId="14" hidden="1">'H-Risk Register-Model'!$AU$109</definedName>
    <definedName name="CB_20d67c73a0724b0582fdf5f836547b72" localSheetId="14" hidden="1">'H-Risk Register-Model'!$AU$23</definedName>
    <definedName name="CB_21190b01f8b947c69c1383e3cb037386" localSheetId="14" hidden="1">'H-Risk Register-Model'!$AU$68</definedName>
    <definedName name="CB_231dade23bd14b3799dc7ea9022c178a" localSheetId="14" hidden="1">'H-Risk Register-Model'!$AU$98</definedName>
    <definedName name="CB_2321e37632bc401ba3981640995684f1" localSheetId="14" hidden="1">'H-Risk Register-Model'!$AU$24</definedName>
    <definedName name="CB_236cc3e9f9d94c40904dd6ad28b941c1" localSheetId="14" hidden="1">'H-Risk Register-Model'!$AU$93</definedName>
    <definedName name="CB_2373c96ee34e42e69e2e9b1234075950" localSheetId="14" hidden="1">'H-Risk Register-Model'!$AU$74</definedName>
    <definedName name="CB_23cb324691be481bb3ed9d8f353dcabf" localSheetId="14" hidden="1">'H-Risk Register-Model'!$AU$44</definedName>
    <definedName name="CB_28091587daba4169a2722a09a20ef06b" localSheetId="14" hidden="1">'H-Risk Register-Model'!$BB$79</definedName>
    <definedName name="CB_280a2a29f75545cabbb9f53f6927afac" localSheetId="14" hidden="1">'H-Risk Register-Model'!$BB$116</definedName>
    <definedName name="CB_28af2022ce7f491e9b5235811ea2dcdd" localSheetId="14" hidden="1">'H-Risk Register-Model'!$AU$92</definedName>
    <definedName name="CB_2a5eb744e41f45afa98573caadead222" localSheetId="14" hidden="1">'H-Risk Register-Model'!$AU$36</definedName>
    <definedName name="CB_2a829e0c557b4b4793725b34c0c313e1" localSheetId="14" hidden="1">'H-Risk Register-Model'!$BB$100</definedName>
    <definedName name="CB_2bbc5bdac0bf483abf763287214b5dbc" localSheetId="14" hidden="1">'H-Risk Register-Model'!$BB$77</definedName>
    <definedName name="CB_2c53c2a1d92941c8ae28a547b6ef240b" localSheetId="14" hidden="1">'H-Risk Register-Model'!$AU$26</definedName>
    <definedName name="CB_2d7eabad2a374a6bb1a4171f4f85241c" localSheetId="14" hidden="1">'H-Risk Register-Model'!$AU$94</definedName>
    <definedName name="CB_319593a0b9424bd2b575205dbd8b5307" localSheetId="14" hidden="1">'H-Risk Register-Model'!$BB$59</definedName>
    <definedName name="CB_33038e3fa3a649c4bf4b789801cf7eaf" localSheetId="14" hidden="1">'H-Risk Register-Model'!$AU$21</definedName>
    <definedName name="CB_336b6b76a1f044a7b9db95d551c8e502" localSheetId="14" hidden="1">'H-Risk Register-Model'!$AU$111</definedName>
    <definedName name="CB_33e5fc4b8ef64b93958d9cd1b630e9ef" localSheetId="14" hidden="1">'H-Risk Register-Model'!$BB$103</definedName>
    <definedName name="CB_35d999903b594a108111b717bf80b90c" localSheetId="14" hidden="1">'H-Risk Register-Model'!$BB$48</definedName>
    <definedName name="CB_3624061b5bfb44d1bf1a64d1802b34c9" localSheetId="14" hidden="1">'H-Risk Register-Model'!$BB$57</definedName>
    <definedName name="CB_37030dad72c74ea185ece25755c64c36" localSheetId="14" hidden="1">'H-Risk Register-Model'!$BB$20</definedName>
    <definedName name="CB_37773a1fb1674737a5d659143163b5ee" localSheetId="14" hidden="1">'H-Risk Register-Model'!$BB$34</definedName>
    <definedName name="CB_37c0cc9b1fa645fcb4a4795907e28f28" localSheetId="14" hidden="1">'H-Risk Register-Model'!$BB$37</definedName>
    <definedName name="CB_38c2cd1a7fe94c52a9737fbe0fba22bb" localSheetId="14" hidden="1">'H-Risk Register-Model'!$BB$18</definedName>
    <definedName name="CB_3d13e55ccd03451b96460086a8da3c25" localSheetId="14" hidden="1">'H-Risk Register-Model'!$BB$43</definedName>
    <definedName name="CB_3ee71b0f019341cd89433e7a05f83092" localSheetId="14" hidden="1">'H-Risk Register-Model'!$AU$40</definedName>
    <definedName name="CB_402f9c630ed74216814145f673138760" localSheetId="14" hidden="1">'H-Risk Register-Model'!$BB$95</definedName>
    <definedName name="CB_43a6e6ca33a1403195980e53c2a2dc71" localSheetId="14" hidden="1">'H-Risk Register-Model'!$AU$58</definedName>
    <definedName name="CB_44a2238b3dd440e7917ea54fb7b750d3" localSheetId="14" hidden="1">'H-Risk Register-Model'!$BB$42</definedName>
    <definedName name="CB_4518740f63c44494a5381c73a275519b" localSheetId="14" hidden="1">'H-Risk Register-Model'!$BB$85</definedName>
    <definedName name="CB_45665a4a517e48b28fcbc5569f5c150c" localSheetId="14" hidden="1">'H-Risk Register-Model'!$AU$49</definedName>
    <definedName name="CB_464778c04c014e0e8ba0633249fc96e9" localSheetId="14" hidden="1">'H-Risk Register-Model'!$BB$89</definedName>
    <definedName name="CB_47f24336b1f94187acd288c5c67b3a87" localSheetId="14" hidden="1">'H-Risk Register-Model'!$BB$39</definedName>
    <definedName name="CB_48b8fbff40934ec9927afc76f223e142" localSheetId="14" hidden="1">'H-Risk Register-Model'!$AU$97</definedName>
    <definedName name="CB_491afa9add49493db472ceff299ecc0d" localSheetId="14" hidden="1">'H-Risk Register-Model'!$BB$104</definedName>
    <definedName name="CB_4ade34796b0443cf86879ec31a105884" localSheetId="14" hidden="1">'H-Risk Register-Model'!$AU$87</definedName>
    <definedName name="CB_4e480e90da734876ab2140f1b7709776" localSheetId="14" hidden="1">'H-Risk Register-Model'!$BB$69</definedName>
    <definedName name="CB_4f9dd67c27714ff0adefe36b1d21931d" localSheetId="14" hidden="1">'H-Risk Register-Model'!$AU$100</definedName>
    <definedName name="CB_502c78231c3a4159a44065edb70a15b8" localSheetId="14" hidden="1">'H-Risk Register-Model'!$AU$71</definedName>
    <definedName name="CB_50bc2992d0334559aaa9d456913431da" localSheetId="14" hidden="1">'H-Risk Register-Model'!$AU$65</definedName>
    <definedName name="CB_5116b193386e4795b131332d68919527" localSheetId="14" hidden="1">'H-Risk Register-Model'!$AU$89</definedName>
    <definedName name="CB_519884090f62489788badc578eb9b786" localSheetId="14" hidden="1">'H-Risk Register-Model'!$AU$96</definedName>
    <definedName name="CB_527d7adb5683418db863aaff53da5eb2" localSheetId="14" hidden="1">'H-Risk Register-Model'!$AU$37</definedName>
    <definedName name="CB_5532acb7ab4b4d07b437ca1c359e8f91" localSheetId="14" hidden="1">'H-Risk Register-Model'!$BB$60</definedName>
    <definedName name="CB_55ca95955126412a95a464988acb2817" localSheetId="14" hidden="1">'H-Risk Register-Model'!$BB$29</definedName>
    <definedName name="CB_56f39b383d4141108fdf1d742b1f1129" localSheetId="14" hidden="1">'H-Risk Register-Model'!$BB$90</definedName>
    <definedName name="CB_573013c66edb42daa46fb97ab7888004" localSheetId="14" hidden="1">'H-Risk Register-Model'!$BB$67</definedName>
    <definedName name="CB_57dce75cc5b84716a19b6d0f97e31b2e" localSheetId="14" hidden="1">'H-Risk Register-Model'!$BB$92</definedName>
    <definedName name="CB_59b162b808024592b4b676f495a1a6c8" localSheetId="14" hidden="1">'H-Risk Register-Model'!$BB$56</definedName>
    <definedName name="CB_5bdc03605c5b4f558bb2ca815dbdb41a" localSheetId="14" hidden="1">'H-Risk Register-Model'!$AU$78</definedName>
    <definedName name="CB_5cab610195074225a4dd58d34862198a" localSheetId="14" hidden="1">'H-Risk Register-Model'!$AU$75</definedName>
    <definedName name="CB_5d23670b847f4ecabf6b1f0c3495ac2e" localSheetId="14" hidden="1">'H-Risk Register-Model'!$BB$32</definedName>
    <definedName name="CB_5e678db40b754762bd287136dd92da0e" localSheetId="14" hidden="1">'H-Risk Register-Model'!$AU$56</definedName>
    <definedName name="CB_6160615050364ddd87c6bfb30c4a9e87" localSheetId="14" hidden="1">'H-Risk Register-Model'!$BB$84</definedName>
    <definedName name="CB_620f2fc2b6804d14b58eede0fb8e6652" localSheetId="14" hidden="1">'H-Risk Register-Model'!$AU$84</definedName>
    <definedName name="CB_64e4fa38cf754c43a6fa0fa8d8f2b3eb" localSheetId="15" hidden="1">'I-Project Contingency'!$O$4</definedName>
    <definedName name="CB_64ee41c15c754c318a3a7cfe40bd3f21" localSheetId="14" hidden="1">'H-Risk Register-Model'!$BB$61</definedName>
    <definedName name="CB_6a564250c84e4cabb8e7adc54089d264" localSheetId="14" hidden="1">'H-Risk Register-Model'!$AU$107</definedName>
    <definedName name="CB_6a73255d367445b4b38cda2d0bda184d" localSheetId="14" hidden="1">'H-Risk Register-Model'!$BB$41</definedName>
    <definedName name="CB_6dc499a888294fb199a391855d1481fc" localSheetId="14" hidden="1">'H-Risk Register-Model'!$AU$79</definedName>
    <definedName name="CB_6f3c368759e743768832a9db7e7a00e5" localSheetId="14" hidden="1">'H-Risk Register-Model'!$AU$83</definedName>
    <definedName name="CB_6facc885a8a54001a30a208b5c00a806" localSheetId="14" hidden="1">'H-Risk Register-Model'!$AU$51</definedName>
    <definedName name="CB_7075994979c74c3b8bba9d7262b7020c" localSheetId="14" hidden="1">'H-Risk Register-Model'!$AU$50</definedName>
    <definedName name="CB_70a1f0ce7ea0469fa245ad3b358d8b0c" localSheetId="14" hidden="1">'H-Risk Register-Model'!$AU$106</definedName>
    <definedName name="CB_732729563567408199f09fa046f12dc8" localSheetId="14" hidden="1">'H-Risk Register-Model'!$AU$103</definedName>
    <definedName name="CB_739e592968784669b58b37628131c86a" localSheetId="14" hidden="1">'H-Risk Register-Model'!$AU$28</definedName>
    <definedName name="CB_74dda513d8e14213bb9af90dd73b77ec" localSheetId="14" hidden="1">'H-Risk Register-Model'!$AU$101</definedName>
    <definedName name="CB_77608e3608624e4d883a725d6e728025" localSheetId="14" hidden="1">'H-Risk Register-Model'!$AU$69</definedName>
    <definedName name="CB_77929052ecb04265ba0bc1c9c9c27b54" localSheetId="14" hidden="1">'H-Risk Register-Model'!$BB$93</definedName>
    <definedName name="CB_7d057cbea54f4044a1469f71654c17d9" localSheetId="14" hidden="1">'H-Risk Register-Model'!$BB$26</definedName>
    <definedName name="CB_7d867ed84c6c42d09575af6510ec6dfc" localSheetId="14" hidden="1">'H-Risk Register-Model'!$AU$110</definedName>
    <definedName name="CB_7e873dae326041f38ef57df2eec80cbd" localSheetId="14" hidden="1">'H-Risk Register-Model'!$AU$81</definedName>
    <definedName name="CB_7fbf2ff100d84bc78e1f8c58ccf91654" localSheetId="14" hidden="1">'H-Risk Register-Model'!$BB$45</definedName>
    <definedName name="CB_8186aff44e6c4d099fbebfd1b724fc70" localSheetId="14" hidden="1">'H-Risk Register-Model'!$BB$80</definedName>
    <definedName name="CB_839bc547d6514d93ba29abdf4146960e" localSheetId="14" hidden="1">'H-Risk Register-Model'!$BB$55</definedName>
    <definedName name="CB_84a97edd1cb34e9884400fb86d5c50e4" localSheetId="14" hidden="1">'H-Risk Register-Model'!$BB$91</definedName>
    <definedName name="CB_861e938c9fd04431805aee845706d205" localSheetId="14" hidden="1">'H-Risk Register-Model'!$BB$72</definedName>
    <definedName name="CB_883dbded21c345958201c34047313056" localSheetId="14" hidden="1">'H-Risk Register-Model'!$AU$82</definedName>
    <definedName name="CB_890f2d06a5ee400a9794bbae1f2d19f3" localSheetId="14" hidden="1">'H-Risk Register-Model'!$AF$18</definedName>
    <definedName name="CB_89390542624e459693eaf99109a9874a" localSheetId="14" hidden="1">'H-Risk Register-Model'!$AU$22</definedName>
    <definedName name="CB_89a8908b0b384a54966e632dded79c31" localSheetId="14" hidden="1">'H-Risk Register-Model'!$AU$25</definedName>
    <definedName name="CB_8aa96eaad28641b4bb73fb1179c5cb53" localSheetId="14" hidden="1">'H-Risk Register-Model'!$BB$49</definedName>
    <definedName name="CB_8e0d265ae73442d1883d250ba9773e0a" localSheetId="14" hidden="1">'H-Risk Register-Model'!$AU$52</definedName>
    <definedName name="CB_8e536ae630b94272b8ab87a57a7e61c7" localSheetId="14" hidden="1">'H-Risk Register-Model'!$AU$72</definedName>
    <definedName name="CB_8e70c4f5c5634409903d7fb1aafa1e73" localSheetId="14" hidden="1">'H-Risk Register-Model'!$BB$113</definedName>
    <definedName name="CB_8eb6f477757d4aa681c57fb47778e1ff" localSheetId="14" hidden="1">'H-Risk Register-Model'!$BB$94</definedName>
    <definedName name="CB_8f21b921b5634b9885409c36ebe99098" localSheetId="14" hidden="1">'H-Risk Register-Model'!$BB$21</definedName>
    <definedName name="CB_8f774b356fba46f39cad8d7b1f00bc9c" localSheetId="14" hidden="1">'H-Risk Register-Model'!$BB$97</definedName>
    <definedName name="CB_8fd7c38fa63c48d8a825da745c599dc9" localSheetId="14" hidden="1">'H-Risk Register-Model'!$AU$73</definedName>
    <definedName name="CB_911d70b9839b4f98ac28d214c36c1f28" localSheetId="14" hidden="1">'H-Risk Register-Model'!$BB$99</definedName>
    <definedName name="CB_9b6598098dcc4b098b4949b4cf746f4e" localSheetId="14" hidden="1">'H-Risk Register-Model'!$BB$115</definedName>
    <definedName name="CB_9c66f712e8b0437793675dfa74fb2fa4" localSheetId="14" hidden="1">'H-Risk Register-Model'!$BB$98</definedName>
    <definedName name="CB_9d091dcf88d9448694d52c397fe78e04" localSheetId="14" hidden="1">'H-Risk Register-Model'!$BB$65</definedName>
    <definedName name="CB_9d7bff8797ba42b381e367a17cf2c744" localSheetId="14" hidden="1">'H-Risk Register-Model'!$BB$28</definedName>
    <definedName name="CB_9e265946b4fd4ba594872978e15026f6" localSheetId="14" hidden="1">'H-Risk Register-Model'!$AU$39</definedName>
    <definedName name="CB_9f5885cd99954af1a3372ac7ffbc0d08" localSheetId="14" hidden="1">'H-Risk Register-Model'!$AU$43</definedName>
    <definedName name="CB_9fb6d0869b9a4ca6a23b87b1732b0075" localSheetId="14" hidden="1">'H-Risk Register-Model'!$BB$63</definedName>
    <definedName name="CB_a0d694d0051f4880ada96fb16cdd07d3" localSheetId="14" hidden="1">'H-Risk Register-Model'!$AU$57</definedName>
    <definedName name="CB_a17d35540b834c33bd74c3b7c68bec84" localSheetId="14" hidden="1">'H-Risk Register-Model'!$AU$114</definedName>
    <definedName name="CB_a3025866050747e49cda307d04d6d575" localSheetId="14" hidden="1">'H-Risk Register-Model'!$AU$64</definedName>
    <definedName name="CB_a86547e279384f9fa849edb5f46595c3" localSheetId="14" hidden="1">'H-Risk Register-Model'!$BB$66</definedName>
    <definedName name="CB_a873ffd0f4224aeaa41492a9180562cb" localSheetId="14" hidden="1">'H-Risk Register-Model'!$BB$112</definedName>
    <definedName name="CB_ab3bca177ee946709868f3e98428d112" localSheetId="14" hidden="1">'H-Risk Register-Model'!$AU$63</definedName>
    <definedName name="CB_ac7811a640604a83a0ba7b4e6e203bb2" localSheetId="14" hidden="1">'H-Risk Register-Model'!$BB$82</definedName>
    <definedName name="CB_ae2c4a8f61c54e55a312e683d12b0cd5" localSheetId="14" hidden="1">'H-Risk Register-Model'!$BB$62</definedName>
    <definedName name="CB_af91cb662065402c9bceb2b8cc68d3f5" localSheetId="14" hidden="1">'H-Risk Register-Model'!$BB$75</definedName>
    <definedName name="CB_afd7c4acf41b428dab6f06ab82c1da36" localSheetId="14" hidden="1">'H-Risk Register-Model'!$BB$24</definedName>
    <definedName name="CB_b04cdc6d18424410a5c16561f53190ce" localSheetId="15" hidden="1">'I-Project Contingency'!$O$5</definedName>
    <definedName name="CB_b125799411ba44bb9905d3ef1762958a" localSheetId="14" hidden="1">'H-Risk Register-Model'!$AU$27</definedName>
    <definedName name="CB_b1d833fa6450434cabd5215592b9336a" localSheetId="14" hidden="1">'H-Risk Register-Model'!$AU$38</definedName>
    <definedName name="CB_b2c2c06ef05e47eb958ffb33a04def19" localSheetId="14" hidden="1">'H-Risk Register-Model'!$AU$34</definedName>
    <definedName name="CB_b4bc2a38c4894402a487f5d0267ae2f2" localSheetId="14" hidden="1">'H-Risk Register-Model'!$AU$70</definedName>
    <definedName name="CB_b5e2b42a51fb4151a8fc26da6b65b798" localSheetId="14" hidden="1">'H-Risk Register-Model'!$BB$31</definedName>
    <definedName name="CB_b80d44e73eaa466da9bcab0f28b14362" localSheetId="14" hidden="1">'H-Risk Register-Model'!$AU$48</definedName>
    <definedName name="CB_b853860d47a5494180e67d23091d69b4" localSheetId="14" hidden="1">'H-Risk Register-Model'!$BB$27</definedName>
    <definedName name="CB_b857002b6484467a81de056a15b9c5f4" localSheetId="14" hidden="1">'H-Risk Register-Model'!$BB$23</definedName>
    <definedName name="CB_bafd1a50054e43829d16dfa517c215ce" localSheetId="14" hidden="1">'H-Risk Register-Model'!$BB$70</definedName>
    <definedName name="CB_bd657752e42348cdb39fb7195cc18aad" localSheetId="14" hidden="1">'H-Risk Register-Model'!$BB$86</definedName>
    <definedName name="CB_be718eb4963841dda2559178da59ccd4" localSheetId="14" hidden="1">'H-Risk Register-Model'!$BB$40</definedName>
    <definedName name="CB_bfb0284e692244058b2586c77d3467d7" localSheetId="14" hidden="1">'H-Risk Register-Model'!$BB$33</definedName>
    <definedName name="CB_Block_00000000000000000000000000000000" localSheetId="22" hidden="1">"'7.0.0.0"</definedName>
    <definedName name="CB_Block_00000000000000000000000000000000" localSheetId="14" hidden="1">"'7.0.0.0"</definedName>
    <definedName name="CB_Block_00000000000000000000000000000000" localSheetId="15" hidden="1">"'7.0.0.0"</definedName>
    <definedName name="CB_Block_00000000000000000000000000000001" localSheetId="22" hidden="1">"'638420328428837506"</definedName>
    <definedName name="CB_Block_00000000000000000000000000000001" localSheetId="14" hidden="1">"'638420328428617459"</definedName>
    <definedName name="CB_Block_00000000000000000000000000000001" localSheetId="15" hidden="1">"'638420328428777492"</definedName>
    <definedName name="CB_Block_00000000000000000000000000000003" localSheetId="22" hidden="1">"'11.1.4512.0"</definedName>
    <definedName name="CB_Block_00000000000000000000000000000003" localSheetId="14" hidden="1">"'11.1.4512.0"</definedName>
    <definedName name="CB_Block_00000000000000000000000000000003" localSheetId="15" hidden="1">"'11.1.4512.0"</definedName>
    <definedName name="CB_BlockExt_00000000000000000000000000000003" localSheetId="22" hidden="1">"'11.1.2.4.600"</definedName>
    <definedName name="CB_BlockExt_00000000000000000000000000000003" localSheetId="14" hidden="1">"'11.1.2.4.600"</definedName>
    <definedName name="CB_BlockExt_00000000000000000000000000000003" localSheetId="15" hidden="1">"'11.1.2.4.600"</definedName>
    <definedName name="CB_c3c959f359a24ee88ccc788e039d9172" localSheetId="14" hidden="1">'H-Risk Register-Model'!$AU$99</definedName>
    <definedName name="CB_c495da3f5ebd41dcba0729e8e0f0ff04" localSheetId="14" hidden="1">'H-Risk Register-Model'!$BB$110</definedName>
    <definedName name="CB_c59f5bd8e69f46fcad934e6cd10aa306" localSheetId="14" hidden="1">'H-Risk Register-Model'!$BB$52</definedName>
    <definedName name="CB_c8dec2d8b3f24f0184e55ee9efda6d65" localSheetId="14" hidden="1">'H-Risk Register-Model'!$AU$91</definedName>
    <definedName name="CB_c9c98dff62fb4a99b66b5e58cbac3414" localSheetId="14" hidden="1">'H-Risk Register-Model'!$BB$54</definedName>
    <definedName name="CB_cb3b3aab0e6c4656a3977b8bdecfbeff" localSheetId="14" hidden="1">'H-Risk Register-Model'!$AU$86</definedName>
    <definedName name="CB_cb61ef3b99904dd689594aa07a041800" localSheetId="14" hidden="1">'H-Risk Register-Model'!$BB$107</definedName>
    <definedName name="CB_cc4652ddfae04f319d73c73958a1a3d6" localSheetId="14" hidden="1">'H-Risk Register-Model'!$AU$47</definedName>
    <definedName name="CB_ccded8b65e2b4dff8c38cf8e621c487d" localSheetId="14" hidden="1">'H-Risk Register-Model'!$AU$46</definedName>
    <definedName name="CB_cd2e9ca3e99340089a4b5649d3aef6ab" localSheetId="14" hidden="1">'H-Risk Register-Model'!$AU$60</definedName>
    <definedName name="CB_cd48baf34a894835aed15cad75365597" localSheetId="14" hidden="1">'H-Risk Register-Model'!$BB$74</definedName>
    <definedName name="CB_cdb51c34857f4ca68a24dc736718d8e5" localSheetId="14" hidden="1">'H-Risk Register-Model'!$AU$54</definedName>
    <definedName name="CB_cfb56c10b897446d84b074769e5edc95" localSheetId="14" hidden="1">'H-Risk Register-Model'!$BB$51</definedName>
    <definedName name="CB_d0a1101feffe42beb77258ad0444f9fb" localSheetId="14" hidden="1">'H-Risk Register-Model'!$BB$58</definedName>
    <definedName name="CB_d0ee6025f0904fc6b9bbc201e3599a25" localSheetId="14" hidden="1">'H-Risk Register-Model'!$AU$77</definedName>
    <definedName name="CB_d265c89e8efd4463ac80eba8aca66c0b" localSheetId="14" hidden="1">'H-Risk Register-Model'!$BB$19</definedName>
    <definedName name="CB_d2cc229b544e427684121ea47981e6a2" localSheetId="14" hidden="1">'H-Risk Register-Model'!$AU$85</definedName>
    <definedName name="CB_d3504e339d594edba8cf2e17ba89ae1c" localSheetId="14" hidden="1">'H-Risk Register-Model'!$AU$104</definedName>
    <definedName name="CB_d45622130d914bd0af6a463bdc717321" localSheetId="14" hidden="1">'H-Risk Register-Model'!$BB$87</definedName>
    <definedName name="CB_d584be7c774e403e9ae8af3161f1813d" localSheetId="14" hidden="1">'H-Risk Register-Model'!$BB$47</definedName>
    <definedName name="CB_d6726afdc5194730a6617dc91c407707" localSheetId="14" hidden="1">'H-Risk Register-Model'!$BB$101</definedName>
    <definedName name="CB_d70eab1edf6149bd948e60b8a5296e34" localSheetId="14" hidden="1">'H-Risk Register-Model'!$BB$114</definedName>
    <definedName name="CB_d7c3ef69c56d4d139486b0435ce40d39" localSheetId="14" hidden="1">'H-Risk Register-Model'!$AU$45</definedName>
    <definedName name="CB_d81c63863b2948569c3f5974304901a5" localSheetId="14" hidden="1">'H-Risk Register-Model'!$AU$88</definedName>
    <definedName name="CB_d8940b79b3d8434d9669b80dee937de7" localSheetId="14" hidden="1">'H-Risk Register-Model'!$AU$31</definedName>
    <definedName name="CB_d8df0800cddb41e6bae2ac639fece042" localSheetId="14" hidden="1">'H-Risk Register-Model'!$BB$96</definedName>
    <definedName name="CB_da5f6692c1fd433c8794ef4332e07d54" localSheetId="14" hidden="1">'H-Risk Register-Model'!$BB$22</definedName>
    <definedName name="CB_da7b1147022e448d8ec3f26feb3a3333" localSheetId="14" hidden="1">'H-Risk Register-Model'!$AU$19</definedName>
    <definedName name="CB_dc1d85f5fd034e318cc29105202de63a" localSheetId="14" hidden="1">'H-Risk Register-Model'!$BB$44</definedName>
    <definedName name="CB_ddb4b32e2df44c459676c1f8abd1c7e8" localSheetId="14" hidden="1">'H-Risk Register-Model'!$BB$35</definedName>
    <definedName name="CB_ddda886355b3416e86c7f85a177742bb" localSheetId="14" hidden="1">'H-Risk Register-Model'!$AU$108</definedName>
    <definedName name="CB_de87b9b45fbf4a039978198efa3d0b2a" localSheetId="14" hidden="1">'H-Risk Register-Model'!$AU$53</definedName>
    <definedName name="CB_dfe98b59da8547c2be8131ddceee1c31" localSheetId="14" hidden="1">'H-Risk Register-Model'!$AU$61</definedName>
    <definedName name="CB_e0a5cea245934b57901d82b7fcbae544" localSheetId="14" hidden="1">'H-Risk Register-Model'!$BB$105</definedName>
    <definedName name="CB_e34024bb415b459caab7407ce4062909" localSheetId="14" hidden="1">'H-Risk Register-Model'!$BB$88</definedName>
    <definedName name="CB_e3903540c84d40e2a86e41d1cdfd361c" localSheetId="14" hidden="1">'H-Risk Register-Model'!$AU$35</definedName>
    <definedName name="CB_e401f2697b3b4ed081d6a430a9d4dcc5" localSheetId="14" hidden="1">'H-Risk Register-Model'!$AU$18</definedName>
    <definedName name="CB_e591f98652a64dcf8c935128bd1462df" localSheetId="14" hidden="1">'H-Risk Register-Model'!$BB$50</definedName>
    <definedName name="CB_e624681273fb4ffe9aef5fdb33e30011" localSheetId="14" hidden="1">'H-Risk Register-Model'!$BB$111</definedName>
    <definedName name="CB_e7fbb159305744df8cb6076b8e9ca4df" localSheetId="14" hidden="1">'H-Risk Register-Model'!$AU$90</definedName>
    <definedName name="CB_e85c4db78efe45738e0c07412c093367" localSheetId="14" hidden="1">'H-Risk Register-Model'!$AU$105</definedName>
    <definedName name="CB_e8b1fa3adbdb4004b286fc703646bf26" localSheetId="14" hidden="1">'H-Risk Register-Model'!$AU$80</definedName>
    <definedName name="CB_e96d4e952d1c4a2fb6b95ae0ca933733" localSheetId="14" hidden="1">'H-Risk Register-Model'!$BB$78</definedName>
    <definedName name="CB_eadc6c3dc4954448ad81ab3ca2b929d8" localSheetId="14" hidden="1">'H-Risk Register-Model'!$AU$42</definedName>
    <definedName name="CB_eb6776ca1e5e4cc2856427cbf10003b0" localSheetId="14" hidden="1">'H-Risk Register-Model'!$AU$102</definedName>
    <definedName name="CB_ec3a2dde885a478d85edd7f44cb6da92" localSheetId="14" hidden="1">'H-Risk Register-Model'!$BB$53</definedName>
    <definedName name="CB_ec4364fd24da4368a6ab5fd095388092" localSheetId="14" hidden="1">'H-Risk Register-Model'!$AU$41</definedName>
    <definedName name="CB_ed15ff1961a142078c9c9891f48e635d" localSheetId="14" hidden="1">'H-Risk Register-Model'!$BB$64</definedName>
    <definedName name="CB_ed440967cbe74e5fba1b26d4942e9d5f" localSheetId="14" hidden="1">'H-Risk Register-Model'!$BB$68</definedName>
    <definedName name="CB_ee78ce44dc4d41f8abd85ec998edb62a" localSheetId="14" hidden="1">'H-Risk Register-Model'!$AU$59</definedName>
    <definedName name="CB_ef012d0a17754082ab3cc95d17534ef1" localSheetId="14" hidden="1">'H-Risk Register-Model'!$BB$106</definedName>
    <definedName name="CB_eff2ee15216f49b8bce29b83681b9ee1" localSheetId="14" hidden="1">'H-Risk Register-Model'!$AU$55</definedName>
    <definedName name="CB_f025a08fc2e44d07ac38a9dcaf926c72" localSheetId="14" hidden="1">'H-Risk Register-Model'!$BB$108</definedName>
    <definedName name="CB_f1b043455fac4f50b396a8d44184bc20" localSheetId="14" hidden="1">'H-Risk Register-Model'!$BB$46</definedName>
    <definedName name="CB_f37b76f6a4c545e09c234f31367fb00d" localSheetId="14" hidden="1">'H-Risk Register-Model'!$AU$29</definedName>
    <definedName name="CB_f3805bcaaac24b13a4cb4baea8df63d2" localSheetId="14" hidden="1">'H-Risk Register-Model'!$AU$33</definedName>
    <definedName name="CB_f63919577ce0479d92e70c7e9c04c97e" localSheetId="14" hidden="1">'H-Risk Register-Model'!$AU$66</definedName>
    <definedName name="CB_f86bf31cb2ee43949b08720dbc7631e9" localSheetId="14" hidden="1">'H-Risk Register-Model'!$BB$36</definedName>
    <definedName name="CB_f93cb4e5dcb04c908db7de5cefaa43ec" localSheetId="14" hidden="1">'H-Risk Register-Model'!$AU$62</definedName>
    <definedName name="CB_fb68cdf4b80348da8d2dd06bbe90e34a" localSheetId="14" hidden="1">'H-Risk Register-Model'!$AU$76</definedName>
    <definedName name="CB_fe7036c793c740ccaafd728f3cbc6d70" localSheetId="14" hidden="1">'H-Risk Register-Model'!$AU$20</definedName>
    <definedName name="CB_fe7630b3b1fb4a65a0d5a6379c8d1bdf" localSheetId="14" hidden="1">'H-Risk Register-Model'!$BB$83</definedName>
    <definedName name="CB_ff5d6d6f9ae345c89d7c8f40430b9573" localSheetId="14" hidden="1">'H-Risk Register-Model'!$BB$109</definedName>
    <definedName name="CBCR_00972144c92f4c40a28b99580a6c4cea" localSheetId="14" hidden="1">'H-Risk Register-Model'!$BC$92</definedName>
    <definedName name="CBCR_01e07a6a4ee44987b63f22315e5fce9d" localSheetId="14" hidden="1">'H-Risk Register-Model'!$BB$17&amp;": "&amp;'H-Risk Register-Model'!$A$28</definedName>
    <definedName name="CBCR_026191ba5d2b4938916edee3e768199f" localSheetId="14" hidden="1">'H-Risk Register-Model'!$AV$63</definedName>
    <definedName name="CBCR_0264a8a078f14231ad3865df23686855" localSheetId="14" hidden="1">'H-Risk Register-Model'!$AV$102</definedName>
    <definedName name="CBCR_02811f6954294a858ec9fdd06c2a26b4" localSheetId="14" hidden="1">'H-Risk Register-Model'!$AU$17&amp;": "&amp;'H-Risk Register-Model'!$A$113</definedName>
    <definedName name="CBCR_04231c4d3f0a4a6ebb04132e0c4ab363" localSheetId="14" hidden="1">'H-Risk Register-Model'!$BB$17&amp;": "&amp;'H-Risk Register-Model'!$A$106</definedName>
    <definedName name="CBCR_049715e541144e8c914da74c2844c228" localSheetId="14" hidden="1">'H-Risk Register-Model'!$BC$71</definedName>
    <definedName name="CBCR_04a160414c1f4a1eb4bfc6f607ed5842" localSheetId="14" hidden="1">'H-Risk Register-Model'!$AU$17&amp;": "&amp;'H-Risk Register-Model'!$A$57</definedName>
    <definedName name="CBCR_04dad98a833646269f48c7dac62a5882" localSheetId="14" hidden="1">'H-Risk Register-Model'!$AU$17&amp;": "&amp;'H-Risk Register-Model'!$A$43</definedName>
    <definedName name="CBCR_05d8b286b7914c2e9f781a3f0c4b474f" localSheetId="14" hidden="1">'H-Risk Register-Model'!$AV$25</definedName>
    <definedName name="CBCR_064bb59175864302a44173ee8f006ff7" localSheetId="14" hidden="1">'H-Risk Register-Model'!$AU$17&amp;": "&amp;'H-Risk Register-Model'!$A$38</definedName>
    <definedName name="CBCR_065c9247b8ef46309fb9faac717d1692" localSheetId="14" hidden="1">'H-Risk Register-Model'!$BB$17&amp;": "&amp;'H-Risk Register-Model'!$A$24</definedName>
    <definedName name="CBCR_06ca4db2d50d486d971af5ce660e01b6" localSheetId="14" hidden="1">'H-Risk Register-Model'!$BB$17&amp;": "&amp;'H-Risk Register-Model'!$A$90</definedName>
    <definedName name="CBCR_075703881e454b6b912cd371e2a45fbb" localSheetId="14" hidden="1">'H-Risk Register-Model'!$AU$17&amp;": "&amp;'H-Risk Register-Model'!$A$114</definedName>
    <definedName name="CBCR_09f75b8f64bb4cdda38b4b698f5d07f4" localSheetId="14" hidden="1">'H-Risk Register-Model'!$AV$62</definedName>
    <definedName name="CBCR_0aa466428ef94b4e87577d99cb57e4ac" localSheetId="14" hidden="1">'H-Risk Register-Model'!$BB$17&amp;": "&amp;'H-Risk Register-Model'!$A$36</definedName>
    <definedName name="CBCR_0adeb66e789c4b5fb18fdb6e2f8522b9" localSheetId="14" hidden="1">'H-Risk Register-Model'!$BB$17&amp;": "&amp;'H-Risk Register-Model'!$A$88</definedName>
    <definedName name="CBCR_0b0f211708a0495888ec2be4f898cc6e" localSheetId="14" hidden="1">'H-Risk Register-Model'!$BB$17&amp;": "&amp;'H-Risk Register-Model'!$A$20</definedName>
    <definedName name="CBCR_0c848eec82cd46e4982834b96e789e4a" localSheetId="14" hidden="1">'H-Risk Register-Model'!$BB$17&amp;": "&amp;'H-Risk Register-Model'!$A$75</definedName>
    <definedName name="CBCR_0d6ccdc559fa4260be7b42f896917015" localSheetId="14" hidden="1">'H-Risk Register-Model'!$AV$67</definedName>
    <definedName name="CBCR_0df743bdfe2241e5845a457baa767b01" localSheetId="14" hidden="1">'H-Risk Register-Model'!$BC$88</definedName>
    <definedName name="CBCR_0f347ef188b34f9c8779f9ead85744b0" localSheetId="14" hidden="1">'H-Risk Register-Model'!$BC$85</definedName>
    <definedName name="CBCR_0ff9013e3b4f4924b08bbc6f2c4d3ac0" localSheetId="14" hidden="1">'H-Risk Register-Model'!$BC$66</definedName>
    <definedName name="CBCR_10ec46b6b3414a70bb3ce87f29cfc9d3" localSheetId="14" hidden="1">'H-Risk Register-Model'!$BB$17&amp;": "&amp;'H-Risk Register-Model'!$A$61</definedName>
    <definedName name="CBCR_10f25bc0200a47579aee27a0954e1148" localSheetId="14" hidden="1">'H-Risk Register-Model'!$BC$110</definedName>
    <definedName name="CBCR_1260fd945ede4dbdab3d7f314026d85b" localSheetId="14" hidden="1">'H-Risk Register-Model'!$BC$35</definedName>
    <definedName name="CBCR_12d7f455e01a461595e939da189cf867" localSheetId="14" hidden="1">'H-Risk Register-Model'!$AU$17&amp;": "&amp;'H-Risk Register-Model'!$A$45</definedName>
    <definedName name="CBCR_1342ca5bd1e7435daec8cd9109528423" localSheetId="14" hidden="1">'H-Risk Register-Model'!$BC$54</definedName>
    <definedName name="CBCR_1397953dbbcb4e4a8a13d0e71b100022" localSheetId="14" hidden="1">'H-Risk Register-Model'!$AU$17&amp;": "&amp;'H-Risk Register-Model'!$A$80</definedName>
    <definedName name="CBCR_152ce25df4a1407bbf7175f55a605c2f" localSheetId="14" hidden="1">'H-Risk Register-Model'!$BB$17&amp;": "&amp;'H-Risk Register-Model'!$A$18</definedName>
    <definedName name="CBCR_157e2f30d81f4d5991280be812bfed90" localSheetId="14" hidden="1">'H-Risk Register-Model'!$BC$113</definedName>
    <definedName name="CBCR_15c304eaf1644c8089d7edf3b42582bd" localSheetId="14" hidden="1">'H-Risk Register-Model'!$BB$17&amp;": "&amp;'H-Risk Register-Model'!$A$84</definedName>
    <definedName name="CBCR_1637337611d744bfbb5266b7cf5d5ee2" localSheetId="14" hidden="1">'H-Risk Register-Model'!$BB$17&amp;": "&amp;'H-Risk Register-Model'!$A$25</definedName>
    <definedName name="CBCR_186ab02846f34427a983d4a509e27cc3" localSheetId="14" hidden="1">'H-Risk Register-Model'!$BB$17&amp;": "&amp;'H-Risk Register-Model'!$A$48</definedName>
    <definedName name="CBCR_193eda06f8c444eab8d1aa9f42b6af0d" localSheetId="14" hidden="1">'H-Risk Register-Model'!$BB$17&amp;": "&amp;'H-Risk Register-Model'!$A$27</definedName>
    <definedName name="CBCR_19ff6d215c7c4b2ba25edb5e9d3822a4" localSheetId="14" hidden="1">'H-Risk Register-Model'!$BC$34</definedName>
    <definedName name="CBCR_1a2b9aa69c984b6899949691c7afe05b" localSheetId="14" hidden="1">'H-Risk Register-Model'!$AV$86</definedName>
    <definedName name="CBCR_1adb389a985c4211bd6b9bab3bdb8ae9" localSheetId="14" hidden="1">'H-Risk Register-Model'!$BB$17&amp;": "&amp;'H-Risk Register-Model'!$A$66</definedName>
    <definedName name="CBCR_1c442c18d58542d4982ae7173816ea47" localSheetId="14" hidden="1">'H-Risk Register-Model'!$AU$17&amp;": "&amp;'H-Risk Register-Model'!$A$69</definedName>
    <definedName name="CBCR_1cafbda7be7e40db95166ddbdf8e8f69" localSheetId="14" hidden="1">'H-Risk Register-Model'!$AU$17&amp;": "&amp;'H-Risk Register-Model'!$A$61</definedName>
    <definedName name="CBCR_1d3b177a09044f2fb6e64a0365e2e665" localSheetId="14" hidden="1">'H-Risk Register-Model'!$BB$17&amp;": "&amp;'H-Risk Register-Model'!$A$71</definedName>
    <definedName name="CBCR_1e36ed2d6b8e485dbd75eb23565c52b6" localSheetId="14" hidden="1">'H-Risk Register-Model'!$AU$17&amp;": "&amp;'H-Risk Register-Model'!$A$71</definedName>
    <definedName name="CBCR_1e4d5349266e4626af147a2b3ae8de18" localSheetId="14" hidden="1">'H-Risk Register-Model'!$BB$17&amp;": "&amp;'H-Risk Register-Model'!$A$73</definedName>
    <definedName name="CBCR_1ed48962722a45679171f006aecb8425" localSheetId="14" hidden="1">'H-Risk Register-Model'!$AV$106</definedName>
    <definedName name="CBCR_1f7ecbb09614430f810d425d42974fc8" localSheetId="14" hidden="1">'H-Risk Register-Model'!$BC$45</definedName>
    <definedName name="CBCR_1faaf95de0a24e12b311b6fdd0dae256" localSheetId="14" hidden="1">'H-Risk Register-Model'!$AV$73</definedName>
    <definedName name="CBCR_203f11f728434d10b1116ebafbfbc2bd" localSheetId="14" hidden="1">'H-Risk Register-Model'!$BC$53</definedName>
    <definedName name="CBCR_213888cae6b044c89534a4d0632788eb" localSheetId="14" hidden="1">'H-Risk Register-Model'!$BC$95</definedName>
    <definedName name="CBCR_22e14780bff74beabe8b3ec0950453df" localSheetId="14" hidden="1">'H-Risk Register-Model'!$AV$55</definedName>
    <definedName name="CBCR_2316d30b4c254d37b52bdebe05cd2690" localSheetId="14" hidden="1">'H-Risk Register-Model'!$AV$57</definedName>
    <definedName name="CBCR_2404af7fd4014d26b7455ba616e52f74" localSheetId="14" hidden="1">'H-Risk Register-Model'!$AU$17&amp;": "&amp;'H-Risk Register-Model'!$A$56</definedName>
    <definedName name="CBCR_24977bd695914ffb99e35eefba591643" localSheetId="14" hidden="1">'H-Risk Register-Model'!$AV$71</definedName>
    <definedName name="CBCR_25276d0235e842789e85305026bfe2f6" localSheetId="14" hidden="1">'H-Risk Register-Model'!$BB$17&amp;": "&amp;'H-Risk Register-Model'!$A$30</definedName>
    <definedName name="CBCR_28504ea78010482fac23080e44224a50" localSheetId="14" hidden="1">'H-Risk Register-Model'!$AV$21</definedName>
    <definedName name="CBCR_287213e51cf34184adf7c58cecde5f78" localSheetId="14" hidden="1">'H-Risk Register-Model'!$BC$106</definedName>
    <definedName name="CBCR_29e731f360664f0895d69b8ecf96504c" localSheetId="14" hidden="1">'H-Risk Register-Model'!$BB$17&amp;": "&amp;'H-Risk Register-Model'!$A$114</definedName>
    <definedName name="CBCR_2aee8da99c974978b1d6260507815cb0" localSheetId="14" hidden="1">'H-Risk Register-Model'!$BB$17&amp;": "&amp;'H-Risk Register-Model'!$A$104</definedName>
    <definedName name="CBCR_2bd7996f455c4f109f05fb40e7ce3e9e" localSheetId="14" hidden="1">'H-Risk Register-Model'!$BB$17&amp;": "&amp;'H-Risk Register-Model'!$A$52</definedName>
    <definedName name="CBCR_2dddb572b9b3477c9a94469a235fb280" localSheetId="14" hidden="1">'H-Risk Register-Model'!$BB$17&amp;": "&amp;'H-Risk Register-Model'!$A$69</definedName>
    <definedName name="CBCR_2e44126954244ff2942f70c601ca932f" localSheetId="14" hidden="1">'H-Risk Register-Model'!$BC$116</definedName>
    <definedName name="CBCR_2e7f37b200784e8ba249e2998661e79a" localSheetId="14" hidden="1">'H-Risk Register-Model'!$AV$110</definedName>
    <definedName name="CBCR_2e97db5192b84b9698d2a136c9d61802" localSheetId="14" hidden="1">'H-Risk Register-Model'!$AV$76</definedName>
    <definedName name="CBCR_31fc2015891b4160ae32ff836a863728" localSheetId="14" hidden="1">'H-Risk Register-Model'!$AU$17&amp;": "&amp;'H-Risk Register-Model'!$A$26</definedName>
    <definedName name="CBCR_32003a037e5a43feb5e754db0477505a" localSheetId="14" hidden="1">'H-Risk Register-Model'!$BB$17&amp;": "&amp;'H-Risk Register-Model'!$A$116</definedName>
    <definedName name="CBCR_32177e2e063e41ebaf495cf366012d1a" localSheetId="14" hidden="1">'H-Risk Register-Model'!$BB$17&amp;": "&amp;'H-Risk Register-Model'!$A$98</definedName>
    <definedName name="CBCR_32b8eee111674909b004dabc0eeff31e" localSheetId="14" hidden="1">'H-Risk Register-Model'!$AV$40</definedName>
    <definedName name="CBCR_3450699b4fd947aa9215765a63f1bfa1" localSheetId="14" hidden="1">'H-Risk Register-Model'!$BC$29</definedName>
    <definedName name="CBCR_34f4ef71aa64416094b331f37722514d" localSheetId="14" hidden="1">'H-Risk Register-Model'!$AU$17&amp;": "&amp;'H-Risk Register-Model'!$A$103</definedName>
    <definedName name="CBCR_351e3e5c204f4a8cbfb4d656ce1bb6c2" localSheetId="14" hidden="1">'H-Risk Register-Model'!$AU$17&amp;": "&amp;'H-Risk Register-Model'!$A$50</definedName>
    <definedName name="CBCR_35ab3dc01172476b868c68ea3e785fec" localSheetId="14" hidden="1">'H-Risk Register-Model'!$AU$17&amp;": "&amp;'H-Risk Register-Model'!$A$77</definedName>
    <definedName name="CBCR_36283fec57894c71b5ebd81270c1dbc6" localSheetId="14" hidden="1">'H-Risk Register-Model'!$BC$67</definedName>
    <definedName name="CBCR_364eff87701441e9a7ea1fb674126266" localSheetId="14" hidden="1">'H-Risk Register-Model'!$BB$17&amp;": "&amp;'H-Risk Register-Model'!$A$85</definedName>
    <definedName name="CBCR_379a81ec30bf4c41a9b5cab7d61ad948" localSheetId="14" hidden="1">'H-Risk Register-Model'!$BB$17&amp;": "&amp;'H-Risk Register-Model'!$A$92</definedName>
    <definedName name="CBCR_37b0771ac22d4f3589652b3da9892d08" localSheetId="14" hidden="1">'H-Risk Register-Model'!$AU$17&amp;": "&amp;'H-Risk Register-Model'!$A$37</definedName>
    <definedName name="CBCR_37bf4426939442b083f8b985518f99bf" localSheetId="14" hidden="1">'H-Risk Register-Model'!$BB$17&amp;": "&amp;'H-Risk Register-Model'!$A$51</definedName>
    <definedName name="CBCR_37f56dc512154718ba206b5445efa102" localSheetId="14" hidden="1">'H-Risk Register-Model'!$AU$17&amp;": "&amp;'H-Risk Register-Model'!$A$116</definedName>
    <definedName name="CBCR_386a73ba9dd44fa19201571f3b019e99" localSheetId="14" hidden="1">'H-Risk Register-Model'!$AU$17&amp;": "&amp;'H-Risk Register-Model'!$A$27</definedName>
    <definedName name="CBCR_3a2c4768734d4dcd915c3ba708fe0698" localSheetId="14" hidden="1">'H-Risk Register-Model'!$BC$58</definedName>
    <definedName name="CBCR_3c17c75c87ad421b9dd2214e40f55832" localSheetId="14" hidden="1">'H-Risk Register-Model'!$BC$77</definedName>
    <definedName name="CBCR_3ef7fd4068e7478da030a2d425664829" localSheetId="14" hidden="1">'H-Risk Register-Model'!$AV$87</definedName>
    <definedName name="CBCR_3f87c95a1204480e813977ecfe55eaca" localSheetId="14" hidden="1">'H-Risk Register-Model'!$AU$17&amp;": "&amp;'H-Risk Register-Model'!$A$84</definedName>
    <definedName name="CBCR_405e9730e26e457c8aef0a4a83b4b412" localSheetId="14" hidden="1">'H-Risk Register-Model'!$BB$17&amp;": "&amp;'H-Risk Register-Model'!$A$110</definedName>
    <definedName name="CBCR_40a292e2a6ed496abe7f9ac9556da0ee" localSheetId="14" hidden="1">'H-Risk Register-Model'!$BB$17&amp;": "&amp;'H-Risk Register-Model'!$A$53</definedName>
    <definedName name="CBCR_419f310edf604cb29283ad8c534bef23" localSheetId="14" hidden="1">'H-Risk Register-Model'!$BC$40</definedName>
    <definedName name="CBCR_41a9c894162f4899907fc6f3fc1571ac" localSheetId="14" hidden="1">'H-Risk Register-Model'!$BB$17&amp;": "&amp;'H-Risk Register-Model'!$A$80</definedName>
    <definedName name="CBCR_41f0444a46f94070b19485ae237bb171" localSheetId="14" hidden="1">'H-Risk Register-Model'!$BB$17&amp;": "&amp;'H-Risk Register-Model'!$A$100</definedName>
    <definedName name="CBCR_42a7b7dd2cd94b2dba51e235f6295582" localSheetId="14" hidden="1">'H-Risk Register-Model'!$BC$99</definedName>
    <definedName name="CBCR_43515f75c8384e429b911a7b3239f252" localSheetId="14" hidden="1">'H-Risk Register-Model'!$BB$17&amp;": "&amp;'H-Risk Register-Model'!$A$47</definedName>
    <definedName name="CBCR_437cefebe1a24212a65986f313230cc0" localSheetId="14" hidden="1">'H-Risk Register-Model'!$AU$17&amp;": "&amp;'H-Risk Register-Model'!$A$104</definedName>
    <definedName name="CBCR_43e6ef42b4ee4c8d8bc4ea69f7f643c2" localSheetId="14" hidden="1">'H-Risk Register-Model'!$BC$109</definedName>
    <definedName name="CBCR_44545ce8698b436c8d0e55586bfd5dda" localSheetId="14" hidden="1">'H-Risk Register-Model'!$AV$79</definedName>
    <definedName name="CBCR_44cb20d1c6bd4045bff3199386a9bd4e" localSheetId="14" hidden="1">'H-Risk Register-Model'!$AV$66</definedName>
    <definedName name="CBCR_4586fe305f4545b78ad77b07816592d6" localSheetId="14" hidden="1">'H-Risk Register-Model'!$AA$18</definedName>
    <definedName name="CBCR_4589a75e6ca8447d927f073f2681f974" localSheetId="14" hidden="1">'H-Risk Register-Model'!$AV$46</definedName>
    <definedName name="CBCR_46260f524dda4c399be4b5342c75307d" localSheetId="14" hidden="1">'H-Risk Register-Model'!$BC$44</definedName>
    <definedName name="CBCR_473e2705105d4ce583bd1e9982aee7af" localSheetId="14" hidden="1">'H-Risk Register-Model'!$BC$112</definedName>
    <definedName name="CBCR_47fe4621f6ba4dd890836fb3d006bdfa" localSheetId="14" hidden="1">'H-Risk Register-Model'!$AV$105</definedName>
    <definedName name="CBCR_489c8d994c554e1fb609e57d84843921" localSheetId="14" hidden="1">'H-Risk Register-Model'!$AV$30</definedName>
    <definedName name="CBCR_48c94c6667ab437f946285e4575e3e4a" localSheetId="14" hidden="1">'H-Risk Register-Model'!$AV$49</definedName>
    <definedName name="CBCR_494a773179714d598520f911280c9323" localSheetId="14" hidden="1">'H-Risk Register-Model'!$AU$17&amp;": "&amp;'H-Risk Register-Model'!$A$107</definedName>
    <definedName name="CBCR_4981ff836cfa4afab620c45f52d862c5" localSheetId="14" hidden="1">'H-Risk Register-Model'!$AV$37</definedName>
    <definedName name="CBCR_49a4c203378c453f840f3ebe42404fde" localSheetId="14" hidden="1">'H-Risk Register-Model'!$AV$111</definedName>
    <definedName name="CBCR_4aa81b364b834e6abf2c2d2c7ca819dc" localSheetId="14" hidden="1">'H-Risk Register-Model'!$BB$17&amp;": "&amp;'H-Risk Register-Model'!$A$33</definedName>
    <definedName name="CBCR_4ac9fcb0caf94b208832f6ef5e9e7f7a" localSheetId="14" hidden="1">'H-Risk Register-Model'!$AV$23</definedName>
    <definedName name="CBCR_4c4561ea34204bceb13092b443ac496b" localSheetId="14" hidden="1">'H-Risk Register-Model'!$BC$89</definedName>
    <definedName name="CBCR_4c9ef273367d45d6b6d69f19d486b7ce" localSheetId="14" hidden="1">'H-Risk Register-Model'!$BC$72</definedName>
    <definedName name="CBCR_4cbda36beda64e2bbe1357646ec9c308" localSheetId="14" hidden="1">'H-Risk Register-Model'!$BC$27</definedName>
    <definedName name="CBCR_4d0ee15aa26e40219ae45e84f356d4b8" localSheetId="14" hidden="1">'H-Risk Register-Model'!$AU$17&amp;": "&amp;'H-Risk Register-Model'!$A$60</definedName>
    <definedName name="CBCR_4e931fd17f3a447098b27b6c93b4fde0" localSheetId="14" hidden="1">'H-Risk Register-Model'!$AU$17&amp;": "&amp;'H-Risk Register-Model'!$A$100</definedName>
    <definedName name="CBCR_4f61e52cce4c4a3f83168612115e8d5e" localSheetId="14" hidden="1">'H-Risk Register-Model'!$AV$97</definedName>
    <definedName name="CBCR_4fdf40bac083414cbe878d64c4b538c5" localSheetId="14" hidden="1">'H-Risk Register-Model'!$BC$31</definedName>
    <definedName name="CBCR_50d150dce2624cecb4aee4bbafb130c1" localSheetId="14" hidden="1">'H-Risk Register-Model'!$BC$20</definedName>
    <definedName name="CBCR_5261777068ce4f6b88355225691d896b" localSheetId="14" hidden="1">'H-Risk Register-Model'!$AV$47</definedName>
    <definedName name="CBCR_548ce8861e444cf289f1c85d9c83df90" localSheetId="14" hidden="1">'H-Risk Register-Model'!$BB$17&amp;": "&amp;'H-Risk Register-Model'!$A$101</definedName>
    <definedName name="CBCR_55289cf3a2d744689d07fa84d49c671a" localSheetId="14" hidden="1">'H-Risk Register-Model'!$AU$17&amp;": "&amp;'H-Risk Register-Model'!$A$79</definedName>
    <definedName name="CBCR_556e51a3f5324374abb5fe73d40f0595" localSheetId="14" hidden="1">'H-Risk Register-Model'!$AU$17&amp;": "&amp;'H-Risk Register-Model'!$A$42</definedName>
    <definedName name="CBCR_564006a372e04d3d8222882c203c7c20" localSheetId="14" hidden="1">'H-Risk Register-Model'!$AV$52</definedName>
    <definedName name="CBCR_56d1583a311e4dfa8c7c12a401a2f030" localSheetId="14" hidden="1">'H-Risk Register-Model'!$BC$97</definedName>
    <definedName name="CBCR_57280fa799c6481998ba186ac8ee7c61" localSheetId="14" hidden="1">'H-Risk Register-Model'!$BB$17&amp;": "&amp;'H-Risk Register-Model'!$A$86</definedName>
    <definedName name="CBCR_5767835ae64941798179e27b90ccbcb5" localSheetId="14" hidden="1">'H-Risk Register-Model'!$AB$18</definedName>
    <definedName name="CBCR_577819d1e6fc413aa10f5e51f1f85b92" localSheetId="14" hidden="1">'H-Risk Register-Model'!$AV$90</definedName>
    <definedName name="CBCR_578a6ae4cc124e3f80416be0f70bb840" localSheetId="14" hidden="1">'H-Risk Register-Model'!$BB$17&amp;": "&amp;'H-Risk Register-Model'!$A$95</definedName>
    <definedName name="CBCR_579a0aac9421479c91aaacc3f119eaa0" localSheetId="14" hidden="1">'H-Risk Register-Model'!$BB$17&amp;": "&amp;'H-Risk Register-Model'!$A$56</definedName>
    <definedName name="CBCR_585e34512d64479d8a0ecc49917c47fd" localSheetId="14" hidden="1">'H-Risk Register-Model'!$BB$17&amp;": "&amp;'H-Risk Register-Model'!$A$112</definedName>
    <definedName name="CBCR_597bcd14afb3438185dd014fe72c5669" localSheetId="14" hidden="1">'H-Risk Register-Model'!$AV$22</definedName>
    <definedName name="CBCR_5abc55eabe794c5c8bb6350fafc7a7b6" localSheetId="14" hidden="1">'H-Risk Register-Model'!$AU$17&amp;": "&amp;'H-Risk Register-Model'!$A$31</definedName>
    <definedName name="CBCR_5b7046897b4444a1a71f759d79f13c27" localSheetId="14" hidden="1">'H-Risk Register-Model'!$BC$41</definedName>
    <definedName name="CBCR_5bab8803364a406f9baa35fade7ccc16" localSheetId="14" hidden="1">'H-Risk Register-Model'!$AV$116</definedName>
    <definedName name="CBCR_5c467be46ed2438fbbf304cdd16142f8" localSheetId="14" hidden="1">'H-Risk Register-Model'!$AV$61</definedName>
    <definedName name="CBCR_5d8f762af65b4605b996107da544651a" localSheetId="14" hidden="1">'H-Risk Register-Model'!$BC$86</definedName>
    <definedName name="CBCR_5e75101e69164bdbb87c6e0fa0a245bc" localSheetId="14" hidden="1">'H-Risk Register-Model'!$BC$38</definedName>
    <definedName name="CBCR_5f5bf358e40f40d69295eaddfd06980f" localSheetId="14" hidden="1">'H-Risk Register-Model'!$AU$17&amp;": "&amp;'H-Risk Register-Model'!$A$109</definedName>
    <definedName name="CBCR_605ced06620641e5af974b2c16f846d3" localSheetId="14" hidden="1">'H-Risk Register-Model'!$BB$17&amp;": "&amp;'H-Risk Register-Model'!$A$35</definedName>
    <definedName name="CBCR_6078b3987bea4c6b8da6476ec18433d7" localSheetId="14" hidden="1">'H-Risk Register-Model'!$BC$79</definedName>
    <definedName name="CBCR_608d5ec84e14490ab851b074ae311250" localSheetId="14" hidden="1">'H-Risk Register-Model'!$AU$17&amp;": "&amp;'H-Risk Register-Model'!$A$66</definedName>
    <definedName name="CBCR_60ea9aeb70a24eeba3088b2f35733845" localSheetId="14" hidden="1">'H-Risk Register-Model'!$AU$17&amp;": "&amp;'H-Risk Register-Model'!$A$51</definedName>
    <definedName name="CBCR_6137fe0f8d9749648c17e02a660280fd" localSheetId="14" hidden="1">'H-Risk Register-Model'!$AV$34</definedName>
    <definedName name="CBCR_61872a7d2c51468a856f1903762d405f" localSheetId="14" hidden="1">'H-Risk Register-Model'!$BC$37</definedName>
    <definedName name="CBCR_61f02a8092b94bbe9d3b387fbbff953a" localSheetId="14" hidden="1">'H-Risk Register-Model'!$BB$17&amp;": "&amp;'H-Risk Register-Model'!$A$65</definedName>
    <definedName name="CBCR_62d153bde59646e5b31955fbe776db40" localSheetId="14" hidden="1">'H-Risk Register-Model'!$BB$17&amp;": "&amp;'H-Risk Register-Model'!$A$103</definedName>
    <definedName name="CBCR_6354f2df40f542ff99ac321a6e8a0532" localSheetId="14" hidden="1">'H-Risk Register-Model'!$BC$75</definedName>
    <definedName name="CBCR_64079359a14a44ae825682544ae2a396" localSheetId="14" hidden="1">'H-Risk Register-Model'!$BC$73</definedName>
    <definedName name="CBCR_645167fa3695497aa989f81fa17188c0" localSheetId="14" hidden="1">'H-Risk Register-Model'!$AU$17&amp;": "&amp;'H-Risk Register-Model'!$A$97</definedName>
    <definedName name="CBCR_656b26c960a745e09788530cf916c440" localSheetId="14" hidden="1">'H-Risk Register-Model'!$BB$17&amp;": "&amp;'H-Risk Register-Model'!$A$37</definedName>
    <definedName name="CBCR_665b414ce25641ba986d5ca5f9b65b75" localSheetId="14" hidden="1">'H-Risk Register-Model'!$BB$17&amp;": "&amp;'H-Risk Register-Model'!$A$72</definedName>
    <definedName name="CBCR_66bd677fc26a41b6b817c35e402cce0c" localSheetId="14" hidden="1">'H-Risk Register-Model'!$AV$99</definedName>
    <definedName name="CBCR_66bdce0436b84beab635120a022133bd" localSheetId="14" hidden="1">'H-Risk Register-Model'!$AF$17&amp;": "&amp;'H-Risk Register-Model'!$A$18&amp;" - "&amp;'H-Risk Register-Model'!$C$18</definedName>
    <definedName name="CBCR_66cf536c5a864aefabe943440f483b68" localSheetId="14" hidden="1">'H-Risk Register-Model'!$BC$23</definedName>
    <definedName name="CBCR_6786afbf4f734332be8d77a3f3603a9b" localSheetId="14" hidden="1">'H-Risk Register-Model'!$AU$17&amp;": "&amp;'H-Risk Register-Model'!$A$75</definedName>
    <definedName name="CBCR_67cd6a54de7c4fa0ace709152e04907c" localSheetId="14" hidden="1">'H-Risk Register-Model'!$AU$17&amp;": "&amp;'H-Risk Register-Model'!$A$18</definedName>
    <definedName name="CBCR_67eaff18bd88458daf7a14fdc731dd31" localSheetId="14" hidden="1">'H-Risk Register-Model'!$BC$65</definedName>
    <definedName name="CBCR_685cef9cb83b44108d0026328cd4436e" localSheetId="14" hidden="1">'H-Risk Register-Model'!$AV$94</definedName>
    <definedName name="CBCR_687e4bb041914532b63bca3a4eec66d6" localSheetId="14" hidden="1">'H-Risk Register-Model'!$AV$54</definedName>
    <definedName name="CBCR_688e40bebccd48b8948facd6e7f42cf4" localSheetId="14" hidden="1">'H-Risk Register-Model'!$AU$17&amp;": "&amp;'H-Risk Register-Model'!$A$52</definedName>
    <definedName name="CBCR_68a3a3d2f42849c9bbe46c4ca2d06e4b" localSheetId="14" hidden="1">'H-Risk Register-Model'!$BC$78</definedName>
    <definedName name="CBCR_68c1ecb7829f443fa1c508a84ea290ad" localSheetId="14" hidden="1">'H-Risk Register-Model'!$AV$100</definedName>
    <definedName name="CBCR_68d5ba6e0db748bfaaf20951498016a7" localSheetId="14" hidden="1">'H-Risk Register-Model'!$BB$17&amp;": "&amp;'H-Risk Register-Model'!$A$34</definedName>
    <definedName name="CBCR_6903732a8bc446c893db4f979870096f" localSheetId="14" hidden="1">'H-Risk Register-Model'!$AV$101</definedName>
    <definedName name="CBCR_6a1da9c9ffe74829ad3a6ca85b15505b" localSheetId="14" hidden="1">'H-Risk Register-Model'!$AU$17&amp;": "&amp;'H-Risk Register-Model'!$A$108</definedName>
    <definedName name="CBCR_6a62f93199fa4b46a7d624de2ebe00e9" localSheetId="14" hidden="1">'H-Risk Register-Model'!$AV$44</definedName>
    <definedName name="CBCR_6a6b05f4ebfd4681bf415be8ec86fc90" localSheetId="14" hidden="1">'H-Risk Register-Model'!$AU$17&amp;": "&amp;'H-Risk Register-Model'!$A$65</definedName>
    <definedName name="CBCR_6c155a90896f4fbab74006921f4950f6" localSheetId="14" hidden="1">'H-Risk Register-Model'!$AU$17&amp;": "&amp;'H-Risk Register-Model'!$A$85</definedName>
    <definedName name="CBCR_6c7ac7b72af3478b801f8a229594c4e2" localSheetId="14" hidden="1">'H-Risk Register-Model'!$BC$19</definedName>
    <definedName name="CBCR_6ce496930c584cbda4fe383a63e4a74b" localSheetId="14" hidden="1">'H-Risk Register-Model'!$BC$26</definedName>
    <definedName name="CBCR_6d8a379b7f9e483bb6de758fb2f86638" localSheetId="14" hidden="1">'H-Risk Register-Model'!$BB$17&amp;": "&amp;'H-Risk Register-Model'!$A$42</definedName>
    <definedName name="CBCR_6df7b7cbd3954c3499d9572fc6d82802" localSheetId="14" hidden="1">'H-Risk Register-Model'!$BB$17&amp;": "&amp;'H-Risk Register-Model'!$A$62</definedName>
    <definedName name="CBCR_6e2b50e6a7c84497b34797c590ad19ca" localSheetId="14" hidden="1">'H-Risk Register-Model'!$AU$17&amp;": "&amp;'H-Risk Register-Model'!$A$35</definedName>
    <definedName name="CBCR_6f1cd542b215464b908c3d3005090c30" localSheetId="14" hidden="1">'H-Risk Register-Model'!$AV$103</definedName>
    <definedName name="CBCR_6f715391b12743d99690ef80fd9fd397" localSheetId="14" hidden="1">'H-Risk Register-Model'!$AD$17&amp;": "&amp;'H-Risk Register-Model'!$A$18&amp;" - "&amp;'H-Risk Register-Model'!$C$18</definedName>
    <definedName name="CBCR_7020e07547cf4921a561191f0524825f" localSheetId="14" hidden="1">'H-Risk Register-Model'!$AV$65</definedName>
    <definedName name="CBCR_7089c2d0599249cca726db0d0a19278c" localSheetId="14" hidden="1">'H-Risk Register-Model'!$BC$25</definedName>
    <definedName name="CBCR_70e33bb7b00e471381aa17f2256d6918" localSheetId="14" hidden="1">'H-Risk Register-Model'!$BC$52</definedName>
    <definedName name="CBCR_72ddbfab5b734a8d8898cc04a9105e85" localSheetId="14" hidden="1">'H-Risk Register-Model'!$BB$17&amp;": "&amp;'H-Risk Register-Model'!$A$93</definedName>
    <definedName name="CBCR_737f8c5dfd1e44ff91b18aef2fb9d2d1" localSheetId="14" hidden="1">'H-Risk Register-Model'!$U$18</definedName>
    <definedName name="CBCR_7396f4bc8edf4adc8e8f59ac3ea7ffa5" localSheetId="14" hidden="1">'H-Risk Register-Model'!$BC$22</definedName>
    <definedName name="CBCR_73f8fa276868435c8b68ba6e2ba91512" localSheetId="14" hidden="1">'H-Risk Register-Model'!$AV$95</definedName>
    <definedName name="CBCR_748a9b828b264692bde3502e7ae3c318" localSheetId="14" hidden="1">'H-Risk Register-Model'!$AV$39</definedName>
    <definedName name="CBCR_74ab813ccabc4c29b3fdc59ef9140d34" localSheetId="14" hidden="1">'H-Risk Register-Model'!$AU$17&amp;": "&amp;'H-Risk Register-Model'!$A$41</definedName>
    <definedName name="CBCR_76010a21a9ab4626b0c2edd79399dc93" localSheetId="14" hidden="1">'H-Risk Register-Model'!$BB$17&amp;": "&amp;'H-Risk Register-Model'!$A$115</definedName>
    <definedName name="CBCR_76403c46a7f94426915c096863e530c2" localSheetId="14" hidden="1">'H-Risk Register-Model'!$BC$80</definedName>
    <definedName name="CBCR_7829443cdb3f4c8299a1341ce17143c2" localSheetId="14" hidden="1">'H-Risk Register-Model'!$BC$55</definedName>
    <definedName name="CBCR_79a793e1b50c43948ef39659ecaa62ef" localSheetId="14" hidden="1">'H-Risk Register-Model'!$AU$17&amp;": "&amp;'H-Risk Register-Model'!$A$102</definedName>
    <definedName name="CBCR_7a3a055c36a14f4e83d88c2b6ed1696b" localSheetId="14" hidden="1">'H-Risk Register-Model'!$AU$17&amp;": "&amp;'H-Risk Register-Model'!$A$106</definedName>
    <definedName name="CBCR_7adac38328544a249d36400424055045" localSheetId="14" hidden="1">'H-Risk Register-Model'!$AV$108</definedName>
    <definedName name="CBCR_7bfc5dc4d9a24a70a7cb9dc6a1a3772f" localSheetId="14" hidden="1">'H-Risk Register-Model'!$AV$72</definedName>
    <definedName name="CBCR_7ceab537f2534b7d975d168aa61c3c21" localSheetId="14" hidden="1">'H-Risk Register-Model'!$AV$43</definedName>
    <definedName name="CBCR_7e6792a4f278498886c0f749ea03ff5c" localSheetId="14" hidden="1">'H-Risk Register-Model'!$BB$17&amp;": "&amp;'H-Risk Register-Model'!$A$70</definedName>
    <definedName name="CBCR_7fa793bc8aac4e9da87fc1390faa4f87" localSheetId="14" hidden="1">'H-Risk Register-Model'!$AV$88</definedName>
    <definedName name="CBCR_7fabc6db58a0498fa2fc4f04bc42bcb2" localSheetId="14" hidden="1">'H-Risk Register-Model'!$BC$18</definedName>
    <definedName name="CBCR_806e0a70bd5e44e4a5ca5a43d018ff74" localSheetId="14" hidden="1">'H-Risk Register-Model'!$BC$81</definedName>
    <definedName name="CBCR_81bb0d94a73e4e68ab07d1c9bed50337" localSheetId="14" hidden="1">'H-Risk Register-Model'!$BB$17&amp;": "&amp;'H-Risk Register-Model'!$A$107</definedName>
    <definedName name="CBCR_81d80672200b4f99a8046b49dc048d64" localSheetId="14" hidden="1">'H-Risk Register-Model'!$AU$17&amp;": "&amp;'H-Risk Register-Model'!$A$46</definedName>
    <definedName name="CBCR_82155674f4c74a578e2bd005bf5beb7c" localSheetId="14" hidden="1">'H-Risk Register-Model'!$BB$17&amp;": "&amp;'H-Risk Register-Model'!$A$64</definedName>
    <definedName name="CBCR_829fba1eccd048c79618b175b2f044a7" localSheetId="14" hidden="1">'H-Risk Register-Model'!$AV$24</definedName>
    <definedName name="CBCR_831f0af1d1a44768b18ac0c9a233a076" localSheetId="14" hidden="1">'H-Risk Register-Model'!$AC$18</definedName>
    <definedName name="CBCR_835b20499fd14410ae3764705ef6a0c2" localSheetId="14" hidden="1">'H-Risk Register-Model'!$AV$59</definedName>
    <definedName name="CBCR_85154d86648f4b7ebfc075949b9f639d" localSheetId="14" hidden="1">'H-Risk Register-Model'!$AU$17&amp;": "&amp;'H-Risk Register-Model'!$A$30</definedName>
    <definedName name="CBCR_85166b146acd4643a2df03cc2b48f4ae" localSheetId="14" hidden="1">'H-Risk Register-Model'!$AU$17&amp;": "&amp;'H-Risk Register-Model'!$A$68</definedName>
    <definedName name="CBCR_85e75d472033492f85f2fe5d2bf362b8" localSheetId="14" hidden="1">'H-Risk Register-Model'!$AU$17&amp;": "&amp;'H-Risk Register-Model'!$A$70</definedName>
    <definedName name="CBCR_867d96a17a844408876fb6a01548947e" localSheetId="14" hidden="1">'H-Risk Register-Model'!$BC$90</definedName>
    <definedName name="CBCR_86c31f13c2974ddcaffc35ca9c1ffce5" localSheetId="14" hidden="1">'H-Risk Register-Model'!$BC$42</definedName>
    <definedName name="CBCR_873c3da24bb049ca8e7605ec1b287a24" localSheetId="14" hidden="1">'H-Risk Register-Model'!$AU$17&amp;": "&amp;'H-Risk Register-Model'!$A$89</definedName>
    <definedName name="CBCR_876f9a87175c4d9e8e84a7b3df99229a" localSheetId="14" hidden="1">'H-Risk Register-Model'!$AU$17&amp;": "&amp;'H-Risk Register-Model'!$A$32</definedName>
    <definedName name="CBCR_883db6b975a743458c84be6f14b099f4" localSheetId="14" hidden="1">'H-Risk Register-Model'!$BC$98</definedName>
    <definedName name="CBCR_8858a5eb29164b1eaa5c44f42514701f" localSheetId="14" hidden="1">'H-Risk Register-Model'!$BC$87</definedName>
    <definedName name="CBCR_8a12b10ca34d433b8da38d320eeb858b" localSheetId="14" hidden="1">'H-Risk Register-Model'!$AU$17&amp;": "&amp;'H-Risk Register-Model'!$A$58</definedName>
    <definedName name="CBCR_8af90674fb24490da8617cbbd16891f4" localSheetId="14" hidden="1">'H-Risk Register-Model'!$AU$17&amp;": "&amp;'H-Risk Register-Model'!$A$23</definedName>
    <definedName name="CBCR_8b4b19a48eed451486b8eebc676787f4" localSheetId="14" hidden="1">'H-Risk Register-Model'!$BB$17&amp;": "&amp;'H-Risk Register-Model'!$A$58</definedName>
    <definedName name="CBCR_8b51b85d00d44853a69c7624cbaaeb58" localSheetId="14" hidden="1">'H-Risk Register-Model'!$AV$70</definedName>
    <definedName name="CBCR_8b825c07be7d44ffb45d636ba5a0a806" localSheetId="14" hidden="1">'H-Risk Register-Model'!$BB$17&amp;": "&amp;'H-Risk Register-Model'!$A$68</definedName>
    <definedName name="CBCR_8bcd8ad22ec44aa1a78b458fb9de030e" localSheetId="14" hidden="1">'H-Risk Register-Model'!$AU$17&amp;": "&amp;'H-Risk Register-Model'!$A$54</definedName>
    <definedName name="CBCR_8cebc6ad72da4730a5d08ebc7c4cc3de" localSheetId="14" hidden="1">'H-Risk Register-Model'!$AV$80</definedName>
    <definedName name="CBCR_9005b0bc663740aea4ca2e7df0df1626" localSheetId="14" hidden="1">'H-Risk Register-Model'!$AV$91</definedName>
    <definedName name="CBCR_90988a64b5ef42d987f4722a2167af0c" localSheetId="14" hidden="1">'H-Risk Register-Model'!$AV$33</definedName>
    <definedName name="CBCR_918701f693ce46afb2d4026efe033e9d" localSheetId="14" hidden="1">'H-Risk Register-Model'!$AU$17&amp;": "&amp;'H-Risk Register-Model'!$A$95</definedName>
    <definedName name="CBCR_93900032d36c4de6b70a928b5544c192" localSheetId="14" hidden="1">'H-Risk Register-Model'!$BC$115</definedName>
    <definedName name="CBCR_93f207fe1a8d4ec78f2efa6eaa117f65" localSheetId="14" hidden="1">'H-Risk Register-Model'!$AU$17&amp;": "&amp;'H-Risk Register-Model'!$A$115</definedName>
    <definedName name="CBCR_943b792898654977ba219db7e17f2708" localSheetId="14" hidden="1">'H-Risk Register-Model'!$BB$17&amp;": "&amp;'H-Risk Register-Model'!$A$41</definedName>
    <definedName name="CBCR_94def6942efe46d3b7f5fb3019240670" localSheetId="14" hidden="1">'H-Risk Register-Model'!$T$18</definedName>
    <definedName name="CBCR_98be99c43d69445e849acdcbea5bac6f" localSheetId="14" hidden="1">'H-Risk Register-Model'!$AU$17&amp;": "&amp;'H-Risk Register-Model'!$A$90</definedName>
    <definedName name="CBCR_990f9d2c6a814ad395e77ea4685ead6a" localSheetId="14" hidden="1">'H-Risk Register-Model'!$BB$17&amp;": "&amp;'H-Risk Register-Model'!$A$79</definedName>
    <definedName name="CBCR_9a1e5b16933f43f7854b174151f2d4aa" localSheetId="14" hidden="1">'H-Risk Register-Model'!$BC$60</definedName>
    <definedName name="CBCR_9a5353855d7649d8b6a7cbafbed67577" localSheetId="14" hidden="1">'H-Risk Register-Model'!$AV$109</definedName>
    <definedName name="CBCR_9b4364e551e74a01aa842d7c0fa2cf9d" localSheetId="14" hidden="1">'H-Risk Register-Model'!$BB$17&amp;": "&amp;'H-Risk Register-Model'!$A$32</definedName>
    <definedName name="CBCR_9cd2ade3ed38429994f9dfa50aaddbed" localSheetId="14" hidden="1">'H-Risk Register-Model'!$AU$17&amp;": "&amp;'H-Risk Register-Model'!$A$19</definedName>
    <definedName name="CBCR_9d33fe49d87e4d719ecfd773080a1ae0" localSheetId="14" hidden="1">'H-Risk Register-Model'!$BC$64</definedName>
    <definedName name="CBCR_9d409009d8eb4437beb9fd295748bcf4" localSheetId="14" hidden="1">'H-Risk Register-Model'!$BB$17&amp;": "&amp;'H-Risk Register-Model'!$A$39</definedName>
    <definedName name="CBCR_9f6f0f7a19044daeae909139f0e65dd6" localSheetId="14" hidden="1">'H-Risk Register-Model'!$BB$17&amp;": "&amp;'H-Risk Register-Model'!$A$38</definedName>
    <definedName name="CBCR_9f83147757e7471d837097a7b75198a2" localSheetId="14" hidden="1">'H-Risk Register-Model'!$BB$17&amp;": "&amp;'H-Risk Register-Model'!$A$55</definedName>
    <definedName name="CBCR_a00b71d19b3b48149367fd7cc48786eb" localSheetId="14" hidden="1">'H-Risk Register-Model'!$BC$43</definedName>
    <definedName name="CBCR_a03a4ae71ac54f138aa742ca396d08f5" localSheetId="14" hidden="1">'H-Risk Register-Model'!$AU$17&amp;": "&amp;'H-Risk Register-Model'!$A$76</definedName>
    <definedName name="CBCR_a0b875e7951f4f4bbd90084843fa9571" localSheetId="14" hidden="1">'H-Risk Register-Model'!$AU$17&amp;": "&amp;'H-Risk Register-Model'!$A$40</definedName>
    <definedName name="CBCR_a1a6a8b12a8047969f6fbd5da992b934" localSheetId="14" hidden="1">'H-Risk Register-Model'!$BC$28</definedName>
    <definedName name="CBCR_a1d2504b43134c7f80a3bf6ed75e8318" localSheetId="14" hidden="1">'H-Risk Register-Model'!$BC$68</definedName>
    <definedName name="CBCR_a2686b3641be48c9a2ef195a37e032c7" localSheetId="14" hidden="1">'H-Risk Register-Model'!$BC$114</definedName>
    <definedName name="CBCR_a41e7777684a4a1c962e0e381aeb59fb" localSheetId="14" hidden="1">'H-Risk Register-Model'!$BB$17&amp;": "&amp;'H-Risk Register-Model'!$A$45</definedName>
    <definedName name="CBCR_a585e999156c484aa4fb93cbf2620ab1" localSheetId="14" hidden="1">'H-Risk Register-Model'!$AV$114</definedName>
    <definedName name="CBCR_a6551f2b335a42cab2c0ba9f31980c95" localSheetId="14" hidden="1">'H-Risk Register-Model'!$AU$17&amp;": "&amp;'H-Risk Register-Model'!$A$36</definedName>
    <definedName name="CBCR_a6898547b46e487880b6e63f34a80cf2" localSheetId="14" hidden="1">'H-Risk Register-Model'!$BB$17&amp;": "&amp;'H-Risk Register-Model'!$A$83</definedName>
    <definedName name="CBCR_a6974973edfc47bab32f28a5d23c4cc6" localSheetId="14" hidden="1">'H-Risk Register-Model'!$AV$20</definedName>
    <definedName name="CBCR_a7b705719edf42dd99fbe14a7a9df3f5" localSheetId="14" hidden="1">'H-Risk Register-Model'!$BC$94</definedName>
    <definedName name="CBCR_a7bf310438574020b17cc34d0494de9b" localSheetId="14" hidden="1">'H-Risk Register-Model'!$BC$50</definedName>
    <definedName name="CBCR_a7db5c28ba884aef8a31481820694c0e" localSheetId="14" hidden="1">'H-Risk Register-Model'!$BC$36</definedName>
    <definedName name="CBCR_a7ee40ce7e98486182bca2ac779a7864" localSheetId="14" hidden="1">'H-Risk Register-Model'!$AU$17&amp;": "&amp;'H-Risk Register-Model'!$A$64</definedName>
    <definedName name="CBCR_a9053f10e9e44044b30cbaa7fbc1fec8" localSheetId="15" hidden="1">'I-Project Contingency'!$E$76</definedName>
    <definedName name="CBCR_a9b203e3b685400ab4702be3f646421b" localSheetId="14" hidden="1">'H-Risk Register-Model'!$BC$59</definedName>
    <definedName name="CBCR_ab133001228c4b698252abb6e2a28b19" localSheetId="14" hidden="1">'H-Risk Register-Model'!$BB$17&amp;": "&amp;'H-Risk Register-Model'!$A$60</definedName>
    <definedName name="CBCR_ab83f6b0118e4c5c96fc4437563016d0" localSheetId="14" hidden="1">'H-Risk Register-Model'!$BB$17&amp;": "&amp;'H-Risk Register-Model'!$A$63</definedName>
    <definedName name="CBCR_ac02cb5cc04b4edfb28fafe047820822" localSheetId="14" hidden="1">'H-Risk Register-Model'!$AU$17&amp;": "&amp;'H-Risk Register-Model'!$A$86</definedName>
    <definedName name="CBCR_ac710a2b04794d8b8502030e292f687a" localSheetId="14" hidden="1">'H-Risk Register-Model'!$BB$17&amp;": "&amp;'H-Risk Register-Model'!$A$109</definedName>
    <definedName name="CBCR_ad078995b1cb4386a7b7c03538ce89ab" localSheetId="14" hidden="1">'H-Risk Register-Model'!$AU$17&amp;": "&amp;'H-Risk Register-Model'!$A$81</definedName>
    <definedName name="CBCR_ae0bda7ec9ae444da58c714caf87a197" localSheetId="14" hidden="1">'H-Risk Register-Model'!$AV$104</definedName>
    <definedName name="CBCR_ae8535cf24064f2b9b9d6d702f45bbde" localSheetId="14" hidden="1">'H-Risk Register-Model'!$BC$91</definedName>
    <definedName name="CBCR_aed85d4b955c4cb1b7087e937af16ef1" localSheetId="14" hidden="1">'H-Risk Register-Model'!$AU$17&amp;": "&amp;'H-Risk Register-Model'!$A$20</definedName>
    <definedName name="CBCR_aefaa8e6658e4b8b888dd7aaa9d38cfb" localSheetId="14" hidden="1">'H-Risk Register-Model'!$AU$17&amp;": "&amp;'H-Risk Register-Model'!$A$53</definedName>
    <definedName name="CBCR_afa049a98592485e989d15a23238172b" localSheetId="14" hidden="1">'H-Risk Register-Model'!$AV$29</definedName>
    <definedName name="CBCR_b01e15c69248481cb974fe9fb928cf26" localSheetId="14" hidden="1">'H-Risk Register-Model'!$AV$42</definedName>
    <definedName name="CBCR_b02560a7d519449db9bc4c190ffb48a2" localSheetId="14" hidden="1">'H-Risk Register-Model'!$AV$82</definedName>
    <definedName name="CBCR_b0550856ae244ae2b57155ebb9fa64d8" localSheetId="14" hidden="1">'H-Risk Register-Model'!$BB$17&amp;": "&amp;'H-Risk Register-Model'!$A$96</definedName>
    <definedName name="CBCR_b151ecd8b7f04bcd87f69e688e86117c" localSheetId="14" hidden="1">'H-Risk Register-Model'!$AU$17&amp;": "&amp;'H-Risk Register-Model'!$A$22</definedName>
    <definedName name="CBCR_b17fcd6de06c4ae98a8a520f9895121d" localSheetId="14" hidden="1">'H-Risk Register-Model'!$AV$27</definedName>
    <definedName name="CBCR_b1be4c7b8360433a84a0109decf6db87" localSheetId="14" hidden="1">'H-Risk Register-Model'!$BC$47</definedName>
    <definedName name="CBCR_b213f3002cda427691496bc5d658e82e" localSheetId="14" hidden="1">'H-Risk Register-Model'!$BC$104</definedName>
    <definedName name="CBCR_b21fad2a39ef49c5a48a593954303f18" localSheetId="14" hidden="1">'H-Risk Register-Model'!$BC$93</definedName>
    <definedName name="CBCR_b24bdc96a139456eac0ee33ef8192b4a" localSheetId="14" hidden="1">'H-Risk Register-Model'!$AU$17&amp;": "&amp;'H-Risk Register-Model'!$A$92</definedName>
    <definedName name="CBCR_b27e34bc2e744c27be6826d8e11f3f4c" localSheetId="14" hidden="1">'H-Risk Register-Model'!$AV$112</definedName>
    <definedName name="CBCR_b28314488b72412d8e456b3636d6b5d6" localSheetId="14" hidden="1">'H-Risk Register-Model'!$BC$56</definedName>
    <definedName name="CBCR_b2b9b043b74d4bd980ede10a7ddb6ab9" localSheetId="14" hidden="1">'H-Risk Register-Model'!$AU$17&amp;": "&amp;'H-Risk Register-Model'!$A$111</definedName>
    <definedName name="CBCR_b3474b49f3c148d98376783d5a4b8721" localSheetId="14" hidden="1">'H-Risk Register-Model'!$BC$21</definedName>
    <definedName name="CBCR_b39c99e6f0fe448eb49b56424fdb6dd3" localSheetId="14" hidden="1">'H-Risk Register-Model'!$AV$78</definedName>
    <definedName name="CBCR_b3c9617d7334465eab4b84581d7f96d5" localSheetId="14" hidden="1">'H-Risk Register-Model'!$AU$17&amp;": "&amp;'H-Risk Register-Model'!$A$110</definedName>
    <definedName name="CBCR_b3e988f6188a483181bb3efaf5b76441" localSheetId="14" hidden="1">'H-Risk Register-Model'!$AU$17&amp;": "&amp;'H-Risk Register-Model'!$A$62</definedName>
    <definedName name="CBCR_b41993aeedfa49b1bd9c3811d6976303" localSheetId="14" hidden="1">'H-Risk Register-Model'!$BB$17&amp;": "&amp;'H-Risk Register-Model'!$A$49</definedName>
    <definedName name="CBCR_b43e78bac32c481887604ef62a6703fa" localSheetId="14" hidden="1">'H-Risk Register-Model'!$BB$17&amp;": "&amp;'H-Risk Register-Model'!$A$44</definedName>
    <definedName name="CBCR_b5044300aa5d4c38bcadca51aef9c489" localSheetId="14" hidden="1">'H-Risk Register-Model'!$AU$17&amp;": "&amp;'H-Risk Register-Model'!$A$96</definedName>
    <definedName name="CBCR_b59252ce2b424103a7d3fa71085d0e4d" localSheetId="14" hidden="1">'H-Risk Register-Model'!$BB$17&amp;": "&amp;'H-Risk Register-Model'!$A$19</definedName>
    <definedName name="CBCR_b647d5e9e0304ab19b2bbc99aba7b67b" localSheetId="14" hidden="1">'H-Risk Register-Model'!$BB$17&amp;": "&amp;'H-Risk Register-Model'!$A$21</definedName>
    <definedName name="CBCR_b6c37dbc578c48c395a4c7512d4c1f24" localSheetId="14" hidden="1">'H-Risk Register-Model'!$AV$53</definedName>
    <definedName name="CBCR_b7be326338f5461bb882ee0ba20d1727" localSheetId="14" hidden="1">'H-Risk Register-Model'!$AU$17&amp;": "&amp;'H-Risk Register-Model'!$A$82</definedName>
    <definedName name="CBCR_b8051524a09e480f86ed869a018dbf06" localSheetId="14" hidden="1">'H-Risk Register-Model'!$AU$17&amp;": "&amp;'H-Risk Register-Model'!$A$28</definedName>
    <definedName name="CBCR_b859007f889d4de29cb85e42e5fea664" localSheetId="14" hidden="1">'H-Risk Register-Model'!$AU$17&amp;": "&amp;'H-Risk Register-Model'!$A$21</definedName>
    <definedName name="CBCR_b974ae7c4a3b42f5b902cbf7ad6fa9f5" localSheetId="14" hidden="1">'H-Risk Register-Model'!$AU$17&amp;": "&amp;'H-Risk Register-Model'!$A$47</definedName>
    <definedName name="CBCR_ba912016796342eaaf7076597d417a64" localSheetId="14" hidden="1">'H-Risk Register-Model'!$AU$17&amp;": "&amp;'H-Risk Register-Model'!$A$93</definedName>
    <definedName name="CBCR_bab2a687ca2c44588129ce7fa3b6e3a9" localSheetId="14" hidden="1">'H-Risk Register-Model'!$AU$17&amp;": "&amp;'H-Risk Register-Model'!$A$87</definedName>
    <definedName name="CBCR_baba1faa7a2545a282839e183c736a0c" localSheetId="14" hidden="1">'H-Risk Register-Model'!$AV$60</definedName>
    <definedName name="CBCR_baf533f1e40b473fb59239fcc481f7fa" localSheetId="14" hidden="1">'H-Risk Register-Model'!$AU$17&amp;": "&amp;'H-Risk Register-Model'!$A$112</definedName>
    <definedName name="CBCR_bb18fa306e344188a63e63bf7befea18" localSheetId="14" hidden="1">'H-Risk Register-Model'!$BB$17&amp;": "&amp;'H-Risk Register-Model'!$A$102</definedName>
    <definedName name="CBCR_bc2cb4b5e5cf4a4fa442b239915a1a67" localSheetId="14" hidden="1">'H-Risk Register-Model'!$BB$17&amp;": "&amp;'H-Risk Register-Model'!$A$31</definedName>
    <definedName name="CBCR_bc35e50def4c4b408f5b2de12e555cef" localSheetId="14" hidden="1">'H-Risk Register-Model'!$BB$17&amp;": "&amp;'H-Risk Register-Model'!$A$105</definedName>
    <definedName name="CBCR_bcb20a56cc7442628a50016e51711f83" localSheetId="14" hidden="1">'H-Risk Register-Model'!$AU$17&amp;": "&amp;'H-Risk Register-Model'!$A$101</definedName>
    <definedName name="CBCR_bd17a172a9b3445c84bbe400441f03d5" localSheetId="14" hidden="1">'H-Risk Register-Model'!$AU$17&amp;": "&amp;'H-Risk Register-Model'!$A$83</definedName>
    <definedName name="CBCR_bdcc4ab8f5704eb298f90257e4d55a80" localSheetId="14" hidden="1">'H-Risk Register-Model'!$AV$85</definedName>
    <definedName name="CBCR_be25af8b5751474283fddb27a93bccae" localSheetId="14" hidden="1">'H-Risk Register-Model'!$BC$82</definedName>
    <definedName name="CBCR_be562c4b15bf49c193d438b143f158d7" localSheetId="14" hidden="1">'H-Risk Register-Model'!$BC$74</definedName>
    <definedName name="CBCR_becf9555e0cd4d978ef2bbb257a010ae" localSheetId="14" hidden="1">'H-Risk Register-Model'!$AV$89</definedName>
    <definedName name="CBCR_bf3ae407df2f4cd4a0c380834888b128" localSheetId="14" hidden="1">'H-Risk Register-Model'!$AV$51</definedName>
    <definedName name="CBCR_c00e50283d9842749f371a106f688a66" localSheetId="14" hidden="1">'H-Risk Register-Model'!$BB$17&amp;": "&amp;'H-Risk Register-Model'!$A$57</definedName>
    <definedName name="CBCR_c03902a03ef54b13886a9b7a88046f47" localSheetId="14" hidden="1">'H-Risk Register-Model'!$BB$17&amp;": "&amp;'H-Risk Register-Model'!$A$89</definedName>
    <definedName name="CBCR_c10f99d71779410c83653d03466b7893" localSheetId="14" hidden="1">'H-Risk Register-Model'!$BB$17&amp;": "&amp;'H-Risk Register-Model'!$A$22</definedName>
    <definedName name="CBCR_c1574d9f183f44f8adbd53cbc6b26d05" localSheetId="14" hidden="1">'H-Risk Register-Model'!$AV$77</definedName>
    <definedName name="CBCR_c1b108560e5944618c14a82a95d602f6" localSheetId="14" hidden="1">'H-Risk Register-Model'!$AV$50</definedName>
    <definedName name="CBCR_c2b465ca92fb4a9fa1ff5891974e56de" localSheetId="14" hidden="1">'H-Risk Register-Model'!$AV$32</definedName>
    <definedName name="CBCR_c3ea0e1b415d461aa8e06e8b8a6e9457" localSheetId="14" hidden="1">'H-Risk Register-Model'!$AV$58</definedName>
    <definedName name="CBCR_c4579f266e4f4945a92815edad2c5f19" localSheetId="14" hidden="1">'H-Risk Register-Model'!$BB$17&amp;": "&amp;'H-Risk Register-Model'!$A$50</definedName>
    <definedName name="CBCR_c574853cc5914cb5aff0a1247222440f" localSheetId="14" hidden="1">'H-Risk Register-Model'!$AV$48</definedName>
    <definedName name="CBCR_c593639e1c6b4960bc5a0f034faebbca" localSheetId="14" hidden="1">'H-Risk Register-Model'!$AV$115</definedName>
    <definedName name="CBCR_c69f0896fb214a8cba9e18ef41ac55e9" localSheetId="14" hidden="1">'H-Risk Register-Model'!$BC$101</definedName>
    <definedName name="CBCR_c6bef056e85747178023a747a31be6b2" localSheetId="14" hidden="1">'H-Risk Register-Model'!$AU$17&amp;": "&amp;'H-Risk Register-Model'!$A$67</definedName>
    <definedName name="CBCR_c72a44777b524a3e8db747a0ecd7d842" localSheetId="14" hidden="1">'H-Risk Register-Model'!$BB$17&amp;": "&amp;'H-Risk Register-Model'!$A$97</definedName>
    <definedName name="CBCR_c741c590c0e0410588273a825dea0540" localSheetId="14" hidden="1">'H-Risk Register-Model'!$BC$49</definedName>
    <definedName name="CBCR_c8aae55b585d43b99b30879f504bdc0a" localSheetId="14" hidden="1">'H-Risk Register-Model'!$AU$17&amp;": "&amp;'H-Risk Register-Model'!$A$78</definedName>
    <definedName name="CBCR_cb882065a87842bba6dedca34568a879" localSheetId="14" hidden="1">'H-Risk Register-Model'!$AU$17&amp;": "&amp;'H-Risk Register-Model'!$A$74</definedName>
    <definedName name="CBCR_ccbf3b7e8c04453a9f85a807e17f9e84" localSheetId="14" hidden="1">'H-Risk Register-Model'!$BC$63</definedName>
    <definedName name="CBCR_cd4fbec7e7b2449ba28061d1e1f6ac6c" localSheetId="14" hidden="1">'H-Risk Register-Model'!$BB$17&amp;": "&amp;'H-Risk Register-Model'!$A$43</definedName>
    <definedName name="CBCR_cdec82471a8148549bee0e50d6855733" localSheetId="14" hidden="1">'H-Risk Register-Model'!$BB$17&amp;": "&amp;'H-Risk Register-Model'!$A$29</definedName>
    <definedName name="CBCR_ce20156e657e4514b87fd997bbfd709b" localSheetId="14" hidden="1">'H-Risk Register-Model'!$AV$36</definedName>
    <definedName name="CBCR_cfed6ef064194a6393951f8b65ea9160" localSheetId="14" hidden="1">'H-Risk Register-Model'!$S$18</definedName>
    <definedName name="CBCR_d010cb64c1364d10bf019d483057f3e9" localSheetId="14" hidden="1">'H-Risk Register-Model'!$BB$17&amp;": "&amp;'H-Risk Register-Model'!$A$74</definedName>
    <definedName name="CBCR_d10a851622ba4737ab7f886cdd9b7dfa" localSheetId="14" hidden="1">'H-Risk Register-Model'!$BC$30</definedName>
    <definedName name="CBCR_d146167420784826ac2963ca509fe823" localSheetId="14" hidden="1">'H-Risk Register-Model'!$BB$17&amp;": "&amp;'H-Risk Register-Model'!$A$26</definedName>
    <definedName name="CBCR_d148df39c1de4202a2b9ac93d7e9c085" localSheetId="14" hidden="1">'H-Risk Register-Model'!$AU$17&amp;": "&amp;'H-Risk Register-Model'!$A$99</definedName>
    <definedName name="CBCR_d1d666ee6abc4c389c0881fcf760fa72" localSheetId="15" hidden="1">'I-Project Contingency'!$E$61</definedName>
    <definedName name="CBCR_d22e8524a8a64d5383c694aa941abaf3" localSheetId="14" hidden="1">'H-Risk Register-Model'!$BB$17&amp;": "&amp;'H-Risk Register-Model'!$A$111</definedName>
    <definedName name="CBCR_d3578f083c244942b4a6f7281a5c3fdc" localSheetId="14" hidden="1">'H-Risk Register-Model'!$AU$17&amp;": "&amp;'H-Risk Register-Model'!$A$105</definedName>
    <definedName name="CBCR_d358675a3b384d48ae0d10b85e031358" localSheetId="14" hidden="1">'H-Risk Register-Model'!$AV$68</definedName>
    <definedName name="CBCR_d3ca94ae9d664af19e3c13f12524b929" localSheetId="14" hidden="1">'H-Risk Register-Model'!$AU$17&amp;": "&amp;'H-Risk Register-Model'!$A$88</definedName>
    <definedName name="CBCR_d4ad8c5cddc34d84a799d14e4bcf3ca4" localSheetId="14" hidden="1">'H-Risk Register-Model'!$AU$17&amp;": "&amp;'H-Risk Register-Model'!$A$24</definedName>
    <definedName name="CBCR_d5380c97efcc4103b7a9f4dd0509e345" localSheetId="14" hidden="1">'H-Risk Register-Model'!$BB$17&amp;": "&amp;'H-Risk Register-Model'!$A$113</definedName>
    <definedName name="CBCR_d573a2f7987541c8a06d4ff5bd5fe9b2" localSheetId="14" hidden="1">'H-Risk Register-Model'!$AU$17&amp;": "&amp;'H-Risk Register-Model'!$A$34</definedName>
    <definedName name="CBCR_d69e9acc8a3f4ed0bf83e65a9e1c5f78" localSheetId="14" hidden="1">'H-Risk Register-Model'!$BB$17&amp;": "&amp;'H-Risk Register-Model'!$A$108</definedName>
    <definedName name="CBCR_d7586e446c574de1a7460acc3c1d6570" localSheetId="14" hidden="1">'H-Risk Register-Model'!$BC$83</definedName>
    <definedName name="CBCR_d7be90e24b5b443893f4755da640dd07" localSheetId="14" hidden="1">'H-Risk Register-Model'!$AV$18</definedName>
    <definedName name="CBCR_d94f555ec2e04939a5965d433a8b743c" localSheetId="14" hidden="1">'H-Risk Register-Model'!$BC$57</definedName>
    <definedName name="CBCR_d9d2e65359004b2ca51c78c04afd2274" localSheetId="14" hidden="1">'H-Risk Register-Model'!$AU$17&amp;": "&amp;'H-Risk Register-Model'!$A$55</definedName>
    <definedName name="CBCR_dae34285f8a144ad8dca15562dbe9285" localSheetId="14" hidden="1">'H-Risk Register-Model'!$BC$108</definedName>
    <definedName name="CBCR_db34bddb9fc244b2b8ec721e26d28bc7" localSheetId="14" hidden="1">'H-Risk Register-Model'!$AV$74</definedName>
    <definedName name="CBCR_db717b231ce142b484e8e7821c1adf29" localSheetId="14" hidden="1">'H-Risk Register-Model'!$AU$17&amp;": "&amp;'H-Risk Register-Model'!$A$63</definedName>
    <definedName name="CBCR_dbff7c76a9044ce19707d4896fdd0b96" localSheetId="14" hidden="1">'H-Risk Register-Model'!$BB$17&amp;": "&amp;'H-Risk Register-Model'!$A$99</definedName>
    <definedName name="CBCR_dc863b77b59149e9a12c0f01f8282536" localSheetId="14" hidden="1">'H-Risk Register-Model'!$AV$19</definedName>
    <definedName name="CBCR_dc936bb268914d74b3c9d4bf8cf38d4f" localSheetId="14" hidden="1">'H-Risk Register-Model'!$BC$61</definedName>
    <definedName name="CBCR_dd70c076e7bb48b0946f58e960eefeba" localSheetId="14" hidden="1">'H-Risk Register-Model'!$AV$45</definedName>
    <definedName name="CBCR_dddb6b3d7235467faaa737aeb500ddb2" localSheetId="14" hidden="1">'H-Risk Register-Model'!$BC$111</definedName>
    <definedName name="CBCR_de78740072084489ae65083339773335" localSheetId="14" hidden="1">'H-Risk Register-Model'!$AU$17&amp;": "&amp;'H-Risk Register-Model'!$A$25</definedName>
    <definedName name="CBCR_df8f37c830534903ab93ff77c081f494" localSheetId="14" hidden="1">'H-Risk Register-Model'!$AV$28</definedName>
    <definedName name="CBCR_e003a3189b5a490fa1b828fdc3abba9b" localSheetId="14" hidden="1">'H-Risk Register-Model'!$BB$17&amp;": "&amp;'H-Risk Register-Model'!$A$67</definedName>
    <definedName name="CBCR_e0393c77029b4acabea54498a07a99c1" localSheetId="14" hidden="1">'H-Risk Register-Model'!$AU$17&amp;": "&amp;'H-Risk Register-Model'!$A$91</definedName>
    <definedName name="CBCR_e04c877174bc411585d0f522fd76a551" localSheetId="14" hidden="1">'H-Risk Register-Model'!$AV$26</definedName>
    <definedName name="CBCR_e0b9e965f0684ebf899b89e490bba98c" localSheetId="14" hidden="1">'H-Risk Register-Model'!$BC$33</definedName>
    <definedName name="CBCR_e0bfb5e9c27e42a180ca34e3a3d3dff7" localSheetId="14" hidden="1">'H-Risk Register-Model'!$BC$103</definedName>
    <definedName name="CBCR_e0ca4c8aecaf47db9c40be55de5dbecb" localSheetId="14" hidden="1">'H-Risk Register-Model'!$BB$17&amp;": "&amp;'H-Risk Register-Model'!$A$23</definedName>
    <definedName name="CBCR_e0fcbf4a3f29471d827b59fdc9a84f64" localSheetId="14" hidden="1">'H-Risk Register-Model'!$AU$17&amp;": "&amp;'H-Risk Register-Model'!$A$73</definedName>
    <definedName name="CBCR_e22c279de83f4256a68ead1a358ff0d0" localSheetId="14" hidden="1">'H-Risk Register-Model'!$BB$17&amp;": "&amp;'H-Risk Register-Model'!$A$91</definedName>
    <definedName name="CBCR_e2cd03c6e56245d88e9ae6cd6d781d6a" localSheetId="14" hidden="1">'H-Risk Register-Model'!$AV$35</definedName>
    <definedName name="CBCR_e2e012f4fd41489a9184be957acca336" localSheetId="14" hidden="1">'H-Risk Register-Model'!$AU$17&amp;": "&amp;'H-Risk Register-Model'!$A$48</definedName>
    <definedName name="CBCR_e31ecfeb5f5842a8b12fc8752d2b7df7" localSheetId="14" hidden="1">'H-Risk Register-Model'!$AU$17&amp;": "&amp;'H-Risk Register-Model'!$A$98</definedName>
    <definedName name="CBCR_e33a35ea78a64c009407dc149303fceb" localSheetId="14" hidden="1">'H-Risk Register-Model'!$AU$17&amp;": "&amp;'H-Risk Register-Model'!$A$59</definedName>
    <definedName name="CBCR_e3e3cb04ed354bd1bbee0da5063b7606" localSheetId="14" hidden="1">'H-Risk Register-Model'!$BC$76</definedName>
    <definedName name="CBCR_e720516f2e34499eb8072a14fb21bfc2" localSheetId="14" hidden="1">'H-Risk Register-Model'!$AV$83</definedName>
    <definedName name="CBCR_e732c6d7b3bc459b9f1de6bdf8910ea4" localSheetId="14" hidden="1">'H-Risk Register-Model'!$BC$46</definedName>
    <definedName name="CBCR_e7606a69d16c41968428c4103696767d" localSheetId="14" hidden="1">'H-Risk Register-Model'!$AV$84</definedName>
    <definedName name="CBCR_e79274f38554446792d28ec492c7ec9a" localSheetId="14" hidden="1">'H-Risk Register-Model'!$AV$64</definedName>
    <definedName name="CBCR_e7bf3a931c23406386843a4b03232688" localSheetId="14" hidden="1">'H-Risk Register-Model'!$AU$17&amp;": "&amp;'H-Risk Register-Model'!$A$39</definedName>
    <definedName name="CBCR_e8ffe53980de482c8604f155c7dfe41c" localSheetId="14" hidden="1">'H-Risk Register-Model'!$AV$41</definedName>
    <definedName name="CBCR_e97f2419efc94dd99e58a898cf8c421c" localSheetId="14" hidden="1">'H-Risk Register-Model'!$AU$17&amp;": "&amp;'H-Risk Register-Model'!$A$29</definedName>
    <definedName name="CBCR_e9949d0ce30f40909910d17ee90534a5" localSheetId="14" hidden="1">'H-Risk Register-Model'!$AV$69</definedName>
    <definedName name="CBCR_e997864c960f4dc58b7afc4c061da38f" localSheetId="14" hidden="1">'H-Risk Register-Model'!$BC$24</definedName>
    <definedName name="CBCR_e9b59222211a4d088fb297d51745db1a" localSheetId="14" hidden="1">'H-Risk Register-Model'!$BC$100</definedName>
    <definedName name="CBCR_ea944edc4d834e6ca34ef6982e845480" localSheetId="14" hidden="1">'H-Risk Register-Model'!$BB$17&amp;": "&amp;'H-Risk Register-Model'!$A$59</definedName>
    <definedName name="CBCR_eac4b7ea073741b4b3d51af8ef96b4d5" localSheetId="14" hidden="1">'H-Risk Register-Model'!$AU$17&amp;": "&amp;'H-Risk Register-Model'!$A$33</definedName>
    <definedName name="CBCR_eacb6009962942d99d675e829c88cce5" localSheetId="14" hidden="1">'H-Risk Register-Model'!$BB$17&amp;": "&amp;'H-Risk Register-Model'!$A$94</definedName>
    <definedName name="CBCR_ebcebb3301cf4079a73b06ec2cb4fe35" localSheetId="14" hidden="1">'H-Risk Register-Model'!$BC$84</definedName>
    <definedName name="CBCR_ec04d627cbbc4f8a9995be45f9ceadb5" localSheetId="14" hidden="1">'H-Risk Register-Model'!$AV$113</definedName>
    <definedName name="CBCR_ec0b783b76e64c5597c78cf5dbd9d6d3" localSheetId="14" hidden="1">'H-Risk Register-Model'!$BC$70</definedName>
    <definedName name="CBCR_ed594732063e476b910f403a65bffeff" localSheetId="14" hidden="1">'H-Risk Register-Model'!$BC$69</definedName>
    <definedName name="CBCR_ee42f12ca4a04ceca38a6f8269c2b247" localSheetId="14" hidden="1">'H-Risk Register-Model'!$BB$17&amp;": "&amp;'H-Risk Register-Model'!$A$78</definedName>
    <definedName name="CBCR_ee70295735d14ce3b1b9bfb2077b2aef" localSheetId="14" hidden="1">'H-Risk Register-Model'!$BB$17&amp;": "&amp;'H-Risk Register-Model'!$A$87</definedName>
    <definedName name="CBCR_ee7c60cdc3f94c80897469c05f4f5f2c" localSheetId="14" hidden="1">'H-Risk Register-Model'!$BB$17&amp;": "&amp;'H-Risk Register-Model'!$A$54</definedName>
    <definedName name="CBCR_eeee1cca277f4de09e9e2bfb42957995" localSheetId="14" hidden="1">'H-Risk Register-Model'!$AV$75</definedName>
    <definedName name="CBCR_f0c040c77c07415eaf126329b8c5d445" localSheetId="14" hidden="1">'H-Risk Register-Model'!$AU$17&amp;": "&amp;'H-Risk Register-Model'!$A$72</definedName>
    <definedName name="CBCR_f18ba9404e31477cb652f99211fffdbf" localSheetId="14" hidden="1">'H-Risk Register-Model'!$BC$62</definedName>
    <definedName name="CBCR_f1a2036fe1764c92951195d218936c13" localSheetId="14" hidden="1">'H-Risk Register-Model'!$BC$51</definedName>
    <definedName name="CBCR_f1cbbd2c49084529958366e13c396733" localSheetId="14" hidden="1">'H-Risk Register-Model'!$AV$96</definedName>
    <definedName name="CBCR_f284fdf7ff694616aa18addea4c6d56f" localSheetId="14" hidden="1">'H-Risk Register-Model'!$AV$92</definedName>
    <definedName name="CBCR_f35bae23f6614c5bb8fe4bb1858a5856" localSheetId="14" hidden="1">'H-Risk Register-Model'!$BC$32</definedName>
    <definedName name="CBCR_f41d7b91757240e79ac73a8515e23922" localSheetId="14" hidden="1">'H-Risk Register-Model'!$BC$107</definedName>
    <definedName name="CBCR_f531fc57b56e419683506bbb95f641ac" localSheetId="14" hidden="1">'H-Risk Register-Model'!$AU$17&amp;": "&amp;'H-Risk Register-Model'!$A$94</definedName>
    <definedName name="CBCR_f534a80cf76848d5897aa1fe9822f70f" localSheetId="14" hidden="1">'H-Risk Register-Model'!$BB$17&amp;": "&amp;'H-Risk Register-Model'!$A$77</definedName>
    <definedName name="CBCR_f55077e224f84fcb99cbdb3986ef5e3a" localSheetId="14" hidden="1">'H-Risk Register-Model'!$AU$17&amp;": "&amp;'H-Risk Register-Model'!$A$49</definedName>
    <definedName name="CBCR_f55bb2363ee4414cbc62f3a43736d421" localSheetId="14" hidden="1">'H-Risk Register-Model'!$AU$17&amp;": "&amp;'H-Risk Register-Model'!$A$44</definedName>
    <definedName name="CBCR_f561883f82f740d0a90068fa2edc69ed" localSheetId="14" hidden="1">'H-Risk Register-Model'!$AV$98</definedName>
    <definedName name="CBCR_f57c2790ab5b4105b3f76b8212cdbb32" localSheetId="14" hidden="1">'H-Risk Register-Model'!$BC$102</definedName>
    <definedName name="CBCR_f597edb49cd7407c9ca23f15f15987b4" localSheetId="14" hidden="1">'H-Risk Register-Model'!$AV$81</definedName>
    <definedName name="CBCR_f59d593c9bb14fba995d8f3b197bc26b" localSheetId="14" hidden="1">'H-Risk Register-Model'!$BB$17&amp;": "&amp;'H-Risk Register-Model'!$A$82</definedName>
    <definedName name="CBCR_f5a53a8b77b044fd8bcc80cf1ff5f6be" localSheetId="14" hidden="1">'H-Risk Register-Model'!$BC$48</definedName>
    <definedName name="CBCR_f7d73664c17b4567ad6cb514508a3501" localSheetId="14" hidden="1">'H-Risk Register-Model'!$BC$105</definedName>
    <definedName name="CBCR_f7e1f4b1bfd44541853be170d4652e44" localSheetId="14" hidden="1">'H-Risk Register-Model'!$AV$31</definedName>
    <definedName name="CBCR_f88b1c4349dd4efd89a912fb78ce0157" localSheetId="14" hidden="1">'H-Risk Register-Model'!$BB$17&amp;": "&amp;'H-Risk Register-Model'!$A$46</definedName>
    <definedName name="CBCR_f91e279e73be4feeae8058ab8132513e" localSheetId="14" hidden="1">'H-Risk Register-Model'!$BB$17&amp;": "&amp;'H-Risk Register-Model'!$A$40</definedName>
    <definedName name="CBCR_f951ed2f2dee4f20a5f23b0b60c76fc8" localSheetId="14" hidden="1">'H-Risk Register-Model'!$AV$56</definedName>
    <definedName name="CBCR_f95e68ad9415470fb22f4f1bc0d97501" localSheetId="14" hidden="1">'H-Risk Register-Model'!$BC$39</definedName>
    <definedName name="CBCR_f96251c30f1f4e70b55e1eb3cb4376ad" localSheetId="14" hidden="1">'H-Risk Register-Model'!$AV$93</definedName>
    <definedName name="CBCR_f9e4de1fbcae45ac9a73e69c0e954b0c" localSheetId="14" hidden="1">'H-Risk Register-Model'!$AV$38</definedName>
    <definedName name="CBCR_fb5c90fd9b5e40e1b2516996a653d6ee" localSheetId="14" hidden="1">'H-Risk Register-Model'!$BC$96</definedName>
    <definedName name="CBCR_fbc9ca12041548b8b102eff8990973e3" localSheetId="14" hidden="1">'H-Risk Register-Model'!$BB$17&amp;": "&amp;'H-Risk Register-Model'!$A$81</definedName>
    <definedName name="CBCR_fbed5e0693574757ad12d61a53457e7b" localSheetId="14" hidden="1">'H-Risk Register-Model'!$AV$107</definedName>
    <definedName name="CBCR_fe10807ee7a543de88eb6d35d9549c9f" localSheetId="14" hidden="1">'H-Risk Register-Model'!$BB$17&amp;": "&amp;'H-Risk Register-Model'!$A$76</definedName>
    <definedName name="CBWorkbookPriority" localSheetId="22" hidden="1">-2134897403</definedName>
    <definedName name="CBWorkbookPriority" hidden="1">-1160191503</definedName>
    <definedName name="CBx_1336952eb2114694b667130aa9294537" localSheetId="22" hidden="1">"'CB_DATA_'!$A$1"</definedName>
    <definedName name="CBx_a27905c286384000b9e5bd1207c9cd33" localSheetId="22" hidden="1">"'H-Risk Register-Model'!$A$1"</definedName>
    <definedName name="CBx_f5dd848643d8444687169ee9fdff0c22" localSheetId="22" hidden="1">"'I-Project Contingency'!$A$1"</definedName>
    <definedName name="CBx_Sheet_Guid" localSheetId="22" hidden="1">"'1336952e-b211-4694-b667-130aa9294537"</definedName>
    <definedName name="CBx_Sheet_Guid" localSheetId="14" hidden="1">"'a27905c2-8638-4000-b9e5-bd1207c9cd33"</definedName>
    <definedName name="CBx_Sheet_Guid" localSheetId="15" hidden="1">"'f5dd8486-43d8-4446-8716-9ee9fdff0c22"</definedName>
    <definedName name="CBx_SheetRef" localSheetId="22" hidden="1">CB_DATA_!$A$14</definedName>
    <definedName name="CBx_SheetRef" localSheetId="14" hidden="1">CB_DATA_!$B$14</definedName>
    <definedName name="CBx_SheetRef" localSheetId="15" hidden="1">CB_DATA_!$C$14</definedName>
    <definedName name="CBx_StorageType" localSheetId="22" hidden="1">2</definedName>
    <definedName name="CBx_StorageType" localSheetId="14" hidden="1">2</definedName>
    <definedName name="CBx_StorageType" localSheetId="15" hidden="1">2</definedName>
    <definedName name="CW_WBS">'1-Drop Down List'!$K$5:$K$35</definedName>
    <definedName name="Distri">'1-Drop Down List'!$F$5:$F$16</definedName>
    <definedName name="Impact">'1-Drop Down List'!$E$5:$E$10</definedName>
    <definedName name="Include">'1-Drop Down List'!$B$5:$B$6</definedName>
    <definedName name="LikeH">'1-Drop Down List'!$D$5:$D$11</definedName>
    <definedName name="MILCON_WBS">'1-Drop Down List'!$L$5:$L$50</definedName>
    <definedName name="PD">'1-Drop Down List'!$J$5:$J$20</definedName>
    <definedName name="POC">'1-Drop Down List'!$G$5:$G$26</definedName>
    <definedName name="_xlnm.Print_Area" localSheetId="0">'0-Change Control Log'!$A$7:$D$41</definedName>
    <definedName name="_xlnm.Print_Area" localSheetId="1">'1-Drop Down List'!$B$3:$K$101</definedName>
    <definedName name="_xlnm.Print_Area" localSheetId="3">'2-Risk Register Legend'!$B$2:$B$14</definedName>
    <definedName name="_xlnm.Print_Area" localSheetId="5">'A-Quick Instructions'!$A$1:$B$35</definedName>
    <definedName name="_xlnm.Print_Area" localSheetId="7">'C1-Risk Checklist (MILCON)'!$B$1:$D$452</definedName>
    <definedName name="_xlnm.Print_Area" localSheetId="8">'C2-Risk Checklist (Civil Works)'!$B$1:$D$367</definedName>
    <definedName name="_xlnm.Print_Area" localSheetId="21">'E1-Estimate Summary'!$A$1:$F$76,'E1-Estimate Summary'!$Q$1:$V$26</definedName>
    <definedName name="_xlnm.Print_Area" localSheetId="10">'E-Cost &amp; Schedule Summary'!$A$1:$G$54</definedName>
    <definedName name="_xlnm.Print_Area" localSheetId="13">'G-Assumptions'!$A$1:$L$79</definedName>
    <definedName name="_xlnm.Print_Area" localSheetId="14">'H-Risk Register-Model'!$A$15:$AI$116</definedName>
    <definedName name="_xlnm.Print_Area" localSheetId="15">'I-Project Contingency'!$A$1:$K$57</definedName>
    <definedName name="_xlnm.Print_Area" localSheetId="16">'J-Sensitivity Charts'!$A$1:$K$147</definedName>
    <definedName name="_xlnm.Print_Area" localSheetId="17">'K1-Risk Dashboard (Cost)'!$A$1:$M$50</definedName>
    <definedName name="_xlnm.Print_Area" localSheetId="18">'K2-Risk Dashboard (Schedule)'!$A$1:$M$50</definedName>
    <definedName name="_xlnm.Print_Titles" localSheetId="0">'0-Change Control Log'!$7:$8</definedName>
    <definedName name="_xlnm.Print_Titles" localSheetId="1">'1-Drop Down List'!$3:$4</definedName>
    <definedName name="_xlnm.Print_Titles" localSheetId="3">'2-Risk Register Legend'!$2:$2</definedName>
    <definedName name="_xlnm.Print_Titles" localSheetId="5">'A-Quick Instructions'!$1:$2</definedName>
    <definedName name="_xlnm.Print_Titles" localSheetId="6">'B-Meeting Agenda'!$1:$2</definedName>
    <definedName name="_xlnm.Print_Titles" localSheetId="7">'C1-Risk Checklist (MILCON)'!$1:$3</definedName>
    <definedName name="_xlnm.Print_Titles" localSheetId="8">'C2-Risk Checklist (Civil Works)'!$1:$3</definedName>
    <definedName name="_xlnm.Print_Titles" localSheetId="21">'E1-Estimate Summary'!$1:$2</definedName>
    <definedName name="_xlnm.Print_Titles" localSheetId="11">'E-Cost &amp; Sched Summary (v2)'!$1:$11</definedName>
    <definedName name="_xlnm.Print_Titles" localSheetId="10">'E-Cost &amp; Schedule Summary'!$1:$11</definedName>
    <definedName name="_xlnm.Print_Titles" localSheetId="12">'F-Meeting Attendance'!$1:$2</definedName>
    <definedName name="_xlnm.Print_Titles" localSheetId="14">'H-Risk Register-Model'!$15:$17</definedName>
    <definedName name="_xlnm.Print_Titles" localSheetId="15">'I-Project Contingency'!$1:$15</definedName>
    <definedName name="_xlnm.Print_Titles" localSheetId="16">'J-Sensitivity Charts'!$1:$15</definedName>
    <definedName name="_xlnm.Print_Titles" localSheetId="17">'K1-Risk Dashboard (Cost)'!$1:$39</definedName>
    <definedName name="_xlnm.Print_Titles" localSheetId="18">'K2-Risk Dashboard (Schedule)'!$1:$39</definedName>
    <definedName name="_xlnm.Print_Titles" localSheetId="20">'L-CHARTS FOR REPORT'!$1:$2</definedName>
    <definedName name="_xlnm.Print_Titles" localSheetId="23">'REF Risk Detail Template'!$1:$2</definedName>
    <definedName name="PROGRAM">'1-Drop Down List'!$C$5:$C$7</definedName>
    <definedName name="RT">'1-Drop Down List'!$I$5:$I$41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8" i="12" l="1"/>
  <c r="J18" i="12"/>
  <c r="AA18" i="12"/>
  <c r="BU18" i="12" s="1"/>
  <c r="AB18" i="12"/>
  <c r="AC18" i="12"/>
  <c r="AE18" i="12"/>
  <c r="AG18" i="12"/>
  <c r="AO18" i="12"/>
  <c r="AY18" i="12"/>
  <c r="AZ18" i="12"/>
  <c r="BA18" i="12"/>
  <c r="BF18" i="12"/>
  <c r="BG18" i="12"/>
  <c r="BH18" i="12"/>
  <c r="BS18" i="12"/>
  <c r="BT18" i="12"/>
  <c r="BV18" i="12"/>
  <c r="BW18" i="12"/>
  <c r="BX18" i="12"/>
  <c r="A5" i="52"/>
  <c r="A6" i="52" s="1"/>
  <c r="A7" i="52" s="1"/>
  <c r="A8" i="52" s="1"/>
  <c r="A9" i="52" s="1"/>
  <c r="A10" i="52" s="1"/>
  <c r="A11" i="52" s="1"/>
  <c r="A12" i="52" s="1"/>
  <c r="A13" i="52" s="1"/>
  <c r="A14" i="52" s="1"/>
  <c r="A15" i="52" s="1"/>
  <c r="A16" i="52" s="1"/>
  <c r="A17" i="52" s="1"/>
  <c r="A18" i="52" s="1"/>
  <c r="A19" i="52" s="1"/>
  <c r="A20" i="52" s="1"/>
  <c r="A21" i="52" s="1"/>
  <c r="A22" i="52" s="1"/>
  <c r="A23" i="52" s="1"/>
  <c r="AN18" i="12" l="1"/>
  <c r="AK18" i="12"/>
  <c r="J26" i="12"/>
  <c r="AQ26" i="12" s="1"/>
  <c r="AS26" i="12" s="1"/>
  <c r="AO26" i="12"/>
  <c r="B38" i="11"/>
  <c r="F66" i="11" s="1"/>
  <c r="F74" i="11" s="1"/>
  <c r="AL9" i="12" s="1"/>
  <c r="B39" i="11"/>
  <c r="H4" i="12" s="1"/>
  <c r="B40" i="11"/>
  <c r="F68" i="11" s="1"/>
  <c r="F76" i="11" s="1"/>
  <c r="AL11" i="12" s="1"/>
  <c r="C8" i="7"/>
  <c r="C4" i="12" s="1"/>
  <c r="I66" i="11"/>
  <c r="I67" i="11"/>
  <c r="I68" i="11"/>
  <c r="J67" i="11" s="1"/>
  <c r="I69" i="11"/>
  <c r="J68" i="11" s="1"/>
  <c r="B41" i="11"/>
  <c r="F69" i="11" s="1"/>
  <c r="F77" i="11" s="1"/>
  <c r="AL12" i="12" s="1"/>
  <c r="AP12" i="12" s="1"/>
  <c r="AS12" i="12" s="1"/>
  <c r="I70" i="11"/>
  <c r="B42" i="11"/>
  <c r="F70" i="11" s="1"/>
  <c r="F78" i="11" s="1"/>
  <c r="AL13" i="12" s="1"/>
  <c r="AR13" i="12"/>
  <c r="AE19" i="12"/>
  <c r="AE20" i="12"/>
  <c r="AE21" i="12"/>
  <c r="AE22" i="12"/>
  <c r="AE23" i="12"/>
  <c r="AE24" i="12"/>
  <c r="AE25" i="12"/>
  <c r="AE26" i="12"/>
  <c r="AE27" i="12"/>
  <c r="AE28" i="12"/>
  <c r="AE29" i="12"/>
  <c r="AE30" i="12"/>
  <c r="AE31" i="12"/>
  <c r="AE32" i="12"/>
  <c r="AE33" i="12"/>
  <c r="AE34" i="12"/>
  <c r="AE35" i="12"/>
  <c r="AE36" i="12"/>
  <c r="AE37" i="12"/>
  <c r="AE38" i="12"/>
  <c r="AE39" i="12"/>
  <c r="AE40" i="12"/>
  <c r="AE41" i="12"/>
  <c r="AE42" i="12"/>
  <c r="AE43" i="12"/>
  <c r="AE44" i="12"/>
  <c r="AE45" i="12"/>
  <c r="AE46" i="12"/>
  <c r="AE47" i="12"/>
  <c r="AE48" i="12"/>
  <c r="AE49" i="12"/>
  <c r="AE50" i="12"/>
  <c r="AE51" i="12"/>
  <c r="AE52" i="12"/>
  <c r="AE53" i="12"/>
  <c r="AE54" i="12"/>
  <c r="AE55" i="12"/>
  <c r="AE56" i="12"/>
  <c r="AE57" i="12"/>
  <c r="AE58" i="12"/>
  <c r="AE59" i="12"/>
  <c r="AE60" i="12"/>
  <c r="AE61" i="12"/>
  <c r="AE62" i="12"/>
  <c r="AE63" i="12"/>
  <c r="AE64" i="12"/>
  <c r="AE65" i="12"/>
  <c r="AE66" i="12"/>
  <c r="AE67" i="12"/>
  <c r="AE68" i="12"/>
  <c r="AE69" i="12"/>
  <c r="AE70" i="12"/>
  <c r="AE71" i="12"/>
  <c r="AE72" i="12"/>
  <c r="AE73" i="12"/>
  <c r="AE74" i="12"/>
  <c r="AE75" i="12"/>
  <c r="AE76" i="12"/>
  <c r="AE77" i="12"/>
  <c r="AE78" i="12"/>
  <c r="AE79" i="12"/>
  <c r="AE80" i="12"/>
  <c r="AE81" i="12"/>
  <c r="AE82" i="12"/>
  <c r="AE83" i="12"/>
  <c r="AE84" i="12"/>
  <c r="AE85" i="12"/>
  <c r="AE86" i="12"/>
  <c r="AE87" i="12"/>
  <c r="AE88" i="12"/>
  <c r="AE89" i="12"/>
  <c r="AE90" i="12"/>
  <c r="AE91" i="12"/>
  <c r="AE92" i="12"/>
  <c r="AE93" i="12"/>
  <c r="AE94" i="12"/>
  <c r="AE95" i="12"/>
  <c r="AE96" i="12"/>
  <c r="AE97" i="12"/>
  <c r="AE98" i="12"/>
  <c r="AE99" i="12"/>
  <c r="AE100" i="12"/>
  <c r="AE101" i="12"/>
  <c r="AE102" i="12"/>
  <c r="AE103" i="12"/>
  <c r="AE104" i="12"/>
  <c r="AE105" i="12"/>
  <c r="AE106" i="12"/>
  <c r="AE107" i="12"/>
  <c r="AE108" i="12"/>
  <c r="AE109" i="12"/>
  <c r="AE110" i="12"/>
  <c r="AE111" i="12"/>
  <c r="AE112" i="12"/>
  <c r="AE113" i="12"/>
  <c r="AE114" i="12"/>
  <c r="AE115" i="12"/>
  <c r="AE116" i="12"/>
  <c r="D46" i="7"/>
  <c r="D47" i="7"/>
  <c r="D48" i="7"/>
  <c r="F48" i="7" s="1"/>
  <c r="E11" i="7"/>
  <c r="E40" i="7"/>
  <c r="E39" i="7"/>
  <c r="E38" i="7"/>
  <c r="E37" i="7"/>
  <c r="E36" i="7"/>
  <c r="E35" i="7"/>
  <c r="E34" i="7"/>
  <c r="E33" i="7"/>
  <c r="E32" i="7"/>
  <c r="E31" i="7"/>
  <c r="E30" i="7"/>
  <c r="E29" i="7"/>
  <c r="E28" i="7"/>
  <c r="E27" i="7"/>
  <c r="E26" i="7"/>
  <c r="E25" i="7"/>
  <c r="A19" i="12"/>
  <c r="A20" i="12" s="1"/>
  <c r="BX114" i="12"/>
  <c r="BW114" i="12"/>
  <c r="AC114" i="12"/>
  <c r="BV114" i="12" s="1"/>
  <c r="AA114" i="12"/>
  <c r="BH114" i="12"/>
  <c r="BH19" i="12"/>
  <c r="BH20" i="12"/>
  <c r="BH21" i="12"/>
  <c r="BH22" i="12"/>
  <c r="BH23" i="12"/>
  <c r="BH24" i="12"/>
  <c r="BH25" i="12"/>
  <c r="BH26" i="12"/>
  <c r="BH27" i="12"/>
  <c r="BH28" i="12"/>
  <c r="BH29" i="12"/>
  <c r="BH30" i="12"/>
  <c r="BH31" i="12"/>
  <c r="BH32" i="12"/>
  <c r="BH33" i="12"/>
  <c r="BH34" i="12"/>
  <c r="BH35" i="12"/>
  <c r="BH36" i="12"/>
  <c r="BH37" i="12"/>
  <c r="BH38" i="12"/>
  <c r="BH39" i="12"/>
  <c r="BH40" i="12"/>
  <c r="BH41" i="12"/>
  <c r="BH42" i="12"/>
  <c r="BH43" i="12"/>
  <c r="BH44" i="12"/>
  <c r="BH45" i="12"/>
  <c r="BH46" i="12"/>
  <c r="BH47" i="12"/>
  <c r="BH48" i="12"/>
  <c r="BH49" i="12"/>
  <c r="BH50" i="12"/>
  <c r="BH51" i="12"/>
  <c r="BH52" i="12"/>
  <c r="BH53" i="12"/>
  <c r="BH54" i="12"/>
  <c r="BH55" i="12"/>
  <c r="BH56" i="12"/>
  <c r="BH57" i="12"/>
  <c r="BH58" i="12"/>
  <c r="BH59" i="12"/>
  <c r="BH60" i="12"/>
  <c r="BH61" i="12"/>
  <c r="BH62" i="12"/>
  <c r="BH63" i="12"/>
  <c r="BH64" i="12"/>
  <c r="BH65" i="12"/>
  <c r="BH66" i="12"/>
  <c r="BH67" i="12"/>
  <c r="BH68" i="12"/>
  <c r="BH69" i="12"/>
  <c r="BH70" i="12"/>
  <c r="BH71" i="12"/>
  <c r="BH72" i="12"/>
  <c r="BH73" i="12"/>
  <c r="BH74" i="12"/>
  <c r="BH75" i="12"/>
  <c r="BH76" i="12"/>
  <c r="BH77" i="12"/>
  <c r="BH78" i="12"/>
  <c r="BH79" i="12"/>
  <c r="BH80" i="12"/>
  <c r="BH81" i="12"/>
  <c r="BH82" i="12"/>
  <c r="BH83" i="12"/>
  <c r="BH84" i="12"/>
  <c r="BH85" i="12"/>
  <c r="BH86" i="12"/>
  <c r="BH87" i="12"/>
  <c r="BH88" i="12"/>
  <c r="BH89" i="12"/>
  <c r="BH90" i="12"/>
  <c r="BH91" i="12"/>
  <c r="BH92" i="12"/>
  <c r="BH93" i="12"/>
  <c r="BH94" i="12"/>
  <c r="BH95" i="12"/>
  <c r="BH96" i="12"/>
  <c r="BH97" i="12"/>
  <c r="BH98" i="12"/>
  <c r="BH99" i="12"/>
  <c r="BH100" i="12"/>
  <c r="BH101" i="12"/>
  <c r="BH102" i="12"/>
  <c r="BH103" i="12"/>
  <c r="BH104" i="12"/>
  <c r="BH105" i="12"/>
  <c r="BH106" i="12"/>
  <c r="BH107" i="12"/>
  <c r="BH108" i="12"/>
  <c r="BH109" i="12"/>
  <c r="BH110" i="12"/>
  <c r="BH111" i="12"/>
  <c r="BH112" i="12"/>
  <c r="BH113" i="12"/>
  <c r="BH115" i="12"/>
  <c r="BH116" i="12"/>
  <c r="BG114" i="12"/>
  <c r="BG19" i="12"/>
  <c r="BG20" i="12"/>
  <c r="BG21" i="12"/>
  <c r="BG22" i="12"/>
  <c r="BG23" i="12"/>
  <c r="BG24" i="12"/>
  <c r="BG25" i="12"/>
  <c r="BG26" i="12"/>
  <c r="BG27" i="12"/>
  <c r="BG28" i="12"/>
  <c r="BG29" i="12"/>
  <c r="BG30" i="12"/>
  <c r="BG31" i="12"/>
  <c r="BG32" i="12"/>
  <c r="BG33" i="12"/>
  <c r="BG34" i="12"/>
  <c r="BG35" i="12"/>
  <c r="BG36" i="12"/>
  <c r="BG37" i="12"/>
  <c r="BG38" i="12"/>
  <c r="BG39" i="12"/>
  <c r="BG40" i="12"/>
  <c r="BG41" i="12"/>
  <c r="BG42" i="12"/>
  <c r="BG43" i="12"/>
  <c r="BG44" i="12"/>
  <c r="BG45" i="12"/>
  <c r="BG46" i="12"/>
  <c r="BG47" i="12"/>
  <c r="BG48" i="12"/>
  <c r="BG49" i="12"/>
  <c r="BG50" i="12"/>
  <c r="BG51" i="12"/>
  <c r="BG52" i="12"/>
  <c r="BG53" i="12"/>
  <c r="BG54" i="12"/>
  <c r="BG55" i="12"/>
  <c r="BG56" i="12"/>
  <c r="BG57" i="12"/>
  <c r="BG58" i="12"/>
  <c r="BG59" i="12"/>
  <c r="BG60" i="12"/>
  <c r="BG61" i="12"/>
  <c r="BG62" i="12"/>
  <c r="BG63" i="12"/>
  <c r="BG64" i="12"/>
  <c r="BG65" i="12"/>
  <c r="BG66" i="12"/>
  <c r="BG67" i="12"/>
  <c r="BG68" i="12"/>
  <c r="BG69" i="12"/>
  <c r="BG70" i="12"/>
  <c r="BG71" i="12"/>
  <c r="BG72" i="12"/>
  <c r="BG73" i="12"/>
  <c r="BG74" i="12"/>
  <c r="BG75" i="12"/>
  <c r="BG76" i="12"/>
  <c r="BG77" i="12"/>
  <c r="BG78" i="12"/>
  <c r="BG79" i="12"/>
  <c r="BG80" i="12"/>
  <c r="BG81" i="12"/>
  <c r="BG82" i="12"/>
  <c r="BG83" i="12"/>
  <c r="BG84" i="12"/>
  <c r="BG85" i="12"/>
  <c r="BG86" i="12"/>
  <c r="BG87" i="12"/>
  <c r="BG88" i="12"/>
  <c r="BG89" i="12"/>
  <c r="BG90" i="12"/>
  <c r="BG91" i="12"/>
  <c r="BG92" i="12"/>
  <c r="BG93" i="12"/>
  <c r="BG94" i="12"/>
  <c r="BG95" i="12"/>
  <c r="BG96" i="12"/>
  <c r="BG97" i="12"/>
  <c r="BG98" i="12"/>
  <c r="BG99" i="12"/>
  <c r="BG100" i="12"/>
  <c r="BG101" i="12"/>
  <c r="BG102" i="12"/>
  <c r="BG103" i="12"/>
  <c r="BG104" i="12"/>
  <c r="BG105" i="12"/>
  <c r="BG106" i="12"/>
  <c r="BG107" i="12"/>
  <c r="BG108" i="12"/>
  <c r="BG109" i="12"/>
  <c r="BG110" i="12"/>
  <c r="BG111" i="12"/>
  <c r="BG112" i="12"/>
  <c r="BG113" i="12"/>
  <c r="BG115" i="12"/>
  <c r="BG116" i="12"/>
  <c r="BF114" i="12"/>
  <c r="BF19" i="12"/>
  <c r="BF20" i="12"/>
  <c r="BF21" i="12"/>
  <c r="BF22" i="12"/>
  <c r="BF23" i="12"/>
  <c r="BF24" i="12"/>
  <c r="BF25" i="12"/>
  <c r="BF26" i="12"/>
  <c r="BF27" i="12"/>
  <c r="BF28" i="12"/>
  <c r="BF29" i="12"/>
  <c r="BF30" i="12"/>
  <c r="BF31" i="12"/>
  <c r="BF32" i="12"/>
  <c r="BF33" i="12"/>
  <c r="BF34" i="12"/>
  <c r="BF35" i="12"/>
  <c r="BF36" i="12"/>
  <c r="BF37" i="12"/>
  <c r="BF38" i="12"/>
  <c r="BF39" i="12"/>
  <c r="BF40" i="12"/>
  <c r="BF41" i="12"/>
  <c r="BF42" i="12"/>
  <c r="BF43" i="12"/>
  <c r="BF44" i="12"/>
  <c r="BF45" i="12"/>
  <c r="BF46" i="12"/>
  <c r="BF47" i="12"/>
  <c r="BF48" i="12"/>
  <c r="BF49" i="12"/>
  <c r="BF50" i="12"/>
  <c r="BF51" i="12"/>
  <c r="BF52" i="12"/>
  <c r="BF53" i="12"/>
  <c r="BF54" i="12"/>
  <c r="BF55" i="12"/>
  <c r="BF56" i="12"/>
  <c r="BF57" i="12"/>
  <c r="BF58" i="12"/>
  <c r="BF59" i="12"/>
  <c r="BF60" i="12"/>
  <c r="BF61" i="12"/>
  <c r="BF62" i="12"/>
  <c r="BF63" i="12"/>
  <c r="BF64" i="12"/>
  <c r="BF65" i="12"/>
  <c r="BF66" i="12"/>
  <c r="BF67" i="12"/>
  <c r="BF68" i="12"/>
  <c r="BF69" i="12"/>
  <c r="BF70" i="12"/>
  <c r="BF71" i="12"/>
  <c r="BF72" i="12"/>
  <c r="BF73" i="12"/>
  <c r="BF74" i="12"/>
  <c r="BF75" i="12"/>
  <c r="BF76" i="12"/>
  <c r="BF77" i="12"/>
  <c r="BF78" i="12"/>
  <c r="BF79" i="12"/>
  <c r="BF80" i="12"/>
  <c r="BF81" i="12"/>
  <c r="BF82" i="12"/>
  <c r="BF83" i="12"/>
  <c r="BF84" i="12"/>
  <c r="BF85" i="12"/>
  <c r="BF86" i="12"/>
  <c r="BF87" i="12"/>
  <c r="BF88" i="12"/>
  <c r="BF89" i="12"/>
  <c r="BF90" i="12"/>
  <c r="BF91" i="12"/>
  <c r="BF92" i="12"/>
  <c r="BF93" i="12"/>
  <c r="BF94" i="12"/>
  <c r="BF95" i="12"/>
  <c r="BF96" i="12"/>
  <c r="BF97" i="12"/>
  <c r="BF98" i="12"/>
  <c r="BF99" i="12"/>
  <c r="BF100" i="12"/>
  <c r="BF101" i="12"/>
  <c r="BF102" i="12"/>
  <c r="BF103" i="12"/>
  <c r="BF104" i="12"/>
  <c r="BF105" i="12"/>
  <c r="BF106" i="12"/>
  <c r="BF107" i="12"/>
  <c r="BF108" i="12"/>
  <c r="BF109" i="12"/>
  <c r="BF110" i="12"/>
  <c r="BF111" i="12"/>
  <c r="BF112" i="12"/>
  <c r="BF113" i="12"/>
  <c r="BF115" i="12"/>
  <c r="BF116" i="12"/>
  <c r="BA114" i="12"/>
  <c r="BA19" i="12"/>
  <c r="BA20" i="12"/>
  <c r="BA21" i="12"/>
  <c r="BA22" i="12"/>
  <c r="BA23" i="12"/>
  <c r="BA24" i="12"/>
  <c r="BA25" i="12"/>
  <c r="BA26" i="12"/>
  <c r="BA27" i="12"/>
  <c r="BA28" i="12"/>
  <c r="BA29" i="12"/>
  <c r="BA30" i="12"/>
  <c r="BA31" i="12"/>
  <c r="BA32" i="12"/>
  <c r="BA33" i="12"/>
  <c r="BA34" i="12"/>
  <c r="BA35" i="12"/>
  <c r="BA36" i="12"/>
  <c r="BA37" i="12"/>
  <c r="BA38" i="12"/>
  <c r="BA39" i="12"/>
  <c r="BA40" i="12"/>
  <c r="BA41" i="12"/>
  <c r="BA42" i="12"/>
  <c r="BA43" i="12"/>
  <c r="BA44" i="12"/>
  <c r="BA45" i="12"/>
  <c r="BA46" i="12"/>
  <c r="BA47" i="12"/>
  <c r="BA48" i="12"/>
  <c r="BA49" i="12"/>
  <c r="BA50" i="12"/>
  <c r="BA51" i="12"/>
  <c r="BA52" i="12"/>
  <c r="BA53" i="12"/>
  <c r="BA54" i="12"/>
  <c r="BA55" i="12"/>
  <c r="BA56" i="12"/>
  <c r="BA57" i="12"/>
  <c r="BA58" i="12"/>
  <c r="BA59" i="12"/>
  <c r="BA60" i="12"/>
  <c r="BA61" i="12"/>
  <c r="BA62" i="12"/>
  <c r="BA63" i="12"/>
  <c r="BA64" i="12"/>
  <c r="BA65" i="12"/>
  <c r="BA66" i="12"/>
  <c r="BA67" i="12"/>
  <c r="BA68" i="12"/>
  <c r="BA69" i="12"/>
  <c r="BA70" i="12"/>
  <c r="BA71" i="12"/>
  <c r="BA72" i="12"/>
  <c r="BA73" i="12"/>
  <c r="BA74" i="12"/>
  <c r="BA75" i="12"/>
  <c r="BA76" i="12"/>
  <c r="BA77" i="12"/>
  <c r="BA78" i="12"/>
  <c r="BA79" i="12"/>
  <c r="BA80" i="12"/>
  <c r="BA81" i="12"/>
  <c r="BA82" i="12"/>
  <c r="BA83" i="12"/>
  <c r="BA84" i="12"/>
  <c r="BA85" i="12"/>
  <c r="BA86" i="12"/>
  <c r="BA87" i="12"/>
  <c r="BA88" i="12"/>
  <c r="BA89" i="12"/>
  <c r="BA90" i="12"/>
  <c r="BA91" i="12"/>
  <c r="BA92" i="12"/>
  <c r="BA93" i="12"/>
  <c r="BA94" i="12"/>
  <c r="BA95" i="12"/>
  <c r="BA96" i="12"/>
  <c r="BA97" i="12"/>
  <c r="BA98" i="12"/>
  <c r="BA99" i="12"/>
  <c r="BA100" i="12"/>
  <c r="BA101" i="12"/>
  <c r="BA102" i="12"/>
  <c r="BA103" i="12"/>
  <c r="BA104" i="12"/>
  <c r="BA105" i="12"/>
  <c r="BA106" i="12"/>
  <c r="BA107" i="12"/>
  <c r="BA108" i="12"/>
  <c r="BA109" i="12"/>
  <c r="BA110" i="12"/>
  <c r="BA111" i="12"/>
  <c r="BA112" i="12"/>
  <c r="BA113" i="12"/>
  <c r="BA115" i="12"/>
  <c r="BA116" i="12"/>
  <c r="AZ114" i="12"/>
  <c r="AZ19" i="12"/>
  <c r="AZ20" i="12"/>
  <c r="AZ21" i="12"/>
  <c r="AZ22" i="12"/>
  <c r="AZ23" i="12"/>
  <c r="AZ24" i="12"/>
  <c r="AZ25" i="12"/>
  <c r="AZ26" i="12"/>
  <c r="AZ27" i="12"/>
  <c r="AZ28" i="12"/>
  <c r="AZ29" i="12"/>
  <c r="AZ30" i="12"/>
  <c r="AZ31" i="12"/>
  <c r="AZ32" i="12"/>
  <c r="AZ33" i="12"/>
  <c r="AZ34" i="12"/>
  <c r="AZ35" i="12"/>
  <c r="AZ36" i="12"/>
  <c r="AZ37" i="12"/>
  <c r="AZ38" i="12"/>
  <c r="AZ39" i="12"/>
  <c r="AZ40" i="12"/>
  <c r="AZ41" i="12"/>
  <c r="AZ42" i="12"/>
  <c r="AZ43" i="12"/>
  <c r="AZ44" i="12"/>
  <c r="AZ45" i="12"/>
  <c r="AZ46" i="12"/>
  <c r="AZ47" i="12"/>
  <c r="AZ48" i="12"/>
  <c r="AZ49" i="12"/>
  <c r="AZ50" i="12"/>
  <c r="AZ51" i="12"/>
  <c r="AZ52" i="12"/>
  <c r="AZ53" i="12"/>
  <c r="AZ54" i="12"/>
  <c r="AZ55" i="12"/>
  <c r="AZ56" i="12"/>
  <c r="AZ57" i="12"/>
  <c r="AZ58" i="12"/>
  <c r="AZ59" i="12"/>
  <c r="AZ60" i="12"/>
  <c r="AZ61" i="12"/>
  <c r="AZ62" i="12"/>
  <c r="AZ63" i="12"/>
  <c r="AZ64" i="12"/>
  <c r="AZ65" i="12"/>
  <c r="AZ66" i="12"/>
  <c r="AZ67" i="12"/>
  <c r="AZ68" i="12"/>
  <c r="AZ69" i="12"/>
  <c r="AZ70" i="12"/>
  <c r="AZ71" i="12"/>
  <c r="AZ72" i="12"/>
  <c r="AZ73" i="12"/>
  <c r="AZ74" i="12"/>
  <c r="AZ75" i="12"/>
  <c r="AZ76" i="12"/>
  <c r="AZ77" i="12"/>
  <c r="AZ78" i="12"/>
  <c r="AZ79" i="12"/>
  <c r="AZ80" i="12"/>
  <c r="AZ81" i="12"/>
  <c r="AZ82" i="12"/>
  <c r="AZ83" i="12"/>
  <c r="AZ84" i="12"/>
  <c r="AZ85" i="12"/>
  <c r="AZ86" i="12"/>
  <c r="AZ87" i="12"/>
  <c r="AZ88" i="12"/>
  <c r="AZ89" i="12"/>
  <c r="AZ90" i="12"/>
  <c r="AZ91" i="12"/>
  <c r="AZ92" i="12"/>
  <c r="AZ93" i="12"/>
  <c r="AZ94" i="12"/>
  <c r="AZ95" i="12"/>
  <c r="AZ96" i="12"/>
  <c r="AZ97" i="12"/>
  <c r="AZ98" i="12"/>
  <c r="AZ99" i="12"/>
  <c r="AZ100" i="12"/>
  <c r="AZ101" i="12"/>
  <c r="AZ102" i="12"/>
  <c r="AZ103" i="12"/>
  <c r="AZ104" i="12"/>
  <c r="AZ105" i="12"/>
  <c r="AZ106" i="12"/>
  <c r="AZ107" i="12"/>
  <c r="AZ108" i="12"/>
  <c r="AZ109" i="12"/>
  <c r="AZ110" i="12"/>
  <c r="AZ111" i="12"/>
  <c r="AZ112" i="12"/>
  <c r="AZ113" i="12"/>
  <c r="AZ115" i="12"/>
  <c r="AZ116" i="12"/>
  <c r="AY114" i="12"/>
  <c r="AY19" i="12"/>
  <c r="AY20" i="12"/>
  <c r="AY21" i="12"/>
  <c r="AY22" i="12"/>
  <c r="AY23" i="12"/>
  <c r="AY24" i="12"/>
  <c r="AY25" i="12"/>
  <c r="AY26" i="12"/>
  <c r="AY27" i="12"/>
  <c r="AY28" i="12"/>
  <c r="AY29" i="12"/>
  <c r="AY30" i="12"/>
  <c r="AY31" i="12"/>
  <c r="AY32" i="12"/>
  <c r="AY33" i="12"/>
  <c r="AY34" i="12"/>
  <c r="AY35" i="12"/>
  <c r="AY36" i="12"/>
  <c r="AY37" i="12"/>
  <c r="AY38" i="12"/>
  <c r="AY39" i="12"/>
  <c r="AY40" i="12"/>
  <c r="AY41" i="12"/>
  <c r="AY42" i="12"/>
  <c r="AY43" i="12"/>
  <c r="AY44" i="12"/>
  <c r="AY45" i="12"/>
  <c r="AY46" i="12"/>
  <c r="AY47" i="12"/>
  <c r="AY48" i="12"/>
  <c r="AY49" i="12"/>
  <c r="AY50" i="12"/>
  <c r="AY51" i="12"/>
  <c r="AY52" i="12"/>
  <c r="AY53" i="12"/>
  <c r="AY54" i="12"/>
  <c r="AY55" i="12"/>
  <c r="AY56" i="12"/>
  <c r="AY57" i="12"/>
  <c r="AY58" i="12"/>
  <c r="AY59" i="12"/>
  <c r="AY60" i="12"/>
  <c r="AY61" i="12"/>
  <c r="AY62" i="12"/>
  <c r="AY63" i="12"/>
  <c r="AY64" i="12"/>
  <c r="AY65" i="12"/>
  <c r="AY66" i="12"/>
  <c r="AY67" i="12"/>
  <c r="AY68" i="12"/>
  <c r="AY69" i="12"/>
  <c r="AY70" i="12"/>
  <c r="AY71" i="12"/>
  <c r="AY72" i="12"/>
  <c r="AY73" i="12"/>
  <c r="AY74" i="12"/>
  <c r="AY75" i="12"/>
  <c r="AY76" i="12"/>
  <c r="AY77" i="12"/>
  <c r="AY78" i="12"/>
  <c r="AY79" i="12"/>
  <c r="AY80" i="12"/>
  <c r="AY81" i="12"/>
  <c r="AY82" i="12"/>
  <c r="AY83" i="12"/>
  <c r="AY84" i="12"/>
  <c r="AY85" i="12"/>
  <c r="AY86" i="12"/>
  <c r="AY87" i="12"/>
  <c r="AY88" i="12"/>
  <c r="AY89" i="12"/>
  <c r="AY90" i="12"/>
  <c r="AY91" i="12"/>
  <c r="AY92" i="12"/>
  <c r="AY93" i="12"/>
  <c r="AY94" i="12"/>
  <c r="AY95" i="12"/>
  <c r="AY96" i="12"/>
  <c r="AY97" i="12"/>
  <c r="AY98" i="12"/>
  <c r="AY99" i="12"/>
  <c r="AY100" i="12"/>
  <c r="AY101" i="12"/>
  <c r="AY102" i="12"/>
  <c r="AY103" i="12"/>
  <c r="AY104" i="12"/>
  <c r="AY105" i="12"/>
  <c r="AY106" i="12"/>
  <c r="AY107" i="12"/>
  <c r="AY108" i="12"/>
  <c r="AY109" i="12"/>
  <c r="AY110" i="12"/>
  <c r="AY111" i="12"/>
  <c r="AY112" i="12"/>
  <c r="AY113" i="12"/>
  <c r="AY115" i="12"/>
  <c r="AY116" i="12"/>
  <c r="AG19" i="12"/>
  <c r="AG20" i="12"/>
  <c r="AG21" i="12"/>
  <c r="AG22" i="12"/>
  <c r="AG23" i="12"/>
  <c r="AG24" i="12"/>
  <c r="AG25" i="12"/>
  <c r="AG26" i="12"/>
  <c r="AG27" i="12"/>
  <c r="AG28" i="12"/>
  <c r="AG29" i="12"/>
  <c r="AG30" i="12"/>
  <c r="AG31" i="12"/>
  <c r="AG32" i="12"/>
  <c r="AG33" i="12"/>
  <c r="AG34" i="12"/>
  <c r="AG35" i="12"/>
  <c r="AG36" i="12"/>
  <c r="AG37" i="12"/>
  <c r="AG38" i="12"/>
  <c r="AG39" i="12"/>
  <c r="AG40" i="12"/>
  <c r="AG41" i="12"/>
  <c r="AG42" i="12"/>
  <c r="AG43" i="12"/>
  <c r="AG44" i="12"/>
  <c r="AG45" i="12"/>
  <c r="AG46" i="12"/>
  <c r="AG47" i="12"/>
  <c r="AG48" i="12"/>
  <c r="AG49" i="12"/>
  <c r="AG50" i="12"/>
  <c r="AG51" i="12"/>
  <c r="AG52" i="12"/>
  <c r="AG53" i="12"/>
  <c r="AG54" i="12"/>
  <c r="AG55" i="12"/>
  <c r="AG56" i="12"/>
  <c r="AG57" i="12"/>
  <c r="AG58" i="12"/>
  <c r="AG59" i="12"/>
  <c r="AG60" i="12"/>
  <c r="AG61" i="12"/>
  <c r="AG62" i="12"/>
  <c r="AG63" i="12"/>
  <c r="AG64" i="12"/>
  <c r="AG65" i="12"/>
  <c r="AG66" i="12"/>
  <c r="AG67" i="12"/>
  <c r="AG68" i="12"/>
  <c r="AG69" i="12"/>
  <c r="AG70" i="12"/>
  <c r="AG71" i="12"/>
  <c r="AG72" i="12"/>
  <c r="AG73" i="12"/>
  <c r="AG74" i="12"/>
  <c r="AG75" i="12"/>
  <c r="AG76" i="12"/>
  <c r="AG77" i="12"/>
  <c r="AG78" i="12"/>
  <c r="AG79" i="12"/>
  <c r="AG80" i="12"/>
  <c r="AG81" i="12"/>
  <c r="AG82" i="12"/>
  <c r="AG83" i="12"/>
  <c r="AG84" i="12"/>
  <c r="AG85" i="12"/>
  <c r="AG86" i="12"/>
  <c r="AG87" i="12"/>
  <c r="AG88" i="12"/>
  <c r="AG89" i="12"/>
  <c r="AG90" i="12"/>
  <c r="AG91" i="12"/>
  <c r="AG92" i="12"/>
  <c r="AG93" i="12"/>
  <c r="AG94" i="12"/>
  <c r="AG95" i="12"/>
  <c r="AG96" i="12"/>
  <c r="AG97" i="12"/>
  <c r="AG98" i="12"/>
  <c r="AG99" i="12"/>
  <c r="AG100" i="12"/>
  <c r="AG101" i="12"/>
  <c r="AG102" i="12"/>
  <c r="AG103" i="12"/>
  <c r="AG104" i="12"/>
  <c r="AG105" i="12"/>
  <c r="AG106" i="12"/>
  <c r="AG107" i="12"/>
  <c r="AG108" i="12"/>
  <c r="AG109" i="12"/>
  <c r="AG110" i="12"/>
  <c r="AG111" i="12"/>
  <c r="AG112" i="12"/>
  <c r="AG113" i="12"/>
  <c r="AG114" i="12"/>
  <c r="AG115" i="12"/>
  <c r="AG116" i="12"/>
  <c r="J114" i="12"/>
  <c r="AQ114" i="12" s="1"/>
  <c r="AS114" i="12" s="1"/>
  <c r="AO114" i="12"/>
  <c r="H114" i="12"/>
  <c r="AK114" i="12" s="1"/>
  <c r="AB114" i="12"/>
  <c r="I9" i="14"/>
  <c r="I10" i="14"/>
  <c r="BX115" i="12"/>
  <c r="BW115" i="12"/>
  <c r="AC115" i="12"/>
  <c r="BV115" i="12" s="1"/>
  <c r="AA115" i="12"/>
  <c r="BU115" i="12" s="1"/>
  <c r="J115" i="12"/>
  <c r="AQ115" i="12" s="1"/>
  <c r="AS115" i="12" s="1"/>
  <c r="AO115" i="12"/>
  <c r="H115" i="12"/>
  <c r="AP115" i="12" s="1"/>
  <c r="AR115" i="12" s="1"/>
  <c r="AB115" i="12"/>
  <c r="AC19" i="12"/>
  <c r="BV19" i="12" s="1"/>
  <c r="S27" i="15"/>
  <c r="B18" i="11"/>
  <c r="F26" i="11" s="1"/>
  <c r="D18" i="20"/>
  <c r="D19" i="20"/>
  <c r="F47" i="7"/>
  <c r="V26" i="8"/>
  <c r="W11" i="8" s="1"/>
  <c r="E16" i="8"/>
  <c r="E15" i="8"/>
  <c r="F15" i="8" s="1"/>
  <c r="E14" i="8"/>
  <c r="F14" i="8" s="1"/>
  <c r="E8" i="8"/>
  <c r="F8" i="8" s="1"/>
  <c r="E7" i="8"/>
  <c r="E6" i="8"/>
  <c r="J24" i="12"/>
  <c r="AQ24" i="12" s="1"/>
  <c r="AS24" i="12" s="1"/>
  <c r="J19" i="12"/>
  <c r="AQ19" i="12" s="1"/>
  <c r="AS19" i="12" s="1"/>
  <c r="J20" i="12"/>
  <c r="AQ20" i="12" s="1"/>
  <c r="AS20" i="12" s="1"/>
  <c r="H20" i="12"/>
  <c r="AP20" i="12" s="1"/>
  <c r="AR20" i="12" s="1"/>
  <c r="J21" i="12"/>
  <c r="AQ21" i="12" s="1"/>
  <c r="AS21" i="12" s="1"/>
  <c r="H21" i="12"/>
  <c r="AP21" i="12" s="1"/>
  <c r="AR21" i="12" s="1"/>
  <c r="J22" i="12"/>
  <c r="AQ22" i="12" s="1"/>
  <c r="AS22" i="12" s="1"/>
  <c r="J23" i="12"/>
  <c r="AQ23" i="12" s="1"/>
  <c r="AS23" i="12" s="1"/>
  <c r="J25" i="12"/>
  <c r="AQ25" i="12" s="1"/>
  <c r="AS25" i="12" s="1"/>
  <c r="J27" i="12"/>
  <c r="AQ27" i="12" s="1"/>
  <c r="AS27" i="12" s="1"/>
  <c r="H27" i="12"/>
  <c r="AP27" i="12" s="1"/>
  <c r="AR27" i="12" s="1"/>
  <c r="J28" i="12"/>
  <c r="AQ28" i="12" s="1"/>
  <c r="AS28" i="12" s="1"/>
  <c r="J29" i="12"/>
  <c r="AQ29" i="12" s="1"/>
  <c r="AS29" i="12" s="1"/>
  <c r="J30" i="12"/>
  <c r="AQ30" i="12" s="1"/>
  <c r="AS30" i="12" s="1"/>
  <c r="J31" i="12"/>
  <c r="AQ31" i="12" s="1"/>
  <c r="AS31" i="12" s="1"/>
  <c r="J32" i="12"/>
  <c r="AQ32" i="12" s="1"/>
  <c r="AS32" i="12" s="1"/>
  <c r="J33" i="12"/>
  <c r="AQ33" i="12" s="1"/>
  <c r="AS33" i="12" s="1"/>
  <c r="J34" i="12"/>
  <c r="AQ34" i="12" s="1"/>
  <c r="AS34" i="12" s="1"/>
  <c r="J35" i="12"/>
  <c r="AQ35" i="12" s="1"/>
  <c r="AS35" i="12" s="1"/>
  <c r="H35" i="12"/>
  <c r="AP35" i="12" s="1"/>
  <c r="AR35" i="12" s="1"/>
  <c r="J36" i="12"/>
  <c r="AQ36" i="12" s="1"/>
  <c r="AS36" i="12" s="1"/>
  <c r="H36" i="12"/>
  <c r="AP36" i="12" s="1"/>
  <c r="AR36" i="12" s="1"/>
  <c r="J37" i="12"/>
  <c r="AQ37" i="12" s="1"/>
  <c r="AS37" i="12" s="1"/>
  <c r="J38" i="12"/>
  <c r="AQ38" i="12" s="1"/>
  <c r="AS38" i="12" s="1"/>
  <c r="J39" i="12"/>
  <c r="AQ39" i="12" s="1"/>
  <c r="AS39" i="12" s="1"/>
  <c r="J40" i="12"/>
  <c r="AQ40" i="12" s="1"/>
  <c r="AS40" i="12" s="1"/>
  <c r="J41" i="12"/>
  <c r="AQ41" i="12" s="1"/>
  <c r="AS41" i="12" s="1"/>
  <c r="J42" i="12"/>
  <c r="AQ42" i="12" s="1"/>
  <c r="AS42" i="12" s="1"/>
  <c r="J43" i="12"/>
  <c r="AQ43" i="12" s="1"/>
  <c r="AS43" i="12" s="1"/>
  <c r="J44" i="12"/>
  <c r="AQ44" i="12" s="1"/>
  <c r="AS44" i="12" s="1"/>
  <c r="J45" i="12"/>
  <c r="AQ45" i="12" s="1"/>
  <c r="AS45" i="12" s="1"/>
  <c r="J46" i="12"/>
  <c r="AQ46" i="12" s="1"/>
  <c r="AS46" i="12" s="1"/>
  <c r="H46" i="12"/>
  <c r="AP46" i="12" s="1"/>
  <c r="AR46" i="12" s="1"/>
  <c r="J47" i="12"/>
  <c r="AQ47" i="12" s="1"/>
  <c r="AS47" i="12" s="1"/>
  <c r="J48" i="12"/>
  <c r="AQ48" i="12" s="1"/>
  <c r="AS48" i="12" s="1"/>
  <c r="J49" i="12"/>
  <c r="AQ49" i="12" s="1"/>
  <c r="AS49" i="12" s="1"/>
  <c r="H49" i="12"/>
  <c r="AP49" i="12" s="1"/>
  <c r="AR49" i="12" s="1"/>
  <c r="J50" i="12"/>
  <c r="AQ50" i="12" s="1"/>
  <c r="AS50" i="12" s="1"/>
  <c r="H50" i="12"/>
  <c r="AP50" i="12" s="1"/>
  <c r="AR50" i="12" s="1"/>
  <c r="J51" i="12"/>
  <c r="AQ51" i="12" s="1"/>
  <c r="AS51" i="12" s="1"/>
  <c r="H51" i="12"/>
  <c r="AP51" i="12" s="1"/>
  <c r="AR51" i="12" s="1"/>
  <c r="J52" i="12"/>
  <c r="AQ52" i="12" s="1"/>
  <c r="AS52" i="12" s="1"/>
  <c r="H52" i="12"/>
  <c r="AP52" i="12" s="1"/>
  <c r="AR52" i="12" s="1"/>
  <c r="J53" i="12"/>
  <c r="AQ53" i="12" s="1"/>
  <c r="AS53" i="12" s="1"/>
  <c r="J54" i="12"/>
  <c r="AQ54" i="12" s="1"/>
  <c r="AS54" i="12" s="1"/>
  <c r="J55" i="12"/>
  <c r="AQ55" i="12" s="1"/>
  <c r="AS55" i="12" s="1"/>
  <c r="J56" i="12"/>
  <c r="AQ56" i="12" s="1"/>
  <c r="AS56" i="12" s="1"/>
  <c r="J57" i="12"/>
  <c r="AQ57" i="12" s="1"/>
  <c r="AS57" i="12" s="1"/>
  <c r="J58" i="12"/>
  <c r="AQ58" i="12" s="1"/>
  <c r="AS58" i="12" s="1"/>
  <c r="J59" i="12"/>
  <c r="AQ59" i="12" s="1"/>
  <c r="AS59" i="12" s="1"/>
  <c r="J60" i="12"/>
  <c r="AQ60" i="12" s="1"/>
  <c r="AS60" i="12" s="1"/>
  <c r="J61" i="12"/>
  <c r="AQ61" i="12" s="1"/>
  <c r="AS61" i="12" s="1"/>
  <c r="J62" i="12"/>
  <c r="AQ62" i="12" s="1"/>
  <c r="AS62" i="12" s="1"/>
  <c r="H62" i="12"/>
  <c r="J63" i="12"/>
  <c r="AQ63" i="12" s="1"/>
  <c r="AS63" i="12" s="1"/>
  <c r="J64" i="12"/>
  <c r="AQ64" i="12" s="1"/>
  <c r="AS64" i="12" s="1"/>
  <c r="J65" i="12"/>
  <c r="AQ65" i="12" s="1"/>
  <c r="AS65" i="12" s="1"/>
  <c r="J66" i="12"/>
  <c r="AQ66" i="12" s="1"/>
  <c r="AS66" i="12" s="1"/>
  <c r="J67" i="12"/>
  <c r="AQ67" i="12" s="1"/>
  <c r="AS67" i="12" s="1"/>
  <c r="J68" i="12"/>
  <c r="AQ68" i="12" s="1"/>
  <c r="AS68" i="12" s="1"/>
  <c r="J69" i="12"/>
  <c r="AQ69" i="12" s="1"/>
  <c r="AS69" i="12" s="1"/>
  <c r="J70" i="12"/>
  <c r="AQ70" i="12" s="1"/>
  <c r="AS70" i="12" s="1"/>
  <c r="J71" i="12"/>
  <c r="AQ71" i="12" s="1"/>
  <c r="AS71" i="12" s="1"/>
  <c r="J72" i="12"/>
  <c r="AQ72" i="12" s="1"/>
  <c r="AS72" i="12" s="1"/>
  <c r="J73" i="12"/>
  <c r="AQ73" i="12" s="1"/>
  <c r="AS73" i="12" s="1"/>
  <c r="J74" i="12"/>
  <c r="AQ74" i="12" s="1"/>
  <c r="AS74" i="12" s="1"/>
  <c r="J75" i="12"/>
  <c r="AQ75" i="12" s="1"/>
  <c r="AS75" i="12" s="1"/>
  <c r="J76" i="12"/>
  <c r="AQ76" i="12" s="1"/>
  <c r="AS76" i="12" s="1"/>
  <c r="J77" i="12"/>
  <c r="AQ77" i="12" s="1"/>
  <c r="AS77" i="12" s="1"/>
  <c r="H77" i="12"/>
  <c r="AP77" i="12" s="1"/>
  <c r="AR77" i="12" s="1"/>
  <c r="J78" i="12"/>
  <c r="AQ78" i="12" s="1"/>
  <c r="AS78" i="12" s="1"/>
  <c r="H78" i="12"/>
  <c r="AP78" i="12" s="1"/>
  <c r="AR78" i="12" s="1"/>
  <c r="J79" i="12"/>
  <c r="AQ79" i="12" s="1"/>
  <c r="AS79" i="12" s="1"/>
  <c r="J80" i="12"/>
  <c r="AQ80" i="12" s="1"/>
  <c r="AS80" i="12" s="1"/>
  <c r="J81" i="12"/>
  <c r="AQ81" i="12" s="1"/>
  <c r="AS81" i="12" s="1"/>
  <c r="J82" i="12"/>
  <c r="AQ82" i="12" s="1"/>
  <c r="AS82" i="12" s="1"/>
  <c r="H82" i="12"/>
  <c r="AP82" i="12" s="1"/>
  <c r="AR82" i="12" s="1"/>
  <c r="J83" i="12"/>
  <c r="AQ83" i="12" s="1"/>
  <c r="AS83" i="12" s="1"/>
  <c r="J84" i="12"/>
  <c r="J85" i="12"/>
  <c r="AQ85" i="12" s="1"/>
  <c r="AS85" i="12" s="1"/>
  <c r="J86" i="12"/>
  <c r="AQ86" i="12" s="1"/>
  <c r="AS86" i="12" s="1"/>
  <c r="J87" i="12"/>
  <c r="AQ87" i="12" s="1"/>
  <c r="AS87" i="12" s="1"/>
  <c r="J88" i="12"/>
  <c r="AQ88" i="12" s="1"/>
  <c r="AS88" i="12" s="1"/>
  <c r="J89" i="12"/>
  <c r="AQ89" i="12" s="1"/>
  <c r="AS89" i="12" s="1"/>
  <c r="J90" i="12"/>
  <c r="AQ90" i="12" s="1"/>
  <c r="AS90" i="12" s="1"/>
  <c r="J91" i="12"/>
  <c r="AQ91" i="12" s="1"/>
  <c r="AS91" i="12" s="1"/>
  <c r="J92" i="12"/>
  <c r="AQ92" i="12" s="1"/>
  <c r="AS92" i="12" s="1"/>
  <c r="H92" i="12"/>
  <c r="AP92" i="12" s="1"/>
  <c r="AR92" i="12" s="1"/>
  <c r="J93" i="12"/>
  <c r="AQ93" i="12" s="1"/>
  <c r="AS93" i="12" s="1"/>
  <c r="H93" i="12"/>
  <c r="AP93" i="12" s="1"/>
  <c r="AR93" i="12" s="1"/>
  <c r="J94" i="12"/>
  <c r="AQ94" i="12" s="1"/>
  <c r="AS94" i="12" s="1"/>
  <c r="J95" i="12"/>
  <c r="AQ95" i="12" s="1"/>
  <c r="AS95" i="12" s="1"/>
  <c r="J96" i="12"/>
  <c r="AQ96" i="12" s="1"/>
  <c r="AS96" i="12" s="1"/>
  <c r="J97" i="12"/>
  <c r="AQ97" i="12" s="1"/>
  <c r="AS97" i="12" s="1"/>
  <c r="J98" i="12"/>
  <c r="AQ98" i="12" s="1"/>
  <c r="AS98" i="12" s="1"/>
  <c r="J99" i="12"/>
  <c r="AQ99" i="12" s="1"/>
  <c r="AS99" i="12" s="1"/>
  <c r="J100" i="12"/>
  <c r="AQ100" i="12" s="1"/>
  <c r="AS100" i="12" s="1"/>
  <c r="H100" i="12"/>
  <c r="AP100" i="12" s="1"/>
  <c r="AR100" i="12" s="1"/>
  <c r="J101" i="12"/>
  <c r="AQ101" i="12" s="1"/>
  <c r="AS101" i="12" s="1"/>
  <c r="J102" i="12"/>
  <c r="AQ102" i="12" s="1"/>
  <c r="AS102" i="12" s="1"/>
  <c r="H102" i="12"/>
  <c r="AP102" i="12" s="1"/>
  <c r="AR102" i="12" s="1"/>
  <c r="J103" i="12"/>
  <c r="AQ103" i="12" s="1"/>
  <c r="AS103" i="12" s="1"/>
  <c r="J104" i="12"/>
  <c r="AQ104" i="12" s="1"/>
  <c r="AS104" i="12" s="1"/>
  <c r="J105" i="12"/>
  <c r="AQ105" i="12" s="1"/>
  <c r="AS105" i="12" s="1"/>
  <c r="J106" i="12"/>
  <c r="AQ106" i="12" s="1"/>
  <c r="AS106" i="12" s="1"/>
  <c r="J107" i="12"/>
  <c r="AQ107" i="12" s="1"/>
  <c r="AS107" i="12" s="1"/>
  <c r="J108" i="12"/>
  <c r="AQ108" i="12" s="1"/>
  <c r="AS108" i="12" s="1"/>
  <c r="J109" i="12"/>
  <c r="AQ109" i="12" s="1"/>
  <c r="AS109" i="12" s="1"/>
  <c r="J110" i="12"/>
  <c r="AQ110" i="12" s="1"/>
  <c r="AS110" i="12" s="1"/>
  <c r="J111" i="12"/>
  <c r="AQ111" i="12" s="1"/>
  <c r="AS111" i="12" s="1"/>
  <c r="J112" i="12"/>
  <c r="AQ112" i="12" s="1"/>
  <c r="AS112" i="12" s="1"/>
  <c r="J113" i="12"/>
  <c r="AQ113" i="12" s="1"/>
  <c r="AS113" i="12" s="1"/>
  <c r="J116" i="12"/>
  <c r="AQ116" i="12" s="1"/>
  <c r="AS116" i="12" s="1"/>
  <c r="H24" i="12"/>
  <c r="AP24" i="12" s="1"/>
  <c r="AR24" i="12" s="1"/>
  <c r="H19" i="12"/>
  <c r="AP19" i="12" s="1"/>
  <c r="AR19" i="12" s="1"/>
  <c r="H22" i="12"/>
  <c r="AP22" i="12" s="1"/>
  <c r="AR22" i="12" s="1"/>
  <c r="H23" i="12"/>
  <c r="AP23" i="12" s="1"/>
  <c r="AR23" i="12" s="1"/>
  <c r="H25" i="12"/>
  <c r="AK25" i="12" s="1"/>
  <c r="H26" i="12"/>
  <c r="AP26" i="12" s="1"/>
  <c r="AR26" i="12" s="1"/>
  <c r="H28" i="12"/>
  <c r="AP28" i="12" s="1"/>
  <c r="AR28" i="12" s="1"/>
  <c r="H29" i="12"/>
  <c r="AP29" i="12" s="1"/>
  <c r="AR29" i="12" s="1"/>
  <c r="H30" i="12"/>
  <c r="AP30" i="12" s="1"/>
  <c r="AR30" i="12" s="1"/>
  <c r="H31" i="12"/>
  <c r="AP31" i="12" s="1"/>
  <c r="AR31" i="12" s="1"/>
  <c r="H32" i="12"/>
  <c r="AP32" i="12" s="1"/>
  <c r="AR32" i="12" s="1"/>
  <c r="H33" i="12"/>
  <c r="AP33" i="12" s="1"/>
  <c r="AR33" i="12" s="1"/>
  <c r="H34" i="12"/>
  <c r="AP34" i="12" s="1"/>
  <c r="AR34" i="12" s="1"/>
  <c r="H37" i="12"/>
  <c r="AP37" i="12" s="1"/>
  <c r="AR37" i="12" s="1"/>
  <c r="H38" i="12"/>
  <c r="AP38" i="12" s="1"/>
  <c r="AR38" i="12" s="1"/>
  <c r="H39" i="12"/>
  <c r="AP39" i="12" s="1"/>
  <c r="AR39" i="12" s="1"/>
  <c r="H40" i="12"/>
  <c r="AP40" i="12" s="1"/>
  <c r="AR40" i="12" s="1"/>
  <c r="H41" i="12"/>
  <c r="AP41" i="12" s="1"/>
  <c r="AR41" i="12" s="1"/>
  <c r="H42" i="12"/>
  <c r="AP42" i="12" s="1"/>
  <c r="AR42" i="12" s="1"/>
  <c r="H43" i="12"/>
  <c r="AP43" i="12" s="1"/>
  <c r="AR43" i="12" s="1"/>
  <c r="H44" i="12"/>
  <c r="AP44" i="12" s="1"/>
  <c r="AR44" i="12" s="1"/>
  <c r="H45" i="12"/>
  <c r="AP45" i="12" s="1"/>
  <c r="AR45" i="12" s="1"/>
  <c r="H47" i="12"/>
  <c r="AP47" i="12" s="1"/>
  <c r="AR47" i="12" s="1"/>
  <c r="H48" i="12"/>
  <c r="AP48" i="12" s="1"/>
  <c r="AR48" i="12" s="1"/>
  <c r="H53" i="12"/>
  <c r="AP53" i="12" s="1"/>
  <c r="AR53" i="12" s="1"/>
  <c r="H54" i="12"/>
  <c r="AP54" i="12" s="1"/>
  <c r="AR54" i="12" s="1"/>
  <c r="H55" i="12"/>
  <c r="AP55" i="12" s="1"/>
  <c r="AR55" i="12" s="1"/>
  <c r="H56" i="12"/>
  <c r="AP56" i="12" s="1"/>
  <c r="AR56" i="12" s="1"/>
  <c r="H57" i="12"/>
  <c r="AP57" i="12" s="1"/>
  <c r="AR57" i="12" s="1"/>
  <c r="H58" i="12"/>
  <c r="AP58" i="12" s="1"/>
  <c r="AR58" i="12" s="1"/>
  <c r="H59" i="12"/>
  <c r="AP59" i="12" s="1"/>
  <c r="AR59" i="12" s="1"/>
  <c r="H60" i="12"/>
  <c r="AP60" i="12" s="1"/>
  <c r="AR60" i="12" s="1"/>
  <c r="H61" i="12"/>
  <c r="AP61" i="12" s="1"/>
  <c r="AR61" i="12" s="1"/>
  <c r="H63" i="12"/>
  <c r="AP63" i="12" s="1"/>
  <c r="AR63" i="12" s="1"/>
  <c r="H64" i="12"/>
  <c r="AP64" i="12" s="1"/>
  <c r="AR64" i="12" s="1"/>
  <c r="H65" i="12"/>
  <c r="AP65" i="12" s="1"/>
  <c r="AR65" i="12" s="1"/>
  <c r="H66" i="12"/>
  <c r="AP66" i="12" s="1"/>
  <c r="AR66" i="12" s="1"/>
  <c r="H67" i="12"/>
  <c r="AP67" i="12" s="1"/>
  <c r="AR67" i="12" s="1"/>
  <c r="H68" i="12"/>
  <c r="AP68" i="12" s="1"/>
  <c r="AR68" i="12" s="1"/>
  <c r="H69" i="12"/>
  <c r="AP69" i="12" s="1"/>
  <c r="AR69" i="12" s="1"/>
  <c r="H70" i="12"/>
  <c r="AP70" i="12" s="1"/>
  <c r="AR70" i="12" s="1"/>
  <c r="H71" i="12"/>
  <c r="AP71" i="12" s="1"/>
  <c r="AR71" i="12" s="1"/>
  <c r="H72" i="12"/>
  <c r="AP72" i="12" s="1"/>
  <c r="AR72" i="12" s="1"/>
  <c r="H73" i="12"/>
  <c r="AP73" i="12" s="1"/>
  <c r="AR73" i="12" s="1"/>
  <c r="H74" i="12"/>
  <c r="AP74" i="12" s="1"/>
  <c r="AR74" i="12" s="1"/>
  <c r="H75" i="12"/>
  <c r="AP75" i="12" s="1"/>
  <c r="AR75" i="12" s="1"/>
  <c r="H76" i="12"/>
  <c r="AP76" i="12" s="1"/>
  <c r="AR76" i="12" s="1"/>
  <c r="H79" i="12"/>
  <c r="AP79" i="12" s="1"/>
  <c r="AR79" i="12" s="1"/>
  <c r="H80" i="12"/>
  <c r="AP80" i="12" s="1"/>
  <c r="AR80" i="12" s="1"/>
  <c r="H81" i="12"/>
  <c r="AP81" i="12" s="1"/>
  <c r="AR81" i="12" s="1"/>
  <c r="H83" i="12"/>
  <c r="AP83" i="12" s="1"/>
  <c r="AR83" i="12" s="1"/>
  <c r="H84" i="12"/>
  <c r="AP84" i="12" s="1"/>
  <c r="AR84" i="12" s="1"/>
  <c r="H85" i="12"/>
  <c r="AP85" i="12" s="1"/>
  <c r="AR85" i="12" s="1"/>
  <c r="H86" i="12"/>
  <c r="AP86" i="12" s="1"/>
  <c r="AR86" i="12" s="1"/>
  <c r="H87" i="12"/>
  <c r="AP87" i="12" s="1"/>
  <c r="AR87" i="12" s="1"/>
  <c r="H88" i="12"/>
  <c r="AP88" i="12" s="1"/>
  <c r="AR88" i="12" s="1"/>
  <c r="H89" i="12"/>
  <c r="AP89" i="12" s="1"/>
  <c r="AR89" i="12" s="1"/>
  <c r="H90" i="12"/>
  <c r="AP90" i="12" s="1"/>
  <c r="AR90" i="12" s="1"/>
  <c r="H91" i="12"/>
  <c r="AP91" i="12" s="1"/>
  <c r="AR91" i="12" s="1"/>
  <c r="H94" i="12"/>
  <c r="AP94" i="12" s="1"/>
  <c r="AR94" i="12" s="1"/>
  <c r="H95" i="12"/>
  <c r="AP95" i="12" s="1"/>
  <c r="AR95" i="12" s="1"/>
  <c r="H96" i="12"/>
  <c r="AP96" i="12" s="1"/>
  <c r="AR96" i="12" s="1"/>
  <c r="H97" i="12"/>
  <c r="AP97" i="12" s="1"/>
  <c r="AR97" i="12" s="1"/>
  <c r="H98" i="12"/>
  <c r="AP98" i="12" s="1"/>
  <c r="AR98" i="12" s="1"/>
  <c r="H99" i="12"/>
  <c r="AP99" i="12" s="1"/>
  <c r="AR99" i="12" s="1"/>
  <c r="H101" i="12"/>
  <c r="AK101" i="12" s="1"/>
  <c r="H103" i="12"/>
  <c r="AP103" i="12" s="1"/>
  <c r="AR103" i="12" s="1"/>
  <c r="H104" i="12"/>
  <c r="AP104" i="12" s="1"/>
  <c r="AR104" i="12" s="1"/>
  <c r="H105" i="12"/>
  <c r="AP105" i="12" s="1"/>
  <c r="AR105" i="12" s="1"/>
  <c r="H106" i="12"/>
  <c r="AP106" i="12" s="1"/>
  <c r="AR106" i="12" s="1"/>
  <c r="H107" i="12"/>
  <c r="AP107" i="12" s="1"/>
  <c r="AR107" i="12" s="1"/>
  <c r="H108" i="12"/>
  <c r="AP108" i="12" s="1"/>
  <c r="AR108" i="12" s="1"/>
  <c r="H109" i="12"/>
  <c r="AP109" i="12" s="1"/>
  <c r="AR109" i="12" s="1"/>
  <c r="H110" i="12"/>
  <c r="AP110" i="12" s="1"/>
  <c r="AR110" i="12" s="1"/>
  <c r="H111" i="12"/>
  <c r="AP111" i="12" s="1"/>
  <c r="AR111" i="12" s="1"/>
  <c r="H112" i="12"/>
  <c r="AP112" i="12" s="1"/>
  <c r="AR112" i="12" s="1"/>
  <c r="H113" i="12"/>
  <c r="AP113" i="12" s="1"/>
  <c r="AR113" i="12" s="1"/>
  <c r="H116" i="12"/>
  <c r="AP116" i="12" s="1"/>
  <c r="AR116" i="12" s="1"/>
  <c r="M52" i="15"/>
  <c r="S49" i="15" s="1"/>
  <c r="X38" i="15"/>
  <c r="BO17" i="12"/>
  <c r="Q40" i="15"/>
  <c r="Q41" i="15" s="1"/>
  <c r="Q42" i="15" s="1"/>
  <c r="Q43" i="15" s="1"/>
  <c r="Q44" i="15" s="1"/>
  <c r="W38" i="15"/>
  <c r="V38" i="15"/>
  <c r="X16" i="15"/>
  <c r="BJ17" i="12"/>
  <c r="Q18" i="15"/>
  <c r="Q19" i="15" s="1"/>
  <c r="W16" i="15"/>
  <c r="V16" i="15"/>
  <c r="AO116" i="12"/>
  <c r="J69" i="11"/>
  <c r="AA116" i="12"/>
  <c r="BU116" i="12" s="1"/>
  <c r="AB116" i="12"/>
  <c r="AC116" i="12"/>
  <c r="G66" i="11"/>
  <c r="G67" i="11"/>
  <c r="H66" i="11" s="1"/>
  <c r="AO113" i="12"/>
  <c r="AA113" i="12"/>
  <c r="BU113" i="12" s="1"/>
  <c r="AB113" i="12"/>
  <c r="AC113" i="12"/>
  <c r="BV113" i="12" s="1"/>
  <c r="AO112" i="12"/>
  <c r="AA112" i="12"/>
  <c r="BU112" i="12" s="1"/>
  <c r="AB112" i="12"/>
  <c r="AC112" i="12"/>
  <c r="AO111" i="12"/>
  <c r="AA111" i="12"/>
  <c r="BU111" i="12" s="1"/>
  <c r="AB111" i="12"/>
  <c r="AC111" i="12"/>
  <c r="BV111" i="12" s="1"/>
  <c r="AO110" i="12"/>
  <c r="AA110" i="12"/>
  <c r="BU110" i="12" s="1"/>
  <c r="AB110" i="12"/>
  <c r="AC110" i="12"/>
  <c r="BV110" i="12" s="1"/>
  <c r="AO109" i="12"/>
  <c r="AA109" i="12"/>
  <c r="BU109" i="12" s="1"/>
  <c r="AB109" i="12"/>
  <c r="AC109" i="12"/>
  <c r="BV109" i="12" s="1"/>
  <c r="AO108" i="12"/>
  <c r="AA108" i="12"/>
  <c r="AB108" i="12"/>
  <c r="AC108" i="12"/>
  <c r="BV108" i="12" s="1"/>
  <c r="AO107" i="12"/>
  <c r="AA107" i="12"/>
  <c r="BU107" i="12" s="1"/>
  <c r="AB107" i="12"/>
  <c r="AC107" i="12"/>
  <c r="BV107" i="12" s="1"/>
  <c r="AO106" i="12"/>
  <c r="AA106" i="12"/>
  <c r="AB106" i="12"/>
  <c r="AC106" i="12"/>
  <c r="BV106" i="12" s="1"/>
  <c r="AO105" i="12"/>
  <c r="AA105" i="12"/>
  <c r="BU105" i="12" s="1"/>
  <c r="AB105" i="12"/>
  <c r="AC105" i="12"/>
  <c r="BV105" i="12" s="1"/>
  <c r="AO104" i="12"/>
  <c r="AA104" i="12"/>
  <c r="BU104" i="12" s="1"/>
  <c r="AB104" i="12"/>
  <c r="AC104" i="12"/>
  <c r="BV104" i="12" s="1"/>
  <c r="AO103" i="12"/>
  <c r="AA103" i="12"/>
  <c r="BU103" i="12" s="1"/>
  <c r="AB103" i="12"/>
  <c r="AC103" i="12"/>
  <c r="BV103" i="12" s="1"/>
  <c r="AO102" i="12"/>
  <c r="AA102" i="12"/>
  <c r="BU102" i="12" s="1"/>
  <c r="AB102" i="12"/>
  <c r="AC102" i="12"/>
  <c r="BV102" i="12" s="1"/>
  <c r="AO101" i="12"/>
  <c r="AA101" i="12"/>
  <c r="BU101" i="12" s="1"/>
  <c r="AB101" i="12"/>
  <c r="AC101" i="12"/>
  <c r="BV101" i="12" s="1"/>
  <c r="AO100" i="12"/>
  <c r="AA100" i="12"/>
  <c r="AB100" i="12"/>
  <c r="AC100" i="12"/>
  <c r="BV100" i="12" s="1"/>
  <c r="AO99" i="12"/>
  <c r="AA99" i="12"/>
  <c r="BU99" i="12" s="1"/>
  <c r="AB99" i="12"/>
  <c r="AC99" i="12"/>
  <c r="BV99" i="12" s="1"/>
  <c r="AO98" i="12"/>
  <c r="AA98" i="12"/>
  <c r="BU98" i="12" s="1"/>
  <c r="AB98" i="12"/>
  <c r="AC98" i="12"/>
  <c r="BV98" i="12" s="1"/>
  <c r="AO97" i="12"/>
  <c r="AA97" i="12"/>
  <c r="BU97" i="12" s="1"/>
  <c r="AB97" i="12"/>
  <c r="AC97" i="12"/>
  <c r="BV97" i="12" s="1"/>
  <c r="AO96" i="12"/>
  <c r="AA96" i="12"/>
  <c r="BU96" i="12" s="1"/>
  <c r="AB96" i="12"/>
  <c r="AC96" i="12"/>
  <c r="BV96" i="12" s="1"/>
  <c r="AO95" i="12"/>
  <c r="AA95" i="12"/>
  <c r="BU95" i="12" s="1"/>
  <c r="AB95" i="12"/>
  <c r="AC95" i="12"/>
  <c r="BV95" i="12" s="1"/>
  <c r="AO94" i="12"/>
  <c r="AA94" i="12"/>
  <c r="BU94" i="12" s="1"/>
  <c r="AB94" i="12"/>
  <c r="AC94" i="12"/>
  <c r="BV94" i="12" s="1"/>
  <c r="AO93" i="12"/>
  <c r="AA93" i="12"/>
  <c r="BU93" i="12" s="1"/>
  <c r="AB93" i="12"/>
  <c r="AC93" i="12"/>
  <c r="BV93" i="12" s="1"/>
  <c r="AO92" i="12"/>
  <c r="AA92" i="12"/>
  <c r="BU92" i="12" s="1"/>
  <c r="AB92" i="12"/>
  <c r="AC92" i="12"/>
  <c r="BV92" i="12" s="1"/>
  <c r="AO91" i="12"/>
  <c r="AA91" i="12"/>
  <c r="BU91" i="12" s="1"/>
  <c r="AB91" i="12"/>
  <c r="AC91" i="12"/>
  <c r="BV91" i="12" s="1"/>
  <c r="AO90" i="12"/>
  <c r="AA90" i="12"/>
  <c r="AB90" i="12"/>
  <c r="AC90" i="12"/>
  <c r="BV90" i="12" s="1"/>
  <c r="AO89" i="12"/>
  <c r="AA89" i="12"/>
  <c r="BU89" i="12" s="1"/>
  <c r="AB89" i="12"/>
  <c r="AC89" i="12"/>
  <c r="BV89" i="12" s="1"/>
  <c r="AO88" i="12"/>
  <c r="AA88" i="12"/>
  <c r="BU88" i="12" s="1"/>
  <c r="AB88" i="12"/>
  <c r="AC88" i="12"/>
  <c r="BV88" i="12" s="1"/>
  <c r="AO87" i="12"/>
  <c r="AA87" i="12"/>
  <c r="BU87" i="12" s="1"/>
  <c r="AB87" i="12"/>
  <c r="AC87" i="12"/>
  <c r="BV87" i="12" s="1"/>
  <c r="AO86" i="12"/>
  <c r="AA86" i="12"/>
  <c r="BU86" i="12" s="1"/>
  <c r="AB86" i="12"/>
  <c r="AC86" i="12"/>
  <c r="BV86" i="12" s="1"/>
  <c r="AO85" i="12"/>
  <c r="AA85" i="12"/>
  <c r="BU85" i="12" s="1"/>
  <c r="AB85" i="12"/>
  <c r="AC85" i="12"/>
  <c r="BV85" i="12" s="1"/>
  <c r="AO84" i="12"/>
  <c r="AA84" i="12"/>
  <c r="AB84" i="12"/>
  <c r="AC84" i="12"/>
  <c r="BV84" i="12" s="1"/>
  <c r="AO83" i="12"/>
  <c r="AA83" i="12"/>
  <c r="BU83" i="12" s="1"/>
  <c r="AB83" i="12"/>
  <c r="AC83" i="12"/>
  <c r="AO82" i="12"/>
  <c r="AA82" i="12"/>
  <c r="BU82" i="12"/>
  <c r="AB82" i="12"/>
  <c r="AC82" i="12"/>
  <c r="BV82" i="12" s="1"/>
  <c r="AO81" i="12"/>
  <c r="AA81" i="12"/>
  <c r="AB81" i="12"/>
  <c r="AC81" i="12"/>
  <c r="BV81" i="12" s="1"/>
  <c r="AO80" i="12"/>
  <c r="AA80" i="12"/>
  <c r="BU80" i="12" s="1"/>
  <c r="AB80" i="12"/>
  <c r="AC80" i="12"/>
  <c r="BV80" i="12" s="1"/>
  <c r="AO79" i="12"/>
  <c r="AA79" i="12"/>
  <c r="BU79" i="12" s="1"/>
  <c r="AB79" i="12"/>
  <c r="AC79" i="12"/>
  <c r="BV79" i="12" s="1"/>
  <c r="AO78" i="12"/>
  <c r="AA78" i="12"/>
  <c r="BU78" i="12" s="1"/>
  <c r="AB78" i="12"/>
  <c r="AC78" i="12"/>
  <c r="BV78" i="12" s="1"/>
  <c r="AO77" i="12"/>
  <c r="AA77" i="12"/>
  <c r="AB77" i="12"/>
  <c r="AC77" i="12"/>
  <c r="BV77" i="12" s="1"/>
  <c r="AO76" i="12"/>
  <c r="AA76" i="12"/>
  <c r="BU76" i="12" s="1"/>
  <c r="AB76" i="12"/>
  <c r="AC76" i="12"/>
  <c r="BV76" i="12" s="1"/>
  <c r="AO75" i="12"/>
  <c r="AA75" i="12"/>
  <c r="BU75" i="12" s="1"/>
  <c r="AB75" i="12"/>
  <c r="AC75" i="12"/>
  <c r="BV75" i="12" s="1"/>
  <c r="AO74" i="12"/>
  <c r="AA74" i="12"/>
  <c r="BU74" i="12" s="1"/>
  <c r="AB74" i="12"/>
  <c r="AC74" i="12"/>
  <c r="AO73" i="12"/>
  <c r="AA73" i="12"/>
  <c r="AB73" i="12"/>
  <c r="AC73" i="12"/>
  <c r="BV73" i="12" s="1"/>
  <c r="AO72" i="12"/>
  <c r="AA72" i="12"/>
  <c r="BU72" i="12" s="1"/>
  <c r="AB72" i="12"/>
  <c r="AC72" i="12"/>
  <c r="BV72" i="12" s="1"/>
  <c r="AO71" i="12"/>
  <c r="AA71" i="12"/>
  <c r="BU71" i="12" s="1"/>
  <c r="AB71" i="12"/>
  <c r="AC71" i="12"/>
  <c r="BV71" i="12" s="1"/>
  <c r="AO70" i="12"/>
  <c r="AA70" i="12"/>
  <c r="BU70" i="12" s="1"/>
  <c r="AB70" i="12"/>
  <c r="AC70" i="12"/>
  <c r="BV70" i="12" s="1"/>
  <c r="AO69" i="12"/>
  <c r="AA69" i="12"/>
  <c r="BU69" i="12" s="1"/>
  <c r="AB69" i="12"/>
  <c r="AC69" i="12"/>
  <c r="BV69" i="12" s="1"/>
  <c r="AO68" i="12"/>
  <c r="AA68" i="12"/>
  <c r="BU68" i="12" s="1"/>
  <c r="AB68" i="12"/>
  <c r="AC68" i="12"/>
  <c r="AO67" i="12"/>
  <c r="AA67" i="12"/>
  <c r="BU67" i="12" s="1"/>
  <c r="AB67" i="12"/>
  <c r="AC67" i="12"/>
  <c r="BV67" i="12" s="1"/>
  <c r="AO66" i="12"/>
  <c r="AA66" i="12"/>
  <c r="BU66" i="12" s="1"/>
  <c r="AB66" i="12"/>
  <c r="AC66" i="12"/>
  <c r="BV66" i="12" s="1"/>
  <c r="AO65" i="12"/>
  <c r="AA65" i="12"/>
  <c r="BU65" i="12" s="1"/>
  <c r="AB65" i="12"/>
  <c r="AC65" i="12"/>
  <c r="BV65" i="12" s="1"/>
  <c r="AO64" i="12"/>
  <c r="AA64" i="12"/>
  <c r="BU64" i="12" s="1"/>
  <c r="AB64" i="12"/>
  <c r="AC64" i="12"/>
  <c r="BV64" i="12" s="1"/>
  <c r="AO63" i="12"/>
  <c r="AA63" i="12"/>
  <c r="BU63" i="12" s="1"/>
  <c r="AB63" i="12"/>
  <c r="AC63" i="12"/>
  <c r="BV63" i="12" s="1"/>
  <c r="AO62" i="12"/>
  <c r="AA62" i="12"/>
  <c r="BU62" i="12" s="1"/>
  <c r="AB62" i="12"/>
  <c r="AC62" i="12"/>
  <c r="BV62" i="12" s="1"/>
  <c r="AO61" i="12"/>
  <c r="AA61" i="12"/>
  <c r="AB61" i="12"/>
  <c r="AC61" i="12"/>
  <c r="BV61" i="12" s="1"/>
  <c r="AO60" i="12"/>
  <c r="AA60" i="12"/>
  <c r="BU60" i="12" s="1"/>
  <c r="AB60" i="12"/>
  <c r="AC60" i="12"/>
  <c r="BV60" i="12" s="1"/>
  <c r="AO59" i="12"/>
  <c r="AA59" i="12"/>
  <c r="BU59" i="12" s="1"/>
  <c r="AB59" i="12"/>
  <c r="AC59" i="12"/>
  <c r="BV59" i="12" s="1"/>
  <c r="AO58" i="12"/>
  <c r="AA58" i="12"/>
  <c r="BU58" i="12" s="1"/>
  <c r="AB58" i="12"/>
  <c r="AC58" i="12"/>
  <c r="BV58" i="12" s="1"/>
  <c r="AO57" i="12"/>
  <c r="AA57" i="12"/>
  <c r="BU57" i="12" s="1"/>
  <c r="AB57" i="12"/>
  <c r="AC57" i="12"/>
  <c r="BV57" i="12"/>
  <c r="AO56" i="12"/>
  <c r="AA56" i="12"/>
  <c r="BU56" i="12" s="1"/>
  <c r="AB56" i="12"/>
  <c r="AC56" i="12"/>
  <c r="BV56" i="12" s="1"/>
  <c r="AO55" i="12"/>
  <c r="AA55" i="12"/>
  <c r="BU55" i="12" s="1"/>
  <c r="AB55" i="12"/>
  <c r="AC55" i="12"/>
  <c r="BV55" i="12" s="1"/>
  <c r="AO54" i="12"/>
  <c r="AA54" i="12"/>
  <c r="BU54" i="12" s="1"/>
  <c r="AB54" i="12"/>
  <c r="AC54" i="12"/>
  <c r="BV54" i="12" s="1"/>
  <c r="AO53" i="12"/>
  <c r="AA53" i="12"/>
  <c r="BU53" i="12" s="1"/>
  <c r="AB53" i="12"/>
  <c r="AC53" i="12"/>
  <c r="BV53" i="12" s="1"/>
  <c r="AO52" i="12"/>
  <c r="AA52" i="12"/>
  <c r="BU52" i="12" s="1"/>
  <c r="AB52" i="12"/>
  <c r="AC52" i="12"/>
  <c r="BV52" i="12" s="1"/>
  <c r="AO51" i="12"/>
  <c r="AA51" i="12"/>
  <c r="AB51" i="12"/>
  <c r="AC51" i="12"/>
  <c r="BV51" i="12" s="1"/>
  <c r="AO50" i="12"/>
  <c r="AA50" i="12"/>
  <c r="BU50" i="12" s="1"/>
  <c r="AB50" i="12"/>
  <c r="AC50" i="12"/>
  <c r="BV50" i="12" s="1"/>
  <c r="AO49" i="12"/>
  <c r="AA49" i="12"/>
  <c r="BU49" i="12" s="1"/>
  <c r="AB49" i="12"/>
  <c r="AC49" i="12"/>
  <c r="BV49" i="12" s="1"/>
  <c r="AO48" i="12"/>
  <c r="AA48" i="12"/>
  <c r="BU48" i="12" s="1"/>
  <c r="AB48" i="12"/>
  <c r="AC48" i="12"/>
  <c r="BV48" i="12" s="1"/>
  <c r="AO47" i="12"/>
  <c r="AA47" i="12"/>
  <c r="BU47" i="12" s="1"/>
  <c r="AB47" i="12"/>
  <c r="AC47" i="12"/>
  <c r="BV47" i="12" s="1"/>
  <c r="AO46" i="12"/>
  <c r="AA46" i="12"/>
  <c r="BU46" i="12" s="1"/>
  <c r="AB46" i="12"/>
  <c r="AC46" i="12"/>
  <c r="BV46" i="12" s="1"/>
  <c r="AO45" i="12"/>
  <c r="AA45" i="12"/>
  <c r="BU45" i="12" s="1"/>
  <c r="AB45" i="12"/>
  <c r="AC45" i="12"/>
  <c r="BV45" i="12" s="1"/>
  <c r="AO44" i="12"/>
  <c r="AA44" i="12"/>
  <c r="BU44" i="12" s="1"/>
  <c r="AB44" i="12"/>
  <c r="AC44" i="12"/>
  <c r="BV44" i="12" s="1"/>
  <c r="AO43" i="12"/>
  <c r="AA43" i="12"/>
  <c r="AB43" i="12"/>
  <c r="AC43" i="12"/>
  <c r="BV43" i="12" s="1"/>
  <c r="AO42" i="12"/>
  <c r="AA42" i="12"/>
  <c r="AB42" i="12"/>
  <c r="AC42" i="12"/>
  <c r="BV42" i="12" s="1"/>
  <c r="AO41" i="12"/>
  <c r="AA41" i="12"/>
  <c r="BU41" i="12" s="1"/>
  <c r="AB41" i="12"/>
  <c r="AC41" i="12"/>
  <c r="AO40" i="12"/>
  <c r="AA40" i="12"/>
  <c r="AB40" i="12"/>
  <c r="AC40" i="12"/>
  <c r="BV40" i="12" s="1"/>
  <c r="AO39" i="12"/>
  <c r="AA39" i="12"/>
  <c r="BU39" i="12" s="1"/>
  <c r="AB39" i="12"/>
  <c r="AC39" i="12"/>
  <c r="BV39" i="12" s="1"/>
  <c r="AO38" i="12"/>
  <c r="AA38" i="12"/>
  <c r="AB38" i="12"/>
  <c r="AC38" i="12"/>
  <c r="BV38" i="12" s="1"/>
  <c r="AO37" i="12"/>
  <c r="AA37" i="12"/>
  <c r="BU37" i="12" s="1"/>
  <c r="AB37" i="12"/>
  <c r="AC37" i="12"/>
  <c r="BV37" i="12" s="1"/>
  <c r="AO36" i="12"/>
  <c r="AA36" i="12"/>
  <c r="BU36" i="12"/>
  <c r="AB36" i="12"/>
  <c r="AC36" i="12"/>
  <c r="BV36" i="12" s="1"/>
  <c r="AO35" i="12"/>
  <c r="AA35" i="12"/>
  <c r="BU35" i="12" s="1"/>
  <c r="AB35" i="12"/>
  <c r="AC35" i="12"/>
  <c r="BV35" i="12" s="1"/>
  <c r="AO34" i="12"/>
  <c r="AA34" i="12"/>
  <c r="AB34" i="12"/>
  <c r="AC34" i="12"/>
  <c r="BV34" i="12" s="1"/>
  <c r="AO33" i="12"/>
  <c r="AA33" i="12"/>
  <c r="BU33" i="12" s="1"/>
  <c r="AB33" i="12"/>
  <c r="AC33" i="12"/>
  <c r="BV33" i="12" s="1"/>
  <c r="AO32" i="12"/>
  <c r="AA32" i="12"/>
  <c r="BU32" i="12" s="1"/>
  <c r="AB32" i="12"/>
  <c r="AC32" i="12"/>
  <c r="BV32" i="12" s="1"/>
  <c r="AO31" i="12"/>
  <c r="AA31" i="12"/>
  <c r="BU31" i="12" s="1"/>
  <c r="AB31" i="12"/>
  <c r="AC31" i="12"/>
  <c r="BV31" i="12" s="1"/>
  <c r="AO30" i="12"/>
  <c r="AA30" i="12"/>
  <c r="AB30" i="12"/>
  <c r="AC30" i="12"/>
  <c r="BV30" i="12" s="1"/>
  <c r="AO29" i="12"/>
  <c r="AA29" i="12"/>
  <c r="AB29" i="12"/>
  <c r="AC29" i="12"/>
  <c r="AO25" i="12"/>
  <c r="AA25" i="12"/>
  <c r="BU25" i="12" s="1"/>
  <c r="AB25" i="12"/>
  <c r="AC25" i="12"/>
  <c r="BV25" i="12" s="1"/>
  <c r="AO24" i="12"/>
  <c r="AA24" i="12"/>
  <c r="BU24" i="12" s="1"/>
  <c r="AB24" i="12"/>
  <c r="AC24" i="12"/>
  <c r="BV24" i="12" s="1"/>
  <c r="AO23" i="12"/>
  <c r="AA23" i="12"/>
  <c r="BU23" i="12" s="1"/>
  <c r="AB23" i="12"/>
  <c r="AC23" i="12"/>
  <c r="BV23" i="12" s="1"/>
  <c r="AO22" i="12"/>
  <c r="AA22" i="12"/>
  <c r="BU22" i="12" s="1"/>
  <c r="AB22" i="12"/>
  <c r="AC22" i="12"/>
  <c r="BV22" i="12" s="1"/>
  <c r="AO21" i="12"/>
  <c r="AA21" i="12"/>
  <c r="BU21" i="12" s="1"/>
  <c r="AB21" i="12"/>
  <c r="AC21" i="12"/>
  <c r="BV21" i="12" s="1"/>
  <c r="AO20" i="12"/>
  <c r="AA20" i="12"/>
  <c r="AB20" i="12"/>
  <c r="AC20" i="12"/>
  <c r="BV20" i="12" s="1"/>
  <c r="AO19" i="12"/>
  <c r="AA19" i="12"/>
  <c r="AB19" i="12"/>
  <c r="G68" i="11"/>
  <c r="H67" i="11" s="1"/>
  <c r="G69" i="11"/>
  <c r="H68" i="11"/>
  <c r="G70" i="11"/>
  <c r="AN13" i="12"/>
  <c r="B26" i="2"/>
  <c r="B24" i="2"/>
  <c r="A18" i="2"/>
  <c r="A19" i="2" s="1"/>
  <c r="A23" i="2" s="1"/>
  <c r="A24" i="2" s="1"/>
  <c r="A34" i="2" s="1"/>
  <c r="K8" i="2" a="1"/>
  <c r="K8" i="2" s="1"/>
  <c r="K6" i="2" a="1"/>
  <c r="K6" i="2" s="1"/>
  <c r="B25" i="2" s="1"/>
  <c r="K7" i="2" a="1"/>
  <c r="K7" i="2" s="1"/>
  <c r="K9" i="2" a="1"/>
  <c r="K9" i="2" s="1"/>
  <c r="K11" i="2" a="1"/>
  <c r="K11" i="2" s="1"/>
  <c r="K12" i="2" a="1"/>
  <c r="K12" i="2" s="1"/>
  <c r="K13" i="2" a="1"/>
  <c r="K13" i="2" s="1"/>
  <c r="K10" i="2" a="1"/>
  <c r="K10" i="2" s="1"/>
  <c r="B28" i="2" s="1"/>
  <c r="K14" i="2" a="1"/>
  <c r="K14" i="2" s="1"/>
  <c r="K5" i="2" a="1"/>
  <c r="K5" i="2" s="1"/>
  <c r="C50" i="7"/>
  <c r="I8" i="14"/>
  <c r="C3" i="7"/>
  <c r="U6" i="8"/>
  <c r="X6" i="8"/>
  <c r="U7" i="8"/>
  <c r="X7" i="8"/>
  <c r="U8" i="8"/>
  <c r="X8" i="8"/>
  <c r="U9" i="8"/>
  <c r="X9" i="8"/>
  <c r="U10" i="8"/>
  <c r="X10" i="8"/>
  <c r="U11" i="8"/>
  <c r="X11" i="8"/>
  <c r="U14" i="8"/>
  <c r="X14" i="8"/>
  <c r="U15" i="8"/>
  <c r="X15" i="8"/>
  <c r="U16" i="8"/>
  <c r="X16" i="8"/>
  <c r="U17" i="8"/>
  <c r="X17" i="8"/>
  <c r="U18" i="8"/>
  <c r="X18" i="8"/>
  <c r="U21" i="8"/>
  <c r="X21" i="8"/>
  <c r="U22" i="8"/>
  <c r="X22" i="8"/>
  <c r="U23" i="8"/>
  <c r="X23" i="8"/>
  <c r="U24" i="8"/>
  <c r="X24" i="8"/>
  <c r="C51" i="7"/>
  <c r="G13" i="14"/>
  <c r="G13" i="15" s="1"/>
  <c r="G8" i="51" s="1"/>
  <c r="I9" i="15"/>
  <c r="J4" i="51" s="1"/>
  <c r="C7" i="4"/>
  <c r="C8" i="4" s="1"/>
  <c r="C10" i="4" s="1"/>
  <c r="C11" i="4" s="1"/>
  <c r="C12" i="4" s="1"/>
  <c r="C13" i="4" s="1"/>
  <c r="C14" i="4" s="1"/>
  <c r="C15" i="4" s="1"/>
  <c r="C16" i="4" s="1"/>
  <c r="C18" i="4" s="1"/>
  <c r="C19" i="4" s="1"/>
  <c r="C20" i="4" s="1"/>
  <c r="C21" i="4" s="1"/>
  <c r="C22" i="4" s="1"/>
  <c r="C23" i="4" s="1"/>
  <c r="C24" i="4" s="1"/>
  <c r="C25" i="4" s="1"/>
  <c r="C26" i="4" s="1"/>
  <c r="C27" i="4" s="1"/>
  <c r="C28" i="4" s="1"/>
  <c r="C29" i="4" s="1"/>
  <c r="C30" i="4" s="1"/>
  <c r="C32" i="4" s="1"/>
  <c r="C33" i="4" s="1"/>
  <c r="C34" i="4" s="1"/>
  <c r="C35" i="4" s="1"/>
  <c r="C36" i="4" s="1"/>
  <c r="C37" i="4" s="1"/>
  <c r="C38" i="4" s="1"/>
  <c r="C39" i="4" s="1"/>
  <c r="C40" i="4" s="1"/>
  <c r="C41" i="4" s="1"/>
  <c r="C42" i="4" s="1"/>
  <c r="C43" i="4" s="1"/>
  <c r="C44" i="4" s="1"/>
  <c r="C45" i="4" s="1"/>
  <c r="C47" i="4" s="1"/>
  <c r="C48" i="4" s="1"/>
  <c r="C49" i="4" s="1"/>
  <c r="C50" i="4" s="1"/>
  <c r="C51" i="4" s="1"/>
  <c r="C52" i="4" s="1"/>
  <c r="C54" i="4" s="1"/>
  <c r="C55" i="4" s="1"/>
  <c r="C56" i="4" s="1"/>
  <c r="C57" i="4" s="1"/>
  <c r="C58" i="4" s="1"/>
  <c r="C59" i="4" s="1"/>
  <c r="C60" i="4" s="1"/>
  <c r="C61" i="4" s="1"/>
  <c r="C62" i="4" s="1"/>
  <c r="C63" i="4" s="1"/>
  <c r="C64" i="4" s="1"/>
  <c r="C65" i="4" s="1"/>
  <c r="C66" i="4" s="1"/>
  <c r="C67" i="4" s="1"/>
  <c r="C68" i="4" s="1"/>
  <c r="C69" i="4" s="1"/>
  <c r="C70" i="4" s="1"/>
  <c r="C72" i="4" s="1"/>
  <c r="C73" i="4" s="1"/>
  <c r="C74" i="4" s="1"/>
  <c r="C76" i="4" s="1"/>
  <c r="C77" i="4" s="1"/>
  <c r="C78" i="4" s="1"/>
  <c r="C79" i="4" s="1"/>
  <c r="C80" i="4" s="1"/>
  <c r="C81" i="4" s="1"/>
  <c r="C82" i="4" s="1"/>
  <c r="C83" i="4" s="1"/>
  <c r="C84" i="4" s="1"/>
  <c r="C85" i="4" s="1"/>
  <c r="C86" i="4" s="1"/>
  <c r="C87" i="4" s="1"/>
  <c r="C88" i="4" s="1"/>
  <c r="C89" i="4" s="1"/>
  <c r="C90" i="4" s="1"/>
  <c r="C91" i="4" s="1"/>
  <c r="C92" i="4" s="1"/>
  <c r="C93" i="4" s="1"/>
  <c r="C94" i="4" s="1"/>
  <c r="C95" i="4" s="1"/>
  <c r="C96" i="4" s="1"/>
  <c r="C97" i="4" s="1"/>
  <c r="C98" i="4" s="1"/>
  <c r="C100" i="4" s="1"/>
  <c r="C101" i="4" s="1"/>
  <c r="C102" i="4" s="1"/>
  <c r="C103" i="4" s="1"/>
  <c r="C104" i="4" s="1"/>
  <c r="C106" i="4" s="1"/>
  <c r="C107" i="4" s="1"/>
  <c r="C108" i="4" s="1"/>
  <c r="C109" i="4" s="1"/>
  <c r="C110" i="4" s="1"/>
  <c r="C111" i="4" s="1"/>
  <c r="C112" i="4" s="1"/>
  <c r="C113" i="4" s="1"/>
  <c r="C114" i="4" s="1"/>
  <c r="C115" i="4" s="1"/>
  <c r="C116" i="4" s="1"/>
  <c r="C117" i="4" s="1"/>
  <c r="C118" i="4" s="1"/>
  <c r="C119" i="4" s="1"/>
  <c r="C120" i="4" s="1"/>
  <c r="C121" i="4" s="1"/>
  <c r="C123" i="4" s="1"/>
  <c r="C124" i="4" s="1"/>
  <c r="C125" i="4" s="1"/>
  <c r="C126" i="4" s="1"/>
  <c r="C127" i="4" s="1"/>
  <c r="C128" i="4" s="1"/>
  <c r="C129" i="4" s="1"/>
  <c r="C130" i="4" s="1"/>
  <c r="C131" i="4" s="1"/>
  <c r="C132" i="4" s="1"/>
  <c r="C133" i="4" s="1"/>
  <c r="C134" i="4" s="1"/>
  <c r="C135" i="4" s="1"/>
  <c r="C136" i="4" s="1"/>
  <c r="C137" i="4" s="1"/>
  <c r="C138" i="4" s="1"/>
  <c r="C139" i="4" s="1"/>
  <c r="C140" i="4" s="1"/>
  <c r="C141" i="4" s="1"/>
  <c r="C142" i="4" s="1"/>
  <c r="C143" i="4" s="1"/>
  <c r="C144" i="4" s="1"/>
  <c r="C146" i="4" s="1"/>
  <c r="C147" i="4" s="1"/>
  <c r="C148" i="4" s="1"/>
  <c r="C149" i="4" s="1"/>
  <c r="C150" i="4" s="1"/>
  <c r="C151" i="4" s="1"/>
  <c r="C152" i="4" s="1"/>
  <c r="C153" i="4" s="1"/>
  <c r="C154" i="4" s="1"/>
  <c r="C155" i="4" s="1"/>
  <c r="C156" i="4" s="1"/>
  <c r="C157" i="4" s="1"/>
  <c r="C158" i="4" s="1"/>
  <c r="C159" i="4" s="1"/>
  <c r="C160" i="4" s="1"/>
  <c r="C162" i="4" s="1"/>
  <c r="C163" i="4" s="1"/>
  <c r="C164" i="4" s="1"/>
  <c r="C165" i="4" s="1"/>
  <c r="C166" i="4" s="1"/>
  <c r="C167" i="4" s="1"/>
  <c r="C168" i="4" s="1"/>
  <c r="C169" i="4" s="1"/>
  <c r="C170" i="4" s="1"/>
  <c r="C172" i="4" s="1"/>
  <c r="C173" i="4" s="1"/>
  <c r="C174" i="4" s="1"/>
  <c r="C175" i="4" s="1"/>
  <c r="C176" i="4" s="1"/>
  <c r="C177" i="4" s="1"/>
  <c r="C178" i="4" s="1"/>
  <c r="C179" i="4" s="1"/>
  <c r="C180" i="4" s="1"/>
  <c r="C181" i="4" s="1"/>
  <c r="C182" i="4" s="1"/>
  <c r="C183" i="4" s="1"/>
  <c r="C184" i="4" s="1"/>
  <c r="C185" i="4" s="1"/>
  <c r="C186" i="4" s="1"/>
  <c r="C187" i="4" s="1"/>
  <c r="C188" i="4" s="1"/>
  <c r="C189" i="4" s="1"/>
  <c r="C190" i="4" s="1"/>
  <c r="C191" i="4" s="1"/>
  <c r="C193" i="4" s="1"/>
  <c r="C194" i="4" s="1"/>
  <c r="C195" i="4" s="1"/>
  <c r="C196" i="4" s="1"/>
  <c r="C197" i="4" s="1"/>
  <c r="C198" i="4" s="1"/>
  <c r="C199" i="4" s="1"/>
  <c r="C200" i="4" s="1"/>
  <c r="C201" i="4" s="1"/>
  <c r="C202" i="4" s="1"/>
  <c r="C203" i="4" s="1"/>
  <c r="C204" i="4" s="1"/>
  <c r="C205" i="4" s="1"/>
  <c r="C206" i="4" s="1"/>
  <c r="C207" i="4" s="1"/>
  <c r="C208" i="4" s="1"/>
  <c r="C209" i="4" s="1"/>
  <c r="C210" i="4" s="1"/>
  <c r="C211" i="4" s="1"/>
  <c r="C212" i="4" s="1"/>
  <c r="C213" i="4" s="1"/>
  <c r="C214" i="4" s="1"/>
  <c r="C215" i="4" s="1"/>
  <c r="C217" i="4" s="1"/>
  <c r="C218" i="4" s="1"/>
  <c r="C219" i="4" s="1"/>
  <c r="C220" i="4" s="1"/>
  <c r="C221" i="4" s="1"/>
  <c r="C222" i="4" s="1"/>
  <c r="C224" i="4" s="1"/>
  <c r="C225" i="4" s="1"/>
  <c r="C226" i="4" s="1"/>
  <c r="C227" i="4" s="1"/>
  <c r="C228" i="4" s="1"/>
  <c r="C229" i="4" s="1"/>
  <c r="C230" i="4" s="1"/>
  <c r="C231" i="4" s="1"/>
  <c r="C232" i="4" s="1"/>
  <c r="C233" i="4" s="1"/>
  <c r="C234" i="4" s="1"/>
  <c r="C235" i="4" s="1"/>
  <c r="C236" i="4" s="1"/>
  <c r="C237" i="4" s="1"/>
  <c r="C238" i="4" s="1"/>
  <c r="C239" i="4" s="1"/>
  <c r="C240" i="4" s="1"/>
  <c r="C241" i="4" s="1"/>
  <c r="C242" i="4" s="1"/>
  <c r="C243" i="4" s="1"/>
  <c r="C244" i="4" s="1"/>
  <c r="C245" i="4" s="1"/>
  <c r="C246" i="4" s="1"/>
  <c r="C247" i="4" s="1"/>
  <c r="C248" i="4" s="1"/>
  <c r="C249" i="4" s="1"/>
  <c r="C250" i="4" s="1"/>
  <c r="C251" i="4" s="1"/>
  <c r="C252" i="4" s="1"/>
  <c r="C253" i="4" s="1"/>
  <c r="C254" i="4" s="1"/>
  <c r="C255" i="4" s="1"/>
  <c r="C256" i="4" s="1"/>
  <c r="C258" i="4" s="1"/>
  <c r="C259" i="4" s="1"/>
  <c r="C260" i="4" s="1"/>
  <c r="C261" i="4" s="1"/>
  <c r="C262" i="4" s="1"/>
  <c r="C263" i="4" s="1"/>
  <c r="C264" i="4" s="1"/>
  <c r="C265" i="4" s="1"/>
  <c r="C266" i="4" s="1"/>
  <c r="C267" i="4" s="1"/>
  <c r="C268" i="4" s="1"/>
  <c r="C269" i="4" s="1"/>
  <c r="C271" i="4" s="1"/>
  <c r="C272" i="4" s="1"/>
  <c r="C273" i="4" s="1"/>
  <c r="C274" i="4" s="1"/>
  <c r="C275" i="4" s="1"/>
  <c r="C276" i="4" s="1"/>
  <c r="C277" i="4" s="1"/>
  <c r="C278" i="4" s="1"/>
  <c r="C279" i="4" s="1"/>
  <c r="C281" i="4" s="1"/>
  <c r="C282" i="4" s="1"/>
  <c r="C283" i="4" s="1"/>
  <c r="C284" i="4" s="1"/>
  <c r="C285" i="4" s="1"/>
  <c r="C286" i="4" s="1"/>
  <c r="C287" i="4" s="1"/>
  <c r="C288" i="4" s="1"/>
  <c r="C289" i="4" s="1"/>
  <c r="C290" i="4" s="1"/>
  <c r="C291" i="4" s="1"/>
  <c r="C292" i="4" s="1"/>
  <c r="C293" i="4" s="1"/>
  <c r="C294" i="4" s="1"/>
  <c r="C295" i="4" s="1"/>
  <c r="C296" i="4" s="1"/>
  <c r="C297" i="4" s="1"/>
  <c r="C298" i="4" s="1"/>
  <c r="C299" i="4" s="1"/>
  <c r="C300" i="4" s="1"/>
  <c r="C301" i="4" s="1"/>
  <c r="C302" i="4" s="1"/>
  <c r="C303" i="4" s="1"/>
  <c r="C304" i="4" s="1"/>
  <c r="C305" i="4" s="1"/>
  <c r="C306" i="4" s="1"/>
  <c r="C307" i="4" s="1"/>
  <c r="C308" i="4" s="1"/>
  <c r="C309" i="4" s="1"/>
  <c r="C310" i="4" s="1"/>
  <c r="C311" i="4" s="1"/>
  <c r="C312" i="4" s="1"/>
  <c r="C313" i="4" s="1"/>
  <c r="C314" i="4" s="1"/>
  <c r="C315" i="4" s="1"/>
  <c r="C316" i="4" s="1"/>
  <c r="C317" i="4" s="1"/>
  <c r="C318" i="4" s="1"/>
  <c r="C319" i="4" s="1"/>
  <c r="C320" i="4" s="1"/>
  <c r="C321" i="4" s="1"/>
  <c r="C322" i="4" s="1"/>
  <c r="C323" i="4" s="1"/>
  <c r="C324" i="4" s="1"/>
  <c r="C325" i="4" s="1"/>
  <c r="C326" i="4" s="1"/>
  <c r="C327" i="4" s="1"/>
  <c r="C328" i="4" s="1"/>
  <c r="C329" i="4" s="1"/>
  <c r="C330" i="4" s="1"/>
  <c r="C331" i="4" s="1"/>
  <c r="C332" i="4" s="1"/>
  <c r="C333" i="4" s="1"/>
  <c r="C334" i="4" s="1"/>
  <c r="C335" i="4" s="1"/>
  <c r="C336" i="4" s="1"/>
  <c r="C337" i="4" s="1"/>
  <c r="C338" i="4" s="1"/>
  <c r="C339" i="4" s="1"/>
  <c r="C340" i="4" s="1"/>
  <c r="C341" i="4" s="1"/>
  <c r="C342" i="4" s="1"/>
  <c r="C343" i="4" s="1"/>
  <c r="C344" i="4" s="1"/>
  <c r="C345" i="4" s="1"/>
  <c r="C346" i="4" s="1"/>
  <c r="C347" i="4" s="1"/>
  <c r="C348" i="4" s="1"/>
  <c r="C349" i="4" s="1"/>
  <c r="C350" i="4" s="1"/>
  <c r="C351" i="4" s="1"/>
  <c r="C352" i="4" s="1"/>
  <c r="C353" i="4" s="1"/>
  <c r="C354" i="4" s="1"/>
  <c r="C355" i="4" s="1"/>
  <c r="C356" i="4" s="1"/>
  <c r="C357" i="4" s="1"/>
  <c r="C358" i="4" s="1"/>
  <c r="C359" i="4" s="1"/>
  <c r="C360" i="4" s="1"/>
  <c r="C361" i="4" s="1"/>
  <c r="C362" i="4" s="1"/>
  <c r="C363" i="4" s="1"/>
  <c r="C364" i="4" s="1"/>
  <c r="C365" i="4" s="1"/>
  <c r="C366" i="4" s="1"/>
  <c r="C367" i="4" s="1"/>
  <c r="C368" i="4" s="1"/>
  <c r="C369" i="4" s="1"/>
  <c r="C370" i="4" s="1"/>
  <c r="C371" i="4" s="1"/>
  <c r="C372" i="4" s="1"/>
  <c r="C373" i="4" s="1"/>
  <c r="C374" i="4" s="1"/>
  <c r="C375" i="4" s="1"/>
  <c r="C376" i="4" s="1"/>
  <c r="C377" i="4" s="1"/>
  <c r="C378" i="4" s="1"/>
  <c r="C379" i="4" s="1"/>
  <c r="C380" i="4" s="1"/>
  <c r="C381" i="4" s="1"/>
  <c r="C382" i="4" s="1"/>
  <c r="C383" i="4" s="1"/>
  <c r="C384" i="4" s="1"/>
  <c r="C385" i="4" s="1"/>
  <c r="C386" i="4" s="1"/>
  <c r="C387" i="4" s="1"/>
  <c r="C388" i="4" s="1"/>
  <c r="C389" i="4" s="1"/>
  <c r="C390" i="4" s="1"/>
  <c r="C391" i="4" s="1"/>
  <c r="C392" i="4" s="1"/>
  <c r="F13" i="7"/>
  <c r="G13" i="7" s="1"/>
  <c r="F14" i="7"/>
  <c r="G14" i="7" s="1"/>
  <c r="F15" i="7"/>
  <c r="G15" i="7" s="1"/>
  <c r="F16" i="7"/>
  <c r="G16" i="7" s="1"/>
  <c r="D45" i="7"/>
  <c r="B11" i="7"/>
  <c r="C45" i="7"/>
  <c r="A5" i="2"/>
  <c r="A6" i="2" s="1"/>
  <c r="A7" i="2" s="1"/>
  <c r="A10" i="2" s="1"/>
  <c r="A13" i="2" s="1"/>
  <c r="B3" i="14"/>
  <c r="H39" i="51"/>
  <c r="G39" i="51"/>
  <c r="G38" i="51"/>
  <c r="C4" i="51"/>
  <c r="C3" i="51"/>
  <c r="BI17" i="12"/>
  <c r="BN17" i="12"/>
  <c r="F38" i="17"/>
  <c r="F38" i="51" s="1"/>
  <c r="E50" i="20"/>
  <c r="G6" i="14"/>
  <c r="G6" i="15" s="1"/>
  <c r="G6" i="17" s="1"/>
  <c r="E48" i="20"/>
  <c r="D12" i="20"/>
  <c r="D48" i="20" s="1"/>
  <c r="D20" i="20"/>
  <c r="D49" i="20" s="1"/>
  <c r="G42" i="7"/>
  <c r="BX116" i="12"/>
  <c r="BW116" i="12"/>
  <c r="BV116" i="12"/>
  <c r="BX113" i="12"/>
  <c r="BW113" i="12"/>
  <c r="BX112" i="12"/>
  <c r="BW112" i="12"/>
  <c r="BX111" i="12"/>
  <c r="BW111" i="12"/>
  <c r="BX110" i="12"/>
  <c r="BW110" i="12"/>
  <c r="BX109" i="12"/>
  <c r="BW109" i="12"/>
  <c r="BX108" i="12"/>
  <c r="BW108" i="12"/>
  <c r="BX107" i="12"/>
  <c r="BW107" i="12"/>
  <c r="BX106" i="12"/>
  <c r="BW106" i="12"/>
  <c r="BX105" i="12"/>
  <c r="BW105" i="12"/>
  <c r="BX104" i="12"/>
  <c r="BW104" i="12"/>
  <c r="BX103" i="12"/>
  <c r="BW103" i="12"/>
  <c r="BX102" i="12"/>
  <c r="BW102" i="12"/>
  <c r="BX101" i="12"/>
  <c r="BW101" i="12"/>
  <c r="BX100" i="12"/>
  <c r="BW100" i="12"/>
  <c r="BX99" i="12"/>
  <c r="BW99" i="12"/>
  <c r="BX98" i="12"/>
  <c r="BW98" i="12"/>
  <c r="BX97" i="12"/>
  <c r="BW97" i="12"/>
  <c r="BX96" i="12"/>
  <c r="BW96" i="12"/>
  <c r="BX95" i="12"/>
  <c r="BW95" i="12"/>
  <c r="BX94" i="12"/>
  <c r="BW94" i="12"/>
  <c r="BX93" i="12"/>
  <c r="BW93" i="12"/>
  <c r="BX92" i="12"/>
  <c r="BW92" i="12"/>
  <c r="BX91" i="12"/>
  <c r="BW91" i="12"/>
  <c r="BX90" i="12"/>
  <c r="BW90" i="12"/>
  <c r="BX89" i="12"/>
  <c r="BW89" i="12"/>
  <c r="BX88" i="12"/>
  <c r="BW88" i="12"/>
  <c r="BX87" i="12"/>
  <c r="BW87" i="12"/>
  <c r="BX86" i="12"/>
  <c r="BW86" i="12"/>
  <c r="BX85" i="12"/>
  <c r="BW85" i="12"/>
  <c r="BX84" i="12"/>
  <c r="BW84" i="12"/>
  <c r="BX83" i="12"/>
  <c r="BW83" i="12"/>
  <c r="BX82" i="12"/>
  <c r="BW82" i="12"/>
  <c r="BX81" i="12"/>
  <c r="BW81" i="12"/>
  <c r="BX80" i="12"/>
  <c r="BW80" i="12"/>
  <c r="BX79" i="12"/>
  <c r="BW79" i="12"/>
  <c r="BX78" i="12"/>
  <c r="BW78" i="12"/>
  <c r="BX77" i="12"/>
  <c r="BW77" i="12"/>
  <c r="BX76" i="12"/>
  <c r="BW76" i="12"/>
  <c r="BX75" i="12"/>
  <c r="BW75" i="12"/>
  <c r="BX74" i="12"/>
  <c r="BW74" i="12"/>
  <c r="BX73" i="12"/>
  <c r="BW73" i="12"/>
  <c r="BX72" i="12"/>
  <c r="BW72" i="12"/>
  <c r="BX71" i="12"/>
  <c r="BW71" i="12"/>
  <c r="BX70" i="12"/>
  <c r="BW70" i="12"/>
  <c r="BX69" i="12"/>
  <c r="BW69" i="12"/>
  <c r="BX68" i="12"/>
  <c r="BW68" i="12"/>
  <c r="BX67" i="12"/>
  <c r="BW67" i="12"/>
  <c r="BX66" i="12"/>
  <c r="BW66" i="12"/>
  <c r="BX65" i="12"/>
  <c r="BW65" i="12"/>
  <c r="BX64" i="12"/>
  <c r="BW64" i="12"/>
  <c r="BX63" i="12"/>
  <c r="BW63" i="12"/>
  <c r="BU106" i="12"/>
  <c r="BU100" i="12"/>
  <c r="B3" i="15"/>
  <c r="T38" i="15"/>
  <c r="U38" i="15"/>
  <c r="R16" i="15"/>
  <c r="R38" i="15" s="1"/>
  <c r="T16" i="15"/>
  <c r="U16" i="15"/>
  <c r="C11" i="44"/>
  <c r="S16" i="15"/>
  <c r="S38" i="15" s="1"/>
  <c r="B11" i="44"/>
  <c r="A11" i="44"/>
  <c r="E5" i="8"/>
  <c r="F5" i="8" s="1"/>
  <c r="F6" i="8"/>
  <c r="F7" i="8"/>
  <c r="F76" i="8"/>
  <c r="G57" i="8" s="1"/>
  <c r="B18" i="20"/>
  <c r="H74" i="8"/>
  <c r="H73" i="8"/>
  <c r="H70" i="8"/>
  <c r="H69" i="8"/>
  <c r="H68" i="8"/>
  <c r="H67" i="8"/>
  <c r="H66" i="8"/>
  <c r="H63" i="8"/>
  <c r="H62" i="8"/>
  <c r="H61" i="8"/>
  <c r="H60" i="8"/>
  <c r="H59" i="8"/>
  <c r="H58" i="8"/>
  <c r="H57" i="8"/>
  <c r="H56" i="8"/>
  <c r="H55" i="8"/>
  <c r="H54" i="8"/>
  <c r="H51" i="8"/>
  <c r="H50" i="8"/>
  <c r="H49" i="8"/>
  <c r="H48" i="8"/>
  <c r="H47" i="8"/>
  <c r="H46" i="8"/>
  <c r="H43" i="8"/>
  <c r="H42" i="8"/>
  <c r="H41" i="8"/>
  <c r="H40" i="8"/>
  <c r="H39" i="8"/>
  <c r="H38" i="8"/>
  <c r="H35" i="8"/>
  <c r="H34" i="8"/>
  <c r="H33" i="8"/>
  <c r="H32" i="8"/>
  <c r="H31" i="8"/>
  <c r="H29" i="8"/>
  <c r="H28" i="8"/>
  <c r="H27" i="8"/>
  <c r="H26" i="8"/>
  <c r="H25" i="8"/>
  <c r="H24" i="8"/>
  <c r="H23" i="8"/>
  <c r="H22" i="8"/>
  <c r="H30" i="8"/>
  <c r="E74" i="8"/>
  <c r="E35" i="8"/>
  <c r="E34" i="8"/>
  <c r="E33" i="8"/>
  <c r="E32" i="8"/>
  <c r="E31" i="8"/>
  <c r="E30" i="8"/>
  <c r="E29" i="8"/>
  <c r="E28" i="8"/>
  <c r="E27" i="8"/>
  <c r="E26" i="8"/>
  <c r="E25" i="8"/>
  <c r="E24" i="8"/>
  <c r="E23" i="8"/>
  <c r="E56" i="8"/>
  <c r="E55" i="8"/>
  <c r="E54" i="8"/>
  <c r="E51" i="8"/>
  <c r="E50" i="8"/>
  <c r="E49" i="8"/>
  <c r="E48" i="8"/>
  <c r="E47" i="8"/>
  <c r="E46" i="8"/>
  <c r="F13" i="8"/>
  <c r="F16" i="8"/>
  <c r="E22" i="8"/>
  <c r="E38" i="8"/>
  <c r="E39" i="8"/>
  <c r="E40" i="8"/>
  <c r="E41" i="8"/>
  <c r="E42" i="8"/>
  <c r="E43" i="8"/>
  <c r="E57" i="8"/>
  <c r="E58" i="8"/>
  <c r="E59" i="8"/>
  <c r="E60" i="8"/>
  <c r="E61" i="8"/>
  <c r="E62" i="8"/>
  <c r="E63" i="8"/>
  <c r="E66" i="8"/>
  <c r="E67" i="8"/>
  <c r="E68" i="8"/>
  <c r="E69" i="8"/>
  <c r="E70" i="8"/>
  <c r="E73" i="8"/>
  <c r="A5" i="22" a="1"/>
  <c r="A5" i="22" s="1"/>
  <c r="A11" i="22"/>
  <c r="A10" i="22"/>
  <c r="B4" i="22"/>
  <c r="H7" i="22"/>
  <c r="G7" i="22"/>
  <c r="C7" i="22"/>
  <c r="F7" i="22" s="1"/>
  <c r="E7" i="22"/>
  <c r="D7" i="22"/>
  <c r="A4" i="22"/>
  <c r="F4" i="22"/>
  <c r="G4" i="22"/>
  <c r="H4" i="22"/>
  <c r="G14" i="14"/>
  <c r="F9" i="7" s="1"/>
  <c r="F6" i="7"/>
  <c r="D7" i="20" s="1"/>
  <c r="F4" i="7"/>
  <c r="B4" i="7"/>
  <c r="B3" i="7"/>
  <c r="E44" i="20"/>
  <c r="B6" i="20"/>
  <c r="A6" i="20"/>
  <c r="A5" i="20"/>
  <c r="A4" i="20"/>
  <c r="A3" i="20"/>
  <c r="E3" i="20"/>
  <c r="B5" i="20"/>
  <c r="B4" i="20"/>
  <c r="B3" i="20"/>
  <c r="B38" i="17"/>
  <c r="B38" i="51" s="1"/>
  <c r="D38" i="17"/>
  <c r="D38" i="51" s="1"/>
  <c r="I38" i="17"/>
  <c r="I38" i="51" s="1"/>
  <c r="H37" i="17"/>
  <c r="H37" i="51" s="1"/>
  <c r="G37" i="17"/>
  <c r="G37" i="51" s="1"/>
  <c r="E38" i="17"/>
  <c r="E38" i="51" s="1"/>
  <c r="C3" i="17"/>
  <c r="C4" i="17"/>
  <c r="G3" i="15"/>
  <c r="G3" i="17" s="1"/>
  <c r="I3" i="14"/>
  <c r="I3" i="15" s="1"/>
  <c r="J3" i="17" s="1"/>
  <c r="G4" i="15"/>
  <c r="I4" i="17" s="1"/>
  <c r="G5" i="15"/>
  <c r="I5" i="17"/>
  <c r="G8" i="15"/>
  <c r="G3" i="51" s="1"/>
  <c r="G9" i="15"/>
  <c r="I4" i="51" s="1"/>
  <c r="G10" i="15"/>
  <c r="I5" i="51" s="1"/>
  <c r="G11" i="15"/>
  <c r="I6" i="51" s="1"/>
  <c r="G12" i="15"/>
  <c r="I7" i="51" s="1"/>
  <c r="J9" i="15"/>
  <c r="Z41" i="15"/>
  <c r="Z19" i="15" s="1"/>
  <c r="Q38" i="15"/>
  <c r="AA41" i="15"/>
  <c r="AA42" i="15"/>
  <c r="AA43" i="15"/>
  <c r="AA44" i="15"/>
  <c r="C20" i="14"/>
  <c r="L23" i="14"/>
  <c r="L24" i="14"/>
  <c r="L25" i="14"/>
  <c r="L26" i="14"/>
  <c r="L27" i="14"/>
  <c r="L28" i="14"/>
  <c r="L29" i="14"/>
  <c r="L30" i="14"/>
  <c r="L31" i="14"/>
  <c r="L32" i="14"/>
  <c r="L33" i="14"/>
  <c r="C41" i="14"/>
  <c r="C77" i="14"/>
  <c r="C78" i="14" s="1"/>
  <c r="C79" i="14" s="1"/>
  <c r="C80" i="14" s="1"/>
  <c r="C81" i="14" s="1"/>
  <c r="C82" i="14" s="1"/>
  <c r="C83" i="14" s="1"/>
  <c r="C84" i="14" s="1"/>
  <c r="C85" i="14" s="1"/>
  <c r="C86" i="14" s="1"/>
  <c r="B19" i="11"/>
  <c r="G2" i="12" s="1"/>
  <c r="B20" i="11"/>
  <c r="F28" i="11" s="1"/>
  <c r="B21" i="11"/>
  <c r="I2" i="12" s="1"/>
  <c r="B22" i="11"/>
  <c r="F30" i="11" s="1"/>
  <c r="B23" i="11"/>
  <c r="K2" i="12" s="1"/>
  <c r="F3" i="12"/>
  <c r="G3" i="12"/>
  <c r="H3" i="12"/>
  <c r="I3" i="12"/>
  <c r="J3" i="12"/>
  <c r="H69" i="11"/>
  <c r="G8" i="12"/>
  <c r="H8" i="12"/>
  <c r="I8" i="12"/>
  <c r="J8" i="12"/>
  <c r="K8" i="12"/>
  <c r="F9" i="12"/>
  <c r="F10" i="12"/>
  <c r="F11" i="12"/>
  <c r="F12" i="12"/>
  <c r="F13" i="12"/>
  <c r="A15" i="12"/>
  <c r="A16" i="12"/>
  <c r="C50" i="11"/>
  <c r="C49" i="11"/>
  <c r="C48" i="11"/>
  <c r="C47" i="11"/>
  <c r="B32" i="11"/>
  <c r="C26" i="11"/>
  <c r="C27" i="11"/>
  <c r="C28" i="11"/>
  <c r="C29" i="11"/>
  <c r="C30" i="11"/>
  <c r="C56" i="11"/>
  <c r="C57" i="11"/>
  <c r="C58" i="11"/>
  <c r="C59" i="11"/>
  <c r="C51" i="11"/>
  <c r="C60" i="11"/>
  <c r="F73" i="11"/>
  <c r="C4" i="7"/>
  <c r="F11" i="7"/>
  <c r="G11" i="7"/>
  <c r="F25" i="7"/>
  <c r="G25" i="7" s="1"/>
  <c r="F26" i="7"/>
  <c r="G26" i="7" s="1"/>
  <c r="F27" i="7"/>
  <c r="G27" i="7"/>
  <c r="F28" i="7"/>
  <c r="G28" i="7" s="1"/>
  <c r="F29" i="7"/>
  <c r="G29" i="7" s="1"/>
  <c r="F30" i="7"/>
  <c r="G30" i="7" s="1"/>
  <c r="F31" i="7"/>
  <c r="G31" i="7" s="1"/>
  <c r="F32" i="7"/>
  <c r="G32" i="7" s="1"/>
  <c r="F33" i="7"/>
  <c r="G33" i="7" s="1"/>
  <c r="F34" i="7"/>
  <c r="G34" i="7" s="1"/>
  <c r="F35" i="7"/>
  <c r="G35" i="7" s="1"/>
  <c r="F36" i="7"/>
  <c r="G36" i="7" s="1"/>
  <c r="F37" i="7"/>
  <c r="G37" i="7" s="1"/>
  <c r="F38" i="7"/>
  <c r="G38" i="7" s="1"/>
  <c r="F39" i="7"/>
  <c r="G39" i="7" s="1"/>
  <c r="C6" i="5"/>
  <c r="C7" i="5" s="1"/>
  <c r="C8" i="5" s="1"/>
  <c r="C9" i="5" s="1"/>
  <c r="C10" i="5" s="1"/>
  <c r="C11" i="5" s="1"/>
  <c r="C12" i="5" s="1"/>
  <c r="C13" i="5" s="1"/>
  <c r="C14" i="5" s="1"/>
  <c r="C15" i="5" s="1"/>
  <c r="C16" i="5" s="1"/>
  <c r="C17" i="5" s="1"/>
  <c r="C18" i="5" s="1"/>
  <c r="C19" i="5" s="1"/>
  <c r="C20" i="5" s="1"/>
  <c r="C21" i="5" s="1"/>
  <c r="C22" i="5" s="1"/>
  <c r="C23" i="5" s="1"/>
  <c r="C24" i="5" s="1"/>
  <c r="C25" i="5" s="1"/>
  <c r="C26" i="5" s="1"/>
  <c r="C27" i="5" s="1"/>
  <c r="C28" i="5" s="1"/>
  <c r="C29" i="5" s="1"/>
  <c r="C30" i="5" s="1"/>
  <c r="C31" i="5" s="1"/>
  <c r="C32" i="5" s="1"/>
  <c r="C33" i="5" s="1"/>
  <c r="C34" i="5" s="1"/>
  <c r="C35" i="5" s="1"/>
  <c r="C36" i="5" s="1"/>
  <c r="C38" i="5" s="1"/>
  <c r="C39" i="5" s="1"/>
  <c r="C40" i="5" s="1"/>
  <c r="C41" i="5" s="1"/>
  <c r="C42" i="5" s="1"/>
  <c r="C43" i="5" s="1"/>
  <c r="C44" i="5" s="1"/>
  <c r="C45" i="5" s="1"/>
  <c r="C46" i="5" s="1"/>
  <c r="C47" i="5" s="1"/>
  <c r="C48" i="5" s="1"/>
  <c r="C49" i="5" s="1"/>
  <c r="C50" i="5" s="1"/>
  <c r="C51" i="5" s="1"/>
  <c r="C52" i="5" s="1"/>
  <c r="C53" i="5" s="1"/>
  <c r="C54" i="5" s="1"/>
  <c r="C55" i="5" s="1"/>
  <c r="C57" i="5" s="1"/>
  <c r="C58" i="5" s="1"/>
  <c r="C59" i="5" s="1"/>
  <c r="C60" i="5" s="1"/>
  <c r="C61" i="5" s="1"/>
  <c r="C62" i="5" s="1"/>
  <c r="C63" i="5" s="1"/>
  <c r="C64" i="5" s="1"/>
  <c r="C65" i="5" s="1"/>
  <c r="C66" i="5" s="1"/>
  <c r="C67" i="5" s="1"/>
  <c r="C68" i="5" s="1"/>
  <c r="C69" i="5" s="1"/>
  <c r="C70" i="5" s="1"/>
  <c r="C71" i="5" s="1"/>
  <c r="C72" i="5" s="1"/>
  <c r="C73" i="5" s="1"/>
  <c r="C74" i="5" s="1"/>
  <c r="C75" i="5" s="1"/>
  <c r="C76" i="5" s="1"/>
  <c r="C77" i="5" s="1"/>
  <c r="C78" i="5" s="1"/>
  <c r="C79" i="5" s="1"/>
  <c r="C80" i="5" s="1"/>
  <c r="C81" i="5" s="1"/>
  <c r="C82" i="5" s="1"/>
  <c r="C83" i="5" s="1"/>
  <c r="C84" i="5" s="1"/>
  <c r="C85" i="5" s="1"/>
  <c r="C87" i="5" s="1"/>
  <c r="C88" i="5" s="1"/>
  <c r="C89" i="5" s="1"/>
  <c r="C90" i="5" s="1"/>
  <c r="C91" i="5" s="1"/>
  <c r="C92" i="5" s="1"/>
  <c r="C93" i="5" s="1"/>
  <c r="C94" i="5" s="1"/>
  <c r="C95" i="5" s="1"/>
  <c r="C96" i="5" s="1"/>
  <c r="C97" i="5" s="1"/>
  <c r="C98" i="5" s="1"/>
  <c r="C99" i="5" s="1"/>
  <c r="C100" i="5" s="1"/>
  <c r="C101" i="5" s="1"/>
  <c r="C102" i="5" s="1"/>
  <c r="C103" i="5" s="1"/>
  <c r="C104" i="5" s="1"/>
  <c r="C105" i="5" s="1"/>
  <c r="C106" i="5" s="1"/>
  <c r="C107" i="5" s="1"/>
  <c r="C108" i="5" s="1"/>
  <c r="C109" i="5" s="1"/>
  <c r="C110" i="5" s="1"/>
  <c r="C112" i="5" s="1"/>
  <c r="C113" i="5" s="1"/>
  <c r="C114" i="5" s="1"/>
  <c r="C115" i="5" s="1"/>
  <c r="C116" i="5" s="1"/>
  <c r="C117" i="5" s="1"/>
  <c r="C118" i="5" s="1"/>
  <c r="C119" i="5" s="1"/>
  <c r="C120" i="5" s="1"/>
  <c r="C121" i="5" s="1"/>
  <c r="C122" i="5" s="1"/>
  <c r="C123" i="5" s="1"/>
  <c r="C124" i="5" s="1"/>
  <c r="C125" i="5" s="1"/>
  <c r="C127" i="5" s="1"/>
  <c r="C128" i="5" s="1"/>
  <c r="C129" i="5" s="1"/>
  <c r="C130" i="5" s="1"/>
  <c r="C131" i="5" s="1"/>
  <c r="C132" i="5" s="1"/>
  <c r="C133" i="5" s="1"/>
  <c r="C134" i="5" s="1"/>
  <c r="C135" i="5" s="1"/>
  <c r="C137" i="5" s="1"/>
  <c r="C138" i="5" s="1"/>
  <c r="C139" i="5" s="1"/>
  <c r="C140" i="5" s="1"/>
  <c r="C141" i="5" s="1"/>
  <c r="C142" i="5" s="1"/>
  <c r="C143" i="5" s="1"/>
  <c r="C144" i="5" s="1"/>
  <c r="C145" i="5" s="1"/>
  <c r="C146" i="5" s="1"/>
  <c r="C147" i="5" s="1"/>
  <c r="C148" i="5" s="1"/>
  <c r="C149" i="5" s="1"/>
  <c r="C150" i="5" s="1"/>
  <c r="C151" i="5" s="1"/>
  <c r="C152" i="5" s="1"/>
  <c r="C153" i="5" s="1"/>
  <c r="C154" i="5" s="1"/>
  <c r="C155" i="5" s="1"/>
  <c r="C156" i="5" s="1"/>
  <c r="C158" i="5" s="1"/>
  <c r="C159" i="5" s="1"/>
  <c r="C160" i="5" s="1"/>
  <c r="C161" i="5" s="1"/>
  <c r="C162" i="5" s="1"/>
  <c r="C163" i="5" s="1"/>
  <c r="C164" i="5" s="1"/>
  <c r="C165" i="5" s="1"/>
  <c r="C166" i="5" s="1"/>
  <c r="C167" i="5" s="1"/>
  <c r="C168" i="5" s="1"/>
  <c r="C169" i="5" s="1"/>
  <c r="C170" i="5" s="1"/>
  <c r="C171" i="5" s="1"/>
  <c r="C172" i="5" s="1"/>
  <c r="C173" i="5" s="1"/>
  <c r="C174" i="5" s="1"/>
  <c r="C175" i="5" s="1"/>
  <c r="C176" i="5" s="1"/>
  <c r="C177" i="5" s="1"/>
  <c r="C178" i="5" s="1"/>
  <c r="C179" i="5" s="1"/>
  <c r="C180" i="5" s="1"/>
  <c r="C182" i="5" s="1"/>
  <c r="C183" i="5" s="1"/>
  <c r="C184" i="5" s="1"/>
  <c r="C185" i="5" s="1"/>
  <c r="C186" i="5" s="1"/>
  <c r="C187" i="5" s="1"/>
  <c r="C188" i="5" s="1"/>
  <c r="C189" i="5" s="1"/>
  <c r="C191" i="5" s="1"/>
  <c r="C192" i="5" s="1"/>
  <c r="C193" i="5" s="1"/>
  <c r="C194" i="5" s="1"/>
  <c r="C195" i="5" s="1"/>
  <c r="C196" i="5" s="1"/>
  <c r="C197" i="5" s="1"/>
  <c r="C198" i="5" s="1"/>
  <c r="C199" i="5" s="1"/>
  <c r="C200" i="5" s="1"/>
  <c r="C201" i="5" s="1"/>
  <c r="C202" i="5" s="1"/>
  <c r="C203" i="5" s="1"/>
  <c r="C204" i="5" s="1"/>
  <c r="C205" i="5" s="1"/>
  <c r="C206" i="5" s="1"/>
  <c r="C207" i="5" s="1"/>
  <c r="C208" i="5" s="1"/>
  <c r="C209" i="5" s="1"/>
  <c r="C211" i="5" s="1"/>
  <c r="C212" i="5" s="1"/>
  <c r="C213" i="5" s="1"/>
  <c r="C214" i="5" s="1"/>
  <c r="C215" i="5" s="1"/>
  <c r="C216" i="5" s="1"/>
  <c r="C217" i="5" s="1"/>
  <c r="C218" i="5" s="1"/>
  <c r="C219" i="5" s="1"/>
  <c r="C220" i="5" s="1"/>
  <c r="C222" i="5" s="1"/>
  <c r="C223" i="5" s="1"/>
  <c r="C224" i="5" s="1"/>
  <c r="C225" i="5" s="1"/>
  <c r="C226" i="5" s="1"/>
  <c r="C227" i="5" s="1"/>
  <c r="C228" i="5" s="1"/>
  <c r="C229" i="5" s="1"/>
  <c r="C230" i="5" s="1"/>
  <c r="C232" i="5" s="1"/>
  <c r="C233" i="5" s="1"/>
  <c r="C234" i="5" s="1"/>
  <c r="C235" i="5" s="1"/>
  <c r="C236" i="5" s="1"/>
  <c r="C237" i="5" s="1"/>
  <c r="C238" i="5" s="1"/>
  <c r="C239" i="5" s="1"/>
  <c r="C240" i="5" s="1"/>
  <c r="C241" i="5" s="1"/>
  <c r="C242" i="5" s="1"/>
  <c r="C243" i="5" s="1"/>
  <c r="C244" i="5" s="1"/>
  <c r="C245" i="5" s="1"/>
  <c r="C247" i="5" s="1"/>
  <c r="C248" i="5" s="1"/>
  <c r="C249" i="5" s="1"/>
  <c r="C250" i="5" s="1"/>
  <c r="C251" i="5" s="1"/>
  <c r="C252" i="5" s="1"/>
  <c r="C253" i="5" s="1"/>
  <c r="C254" i="5" s="1"/>
  <c r="C255" i="5" s="1"/>
  <c r="C256" i="5" s="1"/>
  <c r="C257" i="5" s="1"/>
  <c r="C258" i="5" s="1"/>
  <c r="C259" i="5" s="1"/>
  <c r="C260" i="5" s="1"/>
  <c r="C261" i="5" s="1"/>
  <c r="C262" i="5" s="1"/>
  <c r="C263" i="5" s="1"/>
  <c r="C264" i="5" s="1"/>
  <c r="C265" i="5" s="1"/>
  <c r="C266" i="5" s="1"/>
  <c r="C267" i="5" s="1"/>
  <c r="C268" i="5" s="1"/>
  <c r="C269" i="5" s="1"/>
  <c r="C270" i="5" s="1"/>
  <c r="C271" i="5" s="1"/>
  <c r="C272" i="5" s="1"/>
  <c r="C273" i="5" s="1"/>
  <c r="C274" i="5" s="1"/>
  <c r="C275" i="5" s="1"/>
  <c r="C276" i="5" s="1"/>
  <c r="C277" i="5" s="1"/>
  <c r="C278" i="5" s="1"/>
  <c r="C279" i="5" s="1"/>
  <c r="C280" i="5" s="1"/>
  <c r="C281" i="5" s="1"/>
  <c r="C282" i="5" s="1"/>
  <c r="C283" i="5" s="1"/>
  <c r="C284" i="5" s="1"/>
  <c r="C285" i="5" s="1"/>
  <c r="C286" i="5" s="1"/>
  <c r="C287" i="5" s="1"/>
  <c r="C288" i="5" s="1"/>
  <c r="C289" i="5" s="1"/>
  <c r="C290" i="5" s="1"/>
  <c r="C291" i="5" s="1"/>
  <c r="C292" i="5" s="1"/>
  <c r="C293" i="5" s="1"/>
  <c r="C294" i="5" s="1"/>
  <c r="C295" i="5" s="1"/>
  <c r="C296" i="5" s="1"/>
  <c r="C297" i="5" s="1"/>
  <c r="C298" i="5" s="1"/>
  <c r="C299" i="5" s="1"/>
  <c r="C300" i="5" s="1"/>
  <c r="C301" i="5" s="1"/>
  <c r="C302" i="5" s="1"/>
  <c r="C303" i="5" s="1"/>
  <c r="C305" i="5" s="1"/>
  <c r="C306" i="5" s="1"/>
  <c r="C307" i="5" s="1"/>
  <c r="C308" i="5" s="1"/>
  <c r="C309" i="5" s="1"/>
  <c r="C310" i="5" s="1"/>
  <c r="C311" i="5" s="1"/>
  <c r="C312" i="5" s="1"/>
  <c r="C313" i="5" s="1"/>
  <c r="C314" i="5" s="1"/>
  <c r="C315" i="5" s="1"/>
  <c r="C316" i="5" s="1"/>
  <c r="C317" i="5" s="1"/>
  <c r="C318" i="5" s="1"/>
  <c r="C319" i="5" s="1"/>
  <c r="C320" i="5" s="1"/>
  <c r="C321" i="5" s="1"/>
  <c r="C322" i="5" s="1"/>
  <c r="C323" i="5" s="1"/>
  <c r="C324" i="5" s="1"/>
  <c r="C325" i="5" s="1"/>
  <c r="C326" i="5" s="1"/>
  <c r="C327" i="5" s="1"/>
  <c r="C328" i="5" s="1"/>
  <c r="C329" i="5" s="1"/>
  <c r="C330" i="5" s="1"/>
  <c r="C331" i="5" s="1"/>
  <c r="C332" i="5" s="1"/>
  <c r="C333" i="5" s="1"/>
  <c r="C334" i="5" s="1"/>
  <c r="C335" i="5" s="1"/>
  <c r="C336" i="5" s="1"/>
  <c r="C337" i="5" s="1"/>
  <c r="C338" i="5" s="1"/>
  <c r="C339" i="5" s="1"/>
  <c r="C340" i="5" s="1"/>
  <c r="C341" i="5" s="1"/>
  <c r="C342" i="5" s="1"/>
  <c r="C343" i="5" s="1"/>
  <c r="C344" i="5" s="1"/>
  <c r="C345" i="5" s="1"/>
  <c r="C346" i="5" s="1"/>
  <c r="C348" i="5" s="1"/>
  <c r="C349" i="5" s="1"/>
  <c r="C350" i="5" s="1"/>
  <c r="C351" i="5" s="1"/>
  <c r="C352" i="5" s="1"/>
  <c r="C353" i="5" s="1"/>
  <c r="C354" i="5" s="1"/>
  <c r="C355" i="5" s="1"/>
  <c r="C356" i="5" s="1"/>
  <c r="C357" i="5" s="1"/>
  <c r="C358" i="5" s="1"/>
  <c r="C359" i="5" s="1"/>
  <c r="C360" i="5" s="1"/>
  <c r="C361" i="5" s="1"/>
  <c r="C362" i="5" s="1"/>
  <c r="C363" i="5" s="1"/>
  <c r="C364" i="5" s="1"/>
  <c r="C365" i="5" s="1"/>
  <c r="C366" i="5" s="1"/>
  <c r="C367" i="5" s="1"/>
  <c r="BX24" i="12"/>
  <c r="BX21" i="12"/>
  <c r="BX22" i="12"/>
  <c r="BX20" i="12"/>
  <c r="BX25" i="12"/>
  <c r="BX23" i="12"/>
  <c r="BW21" i="12"/>
  <c r="BW19" i="12"/>
  <c r="BX19" i="12"/>
  <c r="BW22" i="12"/>
  <c r="BW20" i="12"/>
  <c r="BW24" i="12"/>
  <c r="BW25" i="12"/>
  <c r="E6" i="20"/>
  <c r="BW23" i="12"/>
  <c r="B19" i="20"/>
  <c r="B20" i="20"/>
  <c r="BX30" i="12"/>
  <c r="BW29" i="12"/>
  <c r="BX29" i="12"/>
  <c r="BW30" i="12"/>
  <c r="BX32" i="12"/>
  <c r="BW31" i="12"/>
  <c r="BX31" i="12"/>
  <c r="BW32" i="12"/>
  <c r="BX33" i="12"/>
  <c r="BW33" i="12"/>
  <c r="BW34" i="12"/>
  <c r="BX34" i="12"/>
  <c r="BX36" i="12"/>
  <c r="BW35" i="12"/>
  <c r="BX35" i="12"/>
  <c r="BW36" i="12"/>
  <c r="BX38" i="12"/>
  <c r="BX37" i="12"/>
  <c r="BW37" i="12"/>
  <c r="BX39" i="12"/>
  <c r="BW38" i="12"/>
  <c r="BU38" i="12"/>
  <c r="BX40" i="12"/>
  <c r="BW39" i="12"/>
  <c r="BX41" i="12"/>
  <c r="BW40" i="12"/>
  <c r="BW41" i="12"/>
  <c r="BX43" i="12"/>
  <c r="BX42" i="12"/>
  <c r="BW42" i="12"/>
  <c r="BX44" i="12"/>
  <c r="BW43" i="12"/>
  <c r="BX45" i="12"/>
  <c r="BW44" i="12"/>
  <c r="BX46" i="12"/>
  <c r="BW45" i="12"/>
  <c r="BW46" i="12"/>
  <c r="BX48" i="12"/>
  <c r="BW47" i="12"/>
  <c r="BX47" i="12"/>
  <c r="BX49" i="12"/>
  <c r="BW48" i="12"/>
  <c r="BX50" i="12"/>
  <c r="BW49" i="12"/>
  <c r="BX51" i="12"/>
  <c r="BW50" i="12"/>
  <c r="BX52" i="12"/>
  <c r="BW51" i="12"/>
  <c r="BX53" i="12"/>
  <c r="BW52" i="12"/>
  <c r="BX54" i="12"/>
  <c r="BW53" i="12"/>
  <c r="BX55" i="12"/>
  <c r="BW54" i="12"/>
  <c r="BX56" i="12"/>
  <c r="BW55" i="12"/>
  <c r="BX57" i="12"/>
  <c r="BW56" i="12"/>
  <c r="BX58" i="12"/>
  <c r="BW57" i="12"/>
  <c r="BX59" i="12"/>
  <c r="BW58" i="12"/>
  <c r="BX60" i="12"/>
  <c r="BW59" i="12"/>
  <c r="BX61" i="12"/>
  <c r="BW60" i="12"/>
  <c r="BX62" i="12"/>
  <c r="BU61" i="12"/>
  <c r="BW61" i="12"/>
  <c r="BW62" i="12"/>
  <c r="F40" i="7"/>
  <c r="G40" i="7" s="1"/>
  <c r="E41" i="7"/>
  <c r="F41" i="7"/>
  <c r="G41" i="7" s="1"/>
  <c r="BU51" i="12"/>
  <c r="I8" i="15"/>
  <c r="J3" i="51" s="1"/>
  <c r="B48" i="11"/>
  <c r="BU34" i="12"/>
  <c r="G26" i="8"/>
  <c r="G33" i="8"/>
  <c r="G34" i="8"/>
  <c r="BU20" i="12"/>
  <c r="W24" i="8"/>
  <c r="G32" i="8"/>
  <c r="G28" i="8"/>
  <c r="G58" i="8"/>
  <c r="BU40" i="12"/>
  <c r="BU108" i="12"/>
  <c r="BU81" i="12"/>
  <c r="F47" i="11"/>
  <c r="F27" i="11"/>
  <c r="F56" i="11"/>
  <c r="F4" i="12"/>
  <c r="B59" i="11"/>
  <c r="B47" i="11"/>
  <c r="B56" i="11"/>
  <c r="I10" i="15"/>
  <c r="J5" i="51" s="1"/>
  <c r="AK61" i="12"/>
  <c r="W16" i="8"/>
  <c r="W10" i="8"/>
  <c r="AK81" i="12"/>
  <c r="W23" i="8"/>
  <c r="W6" i="8"/>
  <c r="W9" i="8"/>
  <c r="W22" i="8"/>
  <c r="W8" i="8"/>
  <c r="W15" i="8"/>
  <c r="AK103" i="12"/>
  <c r="AK29" i="12"/>
  <c r="W7" i="8"/>
  <c r="W14" i="8"/>
  <c r="W21" i="8"/>
  <c r="F49" i="11"/>
  <c r="AK28" i="12"/>
  <c r="W18" i="8"/>
  <c r="W17" i="8"/>
  <c r="B58" i="11"/>
  <c r="F58" i="11"/>
  <c r="J2" i="12"/>
  <c r="J4" i="12"/>
  <c r="B49" i="11"/>
  <c r="N4" i="12"/>
  <c r="BT19" i="12"/>
  <c r="AK108" i="12"/>
  <c r="AN97" i="12"/>
  <c r="AK60" i="12"/>
  <c r="AK111" i="12"/>
  <c r="AK91" i="12"/>
  <c r="AN20" i="12"/>
  <c r="AK89" i="12"/>
  <c r="AK53" i="12"/>
  <c r="AN43" i="12"/>
  <c r="AN63" i="12"/>
  <c r="AN112" i="12"/>
  <c r="AK69" i="12"/>
  <c r="AK43" i="12"/>
  <c r="AK59" i="12"/>
  <c r="AK96" i="12"/>
  <c r="AK100" i="12"/>
  <c r="AK33" i="12"/>
  <c r="AK110" i="12"/>
  <c r="B57" i="11"/>
  <c r="AK112" i="12"/>
  <c r="AK72" i="12"/>
  <c r="AK23" i="12"/>
  <c r="G66" i="8"/>
  <c r="G47" i="7"/>
  <c r="G40" i="8"/>
  <c r="AN104" i="12"/>
  <c r="F51" i="11"/>
  <c r="J66" i="11"/>
  <c r="AN75" i="12"/>
  <c r="AK76" i="12"/>
  <c r="G54" i="8"/>
  <c r="AK98" i="12"/>
  <c r="G41" i="8"/>
  <c r="G43" i="8"/>
  <c r="BS19" i="12"/>
  <c r="B60" i="11"/>
  <c r="F48" i="11"/>
  <c r="G47" i="8"/>
  <c r="G56" i="8"/>
  <c r="G23" i="8"/>
  <c r="F45" i="7"/>
  <c r="E45" i="7" s="1"/>
  <c r="F57" i="11"/>
  <c r="B51" i="11"/>
  <c r="F60" i="11"/>
  <c r="AK105" i="12"/>
  <c r="AK20" i="12"/>
  <c r="BT20" i="12"/>
  <c r="AN90" i="12"/>
  <c r="AN96" i="12"/>
  <c r="AN91" i="12"/>
  <c r="BV112" i="12"/>
  <c r="AN81" i="12"/>
  <c r="AN55" i="12"/>
  <c r="AK51" i="12"/>
  <c r="AN89" i="12"/>
  <c r="AK79" i="12"/>
  <c r="AK39" i="12"/>
  <c r="BU43" i="12"/>
  <c r="AN48" i="12"/>
  <c r="AN50" i="12"/>
  <c r="AN66" i="12"/>
  <c r="AK58" i="12"/>
  <c r="AK102" i="12"/>
  <c r="AK82" i="12"/>
  <c r="AN109" i="12"/>
  <c r="AK48" i="12"/>
  <c r="AN100" i="12"/>
  <c r="BU90" i="12"/>
  <c r="AK78" i="12"/>
  <c r="AN52" i="12"/>
  <c r="AN80" i="12"/>
  <c r="AN71" i="12"/>
  <c r="AN111" i="12"/>
  <c r="AK90" i="12"/>
  <c r="AK71" i="12"/>
  <c r="BV29" i="12"/>
  <c r="BV74" i="12"/>
  <c r="AN74" i="12"/>
  <c r="D40" i="20"/>
  <c r="BU42" i="12"/>
  <c r="BU19" i="12"/>
  <c r="BV68" i="12"/>
  <c r="AN68" i="12"/>
  <c r="G59" i="8"/>
  <c r="G27" i="8"/>
  <c r="G69" i="8"/>
  <c r="G35" i="8"/>
  <c r="G68" i="8"/>
  <c r="G70" i="8"/>
  <c r="G61" i="8"/>
  <c r="G24" i="8"/>
  <c r="G55" i="8"/>
  <c r="AN77" i="12"/>
  <c r="BU77" i="12"/>
  <c r="AN51" i="12"/>
  <c r="AN47" i="12"/>
  <c r="AK64" i="12"/>
  <c r="AK46" i="12"/>
  <c r="AK38" i="12"/>
  <c r="AK49" i="12"/>
  <c r="AK92" i="12"/>
  <c r="AK42" i="12"/>
  <c r="AK106" i="12"/>
  <c r="X1" i="12"/>
  <c r="V1" i="12"/>
  <c r="W1" i="12"/>
  <c r="BX26" i="12"/>
  <c r="AC26" i="12"/>
  <c r="BV26" i="12" s="1"/>
  <c r="BW26" i="12"/>
  <c r="AA26" i="12"/>
  <c r="BU26" i="12" s="1"/>
  <c r="AC27" i="12"/>
  <c r="BV27" i="12" s="1"/>
  <c r="AB26" i="12"/>
  <c r="AA27" i="12"/>
  <c r="BU27" i="12" s="1"/>
  <c r="BX27" i="12"/>
  <c r="AB27" i="12"/>
  <c r="AO27" i="12"/>
  <c r="BW27" i="12"/>
  <c r="U1" i="12"/>
  <c r="AB28" i="12"/>
  <c r="R1" i="12"/>
  <c r="S1" i="12"/>
  <c r="AA28" i="12"/>
  <c r="BU28" i="12" s="1"/>
  <c r="T1" i="12"/>
  <c r="BX28" i="12"/>
  <c r="AC28" i="12"/>
  <c r="BV28" i="12" s="1"/>
  <c r="Q1" i="12"/>
  <c r="P1" i="12"/>
  <c r="AO28" i="12"/>
  <c r="BW28" i="12"/>
  <c r="D9" i="20"/>
  <c r="BV41" i="12"/>
  <c r="AK30" i="12"/>
  <c r="E23" i="2" a="1"/>
  <c r="E5" i="2" a="1"/>
  <c r="E15" i="2" a="1"/>
  <c r="E4" i="2" a="1"/>
  <c r="E21" i="2" a="1"/>
  <c r="E16" i="2" a="1"/>
  <c r="E20" i="2" a="1"/>
  <c r="E13" i="2" a="1"/>
  <c r="E19" i="2" a="1"/>
  <c r="E11" i="2" a="1"/>
  <c r="E25" i="2" a="1"/>
  <c r="E22" i="2" a="1"/>
  <c r="P2" i="44"/>
  <c r="V29" i="8" a="1"/>
  <c r="E14" i="2" a="1"/>
  <c r="E26" i="2" a="1"/>
  <c r="E24" i="2" a="1"/>
  <c r="E18" i="2" a="1"/>
  <c r="F79" i="8" a="1"/>
  <c r="E17" i="2" a="1"/>
  <c r="E12" i="2" a="1"/>
  <c r="E6" i="2" a="1"/>
  <c r="E8" i="2" a="1"/>
  <c r="E7" i="2" a="1"/>
  <c r="E10" i="2" a="1"/>
  <c r="E9" i="2" a="1"/>
  <c r="F79" i="8" l="1"/>
  <c r="V29" i="8"/>
  <c r="V30" i="8" s="1"/>
  <c r="AN23" i="12"/>
  <c r="G39" i="8"/>
  <c r="G25" i="8"/>
  <c r="G49" i="8"/>
  <c r="G62" i="8"/>
  <c r="G51" i="8"/>
  <c r="G46" i="8"/>
  <c r="G29" i="8"/>
  <c r="G31" i="8"/>
  <c r="G50" i="8"/>
  <c r="G63" i="8"/>
  <c r="G74" i="8"/>
  <c r="G67" i="8"/>
  <c r="G60" i="8"/>
  <c r="G30" i="8"/>
  <c r="G42" i="8"/>
  <c r="G38" i="8"/>
  <c r="G22" i="8"/>
  <c r="AN42" i="12"/>
  <c r="AN102" i="12"/>
  <c r="AN73" i="12"/>
  <c r="D41" i="20"/>
  <c r="AN21" i="12"/>
  <c r="AN59" i="12"/>
  <c r="G14" i="15"/>
  <c r="G9" i="51" s="1"/>
  <c r="AN69" i="12"/>
  <c r="I11" i="14"/>
  <c r="AK56" i="12"/>
  <c r="AN85" i="12"/>
  <c r="AK87" i="12"/>
  <c r="AN56" i="12"/>
  <c r="AN38" i="12"/>
  <c r="AN84" i="12"/>
  <c r="AK116" i="12"/>
  <c r="AK113" i="12"/>
  <c r="AN53" i="12"/>
  <c r="AN19" i="12"/>
  <c r="AN22" i="12"/>
  <c r="AN105" i="12"/>
  <c r="AK77" i="12"/>
  <c r="AN99" i="12"/>
  <c r="AK55" i="12"/>
  <c r="BU73" i="12"/>
  <c r="AK57" i="12"/>
  <c r="AK99" i="12"/>
  <c r="AK47" i="12"/>
  <c r="AN34" i="12"/>
  <c r="AN54" i="12"/>
  <c r="AN28" i="12"/>
  <c r="AK36" i="12"/>
  <c r="AN107" i="12"/>
  <c r="AK66" i="12"/>
  <c r="AK97" i="12"/>
  <c r="AN40" i="12"/>
  <c r="AN57" i="12"/>
  <c r="AK27" i="12"/>
  <c r="AK85" i="12"/>
  <c r="AN113" i="12"/>
  <c r="AN33" i="12"/>
  <c r="AN49" i="12"/>
  <c r="AK45" i="12"/>
  <c r="AK75" i="12"/>
  <c r="AK109" i="12"/>
  <c r="AN67" i="12"/>
  <c r="AN61" i="12"/>
  <c r="AN92" i="12"/>
  <c r="AN82" i="12"/>
  <c r="AN35" i="12"/>
  <c r="AN65" i="12"/>
  <c r="AK62" i="12"/>
  <c r="AK95" i="12"/>
  <c r="AN41" i="12"/>
  <c r="AK80" i="12"/>
  <c r="AK19" i="12"/>
  <c r="AN94" i="12"/>
  <c r="AN64" i="12"/>
  <c r="AK65" i="12"/>
  <c r="AN39" i="12"/>
  <c r="AK37" i="12"/>
  <c r="AN86" i="12"/>
  <c r="AK22" i="12"/>
  <c r="AN93" i="12"/>
  <c r="AN76" i="12"/>
  <c r="AN46" i="12"/>
  <c r="AN31" i="12"/>
  <c r="AN45" i="12"/>
  <c r="AN60" i="12"/>
  <c r="AN83" i="12"/>
  <c r="AE1" i="12"/>
  <c r="O4" i="14" s="1"/>
  <c r="AU93" i="12" s="1"/>
  <c r="AN25" i="12"/>
  <c r="AN101" i="12"/>
  <c r="BU84" i="12"/>
  <c r="AN29" i="12"/>
  <c r="AN88" i="12"/>
  <c r="AK94" i="12"/>
  <c r="AN37" i="12"/>
  <c r="AK54" i="12"/>
  <c r="AN79" i="12"/>
  <c r="AN36" i="12"/>
  <c r="AK63" i="12"/>
  <c r="AK67" i="12"/>
  <c r="AN95" i="12"/>
  <c r="AN58" i="12"/>
  <c r="AN78" i="12"/>
  <c r="AG1" i="12"/>
  <c r="O5" i="14" s="1"/>
  <c r="BB24" i="12" s="1"/>
  <c r="N11" i="12"/>
  <c r="AK35" i="12"/>
  <c r="AN106" i="12"/>
  <c r="AN87" i="12"/>
  <c r="AN110" i="12"/>
  <c r="AK107" i="12"/>
  <c r="AN108" i="12"/>
  <c r="AK68" i="12"/>
  <c r="A35" i="2"/>
  <c r="B35" i="2"/>
  <c r="AU89" i="12"/>
  <c r="H79" i="8"/>
  <c r="H80" i="8" s="1"/>
  <c r="F80" i="8"/>
  <c r="F9" i="8"/>
  <c r="I74" i="11"/>
  <c r="AQ9" i="12" s="1"/>
  <c r="I75" i="11"/>
  <c r="J74" i="11" s="1"/>
  <c r="AR9" i="12" s="1"/>
  <c r="I76" i="11"/>
  <c r="AQ11" i="12" s="1"/>
  <c r="I77" i="11"/>
  <c r="I78" i="11"/>
  <c r="AP11" i="12"/>
  <c r="AS11" i="12" s="1"/>
  <c r="AO11" i="12"/>
  <c r="X29" i="8"/>
  <c r="X30" i="8" s="1"/>
  <c r="AP13" i="12"/>
  <c r="AS13" i="12" s="1"/>
  <c r="AO13" i="12"/>
  <c r="AN72" i="12"/>
  <c r="AN70" i="12"/>
  <c r="AP62" i="12"/>
  <c r="AR62" i="12" s="1"/>
  <c r="AN44" i="12"/>
  <c r="AN103" i="12"/>
  <c r="AN98" i="12"/>
  <c r="AK34" i="12"/>
  <c r="D76" i="14"/>
  <c r="O12" i="12"/>
  <c r="AN62" i="12"/>
  <c r="F8" i="7"/>
  <c r="N13" i="12"/>
  <c r="AK32" i="12"/>
  <c r="O10" i="12"/>
  <c r="AN27" i="12"/>
  <c r="AK21" i="12"/>
  <c r="AN32" i="12"/>
  <c r="BU29" i="12"/>
  <c r="AK84" i="12"/>
  <c r="AK52" i="12"/>
  <c r="AK31" i="12"/>
  <c r="AN114" i="12"/>
  <c r="AN24" i="12"/>
  <c r="AK44" i="12"/>
  <c r="D50" i="7"/>
  <c r="I4" i="14" s="1"/>
  <c r="AL18" i="12" s="1"/>
  <c r="AP25" i="12"/>
  <c r="AR25" i="12" s="1"/>
  <c r="AK88" i="12"/>
  <c r="AK41" i="12"/>
  <c r="N12" i="12"/>
  <c r="AK83" i="12"/>
  <c r="AK26" i="12"/>
  <c r="AK104" i="12"/>
  <c r="AN30" i="12"/>
  <c r="AN116" i="12"/>
  <c r="G48" i="7"/>
  <c r="AK40" i="12"/>
  <c r="AK93" i="12"/>
  <c r="AK74" i="12"/>
  <c r="AK24" i="12"/>
  <c r="AN26" i="12"/>
  <c r="AK73" i="12"/>
  <c r="F17" i="8"/>
  <c r="F67" i="11"/>
  <c r="F75" i="11" s="1"/>
  <c r="AL10" i="12" s="1"/>
  <c r="H2" i="12"/>
  <c r="AO12" i="12"/>
  <c r="F2" i="12"/>
  <c r="L4" i="12"/>
  <c r="B50" i="11"/>
  <c r="F59" i="11"/>
  <c r="F29" i="11"/>
  <c r="F50" i="11"/>
  <c r="B27" i="2"/>
  <c r="B21" i="2"/>
  <c r="E22" i="2"/>
  <c r="F22" i="2" s="1"/>
  <c r="G22" i="2" s="1"/>
  <c r="E21" i="2"/>
  <c r="F21" i="2" s="1"/>
  <c r="G21" i="2" s="1"/>
  <c r="E5" i="2"/>
  <c r="F5" i="2" s="1"/>
  <c r="G5" i="2" s="1"/>
  <c r="E15" i="2"/>
  <c r="F15" i="2" s="1"/>
  <c r="G15" i="2" s="1"/>
  <c r="E7" i="2"/>
  <c r="F7" i="2" s="1"/>
  <c r="G7" i="2" s="1"/>
  <c r="E26" i="2"/>
  <c r="F26" i="2" s="1"/>
  <c r="G26" i="2" s="1"/>
  <c r="E18" i="2"/>
  <c r="F18" i="2" s="1"/>
  <c r="G18" i="2" s="1"/>
  <c r="E6" i="2"/>
  <c r="F6" i="2" s="1"/>
  <c r="G6" i="2" s="1"/>
  <c r="E16" i="2"/>
  <c r="F16" i="2" s="1"/>
  <c r="G16" i="2" s="1"/>
  <c r="E20" i="2"/>
  <c r="F20" i="2" s="1"/>
  <c r="G20" i="2" s="1"/>
  <c r="E10" i="2"/>
  <c r="F10" i="2" s="1"/>
  <c r="G10" i="2" s="1"/>
  <c r="E14" i="2"/>
  <c r="F14" i="2" s="1"/>
  <c r="G14" i="2" s="1"/>
  <c r="E9" i="2"/>
  <c r="F9" i="2" s="1"/>
  <c r="G9" i="2" s="1"/>
  <c r="E11" i="2"/>
  <c r="F11" i="2" s="1"/>
  <c r="G11" i="2" s="1"/>
  <c r="E24" i="2"/>
  <c r="F24" i="2" s="1"/>
  <c r="G24" i="2" s="1"/>
  <c r="E13" i="2"/>
  <c r="F13" i="2" s="1"/>
  <c r="G13" i="2" s="1"/>
  <c r="E23" i="2"/>
  <c r="F23" i="2" s="1"/>
  <c r="G23" i="2" s="1"/>
  <c r="E12" i="2"/>
  <c r="F12" i="2" s="1"/>
  <c r="G12" i="2" s="1"/>
  <c r="E25" i="2"/>
  <c r="F25" i="2" s="1"/>
  <c r="G25" i="2" s="1"/>
  <c r="E19" i="2"/>
  <c r="F19" i="2" s="1"/>
  <c r="G19" i="2" s="1"/>
  <c r="E17" i="2"/>
  <c r="F17" i="2" s="1"/>
  <c r="G17" i="2" s="1"/>
  <c r="E4" i="2"/>
  <c r="F4" i="2" s="1"/>
  <c r="G4" i="2" s="1"/>
  <c r="E8" i="2"/>
  <c r="F8" i="2" s="1"/>
  <c r="G8" i="2" s="1"/>
  <c r="AM75" i="12"/>
  <c r="BB79" i="12"/>
  <c r="AP9" i="12"/>
  <c r="AO9" i="12"/>
  <c r="D52" i="20"/>
  <c r="B48" i="20"/>
  <c r="AM59" i="12"/>
  <c r="A21" i="12"/>
  <c r="BS20" i="12"/>
  <c r="BB72" i="12"/>
  <c r="Q45" i="15"/>
  <c r="BB112" i="12"/>
  <c r="BB61" i="12"/>
  <c r="BB34" i="12"/>
  <c r="BB76" i="12"/>
  <c r="BB58" i="12"/>
  <c r="BB113" i="12"/>
  <c r="BB46" i="12"/>
  <c r="BB67" i="12"/>
  <c r="BB109" i="12"/>
  <c r="BB47" i="12"/>
  <c r="BB80" i="12"/>
  <c r="BB28" i="12"/>
  <c r="BB43" i="12"/>
  <c r="BB60" i="12"/>
  <c r="BB92" i="12"/>
  <c r="BB44" i="12"/>
  <c r="BB27" i="12"/>
  <c r="AM105" i="12"/>
  <c r="AM55" i="12"/>
  <c r="AM111" i="12"/>
  <c r="AM29" i="12"/>
  <c r="AM44" i="12"/>
  <c r="AM114" i="12"/>
  <c r="AM34" i="12"/>
  <c r="AM77" i="12"/>
  <c r="AM83" i="12"/>
  <c r="AM116" i="12"/>
  <c r="AM53" i="12"/>
  <c r="AM62" i="12"/>
  <c r="AM100" i="12"/>
  <c r="AM48" i="12"/>
  <c r="AM78" i="12"/>
  <c r="AM82" i="12"/>
  <c r="AM109" i="12"/>
  <c r="AM23" i="12"/>
  <c r="AM66" i="12"/>
  <c r="AM35" i="12"/>
  <c r="AM37" i="12"/>
  <c r="AM96" i="12"/>
  <c r="AM24" i="12"/>
  <c r="AM68" i="12"/>
  <c r="AM67" i="12"/>
  <c r="AM86" i="12"/>
  <c r="AM112" i="12"/>
  <c r="AM43" i="12"/>
  <c r="AM20" i="12"/>
  <c r="AM69" i="12"/>
  <c r="AM52" i="12"/>
  <c r="AM47" i="12"/>
  <c r="AM42" i="12"/>
  <c r="AM49" i="12"/>
  <c r="AM38" i="12"/>
  <c r="AM93" i="12"/>
  <c r="AM45" i="12"/>
  <c r="AM74" i="12"/>
  <c r="AM41" i="12"/>
  <c r="AM28" i="12"/>
  <c r="AM39" i="12"/>
  <c r="AM95" i="12"/>
  <c r="AM81" i="12"/>
  <c r="AM88" i="12"/>
  <c r="AM56" i="12"/>
  <c r="AM46" i="12"/>
  <c r="AM58" i="12"/>
  <c r="AM79" i="12"/>
  <c r="AM87" i="12"/>
  <c r="AM99" i="12"/>
  <c r="AM70" i="12"/>
  <c r="AM27" i="12"/>
  <c r="AM91" i="12"/>
  <c r="AM104" i="12"/>
  <c r="AM31" i="12"/>
  <c r="AM71" i="12"/>
  <c r="AM65" i="12"/>
  <c r="AM57" i="12"/>
  <c r="AM25" i="12"/>
  <c r="AM97" i="12"/>
  <c r="AM90" i="12"/>
  <c r="AM30" i="12"/>
  <c r="AM63" i="12"/>
  <c r="AM32" i="12"/>
  <c r="AM50" i="12"/>
  <c r="BB116" i="12"/>
  <c r="AM19" i="12"/>
  <c r="G45" i="7"/>
  <c r="BB62" i="12"/>
  <c r="BB108" i="12"/>
  <c r="C413" i="4"/>
  <c r="C414" i="4" s="1"/>
  <c r="C415" i="4" s="1"/>
  <c r="C416" i="4" s="1"/>
  <c r="C417" i="4" s="1"/>
  <c r="C418" i="4" s="1"/>
  <c r="C419" i="4" s="1"/>
  <c r="C420" i="4" s="1"/>
  <c r="C421" i="4" s="1"/>
  <c r="C422" i="4" s="1"/>
  <c r="C423" i="4" s="1"/>
  <c r="C424" i="4" s="1"/>
  <c r="C425" i="4" s="1"/>
  <c r="C426" i="4" s="1"/>
  <c r="C427" i="4" s="1"/>
  <c r="C428" i="4" s="1"/>
  <c r="C429" i="4" s="1"/>
  <c r="C430" i="4" s="1"/>
  <c r="C431" i="4" s="1"/>
  <c r="C432" i="4" s="1"/>
  <c r="C433" i="4" s="1"/>
  <c r="C434" i="4" s="1"/>
  <c r="C435" i="4" s="1"/>
  <c r="C436" i="4" s="1"/>
  <c r="C437" i="4" s="1"/>
  <c r="C438" i="4" s="1"/>
  <c r="C439" i="4" s="1"/>
  <c r="C440" i="4" s="1"/>
  <c r="C441" i="4" s="1"/>
  <c r="C442" i="4" s="1"/>
  <c r="C444" i="4" s="1"/>
  <c r="C445" i="4" s="1"/>
  <c r="C446" i="4" s="1"/>
  <c r="C447" i="4" s="1"/>
  <c r="C448" i="4" s="1"/>
  <c r="C449" i="4" s="1"/>
  <c r="C450" i="4" s="1"/>
  <c r="C451" i="4" s="1"/>
  <c r="C452" i="4" s="1"/>
  <c r="C393" i="4"/>
  <c r="C394" i="4" s="1"/>
  <c r="C395" i="4" s="1"/>
  <c r="C396" i="4" s="1"/>
  <c r="C397" i="4" s="1"/>
  <c r="C398" i="4" s="1"/>
  <c r="C399" i="4" s="1"/>
  <c r="C400" i="4" s="1"/>
  <c r="C402" i="4" s="1"/>
  <c r="C403" i="4" s="1"/>
  <c r="C404" i="4" s="1"/>
  <c r="C405" i="4" s="1"/>
  <c r="C406" i="4" s="1"/>
  <c r="C407" i="4" s="1"/>
  <c r="C408" i="4" s="1"/>
  <c r="C409" i="4" s="1"/>
  <c r="C410" i="4" s="1"/>
  <c r="C411" i="4" s="1"/>
  <c r="Q20" i="15"/>
  <c r="BB40" i="12"/>
  <c r="BB71" i="12"/>
  <c r="D51" i="7"/>
  <c r="B4" i="12"/>
  <c r="BB73" i="12"/>
  <c r="AM33" i="12"/>
  <c r="B15" i="2"/>
  <c r="B5" i="2"/>
  <c r="AM106" i="12"/>
  <c r="B32" i="2"/>
  <c r="B10" i="2"/>
  <c r="AM72" i="12"/>
  <c r="BB83" i="12"/>
  <c r="AM80" i="12"/>
  <c r="AM98" i="12"/>
  <c r="B31" i="2"/>
  <c r="B33" i="2"/>
  <c r="BB90" i="12"/>
  <c r="AM76" i="12"/>
  <c r="AM51" i="12"/>
  <c r="AM22" i="12"/>
  <c r="AU70" i="12"/>
  <c r="AU58" i="12"/>
  <c r="AK50" i="12"/>
  <c r="AU86" i="12"/>
  <c r="AU92" i="12"/>
  <c r="AK86" i="12"/>
  <c r="BU30" i="12"/>
  <c r="N10" i="12"/>
  <c r="AU30" i="12"/>
  <c r="AU99" i="12"/>
  <c r="O11" i="12"/>
  <c r="AU63" i="12"/>
  <c r="AU45" i="12"/>
  <c r="BU114" i="12"/>
  <c r="O13" i="12"/>
  <c r="AK115" i="12"/>
  <c r="AU24" i="12"/>
  <c r="AN115" i="12"/>
  <c r="BV83" i="12"/>
  <c r="AU29" i="12"/>
  <c r="AU100" i="12"/>
  <c r="AK70" i="12"/>
  <c r="AU48" i="12"/>
  <c r="AU112" i="12"/>
  <c r="AU23" i="12"/>
  <c r="AU52" i="12"/>
  <c r="AU68" i="12"/>
  <c r="AP114" i="12"/>
  <c r="AR114" i="12" s="1"/>
  <c r="AU81" i="12"/>
  <c r="AU109" i="12"/>
  <c r="AU60" i="12"/>
  <c r="AU115" i="12"/>
  <c r="G48" i="8"/>
  <c r="AU67" i="12"/>
  <c r="AU69" i="12"/>
  <c r="AU65" i="12"/>
  <c r="AU102" i="12"/>
  <c r="G73" i="8"/>
  <c r="AQ84" i="12"/>
  <c r="AS84" i="12" s="1"/>
  <c r="AU35" i="12"/>
  <c r="AU90" i="12"/>
  <c r="AU98" i="12"/>
  <c r="AU84" i="12"/>
  <c r="AP101" i="12"/>
  <c r="AR101" i="12" s="1"/>
  <c r="AU19" i="12"/>
  <c r="AU50" i="12"/>
  <c r="AU110" i="12"/>
  <c r="AU105" i="12"/>
  <c r="AU21" i="12"/>
  <c r="AU46" i="12"/>
  <c r="AU36" i="12"/>
  <c r="AU42" i="12"/>
  <c r="AU31" i="12" l="1"/>
  <c r="AU20" i="12"/>
  <c r="AU62" i="12"/>
  <c r="AU57" i="12"/>
  <c r="AU41" i="12"/>
  <c r="AU44" i="12"/>
  <c r="AU83" i="12"/>
  <c r="AU59" i="12"/>
  <c r="AQ10" i="12"/>
  <c r="AU103" i="12"/>
  <c r="AU38" i="12"/>
  <c r="AU66" i="12"/>
  <c r="AU74" i="12"/>
  <c r="AU26" i="12"/>
  <c r="AU95" i="12"/>
  <c r="AU91" i="12"/>
  <c r="AU71" i="12"/>
  <c r="AU32" i="12"/>
  <c r="AU55" i="12"/>
  <c r="AU116" i="12"/>
  <c r="AU88" i="12"/>
  <c r="AU40" i="12"/>
  <c r="AU56" i="12"/>
  <c r="AU47" i="12"/>
  <c r="AM61" i="12"/>
  <c r="AM18" i="12"/>
  <c r="AM101" i="12"/>
  <c r="AM110" i="12"/>
  <c r="AM92" i="12"/>
  <c r="AM73" i="12"/>
  <c r="AM108" i="12"/>
  <c r="AM89" i="12"/>
  <c r="AM115" i="12"/>
  <c r="AM64" i="12"/>
  <c r="E41" i="14"/>
  <c r="AM102" i="12"/>
  <c r="AM26" i="12"/>
  <c r="AM94" i="12"/>
  <c r="AM103" i="12"/>
  <c r="AM21" i="12"/>
  <c r="AM54" i="12"/>
  <c r="AM107" i="12"/>
  <c r="AM36" i="12"/>
  <c r="AM84" i="12"/>
  <c r="AM85" i="12"/>
  <c r="AM40" i="12"/>
  <c r="I11" i="15"/>
  <c r="J6" i="51" s="1"/>
  <c r="AM113" i="12"/>
  <c r="AM60" i="12"/>
  <c r="BB57" i="12"/>
  <c r="BB65" i="12"/>
  <c r="BB41" i="12"/>
  <c r="BB35" i="12"/>
  <c r="BB54" i="12"/>
  <c r="BB104" i="12"/>
  <c r="BB91" i="12"/>
  <c r="BB50" i="12"/>
  <c r="BB75" i="12"/>
  <c r="BB49" i="12"/>
  <c r="BB63" i="12"/>
  <c r="BB20" i="12"/>
  <c r="BB100" i="12"/>
  <c r="BB94" i="12"/>
  <c r="BB42" i="12"/>
  <c r="BB98" i="12"/>
  <c r="BB70" i="12"/>
  <c r="BB39" i="12"/>
  <c r="BB106" i="12"/>
  <c r="BB53" i="12"/>
  <c r="BB103" i="12"/>
  <c r="BB88" i="12"/>
  <c r="BB56" i="12"/>
  <c r="BB36" i="12"/>
  <c r="BB19" i="12"/>
  <c r="BB74" i="12"/>
  <c r="BB64" i="12"/>
  <c r="BB21" i="12"/>
  <c r="BB86" i="12"/>
  <c r="BB51" i="12"/>
  <c r="BB77" i="12"/>
  <c r="BB105" i="12"/>
  <c r="BB84" i="12"/>
  <c r="BB59" i="12"/>
  <c r="BB68" i="12"/>
  <c r="BB26" i="12"/>
  <c r="BB66" i="12"/>
  <c r="AS9" i="12"/>
  <c r="BB45" i="12"/>
  <c r="BB81" i="12"/>
  <c r="BB82" i="12"/>
  <c r="BB89" i="12"/>
  <c r="BB33" i="12"/>
  <c r="BB69" i="12"/>
  <c r="BB55" i="12"/>
  <c r="AU76" i="12"/>
  <c r="BB110" i="12"/>
  <c r="BB18" i="12"/>
  <c r="BB99" i="12"/>
  <c r="BB29" i="12"/>
  <c r="BB115" i="12"/>
  <c r="BB102" i="12"/>
  <c r="BB114" i="12"/>
  <c r="BB22" i="12"/>
  <c r="BB52" i="12"/>
  <c r="BB85" i="12"/>
  <c r="AU27" i="12"/>
  <c r="AU82" i="12"/>
  <c r="BB37" i="12"/>
  <c r="BB93" i="12"/>
  <c r="BB101" i="12"/>
  <c r="BB31" i="12"/>
  <c r="BB48" i="12"/>
  <c r="BB111" i="12"/>
  <c r="BB95" i="12"/>
  <c r="AU108" i="12"/>
  <c r="BB25" i="12"/>
  <c r="BB32" i="12"/>
  <c r="BB97" i="12"/>
  <c r="BB87" i="12"/>
  <c r="BB38" i="12"/>
  <c r="BB23" i="12"/>
  <c r="BB96" i="12"/>
  <c r="BB30" i="12"/>
  <c r="AU77" i="12"/>
  <c r="AU18" i="12"/>
  <c r="AU85" i="12"/>
  <c r="AU113" i="12"/>
  <c r="AU97" i="12"/>
  <c r="AU28" i="12"/>
  <c r="AU107" i="12"/>
  <c r="J75" i="11"/>
  <c r="AR10" i="12" s="1"/>
  <c r="BB78" i="12"/>
  <c r="AU106" i="12"/>
  <c r="AU25" i="12"/>
  <c r="AU114" i="12"/>
  <c r="AU34" i="12"/>
  <c r="AU33" i="12"/>
  <c r="BB107" i="12"/>
  <c r="AU64" i="12"/>
  <c r="AU37" i="12"/>
  <c r="AU79" i="12"/>
  <c r="AU75" i="12"/>
  <c r="AU101" i="12"/>
  <c r="AU96" i="12"/>
  <c r="AU104" i="12"/>
  <c r="AU72" i="12"/>
  <c r="AU53" i="12"/>
  <c r="AU43" i="12"/>
  <c r="AU39" i="12"/>
  <c r="AU80" i="12"/>
  <c r="AU54" i="12"/>
  <c r="J6" i="12"/>
  <c r="AU49" i="12"/>
  <c r="AU111" i="12"/>
  <c r="AU51" i="12"/>
  <c r="AU94" i="12"/>
  <c r="AU78" i="12"/>
  <c r="AU22" i="12"/>
  <c r="AU61" i="12"/>
  <c r="AU73" i="12"/>
  <c r="AU87" i="12"/>
  <c r="AQ13" i="12"/>
  <c r="N6" i="12"/>
  <c r="J77" i="11"/>
  <c r="AR12" i="12" s="1"/>
  <c r="J76" i="11"/>
  <c r="AR11" i="12" s="1"/>
  <c r="L6" i="12"/>
  <c r="AQ12" i="12"/>
  <c r="F6" i="12"/>
  <c r="H6" i="12"/>
  <c r="D77" i="14"/>
  <c r="H76" i="14"/>
  <c r="F76" i="14" s="1"/>
  <c r="B19" i="2"/>
  <c r="AO10" i="12"/>
  <c r="AP10" i="12"/>
  <c r="AS10" i="12" s="1"/>
  <c r="A22" i="12"/>
  <c r="BT21" i="12"/>
  <c r="BS21" i="12"/>
  <c r="I8" i="2" a="1"/>
  <c r="I8" i="2" s="1"/>
  <c r="H8" i="2" s="1"/>
  <c r="I4" i="2" a="1"/>
  <c r="I4" i="2" s="1"/>
  <c r="H4" i="2" s="1"/>
  <c r="B6" i="2"/>
  <c r="I17" i="2" a="1"/>
  <c r="I17" i="2" s="1"/>
  <c r="H17" i="2" s="1"/>
  <c r="I19" i="2" a="1"/>
  <c r="I19" i="2" s="1"/>
  <c r="H19" i="2" s="1"/>
  <c r="I25" i="2" a="1"/>
  <c r="I25" i="2" s="1"/>
  <c r="H25" i="2" s="1"/>
  <c r="I12" i="2" a="1"/>
  <c r="I12" i="2" s="1"/>
  <c r="H12" i="2" s="1"/>
  <c r="I23" i="2" a="1"/>
  <c r="I23" i="2" s="1"/>
  <c r="H23" i="2" s="1"/>
  <c r="I13" i="2" a="1"/>
  <c r="I13" i="2" s="1"/>
  <c r="H13" i="2" s="1"/>
  <c r="I24" i="2" a="1"/>
  <c r="I24" i="2" s="1"/>
  <c r="H24" i="2" s="1"/>
  <c r="I11" i="2" a="1"/>
  <c r="I11" i="2" s="1"/>
  <c r="H11" i="2" s="1"/>
  <c r="I9" i="2" a="1"/>
  <c r="I9" i="2" s="1"/>
  <c r="H9" i="2" s="1"/>
  <c r="I14" i="2" a="1"/>
  <c r="I14" i="2" s="1"/>
  <c r="H14" i="2" s="1"/>
  <c r="B18" i="2"/>
  <c r="I10" i="2" a="1"/>
  <c r="I10" i="2" s="1"/>
  <c r="H10" i="2" s="1"/>
  <c r="I20" i="2" a="1"/>
  <c r="I20" i="2" s="1"/>
  <c r="H20" i="2" s="1"/>
  <c r="B23" i="2" s="1"/>
  <c r="B29" i="2"/>
  <c r="I16" i="2" a="1"/>
  <c r="I16" i="2" s="1"/>
  <c r="H16" i="2" s="1"/>
  <c r="I6" i="2" a="1"/>
  <c r="I6" i="2" s="1"/>
  <c r="H6" i="2" s="1"/>
  <c r="I18" i="2" a="1"/>
  <c r="I18" i="2" s="1"/>
  <c r="H18" i="2" s="1"/>
  <c r="Q21" i="15"/>
  <c r="I26" i="2" a="1"/>
  <c r="I26" i="2" s="1"/>
  <c r="H26" i="2" s="1"/>
  <c r="AL26" i="12"/>
  <c r="AL98" i="12"/>
  <c r="AL69" i="12"/>
  <c r="AL57" i="12"/>
  <c r="AL56" i="12"/>
  <c r="E20" i="14"/>
  <c r="AL33" i="12"/>
  <c r="AL34" i="12"/>
  <c r="AL19" i="12"/>
  <c r="AL35" i="12"/>
  <c r="AL21" i="12"/>
  <c r="AL88" i="12"/>
  <c r="AL24" i="12"/>
  <c r="AL20" i="12"/>
  <c r="AL72" i="12"/>
  <c r="AL45" i="12"/>
  <c r="AL52" i="12"/>
  <c r="AL115" i="12"/>
  <c r="AL105" i="12"/>
  <c r="AL89" i="12"/>
  <c r="AL74" i="12"/>
  <c r="AL29" i="12"/>
  <c r="AL84" i="12"/>
  <c r="AL106" i="12"/>
  <c r="AL108" i="12"/>
  <c r="AL94" i="12"/>
  <c r="AL116" i="12"/>
  <c r="AL65" i="12"/>
  <c r="AL37" i="12"/>
  <c r="AL46" i="12"/>
  <c r="AL62" i="12"/>
  <c r="AL49" i="12"/>
  <c r="AL111" i="12"/>
  <c r="AL22" i="12"/>
  <c r="AL61" i="12"/>
  <c r="AL107" i="12"/>
  <c r="AL97" i="12"/>
  <c r="AL77" i="12"/>
  <c r="AL28" i="12"/>
  <c r="AL50" i="12"/>
  <c r="AL83" i="12"/>
  <c r="AL40" i="12"/>
  <c r="AL63" i="12"/>
  <c r="AL55" i="12"/>
  <c r="AL113" i="12"/>
  <c r="AL99" i="12"/>
  <c r="AL42" i="12"/>
  <c r="AL81" i="12"/>
  <c r="AL48" i="12"/>
  <c r="AL25" i="12"/>
  <c r="AL110" i="12"/>
  <c r="AL93" i="12"/>
  <c r="AL112" i="12"/>
  <c r="AL31" i="12"/>
  <c r="AL58" i="12"/>
  <c r="AL78" i="12"/>
  <c r="AL75" i="12"/>
  <c r="AL96" i="12"/>
  <c r="AL59" i="12"/>
  <c r="AL102" i="12"/>
  <c r="AL60" i="12"/>
  <c r="AL70" i="12"/>
  <c r="AL23" i="12"/>
  <c r="AL39" i="12"/>
  <c r="AL53" i="12"/>
  <c r="AL27" i="12"/>
  <c r="AL109" i="12"/>
  <c r="AL71" i="12"/>
  <c r="AL51" i="12"/>
  <c r="AL79" i="12"/>
  <c r="AL91" i="12"/>
  <c r="AL85" i="12"/>
  <c r="AL87" i="12"/>
  <c r="AL67" i="12"/>
  <c r="AL103" i="12"/>
  <c r="AL54" i="12"/>
  <c r="AL92" i="12"/>
  <c r="AL76" i="12"/>
  <c r="AL32" i="12"/>
  <c r="AL38" i="12"/>
  <c r="AL80" i="12"/>
  <c r="AL64" i="12"/>
  <c r="AL114" i="12"/>
  <c r="AL44" i="12"/>
  <c r="AL68" i="12"/>
  <c r="AL86" i="12"/>
  <c r="AL100" i="12"/>
  <c r="AL36" i="12"/>
  <c r="AL30" i="12"/>
  <c r="AL90" i="12"/>
  <c r="AL41" i="12"/>
  <c r="AL73" i="12"/>
  <c r="AL66" i="12"/>
  <c r="AL95" i="12"/>
  <c r="AL82" i="12"/>
  <c r="AL104" i="12"/>
  <c r="AL101" i="12"/>
  <c r="AL43" i="12"/>
  <c r="AL47" i="12"/>
  <c r="I4" i="15"/>
  <c r="J4" i="17" s="1"/>
  <c r="I7" i="2" a="1"/>
  <c r="I7" i="2" s="1"/>
  <c r="H7" i="2" s="1"/>
  <c r="Q46" i="15"/>
  <c r="I15" i="2" a="1"/>
  <c r="I15" i="2" s="1"/>
  <c r="H15" i="2" s="1"/>
  <c r="I5" i="2" a="1"/>
  <c r="I5" i="2" s="1"/>
  <c r="H5" i="2" s="1"/>
  <c r="I21" i="2" a="1"/>
  <c r="I21" i="2" s="1"/>
  <c r="H21" i="2" s="1"/>
  <c r="G74" i="11"/>
  <c r="AM9" i="12" s="1"/>
  <c r="G78" i="11"/>
  <c r="G75" i="11"/>
  <c r="G77" i="11"/>
  <c r="G76" i="11"/>
  <c r="I22" i="2" a="1"/>
  <c r="I22" i="2" s="1"/>
  <c r="H22" i="2" s="1"/>
  <c r="G46" i="14" l="1"/>
  <c r="G50" i="14"/>
  <c r="G54" i="14"/>
  <c r="G44" i="14"/>
  <c r="G52" i="14"/>
  <c r="G48" i="14"/>
  <c r="G53" i="14"/>
  <c r="G51" i="14"/>
  <c r="G45" i="14"/>
  <c r="G49" i="14"/>
  <c r="G47" i="14"/>
  <c r="AQ18" i="12"/>
  <c r="AS18" i="12" s="1"/>
  <c r="G76" i="14"/>
  <c r="D44" i="14"/>
  <c r="D78" i="14"/>
  <c r="H77" i="14"/>
  <c r="F77" i="14" s="1"/>
  <c r="B30" i="2"/>
  <c r="B14" i="2"/>
  <c r="B20" i="2"/>
  <c r="AM12" i="12"/>
  <c r="H76" i="11"/>
  <c r="AN11" i="12" s="1"/>
  <c r="L5" i="12"/>
  <c r="Q47" i="15"/>
  <c r="G24" i="14"/>
  <c r="G25" i="14"/>
  <c r="G33" i="14"/>
  <c r="G32" i="14"/>
  <c r="G27" i="14"/>
  <c r="D61" i="14"/>
  <c r="G30" i="14"/>
  <c r="G26" i="14"/>
  <c r="G31" i="14"/>
  <c r="G28" i="14"/>
  <c r="G29" i="14"/>
  <c r="G23" i="14"/>
  <c r="AM11" i="12"/>
  <c r="H75" i="11"/>
  <c r="AN10" i="12" s="1"/>
  <c r="J5" i="12"/>
  <c r="H77" i="11"/>
  <c r="AN12" i="12" s="1"/>
  <c r="AM13" i="12"/>
  <c r="N5" i="12"/>
  <c r="Q22" i="15"/>
  <c r="F5" i="12"/>
  <c r="H5" i="12"/>
  <c r="AM10" i="12"/>
  <c r="AP18" i="12" s="1"/>
  <c r="AR18" i="12" s="1"/>
  <c r="H74" i="11"/>
  <c r="AN9" i="12" s="1"/>
  <c r="BS22" i="12"/>
  <c r="A23" i="12"/>
  <c r="BT22" i="12"/>
  <c r="D45" i="14" l="1"/>
  <c r="G77" i="14"/>
  <c r="D79" i="14"/>
  <c r="H78" i="14"/>
  <c r="F78" i="14" s="1"/>
  <c r="F44" i="14"/>
  <c r="E44" i="14"/>
  <c r="A24" i="12"/>
  <c r="BS23" i="12"/>
  <c r="BT23" i="12"/>
  <c r="Q23" i="15"/>
  <c r="Q48" i="15"/>
  <c r="D62" i="14"/>
  <c r="H61" i="14"/>
  <c r="F61" i="14" s="1"/>
  <c r="D46" i="14" l="1"/>
  <c r="G78" i="14"/>
  <c r="E45" i="14"/>
  <c r="F45" i="14"/>
  <c r="H79" i="14"/>
  <c r="F79" i="14" s="1"/>
  <c r="D80" i="14"/>
  <c r="D23" i="14"/>
  <c r="G61" i="14"/>
  <c r="D63" i="14"/>
  <c r="H62" i="14"/>
  <c r="F62" i="14" s="1"/>
  <c r="Q24" i="15"/>
  <c r="A25" i="12"/>
  <c r="BT24" i="12"/>
  <c r="BS24" i="12"/>
  <c r="E46" i="14" l="1"/>
  <c r="F46" i="14"/>
  <c r="D81" i="14"/>
  <c r="H80" i="14"/>
  <c r="F80" i="14" s="1"/>
  <c r="D47" i="14"/>
  <c r="G79" i="14"/>
  <c r="D24" i="14"/>
  <c r="G62" i="14"/>
  <c r="BS25" i="12"/>
  <c r="A26" i="12"/>
  <c r="BT25" i="12"/>
  <c r="Q25" i="15"/>
  <c r="H63" i="14"/>
  <c r="F63" i="14" s="1"/>
  <c r="D64" i="14"/>
  <c r="F23" i="14"/>
  <c r="E23" i="14"/>
  <c r="D25" i="14" l="1"/>
  <c r="E25" i="14" s="1"/>
  <c r="G63" i="14"/>
  <c r="E47" i="14"/>
  <c r="F47" i="14"/>
  <c r="D48" i="14"/>
  <c r="G80" i="14"/>
  <c r="H81" i="14"/>
  <c r="F81" i="14" s="1"/>
  <c r="BP18" i="12" s="1"/>
  <c r="D82" i="14"/>
  <c r="H64" i="14"/>
  <c r="F64" i="14" s="1"/>
  <c r="D26" i="14" s="1"/>
  <c r="D65" i="14"/>
  <c r="Q26" i="15"/>
  <c r="E24" i="14"/>
  <c r="F24" i="14"/>
  <c r="BS26" i="12"/>
  <c r="BT26" i="12"/>
  <c r="A27" i="12"/>
  <c r="F25" i="14" l="1"/>
  <c r="H82" i="14"/>
  <c r="F82" i="14" s="1"/>
  <c r="D83" i="14"/>
  <c r="BP115" i="12"/>
  <c r="BP87" i="12"/>
  <c r="BP91" i="12"/>
  <c r="BP29" i="12"/>
  <c r="BP111" i="12"/>
  <c r="BP100" i="12"/>
  <c r="BP116" i="12"/>
  <c r="BP90" i="12"/>
  <c r="BP51" i="12"/>
  <c r="BP26" i="12"/>
  <c r="BP36" i="12"/>
  <c r="BP68" i="12"/>
  <c r="BP88" i="12"/>
  <c r="BP40" i="12"/>
  <c r="BP46" i="12"/>
  <c r="BP65" i="12"/>
  <c r="BP49" i="12"/>
  <c r="BP102" i="12"/>
  <c r="BP32" i="12"/>
  <c r="BP21" i="12"/>
  <c r="BP71" i="12"/>
  <c r="BP50" i="12"/>
  <c r="BP62" i="12"/>
  <c r="BP44" i="12"/>
  <c r="BP38" i="12"/>
  <c r="G81" i="14"/>
  <c r="BP105" i="12"/>
  <c r="BP24" i="12"/>
  <c r="BP107" i="12"/>
  <c r="BP61" i="12"/>
  <c r="BP64" i="12"/>
  <c r="BP52" i="12"/>
  <c r="BP106" i="12"/>
  <c r="BP27" i="12"/>
  <c r="BP59" i="12"/>
  <c r="BP75" i="12"/>
  <c r="BP103" i="12"/>
  <c r="BP37" i="12"/>
  <c r="BP89" i="12"/>
  <c r="BP96" i="12"/>
  <c r="BP55" i="12"/>
  <c r="BP39" i="12"/>
  <c r="BP78" i="12"/>
  <c r="BP81" i="12"/>
  <c r="BP82" i="12"/>
  <c r="BP77" i="12"/>
  <c r="BP80" i="12"/>
  <c r="BP69" i="12"/>
  <c r="BP72" i="12"/>
  <c r="BP66" i="12"/>
  <c r="BP25" i="12"/>
  <c r="BP108" i="12"/>
  <c r="BP113" i="12"/>
  <c r="BP93" i="12"/>
  <c r="BP53" i="12"/>
  <c r="BP101" i="12"/>
  <c r="BP30" i="12"/>
  <c r="BP20" i="12"/>
  <c r="BP57" i="12"/>
  <c r="BP73" i="12"/>
  <c r="BP28" i="12"/>
  <c r="BP109" i="12"/>
  <c r="BP112" i="12"/>
  <c r="BP35" i="12"/>
  <c r="BP67" i="12"/>
  <c r="BP43" i="12"/>
  <c r="BP31" i="12"/>
  <c r="BP54" i="12"/>
  <c r="BP85" i="12"/>
  <c r="BP33" i="12"/>
  <c r="BP104" i="12"/>
  <c r="BP97" i="12"/>
  <c r="BP94" i="12"/>
  <c r="BP45" i="12"/>
  <c r="BP83" i="12"/>
  <c r="BP70" i="12"/>
  <c r="BP34" i="12"/>
  <c r="BP110" i="12"/>
  <c r="BP114" i="12"/>
  <c r="BP99" i="12"/>
  <c r="BP41" i="12"/>
  <c r="BP56" i="12"/>
  <c r="BP86" i="12"/>
  <c r="BP63" i="12"/>
  <c r="BP95" i="12"/>
  <c r="BP58" i="12"/>
  <c r="BP48" i="12"/>
  <c r="BP42" i="12"/>
  <c r="BP60" i="12"/>
  <c r="BP47" i="12"/>
  <c r="D49" i="14"/>
  <c r="BP84" i="12"/>
  <c r="BP19" i="12"/>
  <c r="BP23" i="12"/>
  <c r="BP76" i="12"/>
  <c r="BP92" i="12"/>
  <c r="BP79" i="12"/>
  <c r="BP22" i="12"/>
  <c r="BP98" i="12"/>
  <c r="BP74" i="12"/>
  <c r="F48" i="14"/>
  <c r="E48" i="14"/>
  <c r="D66" i="14"/>
  <c r="H65" i="14"/>
  <c r="F65" i="14" s="1"/>
  <c r="G64" i="14"/>
  <c r="F26" i="14"/>
  <c r="E26" i="14"/>
  <c r="BT27" i="12"/>
  <c r="BS27" i="12"/>
  <c r="A28" i="12"/>
  <c r="E49" i="14" l="1"/>
  <c r="F49" i="14"/>
  <c r="H83" i="14"/>
  <c r="F83" i="14" s="1"/>
  <c r="D84" i="14"/>
  <c r="D50" i="14"/>
  <c r="G82" i="14"/>
  <c r="D27" i="14"/>
  <c r="G65" i="14"/>
  <c r="H66" i="14"/>
  <c r="F66" i="14" s="1"/>
  <c r="BK18" i="12" s="1"/>
  <c r="D67" i="14"/>
  <c r="A29" i="12"/>
  <c r="BS28" i="12"/>
  <c r="BT28" i="12"/>
  <c r="H84" i="14" l="1"/>
  <c r="F84" i="14" s="1"/>
  <c r="BQ18" i="12" s="1"/>
  <c r="BN18" i="12" s="1"/>
  <c r="D85" i="14"/>
  <c r="D51" i="14"/>
  <c r="G83" i="14"/>
  <c r="F50" i="14"/>
  <c r="E50" i="14"/>
  <c r="BK97" i="12"/>
  <c r="BK79" i="12"/>
  <c r="BK50" i="12"/>
  <c r="BK29" i="12"/>
  <c r="BK66" i="12"/>
  <c r="BK91" i="12"/>
  <c r="BK98" i="12"/>
  <c r="BK58" i="12"/>
  <c r="BK51" i="12"/>
  <c r="BK69" i="12"/>
  <c r="BK68" i="12"/>
  <c r="BK73" i="12"/>
  <c r="BK39" i="12"/>
  <c r="BK74" i="12"/>
  <c r="BK95" i="12"/>
  <c r="BK22" i="12"/>
  <c r="BK111" i="12"/>
  <c r="BK83" i="12"/>
  <c r="BK48" i="12"/>
  <c r="BK106" i="12"/>
  <c r="BK64" i="12"/>
  <c r="BK25" i="12"/>
  <c r="BK96" i="12"/>
  <c r="BK85" i="12"/>
  <c r="BK112" i="12"/>
  <c r="BK37" i="12"/>
  <c r="BK33" i="12"/>
  <c r="BK70" i="12"/>
  <c r="BK49" i="12"/>
  <c r="BK43" i="12"/>
  <c r="BK65" i="12"/>
  <c r="BK35" i="12"/>
  <c r="BK81" i="12"/>
  <c r="BK21" i="12"/>
  <c r="BK113" i="12"/>
  <c r="BK107" i="12"/>
  <c r="BK114" i="12"/>
  <c r="BK90" i="12"/>
  <c r="BK42" i="12"/>
  <c r="BK34" i="12"/>
  <c r="BK59" i="12"/>
  <c r="BK82" i="12"/>
  <c r="BK80" i="12"/>
  <c r="BK115" i="12"/>
  <c r="BK32" i="12"/>
  <c r="BK19" i="12"/>
  <c r="BK31" i="12"/>
  <c r="BK67" i="12"/>
  <c r="BK75" i="12"/>
  <c r="BK99" i="12"/>
  <c r="BK27" i="12"/>
  <c r="BK116" i="12"/>
  <c r="BK77" i="12"/>
  <c r="BK20" i="12"/>
  <c r="BK78" i="12"/>
  <c r="BK36" i="12"/>
  <c r="BK30" i="12"/>
  <c r="BK52" i="12"/>
  <c r="BK26" i="12"/>
  <c r="BK84" i="12"/>
  <c r="BK72" i="12"/>
  <c r="BK100" i="12"/>
  <c r="BK93" i="12"/>
  <c r="BK53" i="12"/>
  <c r="BK24" i="12"/>
  <c r="BK101" i="12"/>
  <c r="BK45" i="12"/>
  <c r="BK54" i="12"/>
  <c r="BK86" i="12"/>
  <c r="BK102" i="12"/>
  <c r="BK55" i="12"/>
  <c r="BK87" i="12"/>
  <c r="BK103" i="12"/>
  <c r="BK40" i="12"/>
  <c r="BK56" i="12"/>
  <c r="BK88" i="12"/>
  <c r="BK104" i="12"/>
  <c r="BK41" i="12"/>
  <c r="BK57" i="12"/>
  <c r="BK28" i="12"/>
  <c r="BK89" i="12"/>
  <c r="BK60" i="12"/>
  <c r="BK105" i="12"/>
  <c r="BK76" i="12"/>
  <c r="D28" i="14"/>
  <c r="BK108" i="12"/>
  <c r="BK38" i="12"/>
  <c r="BK61" i="12"/>
  <c r="BK110" i="12"/>
  <c r="BK109" i="12"/>
  <c r="BK92" i="12"/>
  <c r="BK46" i="12"/>
  <c r="BK71" i="12"/>
  <c r="BK94" i="12"/>
  <c r="BK44" i="12"/>
  <c r="BK47" i="12"/>
  <c r="BK23" i="12"/>
  <c r="BK63" i="12"/>
  <c r="BK62" i="12"/>
  <c r="G66" i="14"/>
  <c r="A30" i="12"/>
  <c r="BT29" i="12"/>
  <c r="BS29" i="12"/>
  <c r="D68" i="14"/>
  <c r="H67" i="14"/>
  <c r="F67" i="14" s="1"/>
  <c r="D29" i="14" s="1"/>
  <c r="F27" i="14"/>
  <c r="E27" i="14"/>
  <c r="F51" i="14" l="1"/>
  <c r="E51" i="14"/>
  <c r="H85" i="14"/>
  <c r="F85" i="14" s="1"/>
  <c r="BR18" i="12" s="1"/>
  <c r="D86" i="14"/>
  <c r="BQ60" i="12"/>
  <c r="BN60" i="12" s="1"/>
  <c r="BQ55" i="12"/>
  <c r="BN55" i="12" s="1"/>
  <c r="BQ113" i="12"/>
  <c r="BN113" i="12" s="1"/>
  <c r="BQ35" i="12"/>
  <c r="BN35" i="12" s="1"/>
  <c r="BQ69" i="12"/>
  <c r="BN69" i="12" s="1"/>
  <c r="BQ104" i="12"/>
  <c r="BN104" i="12" s="1"/>
  <c r="BQ46" i="12"/>
  <c r="BN46" i="12" s="1"/>
  <c r="BQ105" i="12"/>
  <c r="BN105" i="12" s="1"/>
  <c r="BQ96" i="12"/>
  <c r="BN96" i="12" s="1"/>
  <c r="BQ49" i="12"/>
  <c r="BN49" i="12" s="1"/>
  <c r="BQ101" i="12"/>
  <c r="BN101" i="12" s="1"/>
  <c r="BQ61" i="12"/>
  <c r="BN61" i="12" s="1"/>
  <c r="BQ111" i="12"/>
  <c r="BN111" i="12" s="1"/>
  <c r="BQ38" i="12"/>
  <c r="BN38" i="12" s="1"/>
  <c r="BQ77" i="12"/>
  <c r="BN77" i="12" s="1"/>
  <c r="BQ42" i="12"/>
  <c r="BN42" i="12" s="1"/>
  <c r="BQ44" i="12"/>
  <c r="BN44" i="12" s="1"/>
  <c r="BQ63" i="12"/>
  <c r="BN63" i="12" s="1"/>
  <c r="BQ52" i="12"/>
  <c r="BN52" i="12" s="1"/>
  <c r="BQ23" i="12"/>
  <c r="BQ19" i="12"/>
  <c r="BQ32" i="12"/>
  <c r="BN32" i="12" s="1"/>
  <c r="BQ90" i="12"/>
  <c r="BN90" i="12" s="1"/>
  <c r="BQ21" i="12"/>
  <c r="BQ20" i="12"/>
  <c r="BQ81" i="12"/>
  <c r="BN81" i="12" s="1"/>
  <c r="BQ53" i="12"/>
  <c r="BN53" i="12" s="1"/>
  <c r="BQ84" i="12"/>
  <c r="BN84" i="12" s="1"/>
  <c r="BQ45" i="12"/>
  <c r="BN45" i="12" s="1"/>
  <c r="BQ78" i="12"/>
  <c r="BN78" i="12" s="1"/>
  <c r="BQ47" i="12"/>
  <c r="BN47" i="12" s="1"/>
  <c r="BQ72" i="12"/>
  <c r="BN72" i="12" s="1"/>
  <c r="BQ59" i="12"/>
  <c r="BN59" i="12" s="1"/>
  <c r="BQ28" i="12"/>
  <c r="BN28" i="12" s="1"/>
  <c r="BQ94" i="12"/>
  <c r="BN94" i="12" s="1"/>
  <c r="BQ114" i="12"/>
  <c r="BN114" i="12" s="1"/>
  <c r="BQ40" i="12"/>
  <c r="BN40" i="12" s="1"/>
  <c r="BQ74" i="12"/>
  <c r="BN74" i="12" s="1"/>
  <c r="BQ76" i="12"/>
  <c r="BN76" i="12" s="1"/>
  <c r="BQ67" i="12"/>
  <c r="BN67" i="12" s="1"/>
  <c r="BQ66" i="12"/>
  <c r="BN66" i="12" s="1"/>
  <c r="BQ26" i="12"/>
  <c r="BQ112" i="12"/>
  <c r="BN112" i="12" s="1"/>
  <c r="BQ65" i="12"/>
  <c r="BN65" i="12" s="1"/>
  <c r="BQ22" i="12"/>
  <c r="BQ93" i="12"/>
  <c r="BN93" i="12" s="1"/>
  <c r="BQ88" i="12"/>
  <c r="BN88" i="12" s="1"/>
  <c r="BQ109" i="12"/>
  <c r="BN109" i="12" s="1"/>
  <c r="BQ71" i="12"/>
  <c r="BN71" i="12" s="1"/>
  <c r="BQ29" i="12"/>
  <c r="BN29" i="12" s="1"/>
  <c r="BQ79" i="12"/>
  <c r="BN79" i="12" s="1"/>
  <c r="BQ83" i="12"/>
  <c r="BN83" i="12" s="1"/>
  <c r="BQ73" i="12"/>
  <c r="BN73" i="12" s="1"/>
  <c r="D52" i="14"/>
  <c r="I12" i="14" s="1"/>
  <c r="BQ48" i="12"/>
  <c r="BN48" i="12" s="1"/>
  <c r="BQ106" i="12"/>
  <c r="BN106" i="12" s="1"/>
  <c r="BQ102" i="12"/>
  <c r="BN102" i="12" s="1"/>
  <c r="BQ110" i="12"/>
  <c r="BN110" i="12" s="1"/>
  <c r="BQ97" i="12"/>
  <c r="BN97" i="12" s="1"/>
  <c r="BQ100" i="12"/>
  <c r="BN100" i="12" s="1"/>
  <c r="BQ50" i="12"/>
  <c r="BN50" i="12" s="1"/>
  <c r="BQ115" i="12"/>
  <c r="BN115" i="12" s="1"/>
  <c r="BQ85" i="12"/>
  <c r="BN85" i="12" s="1"/>
  <c r="BQ39" i="12"/>
  <c r="BN39" i="12" s="1"/>
  <c r="BQ51" i="12"/>
  <c r="BN51" i="12" s="1"/>
  <c r="BQ34" i="12"/>
  <c r="BN34" i="12" s="1"/>
  <c r="BQ24" i="12"/>
  <c r="BQ75" i="12"/>
  <c r="BN75" i="12" s="1"/>
  <c r="BQ36" i="12"/>
  <c r="BN36" i="12" s="1"/>
  <c r="BQ62" i="12"/>
  <c r="BN62" i="12" s="1"/>
  <c r="BQ41" i="12"/>
  <c r="BN41" i="12" s="1"/>
  <c r="BQ70" i="12"/>
  <c r="BN70" i="12" s="1"/>
  <c r="BQ57" i="12"/>
  <c r="BN57" i="12" s="1"/>
  <c r="BQ92" i="12"/>
  <c r="BN92" i="12" s="1"/>
  <c r="BQ116" i="12"/>
  <c r="BN116" i="12" s="1"/>
  <c r="BQ56" i="12"/>
  <c r="BN56" i="12" s="1"/>
  <c r="BQ82" i="12"/>
  <c r="BN82" i="12" s="1"/>
  <c r="BQ64" i="12"/>
  <c r="BN64" i="12" s="1"/>
  <c r="BQ33" i="12"/>
  <c r="BN33" i="12" s="1"/>
  <c r="BQ54" i="12"/>
  <c r="BN54" i="12" s="1"/>
  <c r="G84" i="14"/>
  <c r="BQ98" i="12"/>
  <c r="BN98" i="12" s="1"/>
  <c r="BQ108" i="12"/>
  <c r="BN108" i="12" s="1"/>
  <c r="BQ99" i="12"/>
  <c r="BN99" i="12" s="1"/>
  <c r="BQ103" i="12"/>
  <c r="BN103" i="12" s="1"/>
  <c r="BQ27" i="12"/>
  <c r="BQ58" i="12"/>
  <c r="BN58" i="12" s="1"/>
  <c r="BQ89" i="12"/>
  <c r="BN89" i="12" s="1"/>
  <c r="BQ68" i="12"/>
  <c r="BN68" i="12" s="1"/>
  <c r="BQ86" i="12"/>
  <c r="BN86" i="12" s="1"/>
  <c r="BQ25" i="12"/>
  <c r="BQ31" i="12"/>
  <c r="BN31" i="12" s="1"/>
  <c r="BQ80" i="12"/>
  <c r="BN80" i="12" s="1"/>
  <c r="BQ91" i="12"/>
  <c r="BN91" i="12" s="1"/>
  <c r="BQ107" i="12"/>
  <c r="BN107" i="12" s="1"/>
  <c r="BQ30" i="12"/>
  <c r="BN30" i="12" s="1"/>
  <c r="BQ37" i="12"/>
  <c r="BN37" i="12" s="1"/>
  <c r="BQ87" i="12"/>
  <c r="BN87" i="12" s="1"/>
  <c r="BQ95" i="12"/>
  <c r="BN95" i="12" s="1"/>
  <c r="BQ43" i="12"/>
  <c r="BN43" i="12" s="1"/>
  <c r="E28" i="14"/>
  <c r="F28" i="14"/>
  <c r="BS30" i="12"/>
  <c r="A31" i="12"/>
  <c r="BT30" i="12"/>
  <c r="D69" i="14"/>
  <c r="H68" i="14"/>
  <c r="F68" i="14" s="1"/>
  <c r="D30" i="14" s="1"/>
  <c r="G67" i="14"/>
  <c r="F29" i="14"/>
  <c r="E29" i="14"/>
  <c r="BN21" i="12" l="1"/>
  <c r="BN20" i="12"/>
  <c r="BN26" i="12"/>
  <c r="BN19" i="12"/>
  <c r="BN23" i="12"/>
  <c r="BN27" i="12"/>
  <c r="BN22" i="12"/>
  <c r="BO99" i="12" s="1"/>
  <c r="J12" i="14"/>
  <c r="I14" i="14"/>
  <c r="I13" i="14"/>
  <c r="I12" i="15"/>
  <c r="G6" i="7"/>
  <c r="E7" i="20" s="1"/>
  <c r="BN25" i="12"/>
  <c r="BO57" i="12" s="1"/>
  <c r="BN24" i="12"/>
  <c r="G68" i="14"/>
  <c r="H86" i="14"/>
  <c r="F86" i="14" s="1"/>
  <c r="BR105" i="12"/>
  <c r="BR78" i="12"/>
  <c r="BR29" i="12"/>
  <c r="BR74" i="12"/>
  <c r="BR62" i="12"/>
  <c r="BR86" i="12"/>
  <c r="BR81" i="12"/>
  <c r="BR76" i="12"/>
  <c r="BR87" i="12"/>
  <c r="BR21" i="12"/>
  <c r="BR22" i="12"/>
  <c r="BR56" i="12"/>
  <c r="BR77" i="12"/>
  <c r="BR96" i="12"/>
  <c r="BR79" i="12"/>
  <c r="BR100" i="12"/>
  <c r="BR58" i="12"/>
  <c r="BR36" i="12"/>
  <c r="BR82" i="12"/>
  <c r="BR69" i="12"/>
  <c r="BR32" i="12"/>
  <c r="BR66" i="12"/>
  <c r="BR92" i="12"/>
  <c r="BR108" i="12"/>
  <c r="BR45" i="12"/>
  <c r="D53" i="14"/>
  <c r="BR83" i="12"/>
  <c r="BR71" i="12"/>
  <c r="BR85" i="12"/>
  <c r="BR99" i="12"/>
  <c r="BR63" i="12"/>
  <c r="BR88" i="12"/>
  <c r="BR53" i="12"/>
  <c r="BR43" i="12"/>
  <c r="BR25" i="12"/>
  <c r="BR61" i="12"/>
  <c r="BR75" i="12"/>
  <c r="BR50" i="12"/>
  <c r="BR109" i="12"/>
  <c r="BR41" i="12"/>
  <c r="BR68" i="12"/>
  <c r="BR49" i="12"/>
  <c r="BR64" i="12"/>
  <c r="BR91" i="12"/>
  <c r="BR54" i="12"/>
  <c r="BR55" i="12"/>
  <c r="BR34" i="12"/>
  <c r="BR60" i="12"/>
  <c r="BR27" i="12"/>
  <c r="BR102" i="12"/>
  <c r="BR28" i="12"/>
  <c r="BR101" i="12"/>
  <c r="BR44" i="12"/>
  <c r="BR24" i="12"/>
  <c r="BR73" i="12"/>
  <c r="BR19" i="12"/>
  <c r="BR39" i="12"/>
  <c r="BR48" i="12"/>
  <c r="BR111" i="12"/>
  <c r="BR72" i="12"/>
  <c r="BR70" i="12"/>
  <c r="BR26" i="12"/>
  <c r="BR110" i="12"/>
  <c r="BR115" i="12"/>
  <c r="BR113" i="12"/>
  <c r="BR59" i="12"/>
  <c r="BR116" i="12"/>
  <c r="BR65" i="12"/>
  <c r="BR31" i="12"/>
  <c r="BR47" i="12"/>
  <c r="BR98" i="12"/>
  <c r="BR80" i="12"/>
  <c r="BR94" i="12"/>
  <c r="BR46" i="12"/>
  <c r="BR23" i="12"/>
  <c r="BR33" i="12"/>
  <c r="BR103" i="12"/>
  <c r="BR104" i="12"/>
  <c r="BR20" i="12"/>
  <c r="BR112" i="12"/>
  <c r="BR40" i="12"/>
  <c r="BR90" i="12"/>
  <c r="BR51" i="12"/>
  <c r="BR84" i="12"/>
  <c r="BR42" i="12"/>
  <c r="BR114" i="12"/>
  <c r="BR89" i="12"/>
  <c r="BR35" i="12"/>
  <c r="BR95" i="12"/>
  <c r="BR38" i="12"/>
  <c r="BR57" i="12"/>
  <c r="BR37" i="12"/>
  <c r="BR97" i="12"/>
  <c r="BR30" i="12"/>
  <c r="BR106" i="12"/>
  <c r="BR52" i="12"/>
  <c r="BR93" i="12"/>
  <c r="BR107" i="12"/>
  <c r="BR67" i="12"/>
  <c r="F52" i="14"/>
  <c r="E52" i="14"/>
  <c r="G85" i="14"/>
  <c r="F30" i="14"/>
  <c r="E30" i="14"/>
  <c r="D70" i="14"/>
  <c r="H69" i="14"/>
  <c r="F69" i="14" s="1"/>
  <c r="BL18" i="12" s="1"/>
  <c r="BI18" i="12" s="1"/>
  <c r="BT31" i="12"/>
  <c r="A32" i="12"/>
  <c r="BS31" i="12"/>
  <c r="BO27" i="12" l="1"/>
  <c r="BO36" i="12"/>
  <c r="BO85" i="12"/>
  <c r="BO109" i="12"/>
  <c r="BO98" i="12"/>
  <c r="BO105" i="12"/>
  <c r="BO44" i="12"/>
  <c r="BO68" i="12"/>
  <c r="BO28" i="12"/>
  <c r="BO102" i="12"/>
  <c r="BO96" i="12"/>
  <c r="BO49" i="12"/>
  <c r="BO82" i="12"/>
  <c r="BO67" i="12"/>
  <c r="BO104" i="12"/>
  <c r="BO78" i="12"/>
  <c r="J7" i="51"/>
  <c r="Z43" i="15"/>
  <c r="BO37" i="12"/>
  <c r="BO100" i="12"/>
  <c r="BO31" i="12"/>
  <c r="BO29" i="12"/>
  <c r="I13" i="15"/>
  <c r="J8" i="51" s="1"/>
  <c r="G8" i="7"/>
  <c r="BO63" i="12"/>
  <c r="BO54" i="12"/>
  <c r="BO113" i="12"/>
  <c r="G9" i="7"/>
  <c r="E9" i="20"/>
  <c r="I14" i="15"/>
  <c r="J9" i="51" s="1"/>
  <c r="BO74" i="12"/>
  <c r="BO43" i="12"/>
  <c r="BO90" i="12"/>
  <c r="BO38" i="12"/>
  <c r="BO62" i="12"/>
  <c r="BO46" i="12"/>
  <c r="BO86" i="12"/>
  <c r="G7" i="7"/>
  <c r="E8" i="20"/>
  <c r="J12" i="15"/>
  <c r="K4" i="51" s="1"/>
  <c r="BO110" i="12"/>
  <c r="BO81" i="12"/>
  <c r="BO112" i="12"/>
  <c r="BO53" i="12"/>
  <c r="BO47" i="12"/>
  <c r="BO92" i="12"/>
  <c r="BO64" i="12"/>
  <c r="BO60" i="12"/>
  <c r="BO80" i="12"/>
  <c r="BO88" i="12"/>
  <c r="BO41" i="12"/>
  <c r="BO91" i="12"/>
  <c r="BO87" i="12"/>
  <c r="BO19" i="12"/>
  <c r="BO18" i="12"/>
  <c r="X41" i="15" s="1"/>
  <c r="BO108" i="12"/>
  <c r="BO23" i="12"/>
  <c r="BO24" i="12"/>
  <c r="BO101" i="12"/>
  <c r="BO94" i="12"/>
  <c r="BO22" i="12"/>
  <c r="BO39" i="12"/>
  <c r="BO30" i="12"/>
  <c r="BO79" i="12"/>
  <c r="BO48" i="12"/>
  <c r="BO66" i="12"/>
  <c r="BO69" i="12"/>
  <c r="BO58" i="12"/>
  <c r="BO25" i="12"/>
  <c r="BO116" i="12"/>
  <c r="BO93" i="12"/>
  <c r="BO50" i="12"/>
  <c r="BO72" i="12"/>
  <c r="BO107" i="12"/>
  <c r="BO52" i="12"/>
  <c r="BO34" i="12"/>
  <c r="BO35" i="12"/>
  <c r="BO20" i="12"/>
  <c r="X42" i="15"/>
  <c r="BO84" i="12"/>
  <c r="BO70" i="12"/>
  <c r="BO77" i="12"/>
  <c r="BO76" i="12"/>
  <c r="BO55" i="12"/>
  <c r="BO21" i="12"/>
  <c r="BO40" i="12"/>
  <c r="BO75" i="12"/>
  <c r="BO61" i="12"/>
  <c r="BO97" i="12"/>
  <c r="BO32" i="12"/>
  <c r="BO42" i="12"/>
  <c r="BO89" i="12"/>
  <c r="BO111" i="12"/>
  <c r="BO114" i="12"/>
  <c r="BO33" i="12"/>
  <c r="BO26" i="12"/>
  <c r="BO65" i="12"/>
  <c r="BO45" i="12"/>
  <c r="BO59" i="12"/>
  <c r="BO106" i="12"/>
  <c r="BO95" i="12"/>
  <c r="BO103" i="12"/>
  <c r="BO71" i="12"/>
  <c r="BO73" i="12"/>
  <c r="BO56" i="12"/>
  <c r="BO51" i="12"/>
  <c r="BO115" i="12"/>
  <c r="BO83" i="12"/>
  <c r="D54" i="14"/>
  <c r="G86" i="14"/>
  <c r="F53" i="14"/>
  <c r="E53" i="14"/>
  <c r="X39" i="15"/>
  <c r="BL40" i="12"/>
  <c r="BI40" i="12" s="1"/>
  <c r="BL109" i="12"/>
  <c r="BI109" i="12" s="1"/>
  <c r="BL31" i="12"/>
  <c r="BI31" i="12" s="1"/>
  <c r="BL98" i="12"/>
  <c r="BI98" i="12" s="1"/>
  <c r="BL27" i="12"/>
  <c r="BL41" i="12"/>
  <c r="BI41" i="12" s="1"/>
  <c r="BL45" i="12"/>
  <c r="BI45" i="12" s="1"/>
  <c r="BL42" i="12"/>
  <c r="BI42" i="12" s="1"/>
  <c r="BL32" i="12"/>
  <c r="BI32" i="12" s="1"/>
  <c r="BL86" i="12"/>
  <c r="BI86" i="12" s="1"/>
  <c r="BL94" i="12"/>
  <c r="BI94" i="12" s="1"/>
  <c r="BL28" i="12"/>
  <c r="BI28" i="12" s="1"/>
  <c r="BL48" i="12"/>
  <c r="BI48" i="12" s="1"/>
  <c r="BL102" i="12"/>
  <c r="BI102" i="12" s="1"/>
  <c r="BL35" i="12"/>
  <c r="BI35" i="12" s="1"/>
  <c r="BL106" i="12"/>
  <c r="BI106" i="12" s="1"/>
  <c r="BL64" i="12"/>
  <c r="BI64" i="12" s="1"/>
  <c r="BL55" i="12"/>
  <c r="BI55" i="12" s="1"/>
  <c r="BL46" i="12"/>
  <c r="BI46" i="12" s="1"/>
  <c r="BL97" i="12"/>
  <c r="BI97" i="12" s="1"/>
  <c r="BL80" i="12"/>
  <c r="BI80" i="12" s="1"/>
  <c r="BL49" i="12"/>
  <c r="BI49" i="12" s="1"/>
  <c r="BL103" i="12"/>
  <c r="BI103" i="12" s="1"/>
  <c r="BL63" i="12"/>
  <c r="BI63" i="12" s="1"/>
  <c r="BL96" i="12"/>
  <c r="BI96" i="12" s="1"/>
  <c r="BL90" i="12"/>
  <c r="BI90" i="12" s="1"/>
  <c r="BL24" i="12"/>
  <c r="BL85" i="12"/>
  <c r="BI85" i="12" s="1"/>
  <c r="BL112" i="12"/>
  <c r="BI112" i="12" s="1"/>
  <c r="BL37" i="12"/>
  <c r="BI37" i="12" s="1"/>
  <c r="BL116" i="12"/>
  <c r="BI116" i="12" s="1"/>
  <c r="BL56" i="12"/>
  <c r="BI56" i="12" s="1"/>
  <c r="BL65" i="12"/>
  <c r="BI65" i="12" s="1"/>
  <c r="BL93" i="12"/>
  <c r="BI93" i="12" s="1"/>
  <c r="BL72" i="12"/>
  <c r="BI72" i="12" s="1"/>
  <c r="BL67" i="12"/>
  <c r="BI67" i="12" s="1"/>
  <c r="BL113" i="12"/>
  <c r="BI113" i="12" s="1"/>
  <c r="BL88" i="12"/>
  <c r="BI88" i="12" s="1"/>
  <c r="BL36" i="12"/>
  <c r="BI36" i="12" s="1"/>
  <c r="BL50" i="12"/>
  <c r="BI50" i="12" s="1"/>
  <c r="BL19" i="12"/>
  <c r="BL66" i="12"/>
  <c r="BI66" i="12" s="1"/>
  <c r="BL104" i="12"/>
  <c r="BI104" i="12" s="1"/>
  <c r="BL71" i="12"/>
  <c r="BI71" i="12" s="1"/>
  <c r="BL89" i="12"/>
  <c r="BI89" i="12" s="1"/>
  <c r="BL115" i="12"/>
  <c r="BI115" i="12" s="1"/>
  <c r="BL83" i="12"/>
  <c r="BI83" i="12" s="1"/>
  <c r="BL51" i="12"/>
  <c r="BI51" i="12" s="1"/>
  <c r="BL95" i="12"/>
  <c r="BI95" i="12" s="1"/>
  <c r="BL82" i="12"/>
  <c r="BI82" i="12" s="1"/>
  <c r="BL99" i="12"/>
  <c r="BI99" i="12" s="1"/>
  <c r="BL74" i="12"/>
  <c r="BI74" i="12" s="1"/>
  <c r="BL61" i="12"/>
  <c r="BI61" i="12" s="1"/>
  <c r="D31" i="14"/>
  <c r="I5" i="14" s="1"/>
  <c r="BL20" i="12"/>
  <c r="BI20" i="12" s="1"/>
  <c r="BL114" i="12"/>
  <c r="BI114" i="12" s="1"/>
  <c r="BL92" i="12"/>
  <c r="BI92" i="12" s="1"/>
  <c r="BL52" i="12"/>
  <c r="BI52" i="12" s="1"/>
  <c r="BL84" i="12"/>
  <c r="BI84" i="12" s="1"/>
  <c r="BL34" i="12"/>
  <c r="BI34" i="12" s="1"/>
  <c r="BL68" i="12"/>
  <c r="BI68" i="12" s="1"/>
  <c r="BL23" i="12"/>
  <c r="BL44" i="12"/>
  <c r="BI44" i="12" s="1"/>
  <c r="BL43" i="12"/>
  <c r="BI43" i="12" s="1"/>
  <c r="BL100" i="12"/>
  <c r="BI100" i="12" s="1"/>
  <c r="BL47" i="12"/>
  <c r="BI47" i="12" s="1"/>
  <c r="BL78" i="12"/>
  <c r="BI78" i="12" s="1"/>
  <c r="BL59" i="12"/>
  <c r="BI59" i="12" s="1"/>
  <c r="BL21" i="12"/>
  <c r="BL26" i="12"/>
  <c r="BL30" i="12"/>
  <c r="BI30" i="12" s="1"/>
  <c r="BL75" i="12"/>
  <c r="BI75" i="12" s="1"/>
  <c r="BL53" i="12"/>
  <c r="BI53" i="12" s="1"/>
  <c r="BL57" i="12"/>
  <c r="BI57" i="12" s="1"/>
  <c r="BL29" i="12"/>
  <c r="BI29" i="12" s="1"/>
  <c r="BL91" i="12"/>
  <c r="BI91" i="12" s="1"/>
  <c r="BL69" i="12"/>
  <c r="BI69" i="12" s="1"/>
  <c r="BL87" i="12"/>
  <c r="BI87" i="12" s="1"/>
  <c r="BL58" i="12"/>
  <c r="BI58" i="12" s="1"/>
  <c r="BL107" i="12"/>
  <c r="BI107" i="12" s="1"/>
  <c r="BL101" i="12"/>
  <c r="BI101" i="12" s="1"/>
  <c r="BL105" i="12"/>
  <c r="BI105" i="12" s="1"/>
  <c r="BL81" i="12"/>
  <c r="BI81" i="12" s="1"/>
  <c r="BL60" i="12"/>
  <c r="BI60" i="12" s="1"/>
  <c r="BL22" i="12"/>
  <c r="BL39" i="12"/>
  <c r="BI39" i="12" s="1"/>
  <c r="BL33" i="12"/>
  <c r="BI33" i="12" s="1"/>
  <c r="BL108" i="12"/>
  <c r="BI108" i="12" s="1"/>
  <c r="BL38" i="12"/>
  <c r="BI38" i="12" s="1"/>
  <c r="BL73" i="12"/>
  <c r="BI73" i="12" s="1"/>
  <c r="BL77" i="12"/>
  <c r="BI77" i="12" s="1"/>
  <c r="BL62" i="12"/>
  <c r="BI62" i="12" s="1"/>
  <c r="BL54" i="12"/>
  <c r="BI54" i="12" s="1"/>
  <c r="BL111" i="12"/>
  <c r="BI111" i="12" s="1"/>
  <c r="BL76" i="12"/>
  <c r="BI76" i="12" s="1"/>
  <c r="BL110" i="12"/>
  <c r="BI110" i="12" s="1"/>
  <c r="BL70" i="12"/>
  <c r="BI70" i="12" s="1"/>
  <c r="BL25" i="12"/>
  <c r="BL79" i="12"/>
  <c r="BI79" i="12" s="1"/>
  <c r="G69" i="14"/>
  <c r="H70" i="14"/>
  <c r="F70" i="14" s="1"/>
  <c r="BM18" i="12" s="1"/>
  <c r="D71" i="14"/>
  <c r="A33" i="12"/>
  <c r="BT32" i="12"/>
  <c r="BS32" i="12"/>
  <c r="X40" i="15" l="1"/>
  <c r="X48" i="15"/>
  <c r="X45" i="15"/>
  <c r="BI26" i="12"/>
  <c r="X44" i="15"/>
  <c r="BI27" i="12"/>
  <c r="X43" i="15"/>
  <c r="V42" i="15"/>
  <c r="V45" i="15"/>
  <c r="U47" i="15"/>
  <c r="S47" i="15" s="1"/>
  <c r="V46" i="15"/>
  <c r="U48" i="15"/>
  <c r="U39" i="15"/>
  <c r="V39" i="15"/>
  <c r="V44" i="15"/>
  <c r="T46" i="15"/>
  <c r="T41" i="15"/>
  <c r="T45" i="15"/>
  <c r="T40" i="15"/>
  <c r="V48" i="15"/>
  <c r="T44" i="15"/>
  <c r="R44" i="15" s="1"/>
  <c r="M46" i="15" s="1"/>
  <c r="B45" i="51" s="1"/>
  <c r="U40" i="15"/>
  <c r="T48" i="15"/>
  <c r="V41" i="15"/>
  <c r="U43" i="15"/>
  <c r="T42" i="15"/>
  <c r="V43" i="15"/>
  <c r="U46" i="15"/>
  <c r="V47" i="15"/>
  <c r="U44" i="15"/>
  <c r="S44" i="15" s="1"/>
  <c r="T47" i="15"/>
  <c r="R47" i="15" s="1"/>
  <c r="M49" i="15" s="1"/>
  <c r="B48" i="51" s="1"/>
  <c r="T43" i="15"/>
  <c r="U41" i="15"/>
  <c r="T39" i="15"/>
  <c r="R39" i="15" s="1"/>
  <c r="M41" i="15" s="1"/>
  <c r="B40" i="51" s="1"/>
  <c r="U42" i="15"/>
  <c r="S42" i="15" s="1"/>
  <c r="V40" i="15"/>
  <c r="W48" i="15"/>
  <c r="W47" i="15"/>
  <c r="W42" i="15"/>
  <c r="W46" i="15"/>
  <c r="W43" i="15"/>
  <c r="W45" i="15"/>
  <c r="W40" i="15"/>
  <c r="W39" i="15"/>
  <c r="W41" i="15"/>
  <c r="W44" i="15"/>
  <c r="BI23" i="12"/>
  <c r="BJ33" i="12"/>
  <c r="BI19" i="12"/>
  <c r="BJ97" i="12" s="1"/>
  <c r="BI21" i="12"/>
  <c r="BI25" i="12"/>
  <c r="X46" i="15"/>
  <c r="BI22" i="12"/>
  <c r="BJ93" i="12" s="1"/>
  <c r="J5" i="14"/>
  <c r="J5" i="15" s="1"/>
  <c r="K4" i="17" s="1"/>
  <c r="I5" i="15"/>
  <c r="D44" i="20"/>
  <c r="E49" i="20" s="1"/>
  <c r="I6" i="14"/>
  <c r="I6" i="15" s="1"/>
  <c r="J6" i="17" s="1"/>
  <c r="X47" i="15"/>
  <c r="BI24" i="12"/>
  <c r="BJ74" i="12"/>
  <c r="U45" i="15"/>
  <c r="S45" i="15" s="1"/>
  <c r="F54" i="14"/>
  <c r="E54" i="14"/>
  <c r="BM35" i="12"/>
  <c r="BM108" i="12"/>
  <c r="BM94" i="12"/>
  <c r="BM112" i="12"/>
  <c r="BM103" i="12"/>
  <c r="BM54" i="12"/>
  <c r="BM52" i="12"/>
  <c r="BM34" i="12"/>
  <c r="BM95" i="12"/>
  <c r="BM48" i="12"/>
  <c r="BM96" i="12"/>
  <c r="BM57" i="12"/>
  <c r="BM102" i="12"/>
  <c r="BM55" i="12"/>
  <c r="BM32" i="12"/>
  <c r="BM49" i="12"/>
  <c r="BM76" i="12"/>
  <c r="BM39" i="12"/>
  <c r="BM44" i="12"/>
  <c r="BM62" i="12"/>
  <c r="BM45" i="12"/>
  <c r="BM21" i="12"/>
  <c r="BM78" i="12"/>
  <c r="BM75" i="12"/>
  <c r="BM33" i="12"/>
  <c r="BM65" i="12"/>
  <c r="BM93" i="12"/>
  <c r="BM87" i="12"/>
  <c r="BM36" i="12"/>
  <c r="BM97" i="12"/>
  <c r="BM69" i="12"/>
  <c r="BM98" i="12"/>
  <c r="BM30" i="12"/>
  <c r="BM92" i="12"/>
  <c r="BM84" i="12"/>
  <c r="BM28" i="12"/>
  <c r="BM91" i="12"/>
  <c r="BM29" i="12"/>
  <c r="BM60" i="12"/>
  <c r="BM80" i="12"/>
  <c r="BM56" i="12"/>
  <c r="BM43" i="12"/>
  <c r="BM83" i="12"/>
  <c r="BM116" i="12"/>
  <c r="BM79" i="12"/>
  <c r="BM77" i="12"/>
  <c r="BM85" i="12"/>
  <c r="BM26" i="12"/>
  <c r="BM68" i="12"/>
  <c r="BM113" i="12"/>
  <c r="BM64" i="12"/>
  <c r="BM46" i="12"/>
  <c r="BM63" i="12"/>
  <c r="BM89" i="12"/>
  <c r="BM42" i="12"/>
  <c r="BM67" i="12"/>
  <c r="BM25" i="12"/>
  <c r="BM20" i="12"/>
  <c r="BM88" i="12"/>
  <c r="BM40" i="12"/>
  <c r="BM107" i="12"/>
  <c r="BM106" i="12"/>
  <c r="BM24" i="12"/>
  <c r="BM104" i="12"/>
  <c r="BM41" i="12"/>
  <c r="BM38" i="12"/>
  <c r="BM47" i="12"/>
  <c r="BM109" i="12"/>
  <c r="BM22" i="12"/>
  <c r="BM58" i="12"/>
  <c r="BM114" i="12"/>
  <c r="BM61" i="12"/>
  <c r="BM27" i="12"/>
  <c r="BM50" i="12"/>
  <c r="BM81" i="12"/>
  <c r="BM51" i="12"/>
  <c r="BM31" i="12"/>
  <c r="BM59" i="12"/>
  <c r="BM53" i="12"/>
  <c r="BM115" i="12"/>
  <c r="BM110" i="12"/>
  <c r="BM71" i="12"/>
  <c r="BM72" i="12"/>
  <c r="D32" i="14"/>
  <c r="BM70" i="12"/>
  <c r="BM37" i="12"/>
  <c r="BM105" i="12"/>
  <c r="BM82" i="12"/>
  <c r="BM23" i="12"/>
  <c r="BM90" i="12"/>
  <c r="BM99" i="12"/>
  <c r="BM73" i="12"/>
  <c r="BM111" i="12"/>
  <c r="BM74" i="12"/>
  <c r="BM101" i="12"/>
  <c r="BM66" i="12"/>
  <c r="BM86" i="12"/>
  <c r="BM100" i="12"/>
  <c r="BM19" i="12"/>
  <c r="G70" i="14"/>
  <c r="A34" i="12"/>
  <c r="BT33" i="12"/>
  <c r="BS33" i="12"/>
  <c r="H71" i="14"/>
  <c r="F71" i="14" s="1"/>
  <c r="D33" i="14" s="1"/>
  <c r="E31" i="14"/>
  <c r="F31" i="14"/>
  <c r="R48" i="15" l="1"/>
  <c r="M50" i="15" s="1"/>
  <c r="B49" i="51" s="1"/>
  <c r="BJ91" i="12"/>
  <c r="BJ61" i="12"/>
  <c r="BJ24" i="12"/>
  <c r="BJ64" i="12"/>
  <c r="X49" i="15"/>
  <c r="BJ111" i="12"/>
  <c r="BJ79" i="12"/>
  <c r="BJ102" i="12"/>
  <c r="R46" i="15"/>
  <c r="M48" i="15" s="1"/>
  <c r="B47" i="51" s="1"/>
  <c r="BJ71" i="12"/>
  <c r="R42" i="15"/>
  <c r="M44" i="15" s="1"/>
  <c r="B43" i="51" s="1"/>
  <c r="BJ41" i="12"/>
  <c r="BJ75" i="12"/>
  <c r="BJ86" i="12"/>
  <c r="BJ88" i="12"/>
  <c r="BJ21" i="12"/>
  <c r="BJ115" i="12"/>
  <c r="BJ31" i="12"/>
  <c r="BJ62" i="12"/>
  <c r="BJ106" i="12"/>
  <c r="BJ52" i="12"/>
  <c r="BJ53" i="12"/>
  <c r="BJ67" i="12"/>
  <c r="BJ87" i="12"/>
  <c r="BJ40" i="12"/>
  <c r="S43" i="15"/>
  <c r="BJ98" i="12"/>
  <c r="E24" i="7"/>
  <c r="F24" i="7" s="1"/>
  <c r="G24" i="7" s="1"/>
  <c r="E21" i="7"/>
  <c r="F21" i="7" s="1"/>
  <c r="G21" i="7" s="1"/>
  <c r="E23" i="7"/>
  <c r="F23" i="7" s="1"/>
  <c r="G23" i="7" s="1"/>
  <c r="E22" i="7"/>
  <c r="F22" i="7" s="1"/>
  <c r="G22" i="7" s="1"/>
  <c r="E20" i="7"/>
  <c r="F20" i="7" s="1"/>
  <c r="G20" i="7" s="1"/>
  <c r="E18" i="7"/>
  <c r="E19" i="7"/>
  <c r="F19" i="7" s="1"/>
  <c r="G19" i="7" s="1"/>
  <c r="BJ54" i="12"/>
  <c r="BJ114" i="12"/>
  <c r="BJ25" i="12"/>
  <c r="BJ80" i="12"/>
  <c r="W49" i="15"/>
  <c r="Z42" i="15"/>
  <c r="Z44" i="15" s="1"/>
  <c r="BJ63" i="12"/>
  <c r="BJ19" i="12"/>
  <c r="BJ18" i="12"/>
  <c r="X22" i="15" s="1"/>
  <c r="BJ94" i="12"/>
  <c r="BJ83" i="12"/>
  <c r="BJ110" i="12"/>
  <c r="BJ39" i="12"/>
  <c r="S40" i="15"/>
  <c r="BJ43" i="12"/>
  <c r="BJ116" i="12"/>
  <c r="BJ112" i="12"/>
  <c r="BJ22" i="12"/>
  <c r="BJ46" i="12"/>
  <c r="BJ68" i="12"/>
  <c r="BJ60" i="12"/>
  <c r="X18" i="15"/>
  <c r="BJ99" i="12"/>
  <c r="BJ48" i="12"/>
  <c r="BJ36" i="12"/>
  <c r="BJ101" i="12"/>
  <c r="S48" i="15"/>
  <c r="BJ27" i="12"/>
  <c r="BJ30" i="12"/>
  <c r="BJ104" i="12"/>
  <c r="R40" i="15"/>
  <c r="M42" i="15" s="1"/>
  <c r="B41" i="51" s="1"/>
  <c r="BJ65" i="12"/>
  <c r="BJ90" i="12"/>
  <c r="BJ84" i="12"/>
  <c r="BJ77" i="12"/>
  <c r="BJ29" i="12"/>
  <c r="BJ47" i="12"/>
  <c r="BJ58" i="12"/>
  <c r="BJ100" i="12"/>
  <c r="R45" i="15"/>
  <c r="M47" i="15" s="1"/>
  <c r="B46" i="51" s="1"/>
  <c r="BJ51" i="12"/>
  <c r="R41" i="15"/>
  <c r="M43" i="15" s="1"/>
  <c r="B42" i="51" s="1"/>
  <c r="BJ26" i="12"/>
  <c r="BJ113" i="12"/>
  <c r="BJ107" i="12"/>
  <c r="BJ109" i="12"/>
  <c r="BJ72" i="12"/>
  <c r="BJ76" i="12"/>
  <c r="E52" i="20"/>
  <c r="B52" i="20" s="1"/>
  <c r="B49" i="20"/>
  <c r="BJ92" i="12"/>
  <c r="BJ103" i="12"/>
  <c r="BJ49" i="12"/>
  <c r="V49" i="15"/>
  <c r="Z21" i="15"/>
  <c r="J5" i="17"/>
  <c r="BJ69" i="12"/>
  <c r="BJ44" i="12"/>
  <c r="BJ66" i="12"/>
  <c r="S41" i="15"/>
  <c r="S39" i="15"/>
  <c r="BJ95" i="12"/>
  <c r="BJ70" i="12"/>
  <c r="BJ45" i="12"/>
  <c r="BJ23" i="12"/>
  <c r="R43" i="15"/>
  <c r="M45" i="15" s="1"/>
  <c r="B44" i="51" s="1"/>
  <c r="BJ37" i="12"/>
  <c r="BJ50" i="12"/>
  <c r="BJ42" i="12"/>
  <c r="X24" i="15"/>
  <c r="BJ34" i="12"/>
  <c r="BJ105" i="12"/>
  <c r="BJ85" i="12"/>
  <c r="BJ20" i="12"/>
  <c r="X21" i="15" s="1"/>
  <c r="X26" i="15"/>
  <c r="BJ28" i="12"/>
  <c r="BJ35" i="12"/>
  <c r="BJ32" i="12"/>
  <c r="BJ89" i="12"/>
  <c r="BJ81" i="12"/>
  <c r="BJ59" i="12"/>
  <c r="BJ73" i="12"/>
  <c r="BJ57" i="12"/>
  <c r="BJ108" i="12"/>
  <c r="BJ56" i="12"/>
  <c r="BJ38" i="12"/>
  <c r="BJ55" i="12"/>
  <c r="BJ78" i="12"/>
  <c r="BJ96" i="12"/>
  <c r="S46" i="15"/>
  <c r="BJ82" i="12"/>
  <c r="BS34" i="12"/>
  <c r="A35" i="12"/>
  <c r="BT34" i="12"/>
  <c r="G71" i="14"/>
  <c r="E32" i="14"/>
  <c r="F32" i="14"/>
  <c r="E33" i="14"/>
  <c r="F33" i="14"/>
  <c r="X17" i="15"/>
  <c r="X23" i="15" l="1"/>
  <c r="X19" i="15"/>
  <c r="U18" i="15"/>
  <c r="T26" i="15"/>
  <c r="V26" i="15"/>
  <c r="T21" i="15"/>
  <c r="U21" i="15"/>
  <c r="S21" i="15" s="1"/>
  <c r="T17" i="15"/>
  <c r="V18" i="15"/>
  <c r="V22" i="15"/>
  <c r="U19" i="15"/>
  <c r="U17" i="15"/>
  <c r="U22" i="15"/>
  <c r="U25" i="15"/>
  <c r="V20" i="15"/>
  <c r="T19" i="15"/>
  <c r="U20" i="15"/>
  <c r="T22" i="15"/>
  <c r="R22" i="15" s="1"/>
  <c r="M24" i="15" s="1"/>
  <c r="B45" i="17" s="1"/>
  <c r="V17" i="15"/>
  <c r="U26" i="15"/>
  <c r="S26" i="15" s="1"/>
  <c r="T25" i="15"/>
  <c r="R25" i="15" s="1"/>
  <c r="M27" i="15" s="1"/>
  <c r="B48" i="17" s="1"/>
  <c r="T24" i="15"/>
  <c r="R24" i="15" s="1"/>
  <c r="M26" i="15" s="1"/>
  <c r="B47" i="17" s="1"/>
  <c r="T18" i="15"/>
  <c r="R18" i="15" s="1"/>
  <c r="M20" i="15" s="1"/>
  <c r="B41" i="17" s="1"/>
  <c r="W19" i="15"/>
  <c r="V21" i="15"/>
  <c r="T23" i="15"/>
  <c r="V24" i="15"/>
  <c r="V23" i="15"/>
  <c r="U23" i="15"/>
  <c r="S23" i="15" s="1"/>
  <c r="V25" i="15"/>
  <c r="U24" i="15"/>
  <c r="S24" i="15" s="1"/>
  <c r="T20" i="15"/>
  <c r="W17" i="15"/>
  <c r="W22" i="15"/>
  <c r="W23" i="15"/>
  <c r="W25" i="15"/>
  <c r="W26" i="15"/>
  <c r="W21" i="15"/>
  <c r="W24" i="15"/>
  <c r="W18" i="15"/>
  <c r="W20" i="15"/>
  <c r="V19" i="15"/>
  <c r="X25" i="15"/>
  <c r="F18" i="7"/>
  <c r="G18" i="7" s="1"/>
  <c r="E46" i="7"/>
  <c r="X20" i="15"/>
  <c r="X27" i="15" s="1"/>
  <c r="A36" i="12"/>
  <c r="BS35" i="12"/>
  <c r="BT35" i="12"/>
  <c r="R19" i="15" l="1"/>
  <c r="M21" i="15" s="1"/>
  <c r="B42" i="17" s="1"/>
  <c r="S25" i="15"/>
  <c r="V27" i="15"/>
  <c r="R21" i="15"/>
  <c r="M23" i="15" s="1"/>
  <c r="B44" i="17" s="1"/>
  <c r="S22" i="15"/>
  <c r="R20" i="15"/>
  <c r="M22" i="15" s="1"/>
  <c r="B43" i="17" s="1"/>
  <c r="S17" i="15"/>
  <c r="S19" i="15"/>
  <c r="S20" i="15"/>
  <c r="W27" i="15"/>
  <c r="Z20" i="15"/>
  <c r="Z22" i="15" s="1"/>
  <c r="R17" i="15"/>
  <c r="M19" i="15" s="1"/>
  <c r="B40" i="17" s="1"/>
  <c r="E47" i="7"/>
  <c r="E48" i="7" s="1"/>
  <c r="F46" i="7"/>
  <c r="R23" i="15"/>
  <c r="M25" i="15" s="1"/>
  <c r="B46" i="17" s="1"/>
  <c r="R26" i="15"/>
  <c r="M28" i="15" s="1"/>
  <c r="B49" i="17" s="1"/>
  <c r="S18" i="15"/>
  <c r="A37" i="12"/>
  <c r="BS36" i="12"/>
  <c r="BT36" i="12"/>
  <c r="G46" i="7" l="1"/>
  <c r="G50" i="7" s="1"/>
  <c r="G51" i="7" s="1"/>
  <c r="F50" i="7"/>
  <c r="A38" i="12"/>
  <c r="BT37" i="12"/>
  <c r="BS37" i="12"/>
  <c r="E50" i="7" l="1"/>
  <c r="F51" i="7"/>
  <c r="E51" i="7" s="1"/>
  <c r="A39" i="12"/>
  <c r="BT38" i="12"/>
  <c r="BS38" i="12"/>
  <c r="A40" i="12" l="1"/>
  <c r="BS39" i="12"/>
  <c r="BT39" i="12"/>
  <c r="A41" i="12" l="1"/>
  <c r="BT40" i="12"/>
  <c r="BS40" i="12"/>
  <c r="A42" i="12" l="1"/>
  <c r="BT41" i="12"/>
  <c r="BS41" i="12"/>
  <c r="A43" i="12" l="1"/>
  <c r="BT42" i="12"/>
  <c r="BS42" i="12"/>
  <c r="A44" i="12" l="1"/>
  <c r="BS43" i="12"/>
  <c r="BT43" i="12"/>
  <c r="A45" i="12" l="1"/>
  <c r="BT44" i="12"/>
  <c r="BS44" i="12"/>
  <c r="BS45" i="12" l="1"/>
  <c r="A46" i="12"/>
  <c r="BT45" i="12"/>
  <c r="A47" i="12" l="1"/>
  <c r="BT46" i="12"/>
  <c r="BS46" i="12"/>
  <c r="A48" i="12" l="1"/>
  <c r="BS47" i="12"/>
  <c r="BT47" i="12"/>
  <c r="BT48" i="12" l="1"/>
  <c r="BS48" i="12"/>
  <c r="A49" i="12"/>
  <c r="BS49" i="12" l="1"/>
  <c r="A50" i="12"/>
  <c r="BT49" i="12"/>
  <c r="A51" i="12" l="1"/>
  <c r="BS50" i="12"/>
  <c r="BT50" i="12"/>
  <c r="A52" i="12" l="1"/>
  <c r="BT51" i="12"/>
  <c r="BS51" i="12"/>
  <c r="A53" i="12" l="1"/>
  <c r="BT52" i="12"/>
  <c r="BS52" i="12"/>
  <c r="A54" i="12" l="1"/>
  <c r="BS53" i="12"/>
  <c r="BT53" i="12"/>
  <c r="A55" i="12" l="1"/>
  <c r="BS54" i="12"/>
  <c r="BT54" i="12"/>
  <c r="A56" i="12" l="1"/>
  <c r="BT55" i="12"/>
  <c r="BS55" i="12"/>
  <c r="A57" i="12" l="1"/>
  <c r="BT56" i="12"/>
  <c r="BS56" i="12"/>
  <c r="A58" i="12" l="1"/>
  <c r="BT57" i="12"/>
  <c r="BS57" i="12"/>
  <c r="A59" i="12" l="1"/>
  <c r="BS58" i="12"/>
  <c r="BT58" i="12"/>
  <c r="A60" i="12" l="1"/>
  <c r="BT59" i="12"/>
  <c r="BS59" i="12"/>
  <c r="A61" i="12" l="1"/>
  <c r="BS60" i="12"/>
  <c r="BT60" i="12"/>
  <c r="BS61" i="12" l="1"/>
  <c r="A62" i="12"/>
  <c r="BT61" i="12"/>
  <c r="A63" i="12" l="1"/>
  <c r="BS62" i="12"/>
  <c r="BT62" i="12"/>
  <c r="A64" i="12" l="1"/>
  <c r="BT63" i="12"/>
  <c r="BS63" i="12"/>
  <c r="A65" i="12" l="1"/>
  <c r="BS64" i="12"/>
  <c r="BT64" i="12"/>
  <c r="BS65" i="12" l="1"/>
  <c r="BT65" i="12"/>
  <c r="A66" i="12"/>
  <c r="A67" i="12" l="1"/>
  <c r="BS66" i="12"/>
  <c r="BT66" i="12"/>
  <c r="A68" i="12" l="1"/>
  <c r="BS67" i="12"/>
  <c r="BT67" i="12"/>
  <c r="A69" i="12" l="1"/>
  <c r="BS68" i="12"/>
  <c r="BT68" i="12"/>
  <c r="A70" i="12" l="1"/>
  <c r="BS69" i="12"/>
  <c r="BT69" i="12"/>
  <c r="A71" i="12" l="1"/>
  <c r="BS70" i="12"/>
  <c r="BT70" i="12"/>
  <c r="BS71" i="12" l="1"/>
  <c r="A72" i="12"/>
  <c r="BT71" i="12"/>
  <c r="BS72" i="12" l="1"/>
  <c r="BT72" i="12"/>
  <c r="A73" i="12"/>
  <c r="A74" i="12" l="1"/>
  <c r="BS73" i="12"/>
  <c r="BT73" i="12"/>
  <c r="A75" i="12" l="1"/>
  <c r="BS74" i="12"/>
  <c r="BT74" i="12"/>
  <c r="A76" i="12" l="1"/>
  <c r="BT75" i="12"/>
  <c r="BS75" i="12"/>
  <c r="A77" i="12" l="1"/>
  <c r="BT76" i="12"/>
  <c r="BS76" i="12"/>
  <c r="BT77" i="12" l="1"/>
  <c r="A78" i="12"/>
  <c r="BS77" i="12"/>
  <c r="A79" i="12" l="1"/>
  <c r="BT78" i="12"/>
  <c r="BS78" i="12"/>
  <c r="A80" i="12" l="1"/>
  <c r="BT79" i="12"/>
  <c r="BS79" i="12"/>
  <c r="A81" i="12" l="1"/>
  <c r="BT80" i="12"/>
  <c r="BS80" i="12"/>
  <c r="BT81" i="12" l="1"/>
  <c r="A82" i="12"/>
  <c r="BS81" i="12"/>
  <c r="BS82" i="12" l="1"/>
  <c r="BT82" i="12"/>
  <c r="A83" i="12"/>
  <c r="A84" i="12" l="1"/>
  <c r="BT83" i="12"/>
  <c r="BS83" i="12"/>
  <c r="A85" i="12" l="1"/>
  <c r="BT84" i="12"/>
  <c r="BS84" i="12"/>
  <c r="A86" i="12" l="1"/>
  <c r="BT85" i="12"/>
  <c r="BS85" i="12"/>
  <c r="A87" i="12" l="1"/>
  <c r="BS86" i="12"/>
  <c r="BT86" i="12"/>
  <c r="A88" i="12" l="1"/>
  <c r="BT87" i="12"/>
  <c r="BS87" i="12"/>
  <c r="BT88" i="12" l="1"/>
  <c r="BS88" i="12"/>
  <c r="A89" i="12"/>
  <c r="BS89" i="12" l="1"/>
  <c r="BT89" i="12"/>
  <c r="A90" i="12"/>
  <c r="A91" i="12" l="1"/>
  <c r="BT90" i="12"/>
  <c r="BS90" i="12"/>
  <c r="A92" i="12" l="1"/>
  <c r="BS91" i="12"/>
  <c r="BT91" i="12"/>
  <c r="A93" i="12" l="1"/>
  <c r="BS92" i="12"/>
  <c r="BT92" i="12"/>
  <c r="BS93" i="12" l="1"/>
  <c r="A94" i="12"/>
  <c r="BT93" i="12"/>
  <c r="A95" i="12" l="1"/>
  <c r="BS94" i="12"/>
  <c r="BT94" i="12"/>
  <c r="A96" i="12" l="1"/>
  <c r="BS95" i="12"/>
  <c r="BT95" i="12"/>
  <c r="BT96" i="12" l="1"/>
  <c r="A97" i="12"/>
  <c r="BS96" i="12"/>
  <c r="BS97" i="12" l="1"/>
  <c r="A98" i="12"/>
  <c r="BT97" i="12"/>
  <c r="A99" i="12" l="1"/>
  <c r="BT98" i="12"/>
  <c r="BS98" i="12"/>
  <c r="BT99" i="12" l="1"/>
  <c r="A100" i="12"/>
  <c r="BS99" i="12"/>
  <c r="A101" i="12" l="1"/>
  <c r="BS100" i="12"/>
  <c r="BT100" i="12"/>
  <c r="A102" i="12" l="1"/>
  <c r="BS101" i="12"/>
  <c r="BT101" i="12"/>
  <c r="A103" i="12" l="1"/>
  <c r="BT102" i="12"/>
  <c r="BS102" i="12"/>
  <c r="A104" i="12" l="1"/>
  <c r="BS103" i="12"/>
  <c r="BT103" i="12"/>
  <c r="A105" i="12" l="1"/>
  <c r="BS104" i="12"/>
  <c r="BT104" i="12"/>
  <c r="A106" i="12" l="1"/>
  <c r="BS105" i="12"/>
  <c r="BT105" i="12"/>
  <c r="A107" i="12" l="1"/>
  <c r="BS106" i="12"/>
  <c r="BT106" i="12"/>
  <c r="A108" i="12" l="1"/>
  <c r="BS107" i="12"/>
  <c r="BT107" i="12"/>
  <c r="A109" i="12" l="1"/>
  <c r="BT108" i="12"/>
  <c r="BS108" i="12"/>
  <c r="BT109" i="12" l="1"/>
  <c r="A110" i="12"/>
  <c r="BS109" i="12"/>
  <c r="A111" i="12" l="1"/>
  <c r="BS110" i="12"/>
  <c r="BT110" i="12"/>
  <c r="A112" i="12" l="1"/>
  <c r="BT111" i="12"/>
  <c r="BS111" i="12"/>
  <c r="A113" i="12" l="1"/>
  <c r="BS112" i="12"/>
  <c r="BT112" i="12"/>
  <c r="BT113" i="12" l="1"/>
  <c r="A114" i="12"/>
  <c r="BS113" i="12"/>
  <c r="A115" i="12" l="1"/>
  <c r="BT114" i="12"/>
  <c r="BS114" i="12"/>
  <c r="A116" i="12" l="1"/>
  <c r="BS115" i="12"/>
  <c r="BT115" i="12"/>
  <c r="E40" i="51" l="1"/>
  <c r="H40" i="51"/>
  <c r="F40" i="51"/>
  <c r="C40" i="51"/>
  <c r="D40" i="51"/>
  <c r="D40" i="17"/>
  <c r="I40" i="51"/>
  <c r="C40" i="17"/>
  <c r="E40" i="17"/>
  <c r="G40" i="51"/>
  <c r="F40" i="17"/>
  <c r="I40" i="17"/>
  <c r="H40" i="17"/>
  <c r="G40" i="17"/>
  <c r="BT116" i="12"/>
  <c r="BS116" i="12"/>
  <c r="D8" i="22"/>
  <c r="B5" i="22"/>
  <c r="B1" i="22" s="1"/>
  <c r="G8" i="22"/>
  <c r="H8" i="22"/>
  <c r="B10" i="22"/>
  <c r="B11" i="22"/>
  <c r="E8" i="22"/>
  <c r="F8" i="22"/>
  <c r="C8" i="22"/>
  <c r="F43" i="51"/>
  <c r="E45" i="51"/>
  <c r="H43" i="51"/>
  <c r="D43" i="51"/>
  <c r="F49" i="51"/>
  <c r="G43" i="51"/>
  <c r="F47" i="51"/>
  <c r="F45" i="51"/>
  <c r="I41" i="51"/>
  <c r="D45" i="51"/>
  <c r="G47" i="51"/>
  <c r="E41" i="51"/>
  <c r="C45" i="51"/>
  <c r="E47" i="51"/>
  <c r="G44" i="51"/>
  <c r="E43" i="51"/>
  <c r="F44" i="51"/>
  <c r="C43" i="51"/>
  <c r="H45" i="51"/>
  <c r="F41" i="51"/>
  <c r="G45" i="51"/>
  <c r="H41" i="51"/>
  <c r="F48" i="51"/>
  <c r="I47" i="51"/>
  <c r="C47" i="51"/>
  <c r="D41" i="51"/>
  <c r="G41" i="51"/>
  <c r="D49" i="51"/>
  <c r="E44" i="51"/>
  <c r="C42" i="51"/>
  <c r="I42" i="51"/>
  <c r="C41" i="51"/>
  <c r="I45" i="51"/>
  <c r="F42" i="51"/>
  <c r="I48" i="51"/>
  <c r="D44" i="51"/>
  <c r="I43" i="51"/>
  <c r="C44" i="51"/>
  <c r="D47" i="51"/>
  <c r="H44" i="51"/>
  <c r="I49" i="51"/>
  <c r="H48" i="51"/>
  <c r="I44" i="51"/>
  <c r="E48" i="51"/>
  <c r="E42" i="51"/>
  <c r="E49" i="51"/>
  <c r="G49" i="51"/>
  <c r="C48" i="51"/>
  <c r="F41" i="17"/>
  <c r="H49" i="51"/>
  <c r="H46" i="17"/>
  <c r="G48" i="17"/>
  <c r="H42" i="51"/>
  <c r="G46" i="51"/>
  <c r="H47" i="51"/>
  <c r="H46" i="51"/>
  <c r="C49" i="51"/>
  <c r="D48" i="51"/>
  <c r="D46" i="51"/>
  <c r="G42" i="51"/>
  <c r="G48" i="51"/>
  <c r="F46" i="51"/>
  <c r="I46" i="51"/>
  <c r="C46" i="51"/>
  <c r="E46" i="51"/>
  <c r="D42" i="51"/>
  <c r="C49" i="17"/>
  <c r="G45" i="17"/>
  <c r="F44" i="17"/>
  <c r="F49" i="17"/>
  <c r="D42" i="17"/>
  <c r="G46" i="17"/>
  <c r="D48" i="17"/>
  <c r="F43" i="17"/>
  <c r="D44" i="17"/>
  <c r="H47" i="17"/>
  <c r="G44" i="17"/>
  <c r="H45" i="17"/>
  <c r="I48" i="17"/>
  <c r="E44" i="17"/>
  <c r="E43" i="17"/>
  <c r="G41" i="17"/>
  <c r="H44" i="17"/>
  <c r="H42" i="17"/>
  <c r="H49" i="17"/>
  <c r="E49" i="17"/>
  <c r="C48" i="17"/>
  <c r="C45" i="17"/>
  <c r="F48" i="17"/>
  <c r="I45" i="17"/>
  <c r="G49" i="17"/>
  <c r="C44" i="17"/>
  <c r="H43" i="17"/>
  <c r="I44" i="17"/>
  <c r="E47" i="17"/>
  <c r="G43" i="17"/>
  <c r="D43" i="17"/>
  <c r="H41" i="17"/>
  <c r="C43" i="17"/>
  <c r="D41" i="17"/>
  <c r="I46" i="17"/>
  <c r="F45" i="17"/>
  <c r="D45" i="17"/>
  <c r="F47" i="17"/>
  <c r="E42" i="17"/>
  <c r="D46" i="17"/>
  <c r="H48" i="17"/>
  <c r="I42" i="17"/>
  <c r="C47" i="17"/>
  <c r="C41" i="17"/>
  <c r="D47" i="17"/>
  <c r="G47" i="17"/>
  <c r="C42" i="17"/>
  <c r="E46" i="17"/>
  <c r="F42" i="17"/>
  <c r="E41" i="17"/>
  <c r="D49" i="17"/>
  <c r="G42" i="17"/>
  <c r="I47" i="17"/>
  <c r="I49" i="17"/>
  <c r="E45" i="17"/>
  <c r="I43" i="17"/>
  <c r="I41" i="17"/>
  <c r="E48" i="17"/>
  <c r="C46" i="17"/>
  <c r="F46" i="17"/>
  <c r="A17" i="18" l="1"/>
  <c r="A5" i="18"/>
  <c r="A23" i="18"/>
  <c r="A24" i="18"/>
  <c r="A19" i="18"/>
  <c r="A6" i="18"/>
  <c r="A8" i="18"/>
  <c r="A11" i="18"/>
  <c r="A18" i="18"/>
  <c r="A20" i="18"/>
  <c r="A22" i="18"/>
  <c r="A14" i="18"/>
  <c r="A7" i="18"/>
  <c r="A9" i="18"/>
  <c r="A26" i="18"/>
  <c r="A25" i="18"/>
  <c r="A12" i="18"/>
  <c r="A10" i="18"/>
  <c r="A13" i="18"/>
  <c r="A21" i="18"/>
</calcChain>
</file>

<file path=xl/comments1.xml><?xml version="1.0" encoding="utf-8"?>
<comments xmlns="http://schemas.openxmlformats.org/spreadsheetml/2006/main">
  <authors>
    <author>tc={3E08CB96-126F-46BF-86DE-A76B4D2AA7E9}</author>
    <author>tc={29423A4E-10AF-47BD-97A6-2309E82765D8}</author>
  </authors>
  <commentList>
    <comment ref="B29"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Add CB sensitivity charts to this discussion.</t>
        </r>
      </text>
    </comment>
    <comment ref="B30"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Add note for...Can click the "1" or "2" at the top left of the sheet to set those ranges.</t>
        </r>
      </text>
    </comment>
  </commentList>
</comments>
</file>

<file path=xl/comments2.xml><?xml version="1.0" encoding="utf-8"?>
<comments xmlns="http://schemas.openxmlformats.org/spreadsheetml/2006/main">
  <authors>
    <author>tc={3B947149-B857-4707-B827-9EDD159F302E}</author>
    <author>tc={734AB3CA-ECDD-4F07-861F-5D57D7AECF9A}</author>
  </authors>
  <commentList>
    <comment ref="Y17"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Default is 100%, if significant event and a two step is utilized then suggest use of "Yes/No" assumption curve or a binomial curve.</t>
        </r>
      </text>
    </comment>
    <comment ref="Z17"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Default is 1, if significant event and a two step is utilized then suggest use of "Yes/No" assumption curve or a binomial curve.</t>
        </r>
      </text>
    </comment>
  </commentList>
</comments>
</file>

<file path=xl/comments3.xml><?xml version="1.0" encoding="utf-8"?>
<comments xmlns="http://schemas.openxmlformats.org/spreadsheetml/2006/main">
  <authors>
    <author>tc={2D4313C2-E7C3-4F54-9474-509813339751}</author>
    <author>tc={6FFE8484-7FD8-4213-B804-735AA096A88B}</author>
  </authors>
  <commentList>
    <comment ref="E60"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These are populated from the forecast above.</t>
        </r>
      </text>
    </comment>
    <comment ref="F60"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This is rounded for presentation purposes. This way the numbers will match the TPCS.</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<sst xmlns="http://schemas.openxmlformats.org/spreadsheetml/2006/main" count="4539" uniqueCount="1351">
  <si>
    <t>Dustin Sawyers (NWW)</t>
  </si>
  <si>
    <t>Change Made By</t>
  </si>
  <si>
    <t>Description</t>
  </si>
  <si>
    <t>Date</t>
  </si>
  <si>
    <t>Change Control Log</t>
  </si>
  <si>
    <t>THE HARD STUFF</t>
  </si>
  <si>
    <t>Spell check and clean up the risk model tab.  Eliminate duplicates and restatements as much as possible.  No sense in carrying forward multiple descriptions of the same thing.</t>
  </si>
  <si>
    <t>AFTER THE MEETING</t>
  </si>
  <si>
    <t>AT THE MEETING</t>
  </si>
  <si>
    <t>There is a sample meeting agenda and the risk checklist included to help.</t>
  </si>
  <si>
    <t>Quick Instructions for Using This Template</t>
  </si>
  <si>
    <t>Remaining Activities</t>
  </si>
  <si>
    <t>Meeting Agenda</t>
  </si>
  <si>
    <t>1)  Good Morning and Project Intro</t>
  </si>
  <si>
    <t>a)  Risk Analysis</t>
  </si>
  <si>
    <t>b)  How it Fits in project Execution/Management</t>
  </si>
  <si>
    <t>c)  Measured</t>
  </si>
  <si>
    <t>5)  Start Risk Register Development  (Note PDT crossover)</t>
  </si>
  <si>
    <t>a)  Brainstorming (Potential Risk Events)</t>
  </si>
  <si>
    <t>b)  Event Description, Discussion, Effect (Cost and/or Schedule), POC</t>
  </si>
  <si>
    <t>c)  Restacking (Likelihood/Impact)  and Ranges</t>
  </si>
  <si>
    <t>d)  Identification of Top Risk Elements</t>
  </si>
  <si>
    <t>6)  End Risk Register Development</t>
  </si>
  <si>
    <t>7)  Clean up and Distribute Risk Register for PDT buy in on risks captured at meeting</t>
  </si>
  <si>
    <t>9)  Sensitivity Analysis/ Probability Curves</t>
  </si>
  <si>
    <t>10)  Reality Check Results</t>
  </si>
  <si>
    <t>11)  Calculate Contingencies and Risk Items</t>
  </si>
  <si>
    <t>13)  Write Risk Report</t>
  </si>
  <si>
    <t>8)  Develop Risk Model - Quantitative Analysis of Risks</t>
  </si>
  <si>
    <t>12)  Development of Risk Mitigation / Risk Reduction Measures</t>
  </si>
  <si>
    <t>Coordination with PWD/ FMD and FEAD</t>
  </si>
  <si>
    <t>TO</t>
  </si>
  <si>
    <t>N</t>
  </si>
  <si>
    <t xml:space="preserve">Funding </t>
  </si>
  <si>
    <t>Access requirements</t>
  </si>
  <si>
    <t>SCIF?</t>
  </si>
  <si>
    <t>Is this a secured space/ facility</t>
  </si>
  <si>
    <t>Maintenance</t>
  </si>
  <si>
    <t>Janitorial</t>
  </si>
  <si>
    <t>Clearances</t>
  </si>
  <si>
    <t>Supported Command special requirements</t>
  </si>
  <si>
    <t>TURNOVER (TO)</t>
  </si>
  <si>
    <t>j.  Security  requirements - Escort</t>
  </si>
  <si>
    <t>EQ</t>
  </si>
  <si>
    <t>i.  Badging requirements (Non-Standard) (NAVSEA-CIA) Airfield</t>
  </si>
  <si>
    <t>h.  Base Security  requirements</t>
  </si>
  <si>
    <t>g.  Badging requirements (Standard)</t>
  </si>
  <si>
    <t>f.  Digging, Burn, and Hot work permits</t>
  </si>
  <si>
    <t>e.  Process Base Pass Requests</t>
  </si>
  <si>
    <t>d.  Utility/road outages</t>
  </si>
  <si>
    <t>c.  Arrange telephone connections</t>
  </si>
  <si>
    <t>b.  Lay down areas</t>
  </si>
  <si>
    <t>a.  Temp utility hook-up</t>
  </si>
  <si>
    <t>Perform base/contractor coordination:</t>
  </si>
  <si>
    <t>Other:</t>
  </si>
  <si>
    <t>General maintenance access considered in design</t>
  </si>
  <si>
    <t>Equipment deliveries and safe storage areas defined</t>
  </si>
  <si>
    <t>Requirements fully understood by customer/others and design confidence in equipment</t>
  </si>
  <si>
    <t>Sufficient space, sizing and utility requirements/redundancies is considered for equipment?</t>
  </si>
  <si>
    <t>a.  Integrated equipment- operating rooms, security, life safety systems</t>
  </si>
  <si>
    <t xml:space="preserve">Compatibility and Sole Source </t>
  </si>
  <si>
    <t>Conveyance systems – IT coordination, Network access requirements (pharmacy robots)</t>
  </si>
  <si>
    <t>b.  Adequate Network connections - exponential growth in requirements in last few years.</t>
  </si>
  <si>
    <t>a.  Wi-Fi- Televisions/cable</t>
  </si>
  <si>
    <t>Communications and Information Technologies (IT)</t>
  </si>
  <si>
    <t>Design flexibility to support changing technologies</t>
  </si>
  <si>
    <t>Risk of equipment change due to technology advances, or changing requirements. (Surgery, Laboratory, communications/IT equipment.)</t>
  </si>
  <si>
    <t>a.  Foreign national access—Kitchen equipment past Lesson Learned</t>
  </si>
  <si>
    <t>Medical, Kitchen, Administrative, Maintenance, Other</t>
  </si>
  <si>
    <t>Gov’t furnished equipment, design, purchase, delivery and install</t>
  </si>
  <si>
    <t>Timing of follow on contracts is considered in overall schedule.</t>
  </si>
  <si>
    <t xml:space="preserve">Coordination between stakeholders and contractors </t>
  </si>
  <si>
    <t>Design phase (%) and confidence</t>
  </si>
  <si>
    <t>EQUIPMENT LIST</t>
  </si>
  <si>
    <t>EQUIPMENT (EQ)</t>
  </si>
  <si>
    <t>CC</t>
  </si>
  <si>
    <t>Status of Initial Outfitting and Transition (IO&amp;T) contract, involvement, coordination with construction contractor</t>
  </si>
  <si>
    <t xml:space="preserve">Work windows/outages required for resting /commissioning identified </t>
  </si>
  <si>
    <t>Recertification/Commissioning due to rework or delay</t>
  </si>
  <si>
    <t>Central utility plant (CUP) adjustments as new buildings brought on line- (staged or legacy campus)</t>
  </si>
  <si>
    <t>Post commissioning maintenance prior to turnover- Medgas leakdown, MRI exercising, Genset Fuels, Consumables for testing, Spares</t>
  </si>
  <si>
    <t>Identification of Commissioning Agent and responsibilities clearly defined/understood by stakeholders</t>
  </si>
  <si>
    <t xml:space="preserve">Unique coordination requirements for personnel or materials (X-ray source)  </t>
  </si>
  <si>
    <t>a.  Labs, pharmacy, medical systems, HVAC, fire, emergency generators, etc.</t>
  </si>
  <si>
    <t>Items requiring commissioning/certification identified in P&amp;S/project documentation</t>
  </si>
  <si>
    <t>COMMISSIONING / CERTIFICATION (CC)</t>
  </si>
  <si>
    <t>Special Equipment</t>
  </si>
  <si>
    <t>SA</t>
  </si>
  <si>
    <t>Specialty Design</t>
  </si>
  <si>
    <t>CO</t>
  </si>
  <si>
    <t>Specialty Construction</t>
  </si>
  <si>
    <t>Timing of Mission Need vs execution</t>
  </si>
  <si>
    <t>Experience</t>
  </si>
  <si>
    <t>Level of safety</t>
  </si>
  <si>
    <t>Safety personnel</t>
  </si>
  <si>
    <t>Safety</t>
  </si>
  <si>
    <t>Security  requirements - Escort</t>
  </si>
  <si>
    <t>Base Access (CONUS/OCONUS)- Security Background checks, timing, coordination, responsiveness, long term contact cost to maintain</t>
  </si>
  <si>
    <t>Badging requirements (Non-Standard) (NAVSEA-CIA) Airfield</t>
  </si>
  <si>
    <t>Badging requirements (Standard)</t>
  </si>
  <si>
    <t>Digging, Burn, and Hot work permits</t>
  </si>
  <si>
    <t>Process Base Pass Requests</t>
  </si>
  <si>
    <t>Utility/road outages</t>
  </si>
  <si>
    <t>Arrange telephone connections</t>
  </si>
  <si>
    <t>Lay down areas</t>
  </si>
  <si>
    <t>Temp utility hook-up</t>
  </si>
  <si>
    <t>Coordinate telecommunication equipment and distribution requirements with the Installation's Base Communications Officer.</t>
  </si>
  <si>
    <t>Confirm list of personal property equipment associated with this projects attached in EPG.  For each unit (e.g., generator) or type (e.g., desks) of personal property equipment listed, the following information should be provided:
- Description.
- Rough order of magnitude (ROM) cost estimate.
- Budget Submitting Office (BSO) responsible for programming funding.
- Funding source (e.g.,  OPN, O&amp;MN).
- Fiscal year (FY) of funding appropriation.
- Date of start of installation (usually but not always after completion of the project).
- Date installations completed (satisfy user/operator mission needs).
For major electronic systems, coordinate with the Space and Naval Warfare Systems Command (SPAWAR).  For crane systems, coordinate with the Navy Crane Center and PWD Weight Handling
Division.</t>
  </si>
  <si>
    <t>Equipment List</t>
  </si>
  <si>
    <t>Warranty Period considerations Administration/follow on support</t>
  </si>
  <si>
    <t>Final 1354</t>
  </si>
  <si>
    <t>Delay in turnover/construction could cause construction budget to bear O&amp;M costs</t>
  </si>
  <si>
    <t>Fuels &amp; O&amp;M costs accounted for commissioning and for final top off prior to turnover</t>
  </si>
  <si>
    <t>e.  Maintenance of turned over spaces- janitorial, exercising MRI,  etc.</t>
  </si>
  <si>
    <t>d.  Security during construction/Joint Occupancy</t>
  </si>
  <si>
    <t xml:space="preserve">c.  Key control/lock </t>
  </si>
  <si>
    <t>b.  Med Gas</t>
  </si>
  <si>
    <t>a.  Janitorial</t>
  </si>
  <si>
    <t>Does customer understand turnover/occupancy requirements</t>
  </si>
  <si>
    <t>System testing and commissioning delays</t>
  </si>
  <si>
    <t>i.  Security Concerns during Joint Occupancy</t>
  </si>
  <si>
    <t xml:space="preserve">h.  Liability insurance coverage </t>
  </si>
  <si>
    <t>g.  Rework due to damage</t>
  </si>
  <si>
    <t>f.  Security/safety of completed work</t>
  </si>
  <si>
    <t>e.  Staging of materials</t>
  </si>
  <si>
    <t>d.  Backup utilities</t>
  </si>
  <si>
    <t>c.  Protection from construction impacts</t>
  </si>
  <si>
    <t xml:space="preserve">b.  People management  </t>
  </si>
  <si>
    <t xml:space="preserve">a.  Functioning utilities intact  </t>
  </si>
  <si>
    <t>Occupancy during construction, Joint Occupancy/IO&amp;T</t>
  </si>
  <si>
    <t>Sufficient construction schedule durations (sequencing, phasing, concurrent activities, float, production rates)</t>
  </si>
  <si>
    <t>Consideration for standard weather impacts and or abnormal weather conditions</t>
  </si>
  <si>
    <t>Differing site conditions, contract modification and claim potential</t>
  </si>
  <si>
    <t>Material availability and delivery</t>
  </si>
  <si>
    <t>Special equipment and equipment availability</t>
  </si>
  <si>
    <t>Contractor provided infrastructure (for government use)</t>
  </si>
  <si>
    <t xml:space="preserve">Permits, licenses, submittal approvals </t>
  </si>
  <si>
    <t>Defects with existing infrastructure (customer wanting project to pay)</t>
  </si>
  <si>
    <t>Timely coordination, approvals, and delivery of critical GFE to support design/construction</t>
  </si>
  <si>
    <t>Changes in security posture during construction- Internal or External</t>
  </si>
  <si>
    <t>Site security Escort requirements- risk of variation in stated requirements</t>
  </si>
  <si>
    <t>Site security (can vary due to security posture, stage of construction, Joint occupancy, other activities in area, etc.)</t>
  </si>
  <si>
    <t>Congested site access, staging areas and restrictions</t>
  </si>
  <si>
    <t>Expected number of Requests for Information (RFI), tracking system, and ability/timeliness to respond</t>
  </si>
  <si>
    <t>Adequate laydown site available or Just in Time Delivery</t>
  </si>
  <si>
    <t>Accelerated contract schedule</t>
  </si>
  <si>
    <t>Safe storage of existing equipment and replacement (remodels)</t>
  </si>
  <si>
    <t>Innovative or complex project construction</t>
  </si>
  <si>
    <t>New Facility or Rehabilitation</t>
  </si>
  <si>
    <t>Elevators</t>
  </si>
  <si>
    <t>Cranes</t>
  </si>
  <si>
    <t>Vertical transportation equipment</t>
  </si>
  <si>
    <t>Boilers</t>
  </si>
  <si>
    <t>Structural steel, welding</t>
  </si>
  <si>
    <t>Concrete, masonry, stucco</t>
  </si>
  <si>
    <t>Roofing</t>
  </si>
  <si>
    <t>HVAC, TABS, DALTS, controls</t>
  </si>
  <si>
    <t>Provide technical expertise and ensure certification (QC Specialty)</t>
  </si>
  <si>
    <t>Warranty issue potential (specialized systems)</t>
  </si>
  <si>
    <t>Safety hazards</t>
  </si>
  <si>
    <t>Environment/Site/Location</t>
  </si>
  <si>
    <t>Furniture, Fixtures and Equipment (FFE)</t>
  </si>
  <si>
    <t>j.  Quantity/Type of Sampling &amp; Testing</t>
  </si>
  <si>
    <t>i.  Quantity of GFM/GFE (Specialized construction or systems)</t>
  </si>
  <si>
    <t>h.  Renovation/Repair</t>
  </si>
  <si>
    <t>g.  Critical end use of facility</t>
  </si>
  <si>
    <t xml:space="preserve">f.  Potential interruptions to base operations </t>
  </si>
  <si>
    <t>e.  Size ($ Cost)</t>
  </si>
  <si>
    <t>d.  Multi-disciplined (Specialized Acceptance)</t>
  </si>
  <si>
    <t>c.  Environmental Hazard (UXO, POL, Asbestos, Lead, etc.)</t>
  </si>
  <si>
    <t>b.  Schedule/Phasing</t>
  </si>
  <si>
    <t>a.  Prototype/Unique construction</t>
  </si>
  <si>
    <t>Complexity / Financial Risk</t>
  </si>
  <si>
    <t>ESS - SPAWAR vs Contractor</t>
  </si>
  <si>
    <t>NCTAMS LANT</t>
  </si>
  <si>
    <t>Differing site conditions</t>
  </si>
  <si>
    <t>Unusual transportation haul distances</t>
  </si>
  <si>
    <t xml:space="preserve">Critical fabrication and delivery </t>
  </si>
  <si>
    <t>Limited transportation / haul routes available</t>
  </si>
  <si>
    <t>Transportation / haul routes constricted or unusable during periods of time</t>
  </si>
  <si>
    <t>Productivity of critical work items</t>
  </si>
  <si>
    <t>Regulatory / operational work windows or outage periods</t>
  </si>
  <si>
    <t>Restricted schedule, accelerated schedule impacts</t>
  </si>
  <si>
    <t>Adequate staging areas</t>
  </si>
  <si>
    <t>Unidentified hazardous waste</t>
  </si>
  <si>
    <t>Historic change order or modification growth</t>
  </si>
  <si>
    <t>Consideration for standard weather impact</t>
  </si>
  <si>
    <t>In-water work</t>
  </si>
  <si>
    <t>Permit and environmental work windows</t>
  </si>
  <si>
    <t>Subcontractor capabilities/ availability</t>
  </si>
  <si>
    <t>Conflicts with other contracts/ projects</t>
  </si>
  <si>
    <t>Innovative project construction</t>
  </si>
  <si>
    <t>Inadequate skilled trades available for labor force</t>
  </si>
  <si>
    <t>Site access / restrictions (highways, bridges, dams, water, overhead / underground utilities)</t>
  </si>
  <si>
    <t>Rural / remote locale/ overseas</t>
  </si>
  <si>
    <t>Delivery issues (Customs, fuels, high security/items-explosives, SCIF components)</t>
  </si>
  <si>
    <t>TR</t>
  </si>
  <si>
    <t>Timely delivery of critical GFE</t>
  </si>
  <si>
    <t>Weather Impacts</t>
  </si>
  <si>
    <t>Labor Shortages</t>
  </si>
  <si>
    <t>Escorts</t>
  </si>
  <si>
    <t>Staging Area  of construction</t>
  </si>
  <si>
    <t>Restricted Work Windows</t>
  </si>
  <si>
    <t>CONSTRUCTION (CO)</t>
  </si>
  <si>
    <t>Authority to Operate (ATO)</t>
  </si>
  <si>
    <t>CS</t>
  </si>
  <si>
    <t>Platform Enclave -FEC Level</t>
  </si>
  <si>
    <t>Platform Enclave -Installation Level</t>
  </si>
  <si>
    <t>Wireless</t>
  </si>
  <si>
    <t>Fiber connectivity</t>
  </si>
  <si>
    <t>Coordination w/ ESS -SPAWAR?</t>
  </si>
  <si>
    <t>Clearances required to perform work</t>
  </si>
  <si>
    <t>Requirements partially defined</t>
  </si>
  <si>
    <t>Requirements defined fully</t>
  </si>
  <si>
    <t>ES</t>
  </si>
  <si>
    <t>CYBERSECURITY (CS)</t>
  </si>
  <si>
    <t>Internet</t>
  </si>
  <si>
    <t>UT</t>
  </si>
  <si>
    <t>Cable</t>
  </si>
  <si>
    <t>Known and unknown utility impacts</t>
  </si>
  <si>
    <t>Records / as-built availability / inaccuracies</t>
  </si>
  <si>
    <t>Fiber</t>
  </si>
  <si>
    <t>Communications</t>
  </si>
  <si>
    <t>Fire Water</t>
  </si>
  <si>
    <t>Electrical</t>
  </si>
  <si>
    <t>Sewer</t>
  </si>
  <si>
    <t>Water</t>
  </si>
  <si>
    <t>Availability/ Capacity/Condition</t>
  </si>
  <si>
    <t>UTILITIES</t>
  </si>
  <si>
    <t>UTILITIES (UT)</t>
  </si>
  <si>
    <t xml:space="preserve">Unexpected escalation on key materials </t>
  </si>
  <si>
    <t>g. Red Zone Turnover</t>
  </si>
  <si>
    <t>f. Fuels &amp; O&amp;M costs accounted for  commissioning and for final top off prior to turnover</t>
  </si>
  <si>
    <t>e. Maintenance of turned over spaces- janitorial, exercising MRI,  etc.</t>
  </si>
  <si>
    <t>d. Security during construction/Joint Occupancy</t>
  </si>
  <si>
    <t xml:space="preserve">c. Key control/lock </t>
  </si>
  <si>
    <t>b. Med Gas</t>
  </si>
  <si>
    <t>a. Janitorial</t>
  </si>
  <si>
    <t>IMS reflects reasonable durations for "other" required activities</t>
  </si>
  <si>
    <t>Estimate and schedule reflecting “most likely” occurrence (base schedule accuracy)</t>
  </si>
  <si>
    <t>Schedule depicts logical construction sequencing, resourcing phasing and parallel activities</t>
  </si>
  <si>
    <t>Schedule portrays critical construction features, matching estimate productivity</t>
  </si>
  <si>
    <t>Adequate schedule depicting all major/critical project features</t>
  </si>
  <si>
    <t>Prime and subcontractor structure matches likely acquisition strategy- Often subcontracting is 2-3 levels deep</t>
  </si>
  <si>
    <t>Estimate includes local quotes for special material and equipment</t>
  </si>
  <si>
    <t>E/S considers long-lead items</t>
  </si>
  <si>
    <t>Estimate reflects local material and delivery costs</t>
  </si>
  <si>
    <t>Estimate reasonableness of crews, productivities, multiple subcontractors</t>
  </si>
  <si>
    <t>Estimate reflects local or imported labor (market-bearing, overtime &amp; subsistence)</t>
  </si>
  <si>
    <t>Estimate includes waste, excess &amp; drop off quantities</t>
  </si>
  <si>
    <t>Estimate includes escalation on long term contracts: labor and materials</t>
  </si>
  <si>
    <t>Estimate includes exceptions, exclusions or qualifications</t>
  </si>
  <si>
    <t>Estimate Assumptions exclude necessary project costs</t>
  </si>
  <si>
    <t>Estimate(s) quality and confidence when developed by others</t>
  </si>
  <si>
    <t>Estimate confidence of lesser designed features</t>
  </si>
  <si>
    <t>Estimate confidence in large and critical quantities</t>
  </si>
  <si>
    <t>E/S Developed in sufficient detail (level of confidence)</t>
  </si>
  <si>
    <t>Parametric estimates adequate for design complexity</t>
  </si>
  <si>
    <t>E/S Developed for current scope and design level</t>
  </si>
  <si>
    <t>Consideration for testing and commissioning of systems prior to customer receipt</t>
  </si>
  <si>
    <t>Estimate basis: parametric models or project specific detailed development</t>
  </si>
  <si>
    <t>ESTIMATE &amp; SCHEDULE RISKS (ES)</t>
  </si>
  <si>
    <t>FE</t>
  </si>
  <si>
    <t>Adequacy or Reliability of infrastructure required (base fire loop/pumps don’t work)</t>
  </si>
  <si>
    <t>Fire suppression system- review plan, training, integration of local responders</t>
  </si>
  <si>
    <t>Fire suppression system- unique requirements, exotic fuels, atriums, ATFP integration</t>
  </si>
  <si>
    <t>Fire Suppression system- zones, integration with existing facilities, Egress during construction considerations.</t>
  </si>
  <si>
    <t>Coordination required with Jurisdictional authority and or responders (fire marshal)/ Fire Department</t>
  </si>
  <si>
    <t>FIRE PROTECTION (FE)</t>
  </si>
  <si>
    <t>ME</t>
  </si>
  <si>
    <t>Corrosion control</t>
  </si>
  <si>
    <t>Thermal Expansion considerations</t>
  </si>
  <si>
    <t>Seismic Requirements</t>
  </si>
  <si>
    <t>SCIF considerations and isolation</t>
  </si>
  <si>
    <t>Balancing requirements- dampers, valves, etc.</t>
  </si>
  <si>
    <t>HVAC integration with ATFP requirements</t>
  </si>
  <si>
    <t>Zones and pressure differentials- positive, neutral, negative</t>
  </si>
  <si>
    <t>HVAC- bubble tight SS vs galvanized ducting or other special requirements</t>
  </si>
  <si>
    <t>Equipment piping supply/discharge materials selection adequate- Sanitizers, Steam, treated water.</t>
  </si>
  <si>
    <t>Access panels in hard ceilings, shafts, etc.</t>
  </si>
  <si>
    <t>Requirement and design confidence</t>
  </si>
  <si>
    <t>Maintenance access</t>
  </si>
  <si>
    <t xml:space="preserve">Flexibility to adjust to technology changes </t>
  </si>
  <si>
    <t>Metering of mechanical systems</t>
  </si>
  <si>
    <t>Fuel Sources - availability/suitability</t>
  </si>
  <si>
    <t xml:space="preserve">Controls types, integration with legacy system requirements </t>
  </si>
  <si>
    <t>Long Lead Items Identified</t>
  </si>
  <si>
    <t>Special mechanical equipment- biohazard labs, specialty items-vet clinics</t>
  </si>
  <si>
    <t>Radiation on shielding on waste piping</t>
  </si>
  <si>
    <t>Special systems, medical support, gas</t>
  </si>
  <si>
    <t>Utility demands (HVAC, plumbing, fire suppression, water, sewer demands)</t>
  </si>
  <si>
    <t>MECHANICAL (ME)</t>
  </si>
  <si>
    <t>EE</t>
  </si>
  <si>
    <t>ESS – Electronic Security Systems</t>
  </si>
  <si>
    <t>UMCS</t>
  </si>
  <si>
    <t>Cathodic Protection</t>
  </si>
  <si>
    <t>Metering requirements</t>
  </si>
  <si>
    <t>Communications (SIPR and NIPR) Requirement</t>
  </si>
  <si>
    <t>Lightening Protection</t>
  </si>
  <si>
    <t xml:space="preserve">High Electro Magnetic Pulse (HEMP) requirements/shielding </t>
  </si>
  <si>
    <t>SCIF requirements/isolation/loading</t>
  </si>
  <si>
    <t>Overall load calculations for facilities/suitability of existing power grid</t>
  </si>
  <si>
    <t>Lighting systems specifications, color, type, vs commercial availability</t>
  </si>
  <si>
    <t>Power Quality- Reliability and Harmonics</t>
  </si>
  <si>
    <t>Emergency Generator requirements</t>
  </si>
  <si>
    <t>Includes interior security requirements</t>
  </si>
  <si>
    <t>Special Systems- ATFP integration</t>
  </si>
  <si>
    <t>Uninterruptable Power System (UPS) Requirements</t>
  </si>
  <si>
    <t>Power demands (lighting, communications, IT systems, safety and alarms)</t>
  </si>
  <si>
    <t>ELECTRICAL (EE)</t>
  </si>
  <si>
    <t>SD</t>
  </si>
  <si>
    <t>Envelope/facade integration with structural requirements</t>
  </si>
  <si>
    <t xml:space="preserve">Progressive Collapse and ATFP requirements in structure </t>
  </si>
  <si>
    <t>Hurricane requirements</t>
  </si>
  <si>
    <t>Seismic requirements clearly defined</t>
  </si>
  <si>
    <t>Environmental loads (weather, wind, seismic, security, snow loads)</t>
  </si>
  <si>
    <t>Design complexity impacts</t>
  </si>
  <si>
    <t>STRUCTURAL (SD)</t>
  </si>
  <si>
    <t>CV</t>
  </si>
  <si>
    <t>Material Testing and Lab plan adequate</t>
  </si>
  <si>
    <t>Low Impact Development Requirements</t>
  </si>
  <si>
    <t>Latent Site Defects- past use, infrastructure</t>
  </si>
  <si>
    <t xml:space="preserve">Adequate access for Constructability </t>
  </si>
  <si>
    <t>Site access for patients, employees, contractors during construction.</t>
  </si>
  <si>
    <t>Anti-Terrorism Force Protection (ATFP) Compliance with standoffs, access requirements, loading docks, etc.</t>
  </si>
  <si>
    <t>Potential for future additions/expansion</t>
  </si>
  <si>
    <t xml:space="preserve">Site information in general (site age, as-builts, utilities, cultural resources, site hazardous waste) </t>
  </si>
  <si>
    <t>Unknown Utilities</t>
  </si>
  <si>
    <t xml:space="preserve">Level Coordination with other projects in area, and coordination with the campus masterplan. </t>
  </si>
  <si>
    <t xml:space="preserve">Utilities (water, sewer, drainage) </t>
  </si>
  <si>
    <t>Building site layout accommodates all needs (layout, utilities, drainage, and traffic)</t>
  </si>
  <si>
    <t>Geotechnical Sampling sufficiency- potential for variations across site?</t>
  </si>
  <si>
    <t>CIVIL / SITE DESIGN (CV)</t>
  </si>
  <si>
    <t>AI</t>
  </si>
  <si>
    <t>Draft 1354</t>
  </si>
  <si>
    <t>Historical compliance/local codes etc.</t>
  </si>
  <si>
    <t xml:space="preserve">ABA – Architectural Barrier Act (formerly known as ADA)  </t>
  </si>
  <si>
    <t>BIM- quality and cost of model- (this may still not result in adequate clash detection due to stacking of tolerances)</t>
  </si>
  <si>
    <t>Special considerations for behavioral health areas on hardware, finishes, etc.</t>
  </si>
  <si>
    <t>LEED certification Level- “LEED equivalent” and problems this presents are understood</t>
  </si>
  <si>
    <t>Allowances for final finishes and dimensional tolerances in standard materials included and adequate for room sizing?</t>
  </si>
  <si>
    <t>Building/room numbering methodology (design vs final post construction)</t>
  </si>
  <si>
    <t>Sustainability requirements defined</t>
  </si>
  <si>
    <t>Sound Pressure Level (SPL) level requirements and testing requirements- Doors, walls, floors etc. What is true SPL reduction required?</t>
  </si>
  <si>
    <t>Façade interface with building envelope- deflections, coordination etc.</t>
  </si>
  <si>
    <t>Includes interior security requirements- (Armory, SCIF, IT, Pharmacy- class 3, 4 meds)</t>
  </si>
  <si>
    <t>Flexibility and potential for future additions</t>
  </si>
  <si>
    <t>Medical/Hazard Waste and disposal areas</t>
  </si>
  <si>
    <t>Elevators and pedestrian conveyance</t>
  </si>
  <si>
    <t>Flooring and IT considerations</t>
  </si>
  <si>
    <t>Fixtures, Furnishings &amp; Equipment FFE- Coordination? Acquisition approach?</t>
  </si>
  <si>
    <t>Definition of space requirements/sizing of structure and authorization document validation</t>
  </si>
  <si>
    <t>Interior spatial layout meets requirements and is deemed acceptable by occupant management.</t>
  </si>
  <si>
    <t>Exterior facade meets local community requirements/restrictions.</t>
  </si>
  <si>
    <t>ARCHITECTURAL &amp; INTERIOR (AI)</t>
  </si>
  <si>
    <t>Threat Classification</t>
  </si>
  <si>
    <t>Construction Security Team (Construction Surveillance)</t>
  </si>
  <si>
    <t>Cleared American Guards</t>
  </si>
  <si>
    <t>Cleared American Workers</t>
  </si>
  <si>
    <t>Vault(s)</t>
  </si>
  <si>
    <t>Built in Field</t>
  </si>
  <si>
    <t>Modular</t>
  </si>
  <si>
    <t>Purpose/ Use(s)</t>
  </si>
  <si>
    <t>Additional requirements</t>
  </si>
  <si>
    <t>Location</t>
  </si>
  <si>
    <t>Size</t>
  </si>
  <si>
    <t>Access Control</t>
  </si>
  <si>
    <t>RF Shielding</t>
  </si>
  <si>
    <t>Red/Black</t>
  </si>
  <si>
    <t>HOST NATION</t>
  </si>
  <si>
    <t xml:space="preserve">Local agency/regulator issues </t>
  </si>
  <si>
    <t>HN</t>
  </si>
  <si>
    <t>Critical studies incomplete or inconclusive that could significantly impact scope and cost. (Site stability)</t>
  </si>
  <si>
    <t>NATO</t>
  </si>
  <si>
    <t>Coordination?</t>
  </si>
  <si>
    <t>Host Nation Approval Required?</t>
  </si>
  <si>
    <t>HOST NATION (HN)</t>
  </si>
  <si>
    <t>Identify permits that will be required before operations can start (air, water, etc.).</t>
  </si>
  <si>
    <t>EN</t>
  </si>
  <si>
    <t>Determine whether bodies of water near this project site could be adversely impacted by this project.  If so, explain.</t>
  </si>
  <si>
    <t>Determine if environmental problems have occurred at the project site or nearby.  If so, explain.</t>
  </si>
  <si>
    <t>Determine if this project could adversely impact nearby facilities on the installation or off-base and/or members of the public.  If so, explain.</t>
  </si>
  <si>
    <t>Determine if the site and/or the facilities involved with this project are of historic significance.  If so, explain.</t>
  </si>
  <si>
    <t>p.  Coastal Zone Management Act (CZMA.</t>
  </si>
  <si>
    <t>o.  Sikes Act (requires military installations be managed for multipurpose uses and public access unless inconsistent with mission requirements.</t>
  </si>
  <si>
    <t>n.  Wilderness Act (applies to federal land that has retained its primeval character without permanent improvements or human habitation.</t>
  </si>
  <si>
    <t>m.  Wild Free-Roaming Horses and Burros Act (protects unbranded and unclaimed horses and burros on public lands from capture,
branding, harassment, and death.</t>
  </si>
  <si>
    <t>I.  Marine Mammal Protection Act</t>
  </si>
  <si>
    <t>k.  Migratory Bird Treaty Act</t>
  </si>
  <si>
    <t>j.  Endangered Species Act</t>
  </si>
  <si>
    <t>i.  Archeological Resources Protection Act, American Indian Religious Freedom Act, Native American Graves Protection and Repatriation
Act, Native American agreement's</t>
  </si>
  <si>
    <t>h.  National Historic Preservation Act (NHPA. Sect 106.  This usually involves consultation and negotiations with the applicable State Historic Preservation Office (SHPO..</t>
  </si>
  <si>
    <t>g.  Comprehensive Environmental Response, Compensation, and Liability Act (CERCLA.</t>
  </si>
  <si>
    <t>f.  Occupational Safety &amp; Health Administration (OSHA.</t>
  </si>
  <si>
    <t>e.  Resource Conservation and Recovery Act (RCRA.</t>
  </si>
  <si>
    <t>d.  Low Impact Development</t>
  </si>
  <si>
    <t>c.  National Pollution Discharge Elimination System</t>
  </si>
  <si>
    <t>b.  Clean Water Act</t>
  </si>
  <si>
    <t>a.  Clean Air Act</t>
  </si>
  <si>
    <t>Identify any cultural or historical recourses that could be or will be
impacted by this project.  If any, provide the status of required
actions.</t>
  </si>
  <si>
    <t>Determine the level of NEPA required for this project (i.e., CATEX,
EA, EIS).   Develop a timeline for completion of the NEPA documentation.</t>
  </si>
  <si>
    <t>ENVIRONMENTAL &amp; CULTURAL/HISTORICAL RESOURCES (EN)</t>
  </si>
  <si>
    <t>Is joint use applicable?</t>
  </si>
  <si>
    <t>PS</t>
  </si>
  <si>
    <t>Identify Installation Appearance Plans requirements.</t>
  </si>
  <si>
    <t>Confirm that the Basic Facility Requirements (BFR) support this project and is attached in EPG.</t>
  </si>
  <si>
    <t>FACILITY PLANNING DATA</t>
  </si>
  <si>
    <t>Determine if FAA/ ICAO approval be required for this project.  If so, explain and provide status of approval.</t>
  </si>
  <si>
    <t>SI</t>
  </si>
  <si>
    <t xml:space="preserve">Height restrictions? </t>
  </si>
  <si>
    <t>Impacts to local community?</t>
  </si>
  <si>
    <t>Determine if this project cause acoustic/noise problems that are a concern to safety and/or health or that are considered an off-base nuisance.  If so, explain. (Example aircraft noise)</t>
  </si>
  <si>
    <t>Air Installations Compatibility Use Zones (AICUZ).  If so, explain.</t>
  </si>
  <si>
    <t>Confirm environmental, historical and cultural resources impact issues  are addressed.  If there are any potential "showstoppers" (such as wetlands mitigation, State Historic Preservation Officer (SHPO) consultation, cultural resources issues, installation restoration clean-up, and Anti-Terrorist/ Force Protection) (AT/FP) requirements) associated with the preferred site, describe the issues in detail.</t>
  </si>
  <si>
    <t>Determine if this project's site in an appropriate land use area as identified in the latest installation master plan or Regional Shore Infrastructure Plan.  If not, explain why not.</t>
  </si>
  <si>
    <t>Bandwidth Coordinator for emitters</t>
  </si>
  <si>
    <t>Site approval received. (If not what impact is there). Is there another suitable site?</t>
  </si>
  <si>
    <t>Determine if there any potential nuclear radiation issues.</t>
  </si>
  <si>
    <t xml:space="preserve">Determine if the Explosive Safety Quantity Distance arcs and other NOSSNDDESB issues be a factor for this project.  </t>
  </si>
  <si>
    <t>Determine if Electromagnetic Interference (EMI) or Electromagnetic Radiation is a potential impact to personnel, equipment, ordnance, etc.</t>
  </si>
  <si>
    <t>Confirm appropriate planning studies have been completed and are attached to EPG Project.  If not completed, list and provide status.</t>
  </si>
  <si>
    <t>Determine whether this project needs National Capital Region Approval (Washington, DC) or other local approvals.  If so, provide the status.</t>
  </si>
  <si>
    <t>Are any waivers required?</t>
  </si>
  <si>
    <t>Determine if the project is sited in a 100- year floodplain.  If so, explain why this is the preferred site and describe any mitigation features and their costs that will be needed to protect this capital investment.</t>
  </si>
  <si>
    <t>Unexploded Ordinance (Site Clearance)</t>
  </si>
  <si>
    <t>SITE IDENTIFICATION &amp; APPROVAL (SI)</t>
  </si>
  <si>
    <t>Relocations identified facility</t>
  </si>
  <si>
    <t>Relocations identified utility</t>
  </si>
  <si>
    <t>Environmental mitigation needs identified</t>
  </si>
  <si>
    <t>Real estate / easement acquisition</t>
  </si>
  <si>
    <t>PLANNING-SITE (PS)</t>
  </si>
  <si>
    <t>Has the J&amp;As been approved?</t>
  </si>
  <si>
    <t>CA</t>
  </si>
  <si>
    <t>Are there any proposed J&amp;A (Justification and Approval)</t>
  </si>
  <si>
    <t>Acquisition size and various source selection requirements/approvals</t>
  </si>
  <si>
    <t>Market conditions and anticipated bidding climate</t>
  </si>
  <si>
    <t xml:space="preserve">Acquisition strategy or mega-project size decreasing competition </t>
  </si>
  <si>
    <t>Numerous separate contracts vice one large contract (Consolidation)</t>
  </si>
  <si>
    <t>Consolidation/ bundling of multiple projects</t>
  </si>
  <si>
    <t>Requirements for SDB and 8(a) contracts and subcontracts</t>
  </si>
  <si>
    <t xml:space="preserve">Adequate Contract Capacity Available </t>
  </si>
  <si>
    <t>Resource Availability of Source Selection/Evaluation Process</t>
  </si>
  <si>
    <t>Changing Acquisition Strategy</t>
  </si>
  <si>
    <t>Acquisition Strategy Determined?</t>
  </si>
  <si>
    <t>Qualified Contractors with Secure Facilities</t>
  </si>
  <si>
    <t>Will this be a Classified contract?</t>
  </si>
  <si>
    <t>CONTRACT ACQUISITION RISKS (CA)</t>
  </si>
  <si>
    <t>Are there any Key unknowns that could alter the design? Any additional studies required?  Cost and schedule for these?</t>
  </si>
  <si>
    <t>EX</t>
  </si>
  <si>
    <t>Project is supporting a system that is under development and functional requirements could change.</t>
  </si>
  <si>
    <t>Local country requirements- sponsors, work visas, Third Country National (TCN) restrictions</t>
  </si>
  <si>
    <t>Customer needs/anticipated workload and IMS-- (deployment, surge, etc.)</t>
  </si>
  <si>
    <t>Market conditions and bidding competition</t>
  </si>
  <si>
    <t>Conflicts with other projects, contracts and/or utilities</t>
  </si>
  <si>
    <t>c.  Phased IO&amp;T</t>
  </si>
  <si>
    <t>b.  Certification delays, lags</t>
  </si>
  <si>
    <t>a.  Swing Space Requirements</t>
  </si>
  <si>
    <t xml:space="preserve">Phased construction </t>
  </si>
  <si>
    <t>Project scope, criteria or design change potential (design and construction periods)</t>
  </si>
  <si>
    <t>Direct client support requirements</t>
  </si>
  <si>
    <t xml:space="preserve">Priorities change on existing program </t>
  </si>
  <si>
    <t>EXTERNAL RISKS (EX)</t>
  </si>
  <si>
    <t>Change in Conditions onsite/ regional (terrorist attack, weather events)</t>
  </si>
  <si>
    <t>PM</t>
  </si>
  <si>
    <t xml:space="preserve">Insufficient time to plan, accelerated schedules (design/acquisition/construction) </t>
  </si>
  <si>
    <t>Implementation of VE Recommendations</t>
  </si>
  <si>
    <t>A/E/C Consultant or contractor delays</t>
  </si>
  <si>
    <t xml:space="preserve">Risk due to accelerated schedule </t>
  </si>
  <si>
    <t>Risk to exceeding current project schedule Milestones</t>
  </si>
  <si>
    <t>Product development by several sources or entities (virtual or remote efforts)</t>
  </si>
  <si>
    <t>ABILITY TO EXECUTE</t>
  </si>
  <si>
    <t>Ongoing/ new changes to project and requirements by Supported Command.</t>
  </si>
  <si>
    <t>Priorities change on existing program</t>
  </si>
  <si>
    <t>Project scope definition is unclear or incomplete</t>
  </si>
  <si>
    <t>SCOPE AND OBJECTIVES</t>
  </si>
  <si>
    <t>PROJECT &amp; PROGRAM MANAGEMENT (PM)</t>
  </si>
  <si>
    <t>Risk/Opportunity Event</t>
  </si>
  <si>
    <t>Ref #</t>
  </si>
  <si>
    <t>RT</t>
  </si>
  <si>
    <t>Include?</t>
  </si>
  <si>
    <r>
      <t xml:space="preserve">Coordinate Electronic Security Systems  (ESS) </t>
    </r>
    <r>
      <rPr>
        <i/>
        <sz val="11"/>
        <rFont val="Calibri"/>
        <family val="2"/>
        <scheme val="minor"/>
      </rPr>
      <t xml:space="preserve">I </t>
    </r>
    <r>
      <rPr>
        <sz val="11"/>
        <rFont val="Calibri"/>
        <family val="2"/>
        <scheme val="minor"/>
      </rPr>
      <t>Physical Security Equipment (PSE) including Intrusion Detection Systems (IDS) with NAVFACHQ Cl ATFP, User/Opera tor, and Installation's BCO.</t>
    </r>
  </si>
  <si>
    <t>Risk Checklist (MILCON)</t>
  </si>
  <si>
    <t>Consideration for unknown/unidentified risks</t>
  </si>
  <si>
    <t xml:space="preserve">Labor disruptions </t>
  </si>
  <si>
    <t xml:space="preserve">Political factors change at local, state or federal </t>
  </si>
  <si>
    <t xml:space="preserve">Stakeholders demand schedule or quality over funds available </t>
  </si>
  <si>
    <t xml:space="preserve">Influential stakeholders request additional needs to serve other purposes </t>
  </si>
  <si>
    <t>New stakeholders emerge and demand changes</t>
  </si>
  <si>
    <t xml:space="preserve">Stakeholders request late changes </t>
  </si>
  <si>
    <t>c. Phased IO&amp;T</t>
  </si>
  <si>
    <t>b. Certification delays, lags</t>
  </si>
  <si>
    <t>a. Swing Space Requirements</t>
  </si>
  <si>
    <t>Escalation Exceeds CWWICS or assumed factors</t>
  </si>
  <si>
    <t xml:space="preserve">Adequacy of project funding (incremental, phasing or full funding) </t>
  </si>
  <si>
    <t xml:space="preserve"> Other:</t>
  </si>
  <si>
    <t>What is truly the  first operational day of facility?</t>
  </si>
  <si>
    <t>Who develops and maintains?  When is this team member onboard? (Usually in IO&amp;T contract)</t>
  </si>
  <si>
    <t>Responsibility for the Integrated Master Schedule (IMS)</t>
  </si>
  <si>
    <t>Schedule matches PDT plan</t>
  </si>
  <si>
    <t>E/S considers potential for multi-tiered subcontractors</t>
  </si>
  <si>
    <t>E/S inclusion of hidden contingency</t>
  </si>
  <si>
    <t>E/S Considers specialties in construction and electrical/mechanical systems</t>
  </si>
  <si>
    <t>E/S reflects contract strategy/structure- are markups applied correctly based on most likely acquisition?</t>
  </si>
  <si>
    <t>E/S addresses potential for partial occupation (personnel, utilities, interior, exterior)</t>
  </si>
  <si>
    <t xml:space="preserve">E/S of the complete program current/updated representing a true Total Project Cost for the project. </t>
  </si>
  <si>
    <t>E/S captures scope for all project features- Does it really represent a complete, usable, and  constructible approach to complete the project?</t>
  </si>
  <si>
    <t>Loss of Key Sub-Contractors</t>
  </si>
  <si>
    <t>Ability of the contractor to deliver adequate workforce</t>
  </si>
  <si>
    <t>Site staff decision-making ability/authority/timeliness</t>
  </si>
  <si>
    <t>Warrant level of onsite contracting staff and approval chain hierarchy</t>
  </si>
  <si>
    <t xml:space="preserve"> Pre-Construction/Partnering/cooperation between contractor, USACE, and stakeholders.</t>
  </si>
  <si>
    <t>Contractors approach to the schedule- Typically works easy items first- Usually the critical path of the project goes through the most complex items in the project- IE the trauma center/vertical tower, but the contractor chooses to start on the admin building first and ends up delaying project completion due to inadequate detail in early schedules.</t>
  </si>
  <si>
    <t>Defects/errors in design</t>
  </si>
  <si>
    <t>Adequate QA/QC</t>
  </si>
  <si>
    <t>Adequate site supervision</t>
  </si>
  <si>
    <t>Adequate Contractor Construction Staff</t>
  </si>
  <si>
    <t>i. Security Concerns during Joint Occupancy</t>
  </si>
  <si>
    <t xml:space="preserve">h. Liability insurance coverage </t>
  </si>
  <si>
    <t>g. Rework due to damage</t>
  </si>
  <si>
    <t>f. Security/safety of completed work</t>
  </si>
  <si>
    <t>e. Staging of materials</t>
  </si>
  <si>
    <t>d. backup utilities</t>
  </si>
  <si>
    <t>c. protection from construction impacts</t>
  </si>
  <si>
    <t xml:space="preserve">b. people management  </t>
  </si>
  <si>
    <t xml:space="preserve">a. functioning utilities intact  </t>
  </si>
  <si>
    <t>Sufficient Internet capabilities/infrastructure to support Resident Management System (RMS) and other requirements.</t>
  </si>
  <si>
    <t>Inadequate housing/utilities to support labor force</t>
  </si>
  <si>
    <t>Conflicts with other contracts for resources- internal and external to the project</t>
  </si>
  <si>
    <t>Inefficient contractor and/or subcontractors</t>
  </si>
  <si>
    <t>USACE staff skills for processing modification, Claims, RFI</t>
  </si>
  <si>
    <t>Skilled Gov’t construction management staff for contracts</t>
  </si>
  <si>
    <t>RG</t>
  </si>
  <si>
    <t>Certifications required/identified and included in cost/schedule- Pharmacy, armory, Biohazard, Specialized equipment</t>
  </si>
  <si>
    <t>Pressure to compress the study and permitting activities</t>
  </si>
  <si>
    <t>New permits or new information required</t>
  </si>
  <si>
    <t xml:space="preserve">Reviewing agencies delayed or take longer than expected </t>
  </si>
  <si>
    <t>Adequate budget/funding for specialized staff (IE No budget for Archeologist but building on a known historical site)</t>
  </si>
  <si>
    <t xml:space="preserve">Lack of specialized staff (biology, anthropology, archeology, etc.) </t>
  </si>
  <si>
    <t>Status of any other permits required</t>
  </si>
  <si>
    <t>State Historical Preservation Office concerns</t>
  </si>
  <si>
    <t>Restrictions imposed in approved documents/permits? Need for amendments to previously approved documents?</t>
  </si>
  <si>
    <t>Accuracy of current approved documents- is project footprint correct in NEPA documentation? Are there scope items promised/included in completed documents?</t>
  </si>
  <si>
    <t>Team understanding of NEPA and FONSI assumptions and requirements</t>
  </si>
  <si>
    <t xml:space="preserve">Status of critical environmental and regulatory studies National Environmental Policy ACT( NEPA) and the Finding of Non-Significant Impact (FONSI) </t>
  </si>
  <si>
    <t>Established requirements for initial project studies and potential impacts</t>
  </si>
  <si>
    <t>REGULATORY ENVIRONMENTAL RISKS (RG)</t>
  </si>
  <si>
    <t>LD</t>
  </si>
  <si>
    <t>Risk of site footprint growing beyond the planned real estate footprint?</t>
  </si>
  <si>
    <t>Transition plan for signage- Department Of Transportation (DOT), base, city (customer responsibility)</t>
  </si>
  <si>
    <t>Relocations identified and coordinated</t>
  </si>
  <si>
    <t xml:space="preserve">Freeway, railroad agreements and impacts </t>
  </si>
  <si>
    <t>Right-of-way analysis in question, or right of way is required(utilities)</t>
  </si>
  <si>
    <t>Confidence in estimated cost and schedule to acquire/resolve real estate</t>
  </si>
  <si>
    <t>Ancillary owner rights, ownerships in question</t>
  </si>
  <si>
    <t>Real Estate plan defined (status, purchases, agreements, easement acquisition)</t>
  </si>
  <si>
    <t>LANDS AND DAMAGES (LD)</t>
  </si>
  <si>
    <t>COMMISSIONING/CERTIFICATION (CC)</t>
  </si>
  <si>
    <t>Maintenance of fire suppression during construction/turnover</t>
  </si>
  <si>
    <t>Coordination required with Jurisdictional authority and or responders (fire marshal)</t>
  </si>
  <si>
    <t>Identification of designer of record for Fire/Life Safety</t>
  </si>
  <si>
    <t>Mockups- what are really needed?  Adequate time in schedule? Are adequate cost and testing requirements included?- (fire, sound, critical areas)</t>
  </si>
  <si>
    <t>LEED certification Level- “leed equivalent” and problems this presents are understood</t>
  </si>
  <si>
    <t>Need for waivers or any non-standard design issues that could cause delay</t>
  </si>
  <si>
    <t>Independent External Peer Review (IEPR) Coordination, Cost, and timing considerations</t>
  </si>
  <si>
    <t>Required coordination with industry by law (Navigation/Ports and Harbors)</t>
  </si>
  <si>
    <t xml:space="preserve">Regulatory/Statutory agreements known and understood-Buy American Act, Berry Amendment (domestic specialty metals), "stan" countries agreements on concrete supply- compliance </t>
  </si>
  <si>
    <t>Government Furnished Materials or Equipment</t>
  </si>
  <si>
    <t>Existing contracts that may require coordination (Utility plant adjustments)</t>
  </si>
  <si>
    <t>Sole source type items identified</t>
  </si>
  <si>
    <t>Special requirements of preferred providers- electrical water utilities etc.  (KAHRAMMA in Qatar or other base requirements)</t>
  </si>
  <si>
    <t xml:space="preserve">Host Nation vs USA or International Codes and requirements  </t>
  </si>
  <si>
    <t>ATFP Standoffs and Coordination</t>
  </si>
  <si>
    <t>Security requirements for the facility</t>
  </si>
  <si>
    <t>Need for design exceptions or waivers</t>
  </si>
  <si>
    <t>Inaccurate or risky design assumptions on technical issues</t>
  </si>
  <si>
    <t>Mission critical facility requirements (water, power, sewage, garbage, food)</t>
  </si>
  <si>
    <t>Design confidence by external review and others (timing, quality)</t>
  </si>
  <si>
    <t>Design use of latest confirmed criteria or changes in criteria are forthcoming. What is regulation/code cycle or update schedule?</t>
  </si>
  <si>
    <t>Quality/Skills/Size of design team (in over their heads? Too small? Responsiveness?  (8a on a mega project)</t>
  </si>
  <si>
    <t>Innovative design, highly complex, first of a kind, or prototypes</t>
  </si>
  <si>
    <t>Ongoing work (contracts) as compared to future work (contracts)</t>
  </si>
  <si>
    <t>Validation of programming data (is there sufficient funding, was all scope considered at programming?)</t>
  </si>
  <si>
    <t>Overall design development stage, incomplete or preliminary</t>
  </si>
  <si>
    <t>GENERAL TECHNICAL RISKS (TR)</t>
  </si>
  <si>
    <t xml:space="preserve"> Acquisition size and various source selection requirements/approvals</t>
  </si>
  <si>
    <t xml:space="preserve"> Bid schedule- Betterments vs Options- maximum value for customer considerations</t>
  </si>
  <si>
    <t xml:space="preserve"> Design-Build, vs Design-Bid-Build, vs ECI and possible effects on project</t>
  </si>
  <si>
    <t xml:space="preserve"> Joint Venture Contractor bidding </t>
  </si>
  <si>
    <t xml:space="preserve"> Market conditions and anticipated bidding climate</t>
  </si>
  <si>
    <t xml:space="preserve"> Acquisition strategy results in greater scope risk (Design Build, performance specs, best-value, ECI, cost-plus, contractor bonding…)</t>
  </si>
  <si>
    <t xml:space="preserve"> Acquisition strategy or mega-project size decreasing competition </t>
  </si>
  <si>
    <t xml:space="preserve"> Numerous separate contracts vice one large contract (Consolidation)</t>
  </si>
  <si>
    <t xml:space="preserve"> Acquisition planning to accommodate funding stream or anticipated strategy</t>
  </si>
  <si>
    <t xml:space="preserve"> Requirements for SDB and 8(a) contracts and subcontracts both USACE and bidders</t>
  </si>
  <si>
    <t xml:space="preserve"> Expiration of contracts required (Design, MATOC, SATOC, etc.)</t>
  </si>
  <si>
    <t xml:space="preserve"> Adequate Contract Capacity Available </t>
  </si>
  <si>
    <t xml:space="preserve"> Cost Thresholds for Principle Assistant Responsible for Contracting (PARC) Coordination/Approvals and Consolidation</t>
  </si>
  <si>
    <t xml:space="preserve"> Resource Availability of Source Selection/Evaluation Process</t>
  </si>
  <si>
    <t xml:space="preserve"> Changing Acquisition Strategy</t>
  </si>
  <si>
    <t xml:space="preserve"> Undefined acquisition strategy</t>
  </si>
  <si>
    <t xml:space="preserve"> Lack of acquisition planning support/involvement</t>
  </si>
  <si>
    <t xml:space="preserve"> Other </t>
  </si>
  <si>
    <t xml:space="preserve"> Project transfer between Gov’t agencies</t>
  </si>
  <si>
    <t xml:space="preserve"> Specialized training requirements</t>
  </si>
  <si>
    <t xml:space="preserve"> Commissioning and or special turnover requirements</t>
  </si>
  <si>
    <t xml:space="preserve"> Special Software Needs</t>
  </si>
  <si>
    <t xml:space="preserve"> Other funding sources- gift, other agency funds (ATFP, Hazmat) – how to address reliability/use/tracking etc.</t>
  </si>
  <si>
    <t xml:space="preserve"> Supervision and Administration (S&amp;A) rate varies from the standard rates</t>
  </si>
  <si>
    <t xml:space="preserve"> Megaproject controls- Team and staffing levels and cost to support</t>
  </si>
  <si>
    <t xml:space="preserve"> Priorities change on existing program</t>
  </si>
  <si>
    <t xml:space="preserve"> Multiple agencies coordination/regulator issues </t>
  </si>
  <si>
    <t xml:space="preserve"> Unexpected/Unknown requirements causing delays in obtaining approvals, decisions</t>
  </si>
  <si>
    <t xml:space="preserve"> Architect, Engineer, Consultant or Contractor delays </t>
  </si>
  <si>
    <t xml:space="preserve"> Timely response to critical decisions by PM and/or management</t>
  </si>
  <si>
    <t>b.  Change Control Plan Developed -Design and Construction Phases</t>
  </si>
  <si>
    <t xml:space="preserve">a.  Risk Management Plan current and updated </t>
  </si>
  <si>
    <t xml:space="preserve"> Adequacy of the Project Management Plan</t>
  </si>
  <si>
    <t xml:space="preserve"> Insufficient time to plan, accelerated schedules (design/acquisition/construction) </t>
  </si>
  <si>
    <t xml:space="preserve"> Coordination/communication difficulties with team</t>
  </si>
  <si>
    <t xml:space="preserve"> Functional and Technical labor availability/workload (design and construction)</t>
  </si>
  <si>
    <t xml:space="preserve"> Reprogramming Risk</t>
  </si>
  <si>
    <t xml:space="preserve"> Project competing with other projects, funding and resources</t>
  </si>
  <si>
    <t xml:space="preserve"> Funding profile for proposed schedule of events: design, acquisition, construction</t>
  </si>
  <si>
    <t xml:space="preserve"> Product development by several sources or entities (virtual or remote efforts)</t>
  </si>
  <si>
    <t xml:space="preserve"> Control over sufficient staff sizing and project priorities</t>
  </si>
  <si>
    <t xml:space="preserve"> Unanticipated project manager workload </t>
  </si>
  <si>
    <t xml:space="preserve"> Skilled staff able and prepared to manage to cost and schedule: earned value of design/construction</t>
  </si>
  <si>
    <t xml:space="preserve"> Sufficient project management staff over design, acquisition and construction</t>
  </si>
  <si>
    <t xml:space="preserve"> Design to Cost or Cost to Design</t>
  </si>
  <si>
    <t xml:space="preserve"> Project budget inadequate for scope required</t>
  </si>
  <si>
    <t xml:space="preserve"> Project scope definition is unclear or incomplete</t>
  </si>
  <si>
    <t xml:space="preserve"> Project purpose and objectives are insufficiently defined </t>
  </si>
  <si>
    <t>Risk Checklist (Civil Works)</t>
  </si>
  <si>
    <t>Project Scope:</t>
  </si>
  <si>
    <t>Date:</t>
  </si>
  <si>
    <t>Document Type:</t>
  </si>
  <si>
    <t>DD1391</t>
  </si>
  <si>
    <t>Project Location:</t>
  </si>
  <si>
    <t>Project:</t>
  </si>
  <si>
    <t>TBD</t>
  </si>
  <si>
    <t>District:</t>
  </si>
  <si>
    <t>Project Details</t>
  </si>
  <si>
    <t>Report Title:</t>
  </si>
  <si>
    <t>KEEP</t>
  </si>
  <si>
    <t>RANGE</t>
  </si>
  <si>
    <t>N/A</t>
  </si>
  <si>
    <t>PROGRAMMED AMOUNT ( IF KNOWN)</t>
  </si>
  <si>
    <t>Total Construction Management</t>
  </si>
  <si>
    <t>Total Planning, Engineering &amp; Design</t>
  </si>
  <si>
    <t>*</t>
  </si>
  <si>
    <t>Total Construction Estimate</t>
  </si>
  <si>
    <t>Real Estate</t>
  </si>
  <si>
    <t>FIXED DOLLAR RISK ADD (EQUALLY DISPERSED TO ALL, MUST INCLUDE JUSTIFICATION SEE BELOW)</t>
  </si>
  <si>
    <t>XX</t>
  </si>
  <si>
    <t>S&amp;A</t>
  </si>
  <si>
    <t>DDC Costs</t>
  </si>
  <si>
    <t>Miscellaneous</t>
  </si>
  <si>
    <t>G Sitework</t>
  </si>
  <si>
    <t>F Special Construction and Demolition</t>
  </si>
  <si>
    <t xml:space="preserve"> </t>
  </si>
  <si>
    <t>E Equipment and Furnishings</t>
  </si>
  <si>
    <t>D Services</t>
  </si>
  <si>
    <t>C Interiors</t>
  </si>
  <si>
    <t>B Shell</t>
  </si>
  <si>
    <t>A Substructure</t>
  </si>
  <si>
    <t>Base Cost</t>
  </si>
  <si>
    <t>Feature of Work</t>
  </si>
  <si>
    <t>Schedule Duration:</t>
  </si>
  <si>
    <t>Meeting Date:</t>
  </si>
  <si>
    <t>TOTALS</t>
  </si>
  <si>
    <t>TOTAL</t>
  </si>
  <si>
    <t>Base Schedule</t>
  </si>
  <si>
    <t>Base Estimate</t>
  </si>
  <si>
    <t>Base Estimate Summary</t>
  </si>
  <si>
    <t>Follow-Up Discussions (Individual or Group Discussions)</t>
  </si>
  <si>
    <t>Role / Discipline</t>
  </si>
  <si>
    <t>Office</t>
  </si>
  <si>
    <t>Name</t>
  </si>
  <si>
    <t>Attendance</t>
  </si>
  <si>
    <t>through</t>
  </si>
  <si>
    <t>Technical Lead</t>
  </si>
  <si>
    <t>Risk Register Meeting</t>
  </si>
  <si>
    <t>Risk Facilitator</t>
  </si>
  <si>
    <t>CSRA Risk Register Meeting Attendance</t>
  </si>
  <si>
    <t>∞</t>
  </si>
  <si>
    <t>High Range</t>
  </si>
  <si>
    <t>Low Range</t>
  </si>
  <si>
    <t>Schedule Impacts</t>
  </si>
  <si>
    <t>Cost Impacts</t>
  </si>
  <si>
    <t>High Impact</t>
  </si>
  <si>
    <t>Low Impact</t>
  </si>
  <si>
    <t>Impact</t>
  </si>
  <si>
    <t>If event
occurrence is…</t>
  </si>
  <si>
    <t>Unlikely</t>
  </si>
  <si>
    <t>Possible</t>
  </si>
  <si>
    <t>Likely</t>
  </si>
  <si>
    <t>Very Likely</t>
  </si>
  <si>
    <t>Certain</t>
  </si>
  <si>
    <t>This sheet defines what the impacts are based on their cost. This is crucial to define what truly negligible, marginal, moderate, etc. are. Fill this out before the meeting so that you can show what the ranges to be concerned are.</t>
  </si>
  <si>
    <t>Percent's above are based on 10 events, and are considered approximate, judgment should be used for final grouping dependent on # of occurrences, project size, flexibility and complexity.</t>
  </si>
  <si>
    <t>Likelihood</t>
  </si>
  <si>
    <t>% of Project Cost or Schedule Change</t>
  </si>
  <si>
    <t>Impact or Consequence of Occurrence</t>
  </si>
  <si>
    <t>Medium</t>
  </si>
  <si>
    <t>Low</t>
  </si>
  <si>
    <t>High</t>
  </si>
  <si>
    <t>RELOOK AT BASIS OF ESTIMATE</t>
  </si>
  <si>
    <t>Critical</t>
  </si>
  <si>
    <t>Significant</t>
  </si>
  <si>
    <t>Moderate</t>
  </si>
  <si>
    <t>Marginal</t>
  </si>
  <si>
    <t>Negligible</t>
  </si>
  <si>
    <t>Likelihood of
Occurrence</t>
  </si>
  <si>
    <t>Risk Matrix</t>
  </si>
  <si>
    <t>Needs Rated</t>
  </si>
  <si>
    <t>Low
% Occurrence</t>
  </si>
  <si>
    <t>High
% Occurrence</t>
  </si>
  <si>
    <t>per Cost
Event Exceeds</t>
  </si>
  <si>
    <t>per Schedule
Event Exceeds</t>
  </si>
  <si>
    <t>then it's likelihood is
thought to be between…</t>
  </si>
  <si>
    <t>Definition</t>
  </si>
  <si>
    <t>Likelihood of Occurrence</t>
  </si>
  <si>
    <t>Cost Impact</t>
  </si>
  <si>
    <t>Schedule Impact</t>
  </si>
  <si>
    <t>then it's impact to total project cost is thought to be between…</t>
  </si>
  <si>
    <t>then it's impact to total project schedule is thought to be between…</t>
  </si>
  <si>
    <t>Cost / Schedule Impact Percentages Converted to Cost / Schedule Ranges</t>
  </si>
  <si>
    <t>Round up to nearest…</t>
  </si>
  <si>
    <t>Select From List</t>
  </si>
  <si>
    <t>Project Cost</t>
  </si>
  <si>
    <t>Cost Engineering</t>
  </si>
  <si>
    <t>N/A -Not Modeled</t>
  </si>
  <si>
    <t>14 - Estimate and Schedule Risks (ES)</t>
  </si>
  <si>
    <t>7 - General Technical Risk (TR)</t>
  </si>
  <si>
    <t>Project Cost &amp; Schedule</t>
  </si>
  <si>
    <t>Customer</t>
  </si>
  <si>
    <t>2 - Scope and Objectives (SC)</t>
  </si>
  <si>
    <t>Construction</t>
  </si>
  <si>
    <t>Uniform</t>
  </si>
  <si>
    <t>13 - Construction (CO)</t>
  </si>
  <si>
    <t>4 - External Risks (EX)</t>
  </si>
  <si>
    <t>Civil/Site Design</t>
  </si>
  <si>
    <t>Project Management</t>
  </si>
  <si>
    <t>1 - Project &amp; Program Management (PM)</t>
  </si>
  <si>
    <t>Environmental Compliance</t>
  </si>
  <si>
    <t>33 - Regulatory And Environmental (ENV)</t>
  </si>
  <si>
    <t>Architectural</t>
  </si>
  <si>
    <t>11 - Architectural and Interior (AI)</t>
  </si>
  <si>
    <t>12 - Civil/Site Design (CV)</t>
  </si>
  <si>
    <t>19 - Structural (SD)</t>
  </si>
  <si>
    <t>21 - Environmental &amp; Cultural/Historical Resources (EC)</t>
  </si>
  <si>
    <t>Hydrology/Hydraulic Design</t>
  </si>
  <si>
    <t>Structural Design</t>
  </si>
  <si>
    <t>Geotechnical Design</t>
  </si>
  <si>
    <t>Mechanical Design</t>
  </si>
  <si>
    <t>16 - Mechanical (ME)</t>
  </si>
  <si>
    <t>15 - Electrical (EE)</t>
  </si>
  <si>
    <t>Electrical Design</t>
  </si>
  <si>
    <t>5 - Contract Acquisition Risks (CA)</t>
  </si>
  <si>
    <t>Schedule HV</t>
  </si>
  <si>
    <t>Schedule LV</t>
  </si>
  <si>
    <t>Cost HV</t>
  </si>
  <si>
    <t>Cost LV</t>
  </si>
  <si>
    <t>Risk Item Name for Chart</t>
  </si>
  <si>
    <t>Risk Item for Lookup</t>
  </si>
  <si>
    <t>ROM Schedule Risk @ 90%</t>
  </si>
  <si>
    <t>ROM Schedule Risk @ 80%</t>
  </si>
  <si>
    <t>ROM Schedule Risk @ 50%</t>
  </si>
  <si>
    <t>ROM Cost Risk @ 90%</t>
  </si>
  <si>
    <t>ROM Cost Risk @ 80%</t>
  </si>
  <si>
    <t>ROM Cost Risk @ 50%</t>
  </si>
  <si>
    <t>ROM Schedule of Risk Item @ 90% CL</t>
  </si>
  <si>
    <t>ROM Schedule of Risk Item @ 80% CL</t>
  </si>
  <si>
    <t>ROM Schedule of Risk Item @ 50% CL</t>
  </si>
  <si>
    <t>Schedule Impact ROM @ 90% w/o Risk Item</t>
  </si>
  <si>
    <t>Schedule Impact ROM @ 80% w/o Risk Item</t>
  </si>
  <si>
    <t>Schedule Impact ROM @ 50% w/o Risk Item</t>
  </si>
  <si>
    <t>Schedule Forecast w/o Risk Item</t>
  </si>
  <si>
    <t>ROM Cost of Risk Item @ 90% CL</t>
  </si>
  <si>
    <t>ROM Cost of Risk Item @ 80% CL</t>
  </si>
  <si>
    <t>ROM Cost of Risk Item @ 50% CL</t>
  </si>
  <si>
    <t>Cost Impact ROM @ 90% w/o Risk Item</t>
  </si>
  <si>
    <t>Cost Impact ROM @ 80% w/o Risk Item</t>
  </si>
  <si>
    <t>Cost Impact ROM @ 50% w/o Risk Item</t>
  </si>
  <si>
    <t>Cost Forecast w/o Risk Item</t>
  </si>
  <si>
    <t>Check Schedule Impact</t>
  </si>
  <si>
    <t>Check Cost Impact</t>
  </si>
  <si>
    <t>Schedule Impact Range (±)</t>
  </si>
  <si>
    <t>Construction Contract Duration</t>
  </si>
  <si>
    <t>Suggested Risk Reduction Measures
(Avoid, Escalate, Exploit, Transfer/Share, Mitigate/Enhance, or Accept)</t>
  </si>
  <si>
    <t>Risk Quantification Discussions</t>
  </si>
  <si>
    <t>Schedule Risk</t>
  </si>
  <si>
    <t>Cost Risk</t>
  </si>
  <si>
    <t>Event Prob (PCS)</t>
  </si>
  <si>
    <t>Likely (S)</t>
  </si>
  <si>
    <t>Likely (C)</t>
  </si>
  <si>
    <t>Affected Project Component</t>
  </si>
  <si>
    <t>Responsibility/ POC</t>
  </si>
  <si>
    <t>Correlation to Other(s)</t>
  </si>
  <si>
    <t>Schedule Variance Distribution</t>
  </si>
  <si>
    <t>Cost Variance Distribution</t>
  </si>
  <si>
    <t>Risk Level (S)</t>
  </si>
  <si>
    <t>Impact (S)</t>
  </si>
  <si>
    <t>Risk Level (C)</t>
  </si>
  <si>
    <t>Impact (C)</t>
  </si>
  <si>
    <t>Risk Event Description</t>
  </si>
  <si>
    <t>Risk Type</t>
  </si>
  <si>
    <t>REF</t>
  </si>
  <si>
    <t>Other Information</t>
  </si>
  <si>
    <t>Project Schedule</t>
  </si>
  <si>
    <t>Risk Rating</t>
  </si>
  <si>
    <t>Cost &amp; Schedule Impacts</t>
  </si>
  <si>
    <t>Probability of Occurrence</t>
  </si>
  <si>
    <t>Information</t>
  </si>
  <si>
    <r>
      <t>Cost Impact Range (</t>
    </r>
    <r>
      <rPr>
        <b/>
        <sz val="11"/>
        <rFont val="Calibri"/>
        <family val="2"/>
        <scheme val="minor"/>
      </rPr>
      <t>±)</t>
    </r>
  </si>
  <si>
    <t>Risk Register</t>
  </si>
  <si>
    <t>Low Variance (C)</t>
  </si>
  <si>
    <t>High Variance  (C)</t>
  </si>
  <si>
    <t>Low Variance (S)</t>
  </si>
  <si>
    <t>High Variance (S)</t>
  </si>
  <si>
    <t>Low Variance (CS)</t>
  </si>
  <si>
    <t>Likely (CS)</t>
  </si>
  <si>
    <t>High Variance (CS)</t>
  </si>
  <si>
    <t>Low Variance (TC)</t>
  </si>
  <si>
    <t>Likely (TC)</t>
  </si>
  <si>
    <t>High Variance (TC)</t>
  </si>
  <si>
    <t>TWO STEP (Cost &amp; Schedule)</t>
  </si>
  <si>
    <t>6.  Variance Distribution refers to the behavior of the individual risk item with respect to its potential effects on Project Cost and Schedule.  For example, an item with clearly defined parameters and a solid most likely scenario would probably follow a triangular or normal distribution.  A risk item for which the PDT has little data or probability of modeling with respect to effects on cost or schedule (i.e. "anyone's guess") would probably follow a uniform or discrete uniform distribution.</t>
  </si>
  <si>
    <t>* Likelihood, Impact, and Risk Level to be verified through market research &amp; analysis (conducted by cost engineer).</t>
  </si>
  <si>
    <t>Risk Register Legend</t>
  </si>
  <si>
    <t>Contingency %</t>
  </si>
  <si>
    <t>Baseline w/ Contingency</t>
  </si>
  <si>
    <t>Contingency Value</t>
  </si>
  <si>
    <t>Model Output</t>
  </si>
  <si>
    <t>Baseline Duration</t>
  </si>
  <si>
    <t>Percentile</t>
  </si>
  <si>
    <t>PROJECT CONTINGENCY
(BASELINE SCHEDULE)</t>
  </si>
  <si>
    <t>Contingency Summary Table - Schedule</t>
  </si>
  <si>
    <t xml:space="preserve"> Contingency Value</t>
  </si>
  <si>
    <t>Baseline TPC</t>
  </si>
  <si>
    <t>PROJECT CONTINGENCY
(BASELINE ESTIMATE)</t>
  </si>
  <si>
    <t>Contingency Summary Table - Cost</t>
  </si>
  <si>
    <t>Contingency</t>
  </si>
  <si>
    <t>Confidence Level</t>
  </si>
  <si>
    <t>Program Amount</t>
  </si>
  <si>
    <t>Contingency on Base Schedule</t>
  </si>
  <si>
    <t>Risk Distributions</t>
  </si>
  <si>
    <t>Contingency on Base Estimate</t>
  </si>
  <si>
    <t>Confidence
Level</t>
  </si>
  <si>
    <t>Contingency
Value</t>
  </si>
  <si>
    <t xml:space="preserve"> - PROJECT COST CONTINGENCY DEVELOPMENT -</t>
  </si>
  <si>
    <t>- PROJECT SCHEDULE CONTINGENCY (DURATION) DEVELOPMENT -</t>
  </si>
  <si>
    <t>Cost Contingency Analysis</t>
  </si>
  <si>
    <t>Schedule Contingency Analysis</t>
  </si>
  <si>
    <t>- Top Schedule Risk Drivers &amp; Ranges -</t>
  </si>
  <si>
    <t>- Top Cost Risk Drivers &amp; Ranges -</t>
  </si>
  <si>
    <t>Top Schedule Risks</t>
  </si>
  <si>
    <t>Schedule Look Up Formulas from 'H-Risk Register-Model' for Charts</t>
  </si>
  <si>
    <t>- Top Schedule Risk Drivers by Confidence Levels -</t>
  </si>
  <si>
    <t>Top Cost Risks</t>
  </si>
  <si>
    <t>Rank</t>
  </si>
  <si>
    <t>Cost Look Up Formulas from 'H-Risk Register-Model' for Charts</t>
  </si>
  <si>
    <t>- Top Cost Risk Drivers by Confidence Levels -</t>
  </si>
  <si>
    <t>Schedule</t>
  </si>
  <si>
    <t>Cost</t>
  </si>
  <si>
    <t>Risk Level</t>
  </si>
  <si>
    <t>TOP SCHEDULE RISKS</t>
  </si>
  <si>
    <t>TOP COST RISKS</t>
  </si>
  <si>
    <t>Location:</t>
  </si>
  <si>
    <t>Estimate Contingency</t>
  </si>
  <si>
    <t>Base Schedule Start Date</t>
  </si>
  <si>
    <t>Base Schedule Finish Date</t>
  </si>
  <si>
    <t>Base Schedule Duration</t>
  </si>
  <si>
    <t>Schedule Contingency Duration</t>
  </si>
  <si>
    <t>Make any charts for the report that are not already included so that you can update them later.</t>
  </si>
  <si>
    <t>Other Costs Not subject to S&amp;A</t>
  </si>
  <si>
    <t>E&amp;F Equipment- Paid from Project Funds</t>
  </si>
  <si>
    <t>MIPRS- Paid from Project Funds</t>
  </si>
  <si>
    <t>G90 Miscellaneous Site Construction</t>
  </si>
  <si>
    <t>G50 Site Communications</t>
  </si>
  <si>
    <t>G40 Electrical Site Improvements</t>
  </si>
  <si>
    <t>G30 Liquid and Gas Site Utilities</t>
  </si>
  <si>
    <t>G20 Site Improvements</t>
  </si>
  <si>
    <t>G10 Site Preparation</t>
  </si>
  <si>
    <t>F30 Demolition</t>
  </si>
  <si>
    <t>F20 Facility Remediation</t>
  </si>
  <si>
    <t>F10 Special Construction</t>
  </si>
  <si>
    <t>E20 Equipment</t>
  </si>
  <si>
    <t>E10 Equipment</t>
  </si>
  <si>
    <t>D80 Integrated Automation</t>
  </si>
  <si>
    <t>D70 Electronic Safety and Security</t>
  </si>
  <si>
    <t>D60 Communications</t>
  </si>
  <si>
    <t>D50 Electrical</t>
  </si>
  <si>
    <t>D40 Fire Protection</t>
  </si>
  <si>
    <t>D30 Heating, Ventilation, and Air Conditioning (HVAC)</t>
  </si>
  <si>
    <t>D20 Plumbing</t>
  </si>
  <si>
    <t>D10 Conveying</t>
  </si>
  <si>
    <t>C20 Interior Finishes</t>
  </si>
  <si>
    <t>C10 Interior Construction</t>
  </si>
  <si>
    <t>B30 Exterior Horizontal Enclosures</t>
  </si>
  <si>
    <t>B20 Exterior Vertical Enclosures</t>
  </si>
  <si>
    <t>B10 Superstructure</t>
  </si>
  <si>
    <t>A90 Substructure Related Activities</t>
  </si>
  <si>
    <t>A60 Water and Gas Mitigation</t>
  </si>
  <si>
    <t>A40 Slabs On Grade</t>
  </si>
  <si>
    <t>A20 Subgrade Enclosures</t>
  </si>
  <si>
    <t>A10 Foundations</t>
  </si>
  <si>
    <t>MILCON</t>
  </si>
  <si>
    <t>35 - Life Safety (LS)</t>
  </si>
  <si>
    <t>34 - Turnover (TO)</t>
  </si>
  <si>
    <t>32 - Commissioning/Certification (CC)</t>
  </si>
  <si>
    <t>31 - Safety (SA)</t>
  </si>
  <si>
    <t>29 - Equipment List (EQ)</t>
  </si>
  <si>
    <t>28 - Complexity/Financial Risk (CF)</t>
  </si>
  <si>
    <t>27 - Cybersecurity (CS)</t>
  </si>
  <si>
    <t>26 - Utilities (UT)</t>
  </si>
  <si>
    <t>25 - Hazardous Materials (HZ)</t>
  </si>
  <si>
    <t>24 - Fire Protection (FE)</t>
  </si>
  <si>
    <t>23 - Sensitive Compartmented Information Facility (SCIF)</t>
  </si>
  <si>
    <t>Yes-No</t>
  </si>
  <si>
    <t>22 - Host Nation (HN)</t>
  </si>
  <si>
    <t>20 - Facility Planning Data (FP)</t>
  </si>
  <si>
    <t>18 - Hydraulics / Hydrology (HH)</t>
  </si>
  <si>
    <t>TASB</t>
  </si>
  <si>
    <t>Single Event (2 Step)</t>
  </si>
  <si>
    <t>17 - Geotechnical / Geology (GG)</t>
  </si>
  <si>
    <t>Programs</t>
  </si>
  <si>
    <t>Construction Period</t>
  </si>
  <si>
    <t>Planning</t>
  </si>
  <si>
    <t>Solicitation</t>
  </si>
  <si>
    <t>Office of Counsel</t>
  </si>
  <si>
    <t xml:space="preserve">Design  </t>
  </si>
  <si>
    <t>DD3086</t>
  </si>
  <si>
    <t>10 - Relocations (RL)</t>
  </si>
  <si>
    <t>Local Sponsor</t>
  </si>
  <si>
    <t>9 - Lands and Damages Risk (RE)</t>
  </si>
  <si>
    <t>Design Charrette</t>
  </si>
  <si>
    <t>8 - Site Identification &amp; Approval (SI)</t>
  </si>
  <si>
    <t>PED - 95%</t>
  </si>
  <si>
    <t>PED - 65%</t>
  </si>
  <si>
    <t>6 - Planning-Site (PS)</t>
  </si>
  <si>
    <t>Included within Other Risk/Model Item</t>
  </si>
  <si>
    <t>PED - 35%</t>
  </si>
  <si>
    <t>Discrete Uniform</t>
  </si>
  <si>
    <t>Unrated</t>
  </si>
  <si>
    <t>Report Update</t>
  </si>
  <si>
    <t>Custom</t>
  </si>
  <si>
    <t>3 - Ability to Execute (AB)</t>
  </si>
  <si>
    <t>Contracting</t>
  </si>
  <si>
    <t>Binomial</t>
  </si>
  <si>
    <t>Feasibility (TSP) - For Milestone #2</t>
  </si>
  <si>
    <t>Contract Cost &amp; Schedule</t>
  </si>
  <si>
    <t>BetaPERT</t>
  </si>
  <si>
    <t>Feasibility (Alternatives) - For Milestone #1</t>
  </si>
  <si>
    <t>Contract Schedule</t>
  </si>
  <si>
    <t>Beta</t>
  </si>
  <si>
    <t>Reconnaissance</t>
  </si>
  <si>
    <t>Contract Cost</t>
  </si>
  <si>
    <t>Y</t>
  </si>
  <si>
    <t>PD</t>
  </si>
  <si>
    <t>APC</t>
  </si>
  <si>
    <t>POC</t>
  </si>
  <si>
    <t>Distri</t>
  </si>
  <si>
    <t>LikeH</t>
  </si>
  <si>
    <t>Include</t>
  </si>
  <si>
    <t>Products</t>
  </si>
  <si>
    <t>Responsibility/POC</t>
  </si>
  <si>
    <t>Distributions</t>
  </si>
  <si>
    <t xml:space="preserve">This is the drop down master list for all sheets Do not delete.. If you need something insert it </t>
  </si>
  <si>
    <t>01 - LANDS AND DAMAGES</t>
  </si>
  <si>
    <t>02 - RELOCATIONS</t>
  </si>
  <si>
    <t>03 - RESERVOIRS</t>
  </si>
  <si>
    <t>04 - DAMS</t>
  </si>
  <si>
    <t>05 - LOCKS</t>
  </si>
  <si>
    <t>06 - FISH AND WILDLIFE FACILITIES</t>
  </si>
  <si>
    <t>07 - POWER PLANT</t>
  </si>
  <si>
    <t>08 - ROADS, RAILROADS, AND BRIDGES</t>
  </si>
  <si>
    <t>10 - BREAKWATERS AND SEAWALLS</t>
  </si>
  <si>
    <t>09 - CHANNELS AND CANALS</t>
  </si>
  <si>
    <t>11 - LEVEES AND FLOODWALLS</t>
  </si>
  <si>
    <t>12 - NAVIGATION, PORTS AND HARBORS</t>
  </si>
  <si>
    <t>13 - PUMPING PLANT</t>
  </si>
  <si>
    <t>14 - RECREATION FACILITIES</t>
  </si>
  <si>
    <t>15 - FLOODWAY CONTROL AND DIVERSION STRUCTURES</t>
  </si>
  <si>
    <t>16 - BANK STABILIZATION</t>
  </si>
  <si>
    <t>17 - BEACH REPLENISHMENT</t>
  </si>
  <si>
    <t>18 - CULTURAL RESOURCE PRESERVATION</t>
  </si>
  <si>
    <t>19 - BUILDINGS, GROUNDS, AND UTILITIES</t>
  </si>
  <si>
    <t>20 - PERMANENT OPERATING EQUIPMENT</t>
  </si>
  <si>
    <t>30 - PLANNING, ENGINEERING, AND DESIGN</t>
  </si>
  <si>
    <t>31 - CONSTRUCTION MANAGEMENT</t>
  </si>
  <si>
    <t>32 - HAZARDOUS AND TOXIC WASTE</t>
  </si>
  <si>
    <t>Top Cost Risks:  Copy/Paste for Report</t>
  </si>
  <si>
    <t>Top Schedule Risks:  Copy/Paste for Report</t>
  </si>
  <si>
    <t>Cost from Schedule Impacts</t>
  </si>
  <si>
    <t>Event Risk Info</t>
  </si>
  <si>
    <t>Cost Risk Modeling</t>
  </si>
  <si>
    <t>Schedule Risk Modeling</t>
  </si>
  <si>
    <t>Confidence Level:</t>
  </si>
  <si>
    <t>Additional Documentation</t>
  </si>
  <si>
    <t>Evaluation of Cost/Schedule Impacts</t>
  </si>
  <si>
    <t>Modeled?</t>
  </si>
  <si>
    <t>Check Impacts?</t>
  </si>
  <si>
    <t>Cost Forecasts &amp; Confidence Levels without Risk Item</t>
  </si>
  <si>
    <t>Schedule Forecasts &amp; Confidence Levels without Risk Item</t>
  </si>
  <si>
    <t>ROM Cost Impact of Risk Item &amp; Ranking</t>
  </si>
  <si>
    <t>ROM Schedule Impact of Risk Item &amp; Ranking</t>
  </si>
  <si>
    <t>Lookup Information for Automated Charts</t>
  </si>
  <si>
    <t>Worksheet/Cell</t>
  </si>
  <si>
    <t>Cost Range</t>
  </si>
  <si>
    <t>Round Schedule</t>
  </si>
  <si>
    <t>Round Cost</t>
  </si>
  <si>
    <t>Cost Risk Sum</t>
  </si>
  <si>
    <t>Schedule Risk Sum</t>
  </si>
  <si>
    <t>Mitigation</t>
  </si>
  <si>
    <t>Risk Register Report Last Column</t>
  </si>
  <si>
    <t>Risk Register Report First Column</t>
  </si>
  <si>
    <t>Hide Risk Register Column Start</t>
  </si>
  <si>
    <t>Hide Risk Register Column End</t>
  </si>
  <si>
    <t>Top Cost Risks Start</t>
  </si>
  <si>
    <t>Top Cost Risks End</t>
  </si>
  <si>
    <t>Top Schedule Risks Start</t>
  </si>
  <si>
    <t>Top Schedule Risks End</t>
  </si>
  <si>
    <t>Location of Information</t>
  </si>
  <si>
    <t>Programmed Amount Ceiling</t>
  </si>
  <si>
    <t>WBS / Feature of Work</t>
  </si>
  <si>
    <t>Contingencies</t>
  </si>
  <si>
    <t>59 - CONTINGENCIES FROM CSRA MODEL</t>
  </si>
  <si>
    <t>59 - CONTINGENCIES NOT FROM CSRA MODEL</t>
  </si>
  <si>
    <t>Project Development Phase:</t>
  </si>
  <si>
    <t xml:space="preserve"> Cost &amp; Schedule Summary for Risk Register Development</t>
  </si>
  <si>
    <t>Schedule Start:</t>
  </si>
  <si>
    <t>Schedule Finish:</t>
  </si>
  <si>
    <t>Schedule Contingency:</t>
  </si>
  <si>
    <t>Month/Year</t>
  </si>
  <si>
    <t>BEFORE THE CSRA MEETING:</t>
  </si>
  <si>
    <t>FIXED DOLLAR RISK ADD (EQUALLY DISPERSED TO ALL, MUST INCLUDE JUSTIFICATION SEE BELOW)*</t>
  </si>
  <si>
    <t>* Fixed Dollar Risk Add: (Allows for additional risk to be added to the risk analysis.  Must include justification.</t>
  </si>
  <si>
    <t>Included
Within
CSRA Model</t>
  </si>
  <si>
    <t>Not Included
Within
CSRA Model</t>
  </si>
  <si>
    <t>SUMMARY
&amp;
TOTALS</t>
  </si>
  <si>
    <t>Duration:</t>
  </si>
  <si>
    <r>
      <t xml:space="preserve">1.  </t>
    </r>
    <r>
      <rPr>
        <b/>
        <sz val="11"/>
        <rFont val="Calibri"/>
        <family val="2"/>
        <scheme val="minor"/>
      </rPr>
      <t>Risk/Opportunity</t>
    </r>
    <r>
      <rPr>
        <sz val="11"/>
        <rFont val="Calibri"/>
        <family val="2"/>
        <scheme val="minor"/>
      </rPr>
      <t xml:space="preserve"> identified with reference to the Risk Identification Checklist and through deliberation and study of the PDT.</t>
    </r>
  </si>
  <si>
    <r>
      <t xml:space="preserve">2.  </t>
    </r>
    <r>
      <rPr>
        <b/>
        <sz val="11"/>
        <rFont val="Calibri"/>
        <family val="2"/>
        <scheme val="minor"/>
      </rPr>
      <t>Discussions and Concerns</t>
    </r>
    <r>
      <rPr>
        <sz val="11"/>
        <rFont val="Calibri"/>
        <family val="2"/>
        <scheme val="minor"/>
      </rPr>
      <t xml:space="preserve"> elaborates on Risk/Opportunity Events and includes any assumptions or findings (should contain information pertinent to eventual study and analysis of event's impact to project).</t>
    </r>
  </si>
  <si>
    <r>
      <t xml:space="preserve">3.  </t>
    </r>
    <r>
      <rPr>
        <b/>
        <sz val="11"/>
        <rFont val="Calibri"/>
        <family val="2"/>
        <scheme val="minor"/>
      </rPr>
      <t>Likelihood</t>
    </r>
    <r>
      <rPr>
        <sz val="11"/>
        <rFont val="Calibri"/>
        <family val="2"/>
        <scheme val="minor"/>
      </rPr>
      <t xml:space="preserve"> is a measure of the probability of the event occurring -- </t>
    </r>
    <r>
      <rPr>
        <b/>
        <sz val="11"/>
        <rFont val="Calibri"/>
        <family val="2"/>
        <scheme val="minor"/>
      </rPr>
      <t>Unlikely</t>
    </r>
    <r>
      <rPr>
        <sz val="11"/>
        <rFont val="Calibri"/>
        <family val="2"/>
        <scheme val="minor"/>
      </rPr>
      <t xml:space="preserve">, </t>
    </r>
    <r>
      <rPr>
        <b/>
        <sz val="11"/>
        <rFont val="Calibri"/>
        <family val="2"/>
        <scheme val="minor"/>
      </rPr>
      <t>Possible, Likely</t>
    </r>
    <r>
      <rPr>
        <sz val="11"/>
        <rFont val="Calibri"/>
        <family val="2"/>
        <scheme val="minor"/>
      </rPr>
      <t xml:space="preserve">, </t>
    </r>
    <r>
      <rPr>
        <b/>
        <sz val="11"/>
        <rFont val="Calibri"/>
        <family val="2"/>
        <scheme val="minor"/>
      </rPr>
      <t xml:space="preserve">Very Likely, or Certain.  </t>
    </r>
    <r>
      <rPr>
        <sz val="11"/>
        <rFont val="Calibri"/>
        <family val="2"/>
        <scheme val="minor"/>
      </rPr>
      <t>The likelihood of the even generally will be the same for both Cost and Schedule, regardless of impact.</t>
    </r>
  </si>
  <si>
    <r>
      <t xml:space="preserve">4.  </t>
    </r>
    <r>
      <rPr>
        <b/>
        <sz val="11"/>
        <rFont val="Calibri"/>
        <family val="2"/>
        <scheme val="minor"/>
      </rPr>
      <t>Impact</t>
    </r>
    <r>
      <rPr>
        <sz val="11"/>
        <rFont val="Calibri"/>
        <family val="2"/>
        <scheme val="minor"/>
      </rPr>
      <t xml:space="preserve"> is a measure of the event's effect on project objectives with relation to scope, cost, and/or schedule -- </t>
    </r>
    <r>
      <rPr>
        <b/>
        <sz val="11"/>
        <rFont val="Calibri"/>
        <family val="2"/>
        <scheme val="minor"/>
      </rPr>
      <t>Negligible</t>
    </r>
    <r>
      <rPr>
        <sz val="11"/>
        <rFont val="Calibri"/>
        <family val="2"/>
        <scheme val="minor"/>
      </rPr>
      <t>,</t>
    </r>
    <r>
      <rPr>
        <b/>
        <sz val="11"/>
        <rFont val="Calibri"/>
        <family val="2"/>
        <scheme val="minor"/>
      </rPr>
      <t xml:space="preserve"> Marginal, Moderate, Significant</t>
    </r>
    <r>
      <rPr>
        <sz val="11"/>
        <rFont val="Calibri"/>
        <family val="2"/>
        <scheme val="minor"/>
      </rPr>
      <t>,</t>
    </r>
    <r>
      <rPr>
        <b/>
        <sz val="11"/>
        <rFont val="Calibri"/>
        <family val="2"/>
        <scheme val="minor"/>
      </rPr>
      <t xml:space="preserve"> or Critical.  </t>
    </r>
    <r>
      <rPr>
        <sz val="11"/>
        <rFont val="Calibri"/>
        <family val="2"/>
        <scheme val="minor"/>
      </rPr>
      <t>Impacts on Project Cost may vary in severity from impacts on Project Schedule.</t>
    </r>
  </si>
  <si>
    <r>
      <t xml:space="preserve">5.  </t>
    </r>
    <r>
      <rPr>
        <b/>
        <sz val="11"/>
        <rFont val="Calibri"/>
        <family val="2"/>
        <scheme val="minor"/>
      </rPr>
      <t>Risk Level</t>
    </r>
    <r>
      <rPr>
        <sz val="11"/>
        <rFont val="Calibri"/>
        <family val="2"/>
        <scheme val="minor"/>
      </rPr>
      <t xml:space="preserve"> is the resultant of Likelihood and Impact </t>
    </r>
    <r>
      <rPr>
        <b/>
        <sz val="11"/>
        <rFont val="Calibri"/>
        <family val="2"/>
        <scheme val="minor"/>
      </rPr>
      <t>Low</t>
    </r>
    <r>
      <rPr>
        <sz val="11"/>
        <rFont val="Calibri"/>
        <family val="2"/>
        <scheme val="minor"/>
      </rPr>
      <t xml:space="preserve">, </t>
    </r>
    <r>
      <rPr>
        <b/>
        <sz val="11"/>
        <rFont val="Calibri"/>
        <family val="2"/>
        <scheme val="minor"/>
      </rPr>
      <t>Medium</t>
    </r>
    <r>
      <rPr>
        <sz val="11"/>
        <rFont val="Calibri"/>
        <family val="2"/>
        <scheme val="minor"/>
      </rPr>
      <t xml:space="preserve">, or </t>
    </r>
    <r>
      <rPr>
        <b/>
        <sz val="11"/>
        <rFont val="Calibri"/>
        <family val="2"/>
        <scheme val="minor"/>
      </rPr>
      <t>High</t>
    </r>
    <r>
      <rPr>
        <sz val="11"/>
        <rFont val="Calibri"/>
        <family val="2"/>
        <scheme val="minor"/>
      </rPr>
      <t>. Refer to the matrix located at top of page.</t>
    </r>
  </si>
  <si>
    <r>
      <t xml:space="preserve">7.  </t>
    </r>
    <r>
      <rPr>
        <b/>
        <sz val="11"/>
        <rFont val="Calibri"/>
        <family val="2"/>
        <scheme val="minor"/>
      </rPr>
      <t>Responsibility or POC</t>
    </r>
    <r>
      <rPr>
        <sz val="11"/>
        <rFont val="Calibri"/>
        <family val="2"/>
        <scheme val="minor"/>
      </rPr>
      <t xml:space="preserve"> is the entity responsible as the Subject Matter Expert (SME) for action, monitoring, or information on the PDT for the identified risk or opportunity.</t>
    </r>
  </si>
  <si>
    <r>
      <t xml:space="preserve">8.  </t>
    </r>
    <r>
      <rPr>
        <b/>
        <sz val="11"/>
        <rFont val="Calibri"/>
        <family val="2"/>
        <scheme val="minor"/>
      </rPr>
      <t>Correlation</t>
    </r>
    <r>
      <rPr>
        <sz val="11"/>
        <rFont val="Calibri"/>
        <family val="2"/>
        <scheme val="minor"/>
      </rPr>
      <t xml:space="preserve"> recognizes those risk events that may be related to one another.  Care should be given to ensure the risks are handled correctly without a "double counting."</t>
    </r>
  </si>
  <si>
    <r>
      <t xml:space="preserve">9.  </t>
    </r>
    <r>
      <rPr>
        <b/>
        <sz val="11"/>
        <rFont val="Calibri"/>
        <family val="2"/>
        <scheme val="minor"/>
      </rPr>
      <t>Affected Project Component</t>
    </r>
    <r>
      <rPr>
        <sz val="11"/>
        <rFont val="Calibri"/>
        <family val="2"/>
        <scheme val="minor"/>
      </rPr>
      <t xml:space="preserve"> identifies the specific item of the project to which the risk directly or strongly correlates.</t>
    </r>
  </si>
  <si>
    <r>
      <t xml:space="preserve">10.  </t>
    </r>
    <r>
      <rPr>
        <b/>
        <sz val="11"/>
        <rFont val="Calibri"/>
        <family val="2"/>
        <scheme val="minor"/>
      </rPr>
      <t>Project Implications</t>
    </r>
    <r>
      <rPr>
        <sz val="11"/>
        <rFont val="Calibri"/>
        <family val="2"/>
        <scheme val="minor"/>
      </rPr>
      <t xml:space="preserve"> identifies whether or not the risk item affects project cost, project schedule, or both.  The PDT is responsible for conducting studies for both Project Cost and for Project Schedule.</t>
    </r>
  </si>
  <si>
    <r>
      <t xml:space="preserve">11.  </t>
    </r>
    <r>
      <rPr>
        <b/>
        <sz val="11"/>
        <rFont val="Calibri"/>
        <family val="2"/>
        <scheme val="minor"/>
      </rPr>
      <t>Results</t>
    </r>
    <r>
      <rPr>
        <sz val="11"/>
        <rFont val="Calibri"/>
        <family val="2"/>
        <scheme val="minor"/>
      </rPr>
      <t xml:space="preserve"> of the risk identification process are studied and further developed by the Cost Engineer, then analyzed through the Monte Carlo Analysis Method for Cost (Contingency) and Schedule (Escalation) Growth.</t>
    </r>
  </si>
  <si>
    <t>RISK REGISTER RISK LEVEL</t>
  </si>
  <si>
    <t xml:space="preserve">Risk No. </t>
  </si>
  <si>
    <t>Low Variance</t>
  </si>
  <si>
    <t>High Variance</t>
  </si>
  <si>
    <t>Check with Project Contingency Total</t>
  </si>
  <si>
    <t>Sum of Contingency in Table to the Left</t>
  </si>
  <si>
    <t>of Total Risk</t>
  </si>
  <si>
    <t>% of Total Contingency</t>
  </si>
  <si>
    <t>Feasibility (CWRB) - For Milestone #4</t>
  </si>
  <si>
    <t>Current Working Estimate</t>
  </si>
  <si>
    <t>CSRA FOR THE FY22 CURRENT WORKING ESTIMATE</t>
  </si>
  <si>
    <t>ESTIMATE AMOUNT</t>
  </si>
  <si>
    <t>UNIT PRICE</t>
  </si>
  <si>
    <t>UNIT</t>
  </si>
  <si>
    <t>QUANTITY</t>
  </si>
  <si>
    <t>DESCRIPTION</t>
  </si>
  <si>
    <t>CLIN</t>
  </si>
  <si>
    <t>TON</t>
  </si>
  <si>
    <t>SY</t>
  </si>
  <si>
    <t>JOB</t>
  </si>
  <si>
    <t>EA</t>
  </si>
  <si>
    <t>CY</t>
  </si>
  <si>
    <t>Remaining Construction</t>
  </si>
  <si>
    <t>LS</t>
  </si>
  <si>
    <t>Modifications to Date</t>
  </si>
  <si>
    <t>Options</t>
  </si>
  <si>
    <t>Base</t>
  </si>
  <si>
    <t>Awarded</t>
  </si>
  <si>
    <t>0002A</t>
  </si>
  <si>
    <t>0002B</t>
  </si>
  <si>
    <t>0003D</t>
  </si>
  <si>
    <t>0015C</t>
  </si>
  <si>
    <t>0021E</t>
  </si>
  <si>
    <t>Mobilization and Demobilization - USACE Estimate</t>
  </si>
  <si>
    <t>Surveys - Pre-Dredging Hazard Survey</t>
  </si>
  <si>
    <t>Debris Removal from Channel - Up to 20 Tons Total</t>
  </si>
  <si>
    <t>Dredging - Channel Deepening (Maintenance) - Sta. 132+67 to 185+23</t>
  </si>
  <si>
    <t>Dredging - Channel Deepening (New Work) - Sta. 132+67 to 185+23</t>
  </si>
  <si>
    <t>Debris Removal from Bend Easing Sta. 147+73 to 159+83</t>
  </si>
  <si>
    <t>Dredging - Bend Easing (Maintenance) Sta. 147+73 to 159+83</t>
  </si>
  <si>
    <t>Dredging - Bend Easing Deepening (New Work) Sta. 147+73 to 159+83</t>
  </si>
  <si>
    <t>Shoreline Protection - Rip Rap</t>
  </si>
  <si>
    <t>Shoreline Protection - Geotextile Fabric</t>
  </si>
  <si>
    <t>Shoreline Protection - Ancillary Work</t>
  </si>
  <si>
    <t>ODMDS Monitor Surveys</t>
  </si>
  <si>
    <t>As-Built and Record Drawings</t>
  </si>
  <si>
    <t>Debris Removal from Channel Sta. 62+00 to 132+67</t>
  </si>
  <si>
    <t>Dredging - Channel Deepening (Maintenance) Sta. 62+00 to 132+67</t>
  </si>
  <si>
    <t>Dredging - Channel Deepening (New Work) Sta. 62+00 to 132+67</t>
  </si>
  <si>
    <t>Debris Removal from Channel Sta. -180+00 to 62+00</t>
  </si>
  <si>
    <t>Dredging - Channel Deepening (Maintenance) Sta. -180+00 to 62+00</t>
  </si>
  <si>
    <t>Dredging - Channel Deepening (New Work) Sta. -180+00 to 62+00</t>
  </si>
  <si>
    <t>Mobilization and Demobilization</t>
  </si>
  <si>
    <t>Debris Removal from Channel Sta. -340+00 to -180+00</t>
  </si>
  <si>
    <t>Dredging - Channel Deepening (Maintenance) Sta. -340+00 to -180+00</t>
  </si>
  <si>
    <t>Dredging - Channel Deepening (New Work) Sta. -340+00 to -180+00</t>
  </si>
  <si>
    <t>Mobilization and Demobilization Sea Turtle Trawling and Relocation</t>
  </si>
  <si>
    <t>Turtle Deflector Device and Endangered Species Observers</t>
  </si>
  <si>
    <t>Sea Turtle Trawling and Relocation</t>
  </si>
  <si>
    <t>Debris Removal from Channel Sta. -218+00 to 256+25</t>
  </si>
  <si>
    <t>Dredging - Channel Deepening (New Work) Sta. -218+00 to 256+25</t>
  </si>
  <si>
    <t>DAY</t>
  </si>
  <si>
    <t>Schedule No. 1 (Reach 2 Improvements)</t>
  </si>
  <si>
    <t>Option No. 1 (Reach 1A Channel Deepening)</t>
  </si>
  <si>
    <t>Option No. 2 (Reach 1B Channel Deepening)</t>
  </si>
  <si>
    <t>Option No. 3 (Reach 1C Channel Deepening)</t>
  </si>
  <si>
    <t>Option No. 4 (Reach 4 Channel Deepening)</t>
  </si>
  <si>
    <t>Option No. 5 (Additional Turtle Trawler)</t>
  </si>
  <si>
    <t>Crystal Ball Data</t>
  </si>
  <si>
    <t>Workbook Variables</t>
  </si>
  <si>
    <t>Last Var Column</t>
  </si>
  <si>
    <t xml:space="preserve">    Name:</t>
  </si>
  <si>
    <t xml:space="preserve">    Value:</t>
  </si>
  <si>
    <t>Worksheet Data</t>
  </si>
  <si>
    <t>Last Data Column Used</t>
  </si>
  <si>
    <t>Sheet Ref</t>
  </si>
  <si>
    <t>Sheet Guid</t>
  </si>
  <si>
    <t>Deleted sheet count</t>
  </si>
  <si>
    <t>Last row used</t>
  </si>
  <si>
    <t>Data blocks</t>
  </si>
  <si>
    <t>1336952e-b211-4694-b667-130aa9294537</t>
  </si>
  <si>
    <t>CB_Block_0</t>
  </si>
  <si>
    <t>Decisioneering:7.0.0.0</t>
  </si>
  <si>
    <t>a27905c2-8638-4000-b9e5-bd1207c9cd33</t>
  </si>
  <si>
    <t>CB_Block_7.0.0.0:1</t>
  </si>
  <si>
    <t>CB_Block_7.0.0.0:2</t>
  </si>
  <si>
    <t>CB_Block_7.0.0.0:4</t>
  </si>
  <si>
    <t>CB_Block_7.0.0.0:3</t>
  </si>
  <si>
    <t>CB_Block_7.0.0.0:5</t>
  </si>
  <si>
    <t>f5dd8486-43d8-4446-8716-9ee9fdff0c22</t>
  </si>
  <si>
    <t>XXX</t>
  </si>
  <si>
    <t>In-Person, Virtual, Partial, Invited</t>
  </si>
  <si>
    <t>CB_Block_7.0.0.0:7</t>
  </si>
  <si>
    <t>CB_Block_7.0.0.0:6</t>
  </si>
  <si>
    <t>CB_Block_7.0.0.0:8</t>
  </si>
  <si>
    <t>Project Name</t>
  </si>
  <si>
    <t>Walla Walla, WA</t>
  </si>
  <si>
    <t>Brief description of project scope.</t>
  </si>
  <si>
    <t>Awarded Contract #1 (Still Under Construction but Nearly Complete)</t>
  </si>
  <si>
    <t>Awarded Contract #2 (Still Under Construction but Nearly Complete)</t>
  </si>
  <si>
    <t>Contract #3 - Scope of Work / Bid Items</t>
  </si>
  <si>
    <t>Fixed Dollar Risk Add</t>
  </si>
  <si>
    <t>Duration with Contingency</t>
  </si>
  <si>
    <t>Base Estimate by CL for Chart</t>
  </si>
  <si>
    <t>Base Schedule by CL for Chart</t>
  </si>
  <si>
    <t>Cost with
Contingency</t>
  </si>
  <si>
    <t>• Added change control log</t>
  </si>
  <si>
    <t>• Corrected note "C" on 'A-Quick instructions" worksheet.  Previously referenced cell K46 for programmed amount but changed to cell H46.</t>
  </si>
  <si>
    <t>Description of Changes</t>
  </si>
  <si>
    <t>Project Contingency</t>
  </si>
  <si>
    <t>Sensitivity Charts</t>
  </si>
  <si>
    <t>CSRA Assumptions</t>
  </si>
  <si>
    <t>Cost Risk Dashboard</t>
  </si>
  <si>
    <t>Schedule Risk Dashboard</t>
  </si>
  <si>
    <t>Cell</t>
  </si>
  <si>
    <t>Prepare yourself by reviewing the project data- the report, cost estimate, schedule etc.</t>
  </si>
  <si>
    <t>Develop the main Cost &amp; Schedule Risk Analysis report which summarizes the results.  The NWW Cost MXC has a template already developed for both Civil Works &amp; MILCON that you can use.</t>
  </si>
  <si>
    <t>Tab Names</t>
  </si>
  <si>
    <t>Column</t>
  </si>
  <si>
    <t>Row</t>
  </si>
  <si>
    <t>CSRA Report Appendixes</t>
  </si>
  <si>
    <t>Forecasts Starting Column</t>
  </si>
  <si>
    <t>Forecasts Ending Column</t>
  </si>
  <si>
    <t>QC Starting Column</t>
  </si>
  <si>
    <t>QC Ending Column</t>
  </si>
  <si>
    <t>APPENDIX A: BASE ESTIMATE</t>
  </si>
  <si>
    <t>APPENDIX B: BASE SCHEDULE</t>
  </si>
  <si>
    <t>APPENDIX C: CSRA DETAILS</t>
  </si>
  <si>
    <t>APPENDIX C-1: RISK DASHBOARDS</t>
  </si>
  <si>
    <t>APPENDIX C-2: CONTINGENCY SUMMARY</t>
  </si>
  <si>
    <t>APPENDIX C-7: RISK DETAILS</t>
  </si>
  <si>
    <t>APPENDIX C-3: SENSITIVITY CHARTS</t>
  </si>
  <si>
    <t>APPENDIX C-4: RISK REGISTER</t>
  </si>
  <si>
    <t>APPENDIX C-5: CSRA ASSUMPTIONS</t>
  </si>
  <si>
    <t>APPENDIX C-6: RISK REGISTER ATTENDANCE</t>
  </si>
  <si>
    <t>Risk Reduction Measures</t>
  </si>
  <si>
    <t>Automated Lookup Data for Instructions (In Case Things Move Around)</t>
  </si>
  <si>
    <t>Risk Detail Sheet Summary Range Start</t>
  </si>
  <si>
    <t>Risk Detail Sheet Summary Range End</t>
  </si>
  <si>
    <t>Major Changes
• Complete re-formatting of the document.
• 'J-Sensitivity Charts' auto populates major cost &amp; schedule risk items due to Crystal Ball forecasts added on the 'H-Risk Register-Model' worksheet.  This has replaced the Crystal Ball sensitivity charts.
• Added in optional detail sheets to aid in documentation &amp; modeling (estimate summary, schedule summary, model assumptions, example common risk for escalation, example common risk for markups, risk detail template, and example risk detail sheet for REF 1 (worksheet '1').
• See text box to the right for more details on changes.</t>
  </si>
  <si>
    <t>• Change control log versioning.
• Added instructions for source of drop-down list on 'H-Risk Register-Model' worksheet.</t>
  </si>
  <si>
    <t>Civil Works</t>
  </si>
  <si>
    <t>Program:</t>
  </si>
  <si>
    <t>MILCON Work Breakdown Structure</t>
  </si>
  <si>
    <t>Civil Works Work Breakdown Structure</t>
  </si>
  <si>
    <t>Program</t>
  </si>
  <si>
    <t>CW_WBS</t>
  </si>
  <si>
    <t>MILCON_WBS</t>
  </si>
  <si>
    <t>• Edited SC on the C1-Risk Checklist to reflect MILCON terminology guidelines for secure space.  SC was changed to SS.  Risk#107 was edited in same fashion.</t>
  </si>
  <si>
    <t>Bill Jennings (NAVFAC)</t>
  </si>
  <si>
    <t>Primary Facilities</t>
  </si>
  <si>
    <t>Supporting Facilities</t>
  </si>
  <si>
    <t>SECURE SPACE (SS)</t>
  </si>
  <si>
    <t>SS</t>
  </si>
  <si>
    <t>EMSEC/TEMPEST</t>
  </si>
  <si>
    <t>Determine whether this project will need to include secure spaces.  Some secure spaces have special security requirements such as opening restrictions, special walls, and sound attenuation.  For each secure area the following information should be provided:
- Space requirement (square feet)
- Site Security Manager (SSM) contact information (name, phone#, email) if applicable
- Construction Security Plan (CSP) if applicable</t>
  </si>
  <si>
    <t>Primary Facilities- Flight Simulator</t>
  </si>
  <si>
    <t>Primary Facilities- OPS Facility</t>
  </si>
  <si>
    <t>Site Preparations</t>
  </si>
  <si>
    <t>Site Improvements</t>
  </si>
  <si>
    <t>Site Civil/Mechanical Utilities</t>
  </si>
  <si>
    <t>Site Electrical Utilities</t>
  </si>
  <si>
    <t>Fixed Dollar Risk Add: (Allows for additional risk to be added to the risk analysis.  Must include justification.  Does not allocate to Real Estate.</t>
  </si>
  <si>
    <t>Spent through 1-OCT-2022</t>
  </si>
  <si>
    <t>Risk Not Included In CSRA</t>
  </si>
  <si>
    <t>Risk Included In CSRA</t>
  </si>
  <si>
    <t>FY2023 Current Working Estimate</t>
  </si>
  <si>
    <t>G40</t>
  </si>
  <si>
    <t>G30</t>
  </si>
  <si>
    <t>G20</t>
  </si>
  <si>
    <t>G10</t>
  </si>
  <si>
    <t>SF</t>
  </si>
  <si>
    <t>Equipment &amp; Furnishings</t>
  </si>
  <si>
    <t>E</t>
  </si>
  <si>
    <t>Services</t>
  </si>
  <si>
    <t>D</t>
  </si>
  <si>
    <t>Interiors</t>
  </si>
  <si>
    <t>C</t>
  </si>
  <si>
    <t>Shell</t>
  </si>
  <si>
    <t>B</t>
  </si>
  <si>
    <t>Substructure</t>
  </si>
  <si>
    <t>A</t>
  </si>
  <si>
    <t>Special Construction &amp; Demolition</t>
  </si>
  <si>
    <t>F</t>
  </si>
  <si>
    <t>WBS</t>
  </si>
  <si>
    <t>REV</t>
  </si>
  <si>
    <t>Civil Works only; not included on MILCON Projects.</t>
  </si>
  <si>
    <t>• Updated QC of risk items formulas to help avoid checking the low risk items without quantification.
• Editing the cost &amp; schedule ranking formula to factor in tie-breakers that have the same impact.
• End of changes for file named "CSRA Template FY2023" release.</t>
  </si>
  <si>
    <t>dustin.l.sawyers@usace.army.mil</t>
  </si>
  <si>
    <t>Operations</t>
  </si>
  <si>
    <t>• Added "Operations" to 'Responsibility/POC' column on '1-Drop Down List' worksheet.</t>
  </si>
  <si>
    <t>NAME</t>
  </si>
  <si>
    <t>Role/Discipline</t>
  </si>
  <si>
    <t>VE</t>
  </si>
  <si>
    <t>Study Manager</t>
  </si>
  <si>
    <t>Environmental</t>
  </si>
  <si>
    <t>Relocations</t>
  </si>
  <si>
    <t>Geotech</t>
  </si>
  <si>
    <t>H&amp;H</t>
  </si>
  <si>
    <t>Civil</t>
  </si>
  <si>
    <t>Structural</t>
  </si>
  <si>
    <t>Mechanical</t>
  </si>
  <si>
    <t>Scheduling</t>
  </si>
  <si>
    <t>Sponsor</t>
  </si>
  <si>
    <t>OTHER</t>
  </si>
  <si>
    <t>• Fixed some blue (input text) versus black (non-input text) throughout the worksheet.
• Put example roles/disciplines on the 'F-Meeting Attendance' worksheet similar to the ARA.</t>
  </si>
  <si>
    <t>• Updated formatting, moved confidence level being reported to 'D-Project Data' sheet.
• Added lookup data to 'L-CHARTS TO REPORT" to help automate copy/paste info into a report, etc.</t>
  </si>
  <si>
    <t>Team Discussions on Impact and Likelihood</t>
  </si>
  <si>
    <r>
      <rPr>
        <b/>
        <u/>
        <sz val="11"/>
        <color theme="1"/>
        <rFont val="Calibri"/>
        <family val="2"/>
        <scheme val="minor"/>
      </rPr>
      <t>Simulated Cost</t>
    </r>
    <r>
      <rPr>
        <b/>
        <sz val="11"/>
        <color theme="1"/>
        <rFont val="Calibri"/>
        <family val="2"/>
        <scheme val="minor"/>
      </rPr>
      <t xml:space="preserve">
Cost Risk x PCS</t>
    </r>
  </si>
  <si>
    <r>
      <t xml:space="preserve">Simulated </t>
    </r>
    <r>
      <rPr>
        <b/>
        <u/>
        <sz val="11"/>
        <color theme="1"/>
        <rFont val="Calibri"/>
        <family val="2"/>
        <scheme val="minor"/>
      </rPr>
      <t>Schedule</t>
    </r>
    <r>
      <rPr>
        <b/>
        <sz val="11"/>
        <color theme="1"/>
        <rFont val="Calibri"/>
        <family val="2"/>
        <scheme val="minor"/>
      </rPr>
      <t xml:space="preserve">
Schedule Risk x PCS</t>
    </r>
  </si>
  <si>
    <t>Cost w/o Contingency</t>
  </si>
  <si>
    <t>Number of High / Medium / Low Risk Items</t>
  </si>
  <si>
    <t>• 'H-Risk Register-Model' - Added info at the top to count the number of high-moderate-low cost &amp; schedule risks.
• 'J-Sensitivity Charts' - Added Yes/No toggle to show/hide the "Remaining Risk Items" to the sensitivity chart.  Some projects with a large number of modeled risks sometimes makes that bar look abnormal.</t>
  </si>
  <si>
    <t>30 - Perform Base/Contractor Coordination (PF)</t>
  </si>
  <si>
    <t>Escalation</t>
  </si>
  <si>
    <t>36 - Life Safety (LS)</t>
  </si>
  <si>
    <t>Escalation to Mid-Point</t>
  </si>
  <si>
    <t>% OF TOTAL</t>
  </si>
  <si>
    <t>RANK</t>
  </si>
  <si>
    <t>OR</t>
  </si>
  <si>
    <t>Pareto's Evaluation</t>
  </si>
  <si>
    <t>Remaining Items --&gt;</t>
  </si>
  <si>
    <t>Top Number of Items --&gt;</t>
  </si>
  <si>
    <t>Project Lump Sum(s)</t>
  </si>
  <si>
    <t>SIOH</t>
  </si>
  <si>
    <t>Identify proposed utility points of connection needed to support to the project, such as potable water lines, non-potable water lines, sewerage, electric, natural gas, phone, Information Technology (IT) lines, steam/hot water from central heat plant, condensate return, and cooling water from central cooling plant.</t>
  </si>
  <si>
    <t>Clearances (security, badging, access levels, lead times, varying escort   requirements (security posture))</t>
  </si>
  <si>
    <t xml:space="preserve"> - Cost Sensitivity Chart -</t>
  </si>
  <si>
    <t xml:space="preserve"> - Schedule Sensitivity Chart -</t>
  </si>
  <si>
    <t>VA</t>
  </si>
  <si>
    <t>USACE</t>
  </si>
  <si>
    <t>USAF</t>
  </si>
  <si>
    <t>NAVFAC</t>
  </si>
  <si>
    <t>Brandon Scott (NWW)</t>
  </si>
  <si>
    <t>Dustin Sawyers (CFM CES)</t>
  </si>
  <si>
    <t>Dean Hammonds (AFSEC/COSC)</t>
  </si>
  <si>
    <t>ashley.l.kennedy5.civ@us.navy.mil</t>
  </si>
  <si>
    <t>dean.hammonds@us.af.mil</t>
  </si>
  <si>
    <t>brandon.d.scott@usace.army.mil</t>
  </si>
  <si>
    <t>Ashley Kennedy (NAVFAC Atlantic)</t>
  </si>
  <si>
    <t>CSRA Template POCs</t>
  </si>
  <si>
    <t>Dustin Sawyers (VA)</t>
  </si>
  <si>
    <t>Yes</t>
  </si>
  <si>
    <t>Changes resulting from the OCT-2023 Advanced CSRA Workshop
• Updated CSRA Template POCs (one for each agency)
• 'J-Sensitivity Charts' - Added back in a spot for the Crystal Ball sensitivity charts
• Moved cost/schedule rounding from the assumptions sheet to the risk register sheet (better visibility there)
• Updated instructions per these changes</t>
  </si>
  <si>
    <t>Cost &amp; Schedule Summary + Rounding Ranges</t>
  </si>
  <si>
    <t>Triangular (LV, ML, 80%)</t>
  </si>
  <si>
    <t>㜸〱敤㕣㕢㙣ㅣ搷㜹摥戳攴㉥㜷㤶愴㐸㡢戲㘴㈹㡥捤挴㜱㝣愱㑡㡢戲ㄵ摢愹ㄵ㤶ㄷ㔱愲㑤㠹戴㐸挹づ攲㤴ㅥ敥捥㤰㈳敤捣搲㌳㐳㑡㑣㡣摡㐹㤳㌴㙤摡愶㜱摡〷愷㉥㝣改〵㈸搰〶㈸㡡ㅡ〹㥡戶㌱㝡㐹㉦㌲摡㠷昴愱㐰〲戸㐱搱㍥愴㈸〴昴挵て〱摣敦晢捦捣敥散㤲㍢愴搷㜶㑢ㄷㅣ㜹㝦㥥昹捦㌹㌳攷㥣晦㝡晥晦㡣㌳㉡㤳挹扣㠵㡢㝦㜹㜵戲㜰昳晣㐶㄰㕡敥昰㐴戵㔲戱㑡愱㔳昵㠲攱㌱摦㌷㌷㘶㥣㈰散㐰㠳晣愲㠳晡㈰户ㄸ㌸㥦戱ち㡢敢㤶ㅦ愰㔱㉥㤳㈹ㄴ㡣㉣敡昹㄰晥晡攳ㅢ㠳扤㝡㍡〱ㄶ㈶挶㘷㤷㉥攱愹昳㘱搵户㡥づ㕥搴㝤㑦㡥㡣っ㡦っ摦㜷㘲攴昸昰戱愳㠳ㄳ㙢㤵㜰捤户㑥㝡搶㕡攸㥢㤵愳㠳㜳㙢㑢ㄵ愷昴㠸戵戱㔰扤㙣㜹㈷慤愵㘳昷㉥㤹昷㍤㌰㜲摦㠹ㄳ昶㠳て㍥搰㠳㔷㘷捥㑤㡣捦昹㤶ㅤ扣㑢捦捣㜱挸昷㑤㕡㈵㠷㜳戳㉣摦昱㤶㠷㈷挶昱㕦㘲晣戸扢㝦㜸㝥挵戲㐲扥摡昲㉤慦㘴〵〶㍡㜶扢㘳㐱戰收慥㜲昱っ㜷ち㔳㉤㤹㐱㤸㜳㈷慣㑡挵㜰攳愷ㄶ摣㔹慣㕤挵摣攸㜱攷㉤㉦㜰㐲㘷摤〹㌷昲敥〲ㅥ㔴敥㜵㉦〴搶㜹搳㕢戶捥㤹慥㤵㜳㑦慦㌹攵㑥㝤㘵㍡敥㠸ㅦ㤱ㅣ㤸㑣㝦㜸㉣㜰㈷㔶㑣㕦㐶ㄴ㜰㘱㔲摡㑥昹愵挶戶户戵㝥㉥㠷㉥㙦攰㌳㙦㙦摤づ㌵ㄷ㑤扦搶㜲愸㜵换㘸昲㡤㈳戸愷㜵晢挴ㅡ㌵昶戹慢㜵ㅦ㔹捡挶搶慡㍢攲㙦㔹㔱㑣挶挸ㄳ㜴ㄱㄴ〸㐸㐰愳㐸搰㑤搰〳愰㍡晦ㅢ㔲㤲散挸慡散愲㤹㕤㕣捡㉥㤶戲㡢攵散愲㤵㕤戴戳㡢换搹挵㤵散愲㤳㕤扣㤴㕤扣㡣㌶昱㔵攸敡捡㐶搷㌷换㍦昸换ㅦ晦摤て挷晦昸摣て㉦㡦㕥昹挶戵㥥㝤㘸昴㘸㌴愸㐹摦扣〲㔶慢㜳㌱㈴㠲晦戶㤷ち〸㠵㝤挲扥摦ㅥㄹ㈹㥦㌸㘶摥㙢收㌸慤ㄴ攲㌷㌰㑡㍦摡昶搸㡦㌹㕥戹㝡㐵㘸㜷昳戸ㄹ㔸昵㠵ㅢ㡡敡挶慢㙢㕥㌹昸挰搶㤵昳愱ㄹ㕡㐷㥡敢敡て搹搴㙤ㅥ㘲㘵〵昲扥㕢㥡扢㕤㌴㉢㙢搶搸㔵㐷㔷㝦戰愹摡㥤昳慢㑢慤㙢愷㝣敢愹㕡敤愶ㄱ㡤㐱愹慤换戳㌷捤㔲㔷改㜱つ㑥慣㔴〳换㤳攱つ戹㜳㑥改戲攵捦㕢㔴㠹㔶㔹愶㝡㈳慢㈲愹ㅦ㥡昵㌰㔱㐸㙢昹挳㐹慣㝤敡㙡〸㘱戶捡ㄸ敦慡攵㠷ㅢぢ收㔲挵㍡搸搰㐴扦ㄳㄵ㠷ㅢ搰㔳搵搲㕡㌰㔱昵㐲扦㕡㘹慣ㄹ㉢慦㥢搰㌴攵戳搵戲搵搹㤹ㄱ愵〰㠵摢搱愱㔴收敥搶戲㈰㠴㐸㤰㤸㠲㝣㔳㈳摢つ㥦挷散㌰㡢㡡㐵㥥捣㝥㘴㥢㠷㜱扣愲㘳㔲㈴㌰㌱㈷摡て扥昴捥㙤ㅥ㕢愳摣㝢摢㌸㥢ㅤ㠸㘶㝦㙡摤昲挲㌳愶㔷慥㔸㝥慡昵㔳ㅣ㤱搱〷㤰扢づ㠵搰㜲昵㘸敡搴㔵戵㤱扢攲㤴挳㤵晣㡡攵㉣慦㠴挰挱㐲ㄶち㕣摡㑤㤷㜱〳㔰挶㝥㠲〱㠰㘲㌱㤳㍦挰㐶昹㈲慥㑣㡥摡㈹㐵㤶ㅢㄴ㌹晢㌵挸㜲㡦㍤攵㔴㐲㑢㉢攵㍥ㅢㄴ搱㔶㑤挸搷㑢ㄶ昵捤㤲㌶ㄸ〷散〹㜰愹改㜸攱㐶㕤㙥㌷㐹㠹㘶愲㍤㕤戰敢㜴〱㔵㐱愳㍥㐸㤱㌵㌰㑤㤳㌶㐸㙦㥣㘰㈲㡡㐱㡡㘵挷㤳ㅢ㤹㡣敤㔳㜴〴摡㈷㤹㤰慤㡦戵搶ㄱ㘴昶捤㑣捡㑥㉤攵㜱㑦㥢㙤攵换㙢㙤㜶㈳ㄶ捥㌸㐸㜰㠸攰㈶㠲挳〰敡摦愱攱愸攵㔰㙥扣㡣て攰摥戸㤹攰㠳〰搰㑦〶㜵㑥愴慡攸㐳敤挴㡦㘴扢㕥昸挹攲ㄴ㙢㔵㐴捦戸收㘷昶扡㐲攸挸敢摣ㅤ戶戶㔳㙣散㐷㕢昳㘶㜲㍡攴挸㤴愶挹戹㙥搳㌴戹㄰㙣摡愶摤扡ㄵ㕤㡤㐱㠲て〱ㄴ㡤てㄳ挲戸搰攱摤㤹㐷㑦㤷昲㝤攱ㄶ㘹㘷愸㑤〳ㅦ㌱㌲户〰㈹㑡㙥搳昶㘵捦㠷愶㍢㌸㘴扦敦㝤攸愳慤攵㍢㈲㝡㤳摤摣戳㍢㡣ㄷ扤㑤㉦晡㌶㠸㤷晡㐱㑢ㅢ㜳㍢慡㡤㡦ㄲ摣〱搰㘴㘳戸晢㝥扢㤱〲㜱㡢摤〴攵昶㌳敡㈲㕥敥挲挶慡㈵ㄶ愸挷㕥㌰晤㘵㉢㐴〴㘳㝡ㄲ扥㜰搵昷慤ち㌶戵㘵㐱㜰晦㜲愸ㄱㄹ㑣昹㔵㤷昸㍤ㅦ㌹㜸㕦ㄸ㠶捥捥㙣㐷愶挹㐷㑥昱㌵ㄳ㌱愷〴攷搰〶摦摢㕡㐹㈴㍡㌵戲ㄷ晢愵敦㉦昷㌴㐹ㅢ㥡攴㉥㉣慢㜱㌷〰戴㠴晡攷㤶ㅡ攵㈸㥢晤㤴㌴㙢昴㔸ㄹ攱㑢搹㥤㌴挵㄰㌷改㤱㙥ㅤ戰ㅤ㐷晣㈰攸㜵攷ㅤ户愶㉣扡摤㌹换㉦㈱戶攰㔴慣愲づ换㔲搵散改㡡昷㠹慥攸攸搸戴㥦㑥㠹慦〹㥦㌴㘹㠹㔴㘹㑦慤㑣搹㡢搷㤹㡡㘱㐸㉡㤵㤴搰㔰㑤〳㤱昳搸㜶㑦挵戴愱㘲敥挱挲ㄹ挷〸㐶〸㡥〳攴㕥㠷愶搹改挲㌳ㅤ搶戵捥㤰昶攲㘲愶㐰㌲㐸㠸昰㕡㑢㘵㜵㠲慦昹ㄸ挱晤〰㑤敥て〳㤰㈹㡣㈸㈴㑦㌰愲愴㌱散㡢㡥㜵㠵㍣戰捦㐶㘲㘹㘲㉤〸慢㉥㌳㑢扤昶㘴昵㕣㌵㥣㜴㠲㔵㘴愲〶散愸昰搸㡡攵㠱扢㝣昸㍥㑤戸敡敡慡㔵㌶散昹敡ㅡ㔴摢昴攴㙥搸㤸㘳㌹攰㑢捡摥㍣慢㜰戵户㍦挶㈳ㄴ㔶㕡攲慤㡣挶敥㈸晡捤㑤㕦㕦㝤㐵ㄷ㥣戰㘲㜵摢㕡攸㔸㉥搸㔸㐵㘴づ捡㕤昶挲㡡㙦㔹㤳扤昶㘹摦㈹㔷ㅣ捦㈲㌱攰㘳㌲㔹㌷㘳㉤㈳㑢㌰㔷㘵づ戰敡昵摡ぢ扥改〵慢㈶ㄳ㡡ㅢ晢ㅢ敥㈴㉤㤲戳挷ㅤ㉦挰㙢㠴㡡㉣昷搹昳㉢搵㉢挸搸慥戹摥㘹㜳㌵搸ㄵ㔴㈱搳敢㑢㐸愳戲㉡㥢㔵㠵㙣愱㕤晡㜰㐳㥥挹㔰昶㍡〹㠴㔶㤹ㅣ㘳收㈹搶㥢㝥㝤㤴愳愱㥦捥㌱昵㈰㝢㔴㐳㜶愴㙡㘱㑡慡昱㈰晢㝣ㅣ攰攱搳ㄷ愶敢㤹戹㜷㤴戳捥㌱捡㥦愲攳㠵㉤㙡㠹㄰挶攸昶㘹㔶㈱㡥㥣〳〹〴挵㜹搷捣㝥㐵㕢摡㤰晢昶搵㡢㔳挸㈴昵搸㌳收㤲㔵㐱㍥摡㌵挳㝤晡㠶㙥慣㙢㔶㠲愸㙥愲敡扡㈶㔹㡢㙣㌹㕦㌲挹挱㘳㙢㘱昵慣攳ㄹ㌶㠰昰㕦㠴㌲慦〲㘵㕥ㄵ㔴㡦㝤㥥愹㐱㈹昳㔹搵㘵搳㜷挲ㄵ搷㈹ㄵ㜸挳昴摤慥攰㐹〸㌹㌵㙦㝣挵㍡㘳戰挹㥢扦〰㤷㉤ㄸ〶戹㠷愱㐷戹㜴㈴㍦㌸㌷慢昲昸愷摡っ㉣㐱挱㐸愴搴㜸〸㑦换挹改〸愸ㅣ戹慥挷㘷㌰慥㍦〳㡣㔶㐲愴㝡ち㡢㈰㉡㤸㔰昲っ㜱攷敤ぢ㥥ㄳ㠲㝡愴搸㤴ㄳ㑥〶㈰㌹〰㡡戲扤㍤㈲㔴㑤㜴ㅡ慡㔹㠵㕢㌷㔷㌵㤸㠹㕢㌶搷㈷敤挶㐷戶愸搶ㄶ㈵㘱㐸戶㙢㈴㤶㘵㡢㌱敥㈶㔳愳挴㜰挷搶㐶愵㠵㑤敢敢㑥㉤昲づっ㤳昰㑣挶昸㠴㌰ちㄲ扤㤱㡤㘲捣㍥㥤㍤ㄲㄹㅢ晡〰㐵摡㈹㡤敢㡤㔲㠲搳㌸㜶㔲戶㡡搱ㅤ攴㝢㕦㔴㥣㕤ぢㅢ㙡捣慢〳㔱捤㔸愵㌲敢挱㑢㈸㤹㝥㜹㤷㠸㌴收愶㉤㡣㐸㘷扢搶㕦㉦㙦㐲㄰㈳㌱㘴㕡㈴㈵づっ㌱㠴㜰㈵㌲慡昴捥㝡戹搴㌵㜴㠱㜷㘷㉤搳ㄳち捣㠷攵㐹㙢㕤摣戰扡㈷㍦㈰ㅤ㙡扢㐵搱愳㠶㍤戶ㄴ挰愴㠷搴攳㔱㐹〴摣戰捦㌳㉣㠵㐳っ㔰扢㔱㘹慥ㄴ㈲戵㕢㝢〰㜷〶扢㠷㍡㔸ㄱ㥤㍡愱㜷㐶つ㥡㑦㘱摣挶㐹㔰㜶摡愴㈸ㄴ愹㉤搷㝦㡤慡㙦㍣捦敢昷㐷㌳㜱㈱ㄲ㈲愶扢㔲扣〷㄰㌷㤹㤹愴ㄴつ挴〹㜳慤搹㐴㘹昵挴㌸扡ㄸ扤㜴昹晣㄰愷㜸㤸换敡愳搸㔴㜰捥㉤㜴㘰㑤㉢ㅢ晢散㘹慦㔴㔹㉢㕢㘲㡡㘳㕤㉤ㄶ㜹㔷搰㑢㡥〰㙡㘹㑡㔹㤷㘸㔱愶戱㤵攲㤴㐹愴昶晤㙥㘳ㄴ摤㐵挹攱ㄹ摡昴㌱〱㤹ㄲ㤶㤳㠴搸愶㜳ち昴て昷搷て㌰挸攱㌹愸戴㑤㈸敡戲ㄹ㥣挷慢㘵㤱㐵摡ㄲ捤㘶慡㌳㔵晡散〹搴ㄹ㐷愳㜶〵㡤㌰㑦慤昰昲㜹㌸㈳㙤㑡〷ㅦ㤲戹ㅥ㘵㜷慦㍦㈳户㤹敢㈰㠵㔰㐰㌱挷换㕤㔰〶慢ち㐱愲挳㥤慤㝢摤㡡搹㕦㝡摥挶ㄸ㠰㘲ㅡ㤸づ㉤㕡㙡〷㘷〲攵敤ㅤ㥣㕢搱㉡㈵㐳㥡㑣愶㌲㐷㌹㠰㠰㍤㠸〶㘹攲㐶㝡愱ち㈳ㄴㅥ㤰㠳㘱昱搹挴㈱ㄷ㕢愰慡㝦戰〹㌹㘷㠶㌸晥攲ㅤ㙥㐲㡦㤵换㜴㜷ㄱ㥦摢ㄵ㔴挵搱つ敤㡥ㅥ㘸㍡㤴㈵㜳愲㝦㜷㕢㔳㐵㜴㔸昰昸攴昰ㄹ㌳㉣慤捣㠷ㅢ晡攰㔶扢㉣㤱晢づ攲ㄱ㕢扥㥤㍥㜳愷挷㠳愸敢㕣晢攲㘵慦㝡挵㤳㜱攵〲㥥晡〳㠷攰〸㘵ㄷ〷㔹捣扣㠵㝦㜲㘵㌳戹㍦挵ㄳ㜷㌲㙣㍥愰ㅥ㈰攱㜳攴㉡ㅡ㔳昸换㈴昵㈰晥愶昰ち晣昷摡挹〱昲捡㠱㈶㕥ㄱ㘵戰挷㉣摥昲扢挶㉣敡摢㈰㉤ㄹ〶〴㡦て㠹㘴㌳敡㕢戸㈱搱㐱〳㄰捥㤸㈶〴昹㍥㠴扦㈹攴ㄳ㠵ㅥㅤ昵攰挱㤰晦㍦㤴㡡愵㝡㑢戱晡㕦㄰㙡昵㉡㠸㈱㘴〲㑤㙡㜲愹晥愴㤱㑣㌳㥡㑣㡡㐷㐲㐴㤶捦㐶〵摥攴㤸慡㝤㕢㐹㜱捥㙢㙦㌳晡㥥ㅦ晥晤㍦摣㡣捥㠲挲扣挴㕦㐳摡敤㜶㤴㙢敥㐲挷㈶㜷㠱㠹㝣㜱ㄷ收搸㠷ㄹ㝤敤㉥㐴昱㤰昳㐰㙣敦㉥㌰捦㤷攲ㄴ㈶搲慥㠹㄰〷㜷㘳〷㕤挶捡捥攰㄰慥ㄵ㈰户て〳ㄶ㑣㈰㍡㜵㘸㌳㝡捥昴㑤昷戰攰㑦晢ㄶっ㥢扦㠰㔳摤搲㠵㍤㡥㙣㔹㈳㥤戶㠸㕢挴ㄱ昷扤搸捡捥捥戲㠳㔲晡搲愱㝣㔵㔰昹㜷㄰㌵㔱摣㐳㘴㍥㝢攰㥢愷晦昵㌳㕦ㄸ攵挹戵㠸㔷㜳㑣ㄵ户㤳扥愷㕦㠱〴㙦攲搰挸㡤晣㐸攷㉣㍥㔷㜲㔶㉢搶戸改㡢㐷ㄴㄸ㙥㕣搴㡣㤷㘰㑣捤㝣扢挱摤挴ㄹ〸敤㙥づ㌷㠵㍥攵㈳㈷〹ㄷづ㈷〶㉥昱扤㌸㠵愸㕡ㅡ戳㌶㍤捦摣ㅦ挲ㅣ扤捤㠱㌴㝡㡣摣㠱昲㔲敡て㘲㝢愷ㄱ㤹捣〹㔸㌴扤慤㔴㍣〲㄰㙢㈹攴㈲挸㈱挹㑤つて〷㠸㤶扡㠰㐲敥ㅥ㠰㤴㉣㕢㜳扡㤷戱㠱㍤㈵㘰搵づ〰戶昹㐱ぢ㔶ㄱ㔴㡣攳昲敤敥㙥ㄹち㠸㑤ㄳ搳戶攲搳㕣㐴㐱㌶㌲㐴㡣挴搸挷㔰㠸慦摣㜱㤴㜶ㅣ㥡攲㑢㝡㕤㥤㠴搳㠲㥤㜳ㄹ㜷㉢扡愷扣㌵㥣〲㠱㥤挹㡢挱昰昶ㄳ㡤捤愹攴敢㜴搳愲㐶ㄱ昶改㘲慤㔳㜷㔴〵㥢攵ㅤ挶づㄵ㠹㐰㝥㌵挴晡愱晡愳㙦㙣慥愱㡤昳扡㌰㐱晥攰㝦摤㤲㈲搸㜸㉢㈵〶ㅡ㜶㐷慤ち晡愸昸攳攸挲㐹㘷㤴㔱㉦捡扤㘲扥㍡㤶慣㡥散㈶晢捦㑣戶㐸搶㈷搹㥢㈹敤〶晢晦㈹㈰戶戵晦敡㐱昶挵捦㜸㈲㉡㠸㜳捡㕣捡戶改ㅢ慥〸愲摣㐸攴挸㈶搹㤰㈲搳摦扡㌴㡦て㔹㜵戵㘸㜰挴挰㍡㥢㡦㐹搴晡搲户敤㙥愹〰㤹㈷捡晤㌶㔴㔰换晥㡤㝡㉢摥改收㝦ㄶㅤて㥣㜵㑡㝥㌵愸摡攱攰㍣ㄲ挰㠳晣づ捤㠶捦㌳愶㕥㙥㔶㙡户㘱㈵㝡㥥㐴㥦㜳戳㔰搸攷慣昰摤捡㑢㌲换戰戳慣〶扦㐹敡㑦愴㥡㘸ㅤ㠲ㅢ散㐷搷捣ち㍥㘳㥤㐵摣㌳㈴㙡㔷ㄸ㍢ㅤ㝤㙥㍥慤挱愵挳㜹慤㐷㄰ㅢ戲㉡挳㐸㤴挹ㄴ㍥昵㘹慥㙢昳ㅡ㌴戶㡤收ㄶ戰㘵㝢昱户㘲敥㐵搰㜴㘷㙦㘹㘴ㄹ扥㤳㕦㈷ㄷ㡤㈵㐲㙣慥㐷昱㜷攷挱㕡㍥㙤〰㝣ㅥ㝤摣捤愰搸㔰〵愱戴ㅤ㘴挲㑢攸慡挶〸昰㌳捡㔱㠱㌷㡡ㄱ㍦㡡愲晡㑤㑣㡢〲㠰㌲昶㠰〰慤戹晡㜹㌴搳ㄱ〴㌶挶㐵慥㔶㔳㈸挸昳㔷㔰㈰㤳昱愷ㄸ㐸㄰慣㤳挴㜲摦㉡搸㑢〹㙣㍦㌷慦㤴㜸攳㌲㐰㙦㠷攲㘶㠵㝣㕤㔴扦㡥㌷扥㠸㥦㕥㍦㤷㌸㙣㕥㘴㔳㠲戲㤱戴〵㡡㥢ㄲ㤹搱搷搰愱㌶愳㔵㘰㕢捦攸慢㘸扡㜹㐶㜴㈷㘴㤴挹攷昷挷收挸〸昸敡㤰㘰㡤㘰ㅤ愰㍦㙥搹㐷㐵换戹攴㜵攲攲摢愴㌵慥㝦㡡晥扥㌱晡晡㌵㕥晦㌹慡㐴戵愲慡㜱ㄶ㔴慤㌲㡢㉦㈷㘷戱〱㙣敢㔹㝣㘹慢㔹昴㍦㠱㍥戲慡㥦㐵〱慢㑡敥㤳㔹㍤㡤〲ㄷ㤴㍦㔵㡡戱昱っ㜰㥦改㈷慢㐸摦㥦㐳愱户愳㥦愴㘵㥣挷㜸㠶攰㔹㠲捦ㄱ㝣㥥攰攷〹扥㐰昰㐵㠰㘲㍦㈹㉥㡤扦㐴摣㉦㄰㝣㤹攰ㄷ〹㝥㠹攰㉢〴扦っ㔰散㈷㈳㐸攳㕦㈱敥㔷〹扥㑡昰㙢〴㕦㈳㜸㡥攰敢〰挵ㅣ昹攳愷㕢㥢㐹㝡挱昱昷扤挸㜸㌴㝣挸㝢ちㅦ收㙥㘴搱扦〳晦㕦㠲㥣搸昴捥散挷摢㝢㔶散㔷搳㈴攷㉡㔸晣㜷昰ㅣ㔲愴ㅥ㐸攵ㄳ㡦攰㔷㠰㕣㤱摢㠵㕥扦㠱㐲㑣慦ㅣ㤹㉦攵㜳㉤昱㜲㜹戴㤵㙢㥡搷攱昵扣昶㙤ち㙥ㄴ㔷摦ㄵㅡㅥ㔳攲昷捦㉤つ㜳扥捤㌳ㅢ敡㔲㉣っ㘷捥㐴㔱捤㑣㌶捡㈲㐲ㄸ㜵戲㠴挲换㠵㔴㑥摣昸㡦㕥慤〷摢㔰㠱ぢㄲ慢ㅢ㔳挸愵昱㑡摣昸㌸扥戳㤳㌶㜸戲扥摥㠸ㅢ㔳ㄹ㐸攳攵戸昱㡦㡦ㅦ慥㌵㡥㘵㕦㍦㌹㐷挱㑣搹戱挸ㅥ㉥昱捤㝤ㅦ㥡攷㙣㝡㐱摤戶㐶㤳ㄱ攵㌰㐰㐵晣愰ㅥㅣ敦昱昱搵晢っ㑥慢攱㔰て㑣愵晥㥦㕦㑣攳ㄴ摢愴ㄹ㥡昸愸㝤ㅤ挷〷㝣㐳敥搸㌹㙦捦晡㐰㜴搹搳〱㜶挶攵㕤挵㈲㜰敡㍡昵晡㙥㤳㘶㐹搹〰搴搷㈳㑥㝢㘶㜹㉡愸㍤ㄷ㐰㔲㘵㥤捡㡡㈹㥢㜹戶捥㌳挶ぢ㈰づ㑣ㄳ㈰ぢ挶㙦〱敡搴ㅡ捦㥦㘷晡愹㜳㐵愱扥挸㡡㤷〸㕥〶㈸㉡㉡㔸昲㐱晥ㄵ㠰扥昸㝦㍤㌲戸㉥㔱慦慣晡㜴晣戲㈴ㅢㄹ扦挳づ扦ぢ搰㠱㐰扣㡡㤸戰㘸晣ㅥ㌰㠹㤷㉡㉡㙢慡㑣昵㌸㥥㐲㍤㐵㉤㔲㔴捦挶攸挷㈲㌴㌷〲㐵昵戹ㄸ㝤㌱㐲ㅦㄴ昴攷㘳昴㠵〸㝤㐸搰㔴晡昲散㠵〸㝤愷愰㘹〶〴㍤ㅦ愱敦ㄲ昴ㄷ㘳昴昹〸㑤攳㔷挸〳攰㝡昳㉤㐵㑢㈱摤ㅥ㡤敡昵㐸㘹㍢〴㍤ㄷ愱昵㐸㘹㑤〴㍤ㅢ愱昵㐸㘹㕦〴㝤㉥㐲敢㤱搲攲〸晡㙣㠴搶㈳晤㑡㡣㥥㠹搰㝡愴戴㑡搲晡㤱〸捤㤱ㄶㄵ慤㤳愰ㅦ㡥搰㝡㠰戴㔷㠲㥥㡥搰㝡㠰戴㘰㠲㠶ち㤲㠵搷〳愴㑤ㄳ昴改〸慤〷㐸㉢㈷攸愹〸慤〷㐸扢㈷攸㔳ㄱ㕡て昰敢㌱㝡㌲㐲换〰晢㘹㈴㠴挱晥っ〵攳捦〹晥〲愰㤸㈳㘳敥㔸㐲挸扦㙤晡㥡摦㐵㔷㐵戶攷㌳㡣搷愲〲㙦ㄴ㜹㕥㘶昲㠹㘸挸て〱㔱挸收搵㑢㜱挵挹愸攲愴㔴㈸昵㜲㕣昱㔰㔴㌱ち㠴昱搷〰㡡扣捦㌹ㄹ㝦挳㍢戲扣扣昰㝢㔱㐱㕥挸㌵㤰ㄷ㍥搰昴㐲慥㡢㔴摣摦昴㐲慥㤵㔴㝣㉣昹挲㝦攰㐳扦㑢㠰㕦㠳㥦搶晦ㅡ㌰戲摥慦愳搰摢搱挷戱搱㠵捡㕥㔵愵㈷换㑦㍥昹㘶㕦攷攰㤱捥挷㝦愶攷昹㌷晥晥㐷捦㝤晦㠹㤳晦昱㤳ㄷ㕥昸晥扦㍤㜷敤㈷摦㔹㍡昹扤㔷㕥昹慢㠷㕦扣昶愳晤昶㑢搹㔷摦㥣㜹改改㤱换㑦㍦㘵㕦戸晢昴搳㥦扣昴攸挸摣つ㐳ㅤㅤ㕤㕤㜷っ晣敤㑤㜷昶㍦晢搴户搴㙢晦㜲挸㔳㌲㕤扣愰㜱ㄸ㥣戶っ攳ㅦ㔱挰㌰㌸攲昷㜴ㄸ㥣慥㉣搴戱㘸愱挶㠱愰扢挲〱㐸挵㍤㡤ㄵ摤晦〳㔹㠹㝥晢</t>
  </si>
  <si>
    <t>PLEASE TYPE FIRST RISK OVER THE TOP OF THIS ONE</t>
  </si>
  <si>
    <t>H-Risk Register Model</t>
  </si>
  <si>
    <t>Column AR (Check Cost Impact); return blank if unrated risk.</t>
  </si>
  <si>
    <t>㜸〱捤㝤〷㤸ㄴ㔵昶晤扣㠱㘹愶㥡㌰㉤愲㙢㘶㔰㐴〵挵捥〱㐵㠱㈱㡢㠲㠰㈸㉡㐲㠷㙡ㄹ㥤㠰㌳〳〲㐶㡣㤸ㄱ挳㡡㌹慦㘲㔶㡣㙢㐰㌰慦扡敡㥡ㄶ㜳摡㘰捥慢㤸晥攷摣慡㔷㔳摤㕤㍤捣捦晦捥昷㙤㌳㜵愹㜷摦戹户㙥摤昳㕥㠵㔷慦扡㉢㔴㐵㐵挵㙦昸昰㝦㝥扡㜳㘵慢㘹㡢㕡摢捣挶愱㜵捤つつ㘶戶慤扥戹愹㜵攸挸㤶㤶昴愲㐹昵慤㙤摤〰昰捤慥㐷㝤㙢搵散搶晡挵㘶昵散〵㘶㑢㉢㐰㔵ㄵㄵ搵搵㐶㈵敡㌷户㤷㠰㉥ㄸ戴㌲扡㔳〰㔵㘱昸㈸㝡㔰㔴㔳ㄸㄴ㝥㡡㥥ㄴ扤㈸㝡㔳昴愱愸愱〸㔰㙣㐴搱㤷㘲㘳㡡㝥ㄴ㥢㔰㙣㑡昱〷㡡捤㈸戸㝤㘳ぢ㡡㉤㈱㝡㙤〵㌱扤㙥搴攴捣㘱搸㥢㘹㙤捤㉤收捥戵㌳慣㤸㠷㠷㐲㐳㐳㐳愳戱㔰㜸㘸㜰攷摡扡昹つ㙤昳㕢捣攱㑤收晣戶㤶㜴挳捥戵㔳收㘷ㅡ敡戳㝢㤹㡢愶㌷ㅦ㙥㌶つ㌷㌳挱㐸㈶ㅤ㑤㠶愲戱㔸㍥㤵㑡昶摡ㅡ㥥昷愹ㅢ㌵愵挵捣户晥户㝣㙥㐳㥦㤳敢㐶つ摤挷㙣晢㙦昹散て㥦㜰㌹扡戹㌱㕤摦昴㕦㜲㕡㐵㑥㈳愳捤㙣㍤挹㌷捤㤶晡愶㐳㠷㈲散㠲㐴愳㤴ㄸ㍡ㄶㄹ捦愶㕢摢敡捣㠶㠶愹㘶㥥扣昷㙡㘴捥捣ㄶ戳㈹㙢戶昶㘹ㅣ戳㌰㙢㌶搸搵慤搵㡤㌳搲㉤晢愴ㅢ捤敥㕣愹㘹戴㜸㥢㤰㌳㥢摡敡摢ㄶ昵㙥摣慦搵㥣㥡㙥㍡搴㈴愴慡㜱摣晣晡㕣昷敥慡㝢昷㡡㙥㍢㜸〵㈳摣っㅤ摢㤲慤㥢㥢㙥㘹㤳ㄲ㔹ぢ㜹㘱㕤㉤㐴〲㉦〸㡢慤愸戶挸㡡㌴㑤慢㙦摣换㙣㘹㌲ㅢ戸ㄱ㤲㌷愴〸㈴㌹戱㔲敦㈴㐷敦つ㠹㔱㍤敤晥挶㕤攱㔶㡣㕡㡡〱㄰扥㙤㈱〲挳㐷㡤ㅡㄸ㑡っ摡㜶㔸敤戶㠳〶㡥㡣愵㡣敤㔸㍦㄰㐲㜵㝦〳㥤搷㙤捦づ㔴㌹㍢㕤㌹㍢㔳㌹㍢㕢㌹㍢㔷㌹摢慣㥣㥤慦㥣㝤㘸攵散戹㤵戳敢㉢㘷ㅦ㔶㌹晢㜰㘰昴愷扡㐷㡦㑡晢㜳攵㜹ㄷ㠴㐶摤晦搲㕥㜷捦慦㥤昵搰ㄹ搳㝡㈸昶㔷改戸㠳戰㘲散〰攱摢ㄱ㈲㌰㝣攴㝥慥㜸攲〹㘳㈷搶て㠶㔰敡ㄵ挴挳㤸〶攴㕥昲慦㝤昵捡㌱㑢㈶晦敢挱㍤挷昶㕦慡搸敦挵搹捥〴敦〲攱ㅢち㔱攴㉣ㄶ㌱㜶㘵㝤㄰㐲愹扦摡捥㔶摤㝦敡摢㡦捣敥㌶㜱挵挲捤捦㕥㍦扣攷㘰挵攳㠷㌸ぢㄳㅣ㠱昰㐵㈱㡡㌳㤵㌴㘲慣㡦㐳㈸昵戴敤慣㝦攰慡ㄷ㝥晤攲攱㔱昷戶ㅣ㜰㑢昷搱㍦晥愴搸ㅥ挵㔹㤲攰ㄴ㠴㙦ㄸ㐴㔱㘴㤱㤸戱ㅢ敢㜷㠷㔰㙡慤敤㙣㐴㙣搹〷㝢㍦昵晥㠸ㅢ㥡㐶扥昸摣㉦昱慤ㄴ㡦㘷攲㙣て㠲昷㠴昰㡤㠰㈸㜲ㄶてㅢ㈳㔹㍦ち㐲愹㠷㙣㘷ㅦ慤摡晤挷摢摦㕣㌶改慣㝢摦㍥昸㡢㤵㜵㥦㉡ㅥㄷ挵搹㘸㠲挷㐰昸挶㐲ㄴ㌹㡢㈴㡣㜱慣ㅦて愱搴扤戶戳㌷ㄶㅦ㌳昵挴ㄹ㘷㡤扣㉦扢昲户㘹敢づ戹㔳昱昸㉡捥㈶ㄲ扣ㄷ㠴㙦ㄲ㐴㤱戳㜸捡搸㥢昵晢㐰㈸㜵㠷敤㉣㝥昶㥣㈳㌳搵㝢敦戳㜴㔸换慣愶㤶攳户㔷㙣㘶攲㙣ち挱晢㐲昸愶㐲ㄴ㌹㑢愴㡣㘹慣㥦づ愱搴㑤戶戳ㅢ㔶㍣搶戸搳搲㍢㈶慦戸收摣㤳㘷昵㕢昲戳攲昱㕥㥣捤㈰㜸㝦〸摦〱㄰㐵捥愲ㄱ㘳㈶敢て㠴㔰敡㍡摢搹㜳㈷ㅦ㜰挵〵㉢扥㥡㜸㑤㘲昰㤳扦㍤搸扢㕡昱扣㈱捥づ㈶㜸ㄶ㠴敦㄰㠸㈲㘷昱㤸㌱㥢昵㜳㈰㤴扡挲㜶戶㝣愷〷愷㐴㕥㤸㌹㘶攵㡤㉦捦㌸㌷ㅡ㕡愷㜸晥ㄱ㘷ㄹ㠲戳㄰扥ㅣ㐴㤱戳㘸搸㌰㔹㥦㠷㔰㙡㠵敤㙣㜸挳㥢ㅦ㕦昰搸昸搱户㉣戹㘹昷慢敦摦改㜵挵昳㤸㌸㥢㑢㜰㍤㠴敦㌰㠸㈲㘷攸摥散㥦㐶〳㠴㔲攷搹捥㐶㍦扦昰昳扤摦晣㘱攴㑤慦ㅦ昲昴㐵㥦摤㌳㔸昱㝣㈸捥㥡〸㙥㠶昰捤㠳㈸㜲ㄶ㐹ㄹ㐷戰扥〵㐲愹戳㙣㘷㘳㘷づ扡晣㤷㔵搷敤㜵晥愹㍢㉤㝣㙦捡愰敦ㄵ捦慢攲慣㡤攰昹㄰扥〵㄰㐵捥㘲㌱攳㐸搶㉦㠴㔰敡㔴摢搹㈶㥦㝦晤㐵昳㠰晢㈶㍣昸晥㈵㈷捥摤昲昲昷ㄴ捦捦攲㙣㌱挱㐷㐱昸㡥㠶㈸㜲ㄶ㡤ㄹ挷戰晥㔸〸愵㤶搸捥敡扦㔸晢㕡攳攳ㅢ敦㝤晥㈹户搷ㅤ晣㘱敦㤴攲㜹㕥㥣ㅤ㑦昰ㄲ〸摦〹㄰挵捥㐲挶㠹慣㍦〹㐲愹愳㙣㘷扦攴敡㍥㕤㌷㜰㙥摤昵㌷捤㝥攱㠲攴昱换ㄵ慦ㄷ挴搹㈹〴㥦ち攱㕢ち㔱攴㉣ㄶ㌴㑥㘳晤改㄰㑡捤户㥤㑤㔸㌱㝦摥㤳㡢㜶㥢㜴挶〳㤷戵㘴敥慤散愵㜸摤㈱捥捥㈴昸㉣〸摦搹㄰㐵捥㈲㜱攳ㅣ搶㉦㠳㔰慡搹㜶㌶晡摥㐳〶昷晦昰戶㌱㌷㥥摣晡捣㉤ㅦ扦戴慤攲昵㡢㌸㕢㑥昰㜹㄰扥昳㈱㡡㡦㘷㜱攳〲搶㕦〸愱㔴扤敤散扥捣ㅤ㌳㉢慢㤷㡦㔹㜵捦㠲㙦㉦戸敡晡愷ㄴ慦㠳挴搹㐵〴慦㠰昰㕤っ㔱ㅣ㔹搲戸㠴昵㤷㐲㈸㤵戵㥤慤㡦扣㝥挷㤴摣愴扡㥢㕥ㄹ戰摦昲晢㈳㠷愹捤㔰㉤捥㉥㈷昸ち〸摦㤵㄰挵㤱㐵㡣慢㔸㝦㌵㠴㔲戳㙣㘷㙦敦㌲散搳〳㤷㥥㌵敥攴捦㕥晢㜶搲㍤敢㤶㉢㕥㤷㠹戳㙢〹扥づ挲㜷㍤㐴㔱㘴㠹㤰昱㈷搶摦〰愱搴晥戶戳敤ㄶ敥㍣㘵搸㔶㌳㐷㕥㍢挲晣散㕥晦㈶昷愹㉤㔰㉤捥㔶ㄲ㝣ㄳ㠴敦㘶㠸㈲㘷戱戸㜱ぢ敢㙦㠵㔰㙡㕦摢搹慡戳づ㍤㘴㝥捦捣戸㠷㜶㍣㈲晥搶昲㜵㝤ㄴ慦ㄳ挵搹敤〴摦〱攱扢ㄳ愲挸㔹㌴㘸摣挵晡㔵㄰㑡敤㘵㍢慢搹昲㥦㝢㥣愷㥥ㅢ㜹㕡摤ㅥ㡢慢㝥〸㉥敦㜵て慡昷戵捦改愳㕢搲㐷攲挲愸晤㥡ぢㄷ㥡晣户攱㡢㑤㕣㙢收㘳昹㐴㍥ㄴ捡挵㠲改㐸扡慡ㄶ㙥㍢㝢㠹挳愶摥㉢扦㝦㝤㔳慥昹㐸戹收改㤵ㅦ㕢摦搰㘶戶㐸愱㈶㡦晦慣敢㌶㈹昷捥㡦㔹㠸ぢ摥慣㜵㜹搴㉦㕦㘷戶戴攱㐲戱㙤㔱晢㌵搳㔶愳搲慤㘶㝢㜱㠸敤㝢㔴昳晣愶㕣敢㤶摥㤵搳摡搲㙤收ㄶ挵㜵敤㑥㑡捣愶攱㈲搲㙣㤵㤰戶㈹㌶㥢㤱㙥㤸㙦㡥㕣㔸㙦㔵㙦㕤㔴㡤换挹收㑣昹摡戱㉤收ㄱ㑥㙤㐹㐴㈳㜱㡦戳㐰㝣㤷散愵㔵㘵挵㔵㕢㌷户戹搵㙣㤲昰㠶㌴㑥愹捦ㅥ㙥戶㑣㌳㜹㠷㘴收㘴㔷㌷㘱㤵㝤㑤㍢㘴㜲ㄳ㜶ㄴ㔷愹戹㙤摤㕡㈶摡㙣捡㤹㌹挴㍢て㔹㕥㌴㍤㥤㘹㌰㌷㉤㠰㔸摢㐴挵收〵敡戱捤搹昹慤㜵捤㑤㙤㉤捤つ㠵㌵㈳㜳ぢ搲戸㡥捥敤摤㥣㌳扢换愷挲㤲慡愲㕢㌷愵㉡㜶昴扡㈰愵敦㔶㕥戲扡ㅡ〹㉦㡣㍢〶扢ㅡㄱ挱㥥㤷扡㡥㘷慣戸ㅡㄹ昱㍢㜵ㄸ㠹扢ㄱㄲㅤ散㄰敤搱㐸㘹戴㔹㘱挷ㅢ㍡ㄵ晣㠰㠷〶㤳扤戲㜲㘰㜹㤷敤敤㜲〳㤱扡㔸攱つ㌱搱ㅤ㈴㑤摣㍡㙤慦㙢挱㤵㤵ㅢ摢㝢㍦㘶〱敥㤶挶愷㥢㜲つ㘶㑢㠷户昳㡡ㄱㄹ昷㔲摣㐷㜱㍦挵〳ㄴ㝦㠶愸ㅡ㡤㘳㕣搹㡣㜶〷㐲㉤㔴㡢慡㡥慣捦戵捤昵捤㌵敢て㥤摢〶ㅤ㠶〱慡慢㤹敥㤲㡦昱㄰㔴挶挳ㄴ㡦㐰昸晤ㄵ扥搵昸扦挲攷㌷ㅥ攵㝦㙢㈰㙡昴敤㘲慤搵㌲晤慡㙡〰搴晦昷ㅢ戶㑡㔸ㄹ㜲㝦㠸ㅢ昸搶慡㐶昸㙤敤搶捤㉢ㅢ攳搳慤㜳摢搸ㄱ㍢慥愴扦戵ㄴ㡦㐱昴㝡ㅣ㘲㥦昱㘶〳扡昱㝦敢摥扦㙡㍢昸摣攰㍤㈶㉦戰㌶㙤㥣戶愸㈹㍢户愵戹〹㈳㌰愳搳㙤改㤱㔹摣㐸户慡戴慦㜱㔲㜳摤晣㌶㕦攳昸㝡晣搷慢㜱慡㌹捦㑣户搵攱㌰摤搶扢㜱ㄲ㙥挲攵㌸㍡㈱户戰慡搱扡㝦ㅥ㙤戶㘶つ摥㘸㑦挰㘱㘹愱て㙢㌸捥昶㙡攴㠱挶㕣搸㐶搷㍤ㅡ愷愴㜱愳摥㘶〰㌴㐴慣慣㌵㕡昶ㄶ㥤戶昶摢㈵㜸〸挸慡换㑢㑦㔱㔸㥥㉡搸㜲㜰〶挵㌹户扢㉤㡢㝢搰㝥㙤昵つ慤㐳敤昴づㅤ摤㡣㠱ㄸ㔳挶愰㤸㜶㥦てつ捣搷㈱㔹挵ㅤ㥤㜷敡㤳戳ㄹ换㉤㐲ㄹ搷搲㍣㝦摥㌶昰昵摦昲㐳㕦ㄵ挶ㄳ㄰㔷㝣戵㜲户敤㉦扢敤㌷晢晦攳搰㠵攴㘳㙣㑢挴㙡〸ㄶ昱㥦㝣㡣愷昱㥦扦愳扡慡㠱㐰㜸ㅥ㘹换っ㉡㔴〱摦慢ㄱ㝢㍢扤挵㤴㔱㤲㙡㈹㉣㥡㘷昶㙥摣扦戹攵昰㑣㜳昳攱㈴扦㡦㤴㕡攷㥡㘶ㅢ㠷ㅥ㝡摡㈳㉤㕣㔷㑡㜵敢㔶㌰慥攰ㅡ愳攸て晦扥攷㈰㝡㡦㙣㘸愸搵ㅥ㕢㝤捦㐳搵つ㘷ㄴ摦㕦戱㌲㘸㘲扡愹㌶ㅣっ㐷㙢敢愶㑤ㅤ㔹㡢昱挲㜹つ戸ㅣ愸㥤㍡㘶㐶㜰㤷㕤㜶ㄹ㍤㘹摡搰㠵つ慤ぢ㔵㄰戹攰㠰挱㥡慡㐵㔷㈷㑦愹ㄸ㜱晦㐷て昵敤昱昴㜳ㄱ戵慢㕤㔱㌲㉣㌱〸摥㙢戱ㄸ㉦㔱晣㡤攲㘵㡡㔷㈸㕥㠵㔰㍢挱㤴㐷㉥慣ㄷ㝥㡣搷㔱㌶晥㑥戱づ〲挷ㅦ攱〳㠷㥦㌷愹攳攱挷慦搴づ昸㡦㠷ㅣ攳㙤㡡㜷㈰搴㑥㄰散㥣ㄵ挶扢㄰㘵ㄹ摥㤱㠸搵㄰搸戸戳㜵攳〳㈸晣㐶〷㜵㙡㌰㄰㘴搹㘰㔶つ收搱㘰づ搵愶㜰攳㤹㥣㑤散㡡㤲㘱㤶㥤㘱㔶㑢晢㑦㈹㍥愳昸㥣攲ぢ㡡㉦㈱㔴つ㑣扤㤳昳㌵㌱摦㔰㝣ぢ攱㑡捥昷搴搹挹搹〵敢㤲㥣ㅦ愸晣ㄱ㐲敤ち㘱㈵㘷㍤搶捡㈶㘷㈸つ㔶㐳㈰㠰昶攴晣〲㠵摦攸愰㑥〵㠱昰㑡捥捦扦㤶㐹捥㑦㜶㐵挹戰㔱ㄸ㥥㙡戱ㄸ㍥〵搱㠳愲㥡挲愰昰㐳愸敦㘰敡㥤㥣㕥挴昴愶攸〳攱㑡㑥㠰㍡㍢㌹ㄱ㌸ㅦ挰つ昴愵㜲㘳〸ㄵ㐳搱㑡㑥㍦ㄴ换㈶㈷㑡慢搵㄰〵挹昹〳㑣晣㐶〷㜵㉡づㄳ慦攴扣㕦㉥㌹敦搹ㄵ㈵挳㘰㐹㜸慡挵㘲搴㘲愳挶〰㡡㙤㈹戶愳ㄸ〸愱摥戰㤳㜳〲㔰㕣ㅥ慢慣愸昸㄰ㄵㄵ挶㈰㘲㜶愰搸ㄱ挲㤵㥣挱㈸晡㠶㐰㤴㥥搵㔵ち㤶〳㘸扤㌳敡㡤㕤㈰搴㙥㈸㕡挹ㅡ㡡㘲搹㘴つ愳搵㙡㠸㠲㘴㠵㘰攲㌷㍡愸㔳扢挳挴㉢㔹㑦㤵㑢搶㤳㜶㐵挹㌰摦ㅥ昰㔴㡢挵ㄸ㠶㡤ㅡ扢㔱散㑥㌱㥣㘲て〸昵愸㥤㉣㠰ち㍦挶〸㘲㐶㔲㡣㠲㜰㈵㙢㌴㜵㜶㑢摡ㄳ㐶〳戰ㄸ㘳愹ㅣ〷愱㐶愲㘸㈵㘷㍣㡡㘵㤳㌳㠲㔶慢㈱ち㤲戳ㄷ㑣晣㐶〷㜵㙡ㄴ㑣扣㤲㜳㙢戹攴摣㘲㔷㤴っ㕢㡥㠶愷㕡㉣挶㜴㙣搴搸㡦㘲〶挵晥ㄴ〷㐰愸㍦搹挹攱㐵㈲㤷昶㤶㜴㈰㌱〷㔱ㅣっ攱㑡捥㈱搴戱㈵攱〰㍤〶㈶〳戸㠱㌹㔴愶㈱ㄴ㐷㐰慤攴㘴㔰㉣㥢㥣戱戴㕡つ㔱㤰ㅣㄳ㈶㝥愳㠳㍡㌵ㅥ㈶㕥挹㌹扦㕣㜲捥戳㉢㑡㠶㘱㈷挲㔳㉤ㄶ愳〹ㅢ㌵㥡㈹收㔱ㅣ㐱搱〲愱捥戲㤳〳㔰攱挷㘸㈳㘶㍥挵〲〸㔷㜲ㄶ㔲㘷户㥣扤㘰㌴〰㡢戱㤸捡愳㈰搴摥㈸㕡挹㌹ㅡ挵戲挹㤹㐴慢搵㄰〵挹㌹づ㈶㝥愳㠳㍡戵て㑣扣㤲戳戸㕣㜲ㄶ搹ㄵ㈵挳捡㔳攰愹ㄶ㡢戱ㄴㅢ㌵㑥愳㌸㥤攲っ㡡㌳㈱㔴㙢搹攴㥣㑤捣㌹ㄴ换㈰㕣挹㔹㑥㥤㥤ㅣ㡥㔴て攰〶捥愷昲〲〸㌵つ㐵㉢㌹ㄷ愲㔸㌶㌹㔳㘹戵ㅡ愲㈰㌹㉢㘰攲㌷㍡愸㔳搳㘱攲㤵㥣㌹攵㤲㌳摢慥㈸ㄹ㈶㥦〱㑦戵㔸㡣慢戱㔱攳ㅡ㡡㙢㈹慥愳戸ㅥ㐲捤㉣㥢㥣ㅢ㠸戹㤱㘲㈵㠴㉢㌹㌷㔳㘷㈷㠷㈳敦〳戸㠱㕢愹扣つ㐲捤㐴搱㑡捥敤㈸㤶㑤捥〱戴㕡つ㔱㤰㥣扢㘰攲㌷㍡愸㔳〷挲挴㉢㌹㘳换㈵㘷㡣㕤㔱㌲散㝦㌰㍣搵㘲㌱ㅥ挴㐶㡤㠷㈸ㅥ愶㜸㠴㘲㌵㠴摡戳㙣㜲搶㄰戳㤶攲㌱〸㔷㜲㥥愰捥㑥捥㉣㌸ㅦ挰つ㍣㐵攵搳㄰㙡㌶㡡㔶㜲㥥㐱戱㙣㜲づ愱搵㙡㠸㠲攴㍣〷ㄳ扦搱㐱㥤㥡〳ㄳ慦攴散㕣㉥㌹㐳散㡡㤲挷ㄸㄹ㜸慡挵㘲扣㡡㡤ㅡ慦㔱扣㑥昱㜷㡡㜵㄰㙡晢戲挹㜹㤳㤸户㈸摥㠶㜰㈵攷㕤敡散攴㘴攱㝣〰㌷昰㍥㤵ㅦ㐰㈸ㄳ㐵㉢㌹扣㐴㈸㥢㥣ㅣ慤㔶㐳ㄴ㈴攷㥦㌰昱ㅢㅤ搴愹㍣㑣扣㤲搳户㕣㜲㌶戲㉢㑡ㅥ换捣㠵愷㕡㉣挶㤷搸愸昱ㄵ挵搷ㄴ摦㔰㝣ぢ愱㝡㤶㑤捥昷挴晣㠷攲〷〸㔷㜲搶㔳㘷㈷㠷㑦㝡〶㜰〳㍦㔳昹ぢ㠴攲ㄳㅥ㉢㌹扦愲㔸㌶㌹㠷搱㙡㌵㐴㐱㜲㔴㈵㤳搳㐱㥤㙡㠰㠹㔷㜲㝥昸愵捣ㄵ昳㝦散㡡㤲挷㑣㑤昰㔴㡢挵昰㘳愳㐶㑦㡡㕥ㄴ扤㈹晡㐰愸慦㘰捡㉢收㡦㠱攲搲㝥㉡攷散て㘳㈳㡡扥㄰慥攴昴愳捥㍥㤵㌷挳㘴〰㌷戰㈹㤵㝦㠰㔰㝣㘲㘵㈵㘷㌳ㄴ换㈶㘷ㅥ慤㔶㐳ㄴ㈴㘷㑢㤸昸㡤づ敡㔴ぢ㑣扣㤲昳㜶戹攴扣㘵㔷㤴㍣㌶㙢㠳愷㕡㉣挶㐰挶扥㍤挵㈰㡡ㅤ㈸㜶㠴㔰慦搹挹〱愸昰㘳っ㈶㘶〸挵捥㄰慥攴っ愵㙥つ搰戸捥㤹㡦晦㈴㌹㐱㉡㐳㄰㡡㑦攰慣攴㠴㔱㉣㥢㥣〵㠰㤵㈶㈷〶ㄳ扦搱㐱㥤㕡〸㍢慦攴㍣㔶㉥㌹㙢敤㡡㤲挷㠰㡢攱愹㤶㔱散挱搸昷愴ㄸ㐱㌱㤲㘲ㄴ㠴㝡愸㙣㜲㐶ㄳ㌳㠶㘲㉣㠴㉢㌹攳愹㕢〳慦㐸捥㔱昸㑦㤲㌳㤱捡扤㈰搴㌱㔰㔹挹㤹㠴㘲搹攴ㅣ捤戰㔶㐳ㄴ戴㥣挹㌰昱ㅢㅤ搴愹㘳㘱攲㤵㥣㤵攵㤲㜳愳㕤㔱昲㔸昳㜸㜸慡挵㘲ㅣ挰搸㘷㔲ㅣ㐸㜱㄰挵挱㄰敡ㅡ㍢㌹扣昷攳搲摥慤づ㈱㘶㌶挵ㅣ〸㔷㜲㌲搴慤〱ㄶ挹㔹㠲晦㈴㌹㌹㉡㑤〸㜵㈲㔴㔶㜲昲㈸㤶㑤捥〹㠰㤵㈶愷ㅥ㈶㝥愳㠳㍡㜵ㄲ散扣㤲戳慣㕣㜲捥戱㉢㑡ㅥ搳㥥〲㑦戵㡣愲〵ㅢ㌵㕡㈹摡㈸收㔳㉣㠰㔰愷搹挹〱愸昰㘳㉣㈴㘶ㄱ挵㘲〸㔷㜲㡥愶㙥つ搰㐸づ㥦晣㑡㜲㡥愵昲㌸〸挵㈷扥㔶㜲㡥㐷戱㙣㜲㤶〲㔶㥡㥣ㄳ㘱攲㌷㍡愸㔳愷挳捥㉢㌹ぢ捡㈵㘷扥㕤㔱昲搸昹㑣㜸慡㘵ㄴ㘷㌲昶戳㈸捥愶㌸㠷㘲ㄹ㠴㙡戶㤳㜳㈹㔰㕣摡㕢捥㜲㘲捥愳㌸ㅦ挲㤵㥣ぢ愹戳て挸㘷挱㐴㤲㜳ㄱ㤵㉢㈰搴㌹㔰㔹挹戹ㄸ挵戲挹㌹ㅢ戰搲攴㕣〶ㄳ扦搱㐱㥤㕡〶㍢慦攴ㅣ㕣㉥㌹〷搹ㄵ㈵㡦搱㤷挳㔳㉤愳戸㥥戱晦㠹攲〶㡡ㅢ㈹㔶㐲愸晤散攴〰㔴昸㌱㙥㈶收ㄶ㡡㕢㈱㕣挹戹㥤扡㌵㐰愳攵㥣㠷晦㈴㌹㜷㔲㜹ㄷ㠴攲ㄳ㜹㉢㌹慢㔰㉣㥢㥣昳〱㉢㑤捥扤㌰昱ㅢㅤ搴愹ぢ㘱攷㤵㥣㔱攵㤲㌳搲慥㈸㤹ㄶ㜰ㄱ㍣搵㑡ㄴ㡣晤㔱㡡㌵ㄴ㙢㈹搸㐸搴㙥㜶㜲㕥〰㡡㑢㝢换㜹㠲㤸㈷㈹㥥㠲㜰㈵攷ㄹ敡散㤶戳〲㈶㤲㥣㘷愹㝣づ㐲㕤〲㤵㤵㥣攷㔱㉣㥢㥣㡢〱㉢㑤捥㡢㌰昱ㅢㅤ搴㈹㌶㙦慦攴散㔸㉥㌹㍢搸ㄵ㈵搳ㅣ㉥㠷愷㕡㐶戱㡥戱扦㐱昱㈶挵㕢ㄴ㙦㐳愸〱㜶㜲〰㉡晣ㄸ敦ㄲ昳ㅥ挵晢㄰慥攴㝣㐸摤ㅡ愰搱㜲慥挰㝦㤲㥣㝦㔰昹㑦〸㜵ㄵ㔴㔶㜲晥㠵㘲搹攴㕣〹㔸㘹㜲㍥㠱㠹摦攸愰㑥㕤つ㍢慦攴昴㈹㤷㥣摥㜶㐵挹戴㡤㙢攱愹ㄶ㡢昱㉤㌶㙡㝣㐷昱㍤挵㝦㈸㝥㠰㔰㍤捡㈶㘷㍤㌱㍦㔱晣っ攱㑡捥慦搴慤㠱㔷㈴攷㍡晣㈷挹攱ㅣっ㐳㐱㈸捥〰戱㤲㔳㠹㘲搹攴㕣捦戰㔶㐳ㄴ㥣捡㌹㌵搵㙦㜴㔰愷㙥㠰㠹㔷㜲扥晤戹捣ㄵ昲㌷㜶㐵挹㌴㤴㤵昰㔴㡢挵攸㠳㡤ㅡ㌵ㄴ〱㡡㡤㈸晡㐲愸捦㘰敡㍤愶摣㡦㤸㑤㈸㌶㠵㜰㈵㘷㌳敡散攴㜰㘶㡢㈴㘷ぢ㉡户㠴㔰户㐰戵ㅤ㤶ち㘳㉢ㄴ换㈶攷㘶㈲㔶㐳ㄴ㈴愷㍦㑣晣㐶〷㜵敡㔶㤸㜸㈵㘷㕤戹攴晣摤慥㈸㤹㔶㜳㍢㍣搵㘲㌱㜶挴㐶㡤㥤㈸〶㔳っ愱搸ㄹ㐲晤捤㑥捥ㄶ㐰㜱㘹㍦收っ㈵㘶㔷㡡㈰㠴㉢㌹㘱敡散攴㜰愶㡥㈴㈷㑡㘵っ㐲摤〵搵㜶㔸㌰敦ㄳ挵戲挹戹㤳㠸搵㄰〵挹㐹挱挴㙦㜴㔰愷㔶挱挴㉢㌹慢换㈵攷ㄱ扢愲㜸㥡㔰ㄵㅦ扡ㄷ㍦昶㤴戹挲捥〴ち搷搴㡣㍥〰晢昲晢㌵搵户戵昶捣㡦㥣摦搶㍣戶扥㙤㜴㙢㕢慦㍣〴㔶挵㘴ぢ㤹㙢攰㌲ㅡ㤲㥦㔱㙦ㅥ㌹ㅤて晥晡㤷㔶㘱ㅡ㜵摤晣搶戶㘶㜹愲扢㑤㘹晤攸收㝤㥡摢㐶搷户攲戱摤愲㠱ㅥ搵㔶捤晥㜳捤㈶㑣㝥㘹挱ㅣ㤸つ㠱㥡攷捤㌳㜳ㅥ㌱㑥㙢㥥摦㤲㌵㈷㡣晥㕦㤸㍥愳慣㐷搳ㄵ㜸晡愹ㄴ㠶㐵捡㑦ㄷ㜱攵㝤㙢㜰㔳㠹㈷愶敡㜷捥扥㔸つ晢ち愳づ㑤慦〲㑥搰搴㡤搱㙣㠶晥㡡慡晢愰敡戸㠹戸㈶攴昴〴搸㥦〷慤㤶慥户㍤攳㙢㐲㔳㙢㝤捥昴摢愵扤敢㥢晡搸慢㤳攷户ㄵ搴愴ㄷ㙥㙣搷攰戱敥攴㈶㔰㥦㑤户攴晥ㄷ㔸挱㡥攱㘳㔱愲㝣昸昷晢ㄲ㙤戹愹愸昸㔲扦敥昲攵㜱攸散㘳散㕣摦㡦㙡捦愷散㑥㜷挴㡡㙢㍥㔳つ昰扤㤹㙥㐷㕤捤搲摥㘶扡㐹㔸㤸搶㤶ㅢ㙤㉥攸㈳〸ㄳつㅣ㙦㉦㌴㤸ㅢㄷㄶ㘵戲㠵㤱ㅦ㤹㘹㙤㙥㤸摦㘶昶㜱搶愴愳ㅢ昹愹㈶㥥㤹㘳㙥㕡㉦㘷㙤㑡戶つ戳昷ㅣ㝦㥣㜷昶扦挳㄰㌲搲摤㘶㐹〹㑦扥づㅡ㙦攱㑥戰て晤㑥㔶㔵㐵㐵㕥㍥㥦敦愹㉥㕥挱捦㡤㝢㔶攸ㄵ㍦㍦ㄵ㔵て挰㝤攷㈷㥦戱㈷㙤慣攷㐴㕡㐷㌸㌹㜸昵搲㍡捥晢敡㥤㤷攳ㅥ㈶㜷昲挵㤵ㅡ㜶㥤〶扣㔵搴㔶㥦㑤㌷㌴㉣敡㤳㥦搰㤴㙤㤸㥦㌳㈷愵㌳㘶㠳㍥㘶㌷户㌴晥㡦昰搵ㅤ㔹戳㝢㔴〷㜹戱㘷攴㑤挰散つ㍤搵敤㜷ㅦ收㤴㌱ㄶ㍤捤㌷づ愲㙡昸愸扡ㄸㅦ晦晡㡤昱㜶敦攳㙣戳晦昳㝣㍦㍦㡣晡戶捦㔶㤵户㠲㜰㠰㉢㔱昱挸挶戹㑦捥㤴㐱改㜷㉥搸愴收㐹捤㤸捥㤹㜳愹挶搷㕢慡晦㤹摥㈵ㅤ换攷昳晤摥搳っ㜲㠵捦㤷昶捣ぢㅣ晡慣昲㥥㍣搳戰㡢㍣㠴㜲昱慣㈹搷攵㠸㕣〱挸愱㌰〰㘰つ㡦㘳搶攵挳昴晡戶〶戳㘷㕥敡㘵扤㥡ㅤ㠳搹散㤱㥦㍥ㄷ㌳㤰㐶昷捥㡦㙢愹捦㌵搴㌷㤹扣ㄴ挱昴㘲扥㠹㌵挹㍣ㄴㄳ㘱愷㌴户搶昳〵挳摥昹改㉤改愶搶㜹㥣㘸㤶㕤搴户愰㈴㘴㔵攵㐷搵㌷愱ㅢ㔹摢攴㝡㑤㝥摡摣收㈳昱㡥攲晣挶愶㜱改㜹慤晦ㄳ㐴戱㔷㔹ㅦ敢㌸㔸愹㉡㉢㔵㜵㘵昵敦㍤㘳愱㠵挳㘵ㄸ㉥㉢㈹㙣慡ㅥ挶㕡〷扤㤶㉣搹搳㤰搹㙢ㄹ㔳挱晢㜶㥥㜳㈰㥤ㄷ㍣㜹㈴㌶㈶愰㕢昶㥡〸㌱㜱摣㝥ㄳ摡㈷慦晦㝦扤㉤㔹昵〸㍣㜷㜰㐲㤰㘶攱捣㤴摤〴攰㍥㔶㔳愱㡥㉤挷㄰挶㔹㉡㙥㝥晥扣㘰搸ㄲ㜱づ㈵㥣慢㘳㌱㠷戱ㄷ㍡㍥づ挰㤸晢㠹㈳㙦ㅦ慢挰㡢扡挶㜴㐳慢㕤㔷搷摣搸㤸㘶搳㘲戳㥣㠶愳户㔹㉤㔷搸㌸㤲ㄸ㜹〸㘹㝦戶㉡扤㄰慡昴㐲㔱攱愴捣搹敦戲㑥㕦捤㠷愶㕢敡摢收㌶搶㘷慢㔹攰っ昵晦㠹㌶㠹㈶搴ㅤ挹搴ㅦ㘹㤸戸㕣㉤㥥㘷㙡㑤㡤〴摤㐳㜱〷挱搴㤱㝥戴摣㑡㌹㤳慢摦㌹戵ㄸ捤㔷敥戲㡣㐹昰㔶㠵㝢㝥戹挴㤵㔸㕣㤷㘱㘸愲㜲㄰㔲㡦ㄲ㠰挵搸ㅢ㜰晤改扥ㄶ㙢ㅤ捥昶散〱㠰㝦㔲㜳㍡㌷ㄶ㉦㌱㌴户昴戰摦敥慤〶戵㍣愴戴〴㌸挳户づ搳攳㌱敤㝥〱慥㠶㕢慡愹㤸㠶戹戳摤㌹㌷搸㘷㜱挸ㄳ㘲㐵㔵㔵捦㙡慦㙤㑤搰扥〶摡㌳㈱摤㙦㐷㑦㈸昱晦改扥㐹㍥昳挰㙥㜱㐷㡣㝤㈰㡤挹㄰敡㌱ㄴ戹㍦㐵㠰㈹〴散ぢ㔱昵〴㉡㡢㝢㐹搹搹戰㌰愸愸㙡攴㉣摤敡㐶敥づ㉥㍡㝣㤸扢㡢搹扥㐸㠹慦㘷昵攳愸㌷愶〲昵摣戳捦づ挷㝡㠵攲㜴搳戵㔸戸㝤〳晦晢晤㑣㥥㌱つㄸ㘳㍡㠴㝡〹㐵㤹て扥ㅡ㉢㤸戹〳㥤扥㉤搹ㅦ敢㌸㔵愸扦㐱挵㕢ㄳ晤㜱㌱㠹㔳晡〱㌶敡㘵㔴昳愲㥡㠴㙥攸〲㑤扤〲ㅣ㉦搲㤴㌱ㄳ收扥〳㈱慡㠶㡦㥣ㄱ㑦㐰攷㌷づ戲㕤扥㡡ㄲ慦ㄴ慣㑦搹㜳㤹㝡ㅤ〰㥥捦㉡㝣〷挳戲㝦㕤㜳㙢㕢慤㌳慤晣挸㕤㥢㙢愷搶户ㅥ㕥换换㥡㘱戵攱愸㐴㔸㜴㡣㔵㝦㠷㌵㡦戳挶㉣㜸㔰敢戰挶挳㤷搳㥣㘷㌳挰つ㌶攷㌷挵〲㑥收搰㠹㕤㔰㙦㘳㘵㉤㤶愲㈶㤰〶挶挸㄰昸㡥㌷㈰㑢㐰㡥㠰㜷〱㘰㍢㌱㑣㤴ㅣ㙡㍦㜰㤹戹愸捤搳散㔰㥡㝤ち㠰㡢摡㝡攸㌴戵㠷㘱㥤搴㝥〶㔵㜹㙡て户㔱㥦〳搵㘹㙡扦〰搸愲戶〱收扥㐶〸㔲ㅢ㡢㐰敦㌷㥡㙣㤷㕦愲搴ㄹ㙡扦〶㑥愸㌵㐸㉤攲㉦㌹㍤慡㙦愰ㄶ敡收〱愱扥㐵愹㠰扡ㄶ〶戰㐱敡扥户㝣攳〱ㄴ㥤搸〵昵〳㔶搶㘲㈹愲㡥摦㡡㘰捣㈷昰㐷㙦挰〲〲㡥㈴㘰㍤〰㐲摤㐲㤴ㅣ敡㝥㜱㤹戹愸㕢㐴戳挵㌴昳㈱〴ㄷ㜵㐷㐳愷愹㍢〶敢愴慥〷㈰攵愹㍢搶㐶㔵〳搵㘹敡㌸㌱搶愲敥㌸㤸晢㡥㠷㤰㙢昷㈴戶敥㌷㤶搸㉥晤㐰㜵㠶㍡㑥愱ㄵ敡㍣慦㙡ㄴ㈷搷ち㙤㈷挰慦敡㠳㔲〱㙤㈷㜱攳ㅢ愴㉤〰㌳晣ㄵ㥥㐰ㄴ愷攳慥㠵戶㠸戶㔳攰搲㌸㤵㕢攳㔴㕤て挰㔲〲㑥㈳愰ㅦ〰㐲摢改㈸㌹戴㜱㝥慥㌶㜳搱㜶〶捤捥愴㔹㉤〰㉥摡捥㠶㑥搳㜶づ搶㐹摢〰㐰捡搳戶捣㐶㙤ぢ㔴愷㘹摢づ㘰㡢戶㜳㘱敥㕢づ挱ㅥㄷ㠹㘱敢㝥攳㍣摢攵㐰愰㍡㐳摢㈰攰慣㠳改昹戰散昸㘰ㅡ㐲换〰扣昸㘰扡〳㜴㐲敤〵昰愰㜶㐴愹㠰摡㍦㌲挰つ㔲㍢ㄸ㘶昸慢㌰㉥愲ㄳ㈶㤲ぢ㈷て慦挵㑡ㄱ戵㉢㠰㌱㉥㈶㤰ㄳ㡢㍤〰㤷㄰㜰㈹〱㐳〱㄰㙡㉦㐳挹愱㤶戳㠹戵搹搶昰㙦㥦㈷㉦愷搹ㄵ㌴ㅢ〶㠰㡢摡慢愰搳搴㕥㡤㜵㔲换㜹挱攵愹扤挶㐶敤づ㔴愷愹攵〴㘳㡢摡㙢㘱敥扢づ㐲捥㤳捣㌸ㅥ㜹搸㉥昷〰慡㌳搴㡥〰㑥愸㉤㝦㌰ㅤ〹㠸㔰㜷〳㝣慢㔱㈸ㄵ㔰户㤲〱㙣㤰扡搱㌰挳ㅦ㕥搳愵ㄳ㈶㡡换㔸挸戵㔸㈹愲敥㘶㘰㡣㕢〸ㅣ攷つ戸㤵㠰摢〸ㄸて㠰㔰㜷㍢㑡づ㜵㝢戹捣㕣扤昲づ㥡摤㐹戳改〰戸愸㕢〵㥤愶敥㙥慣㤳㍡捥㕡㉥㑦摤㍤㌶㙡〶㔰㥤愶㡥搳㥦㉤敡敥㠵戹敦㍥〸改㤵〹㙣摤㙦摣㙦扢攴晣攸捥㔰㜷㈰㜰㔶慦㝣〰㤶ㅤ昷捡㜰㄰晢㔷摡㉢㌹捤㕡愸晤㌳㍣愸㠳㔱㉡愰昶㈱〶戸㐱㙡て㠱ㄹ晥㌰摤㤲㑥㤸㐸㉥㜳㈰搷㘲愵㠸摡㐷㠰㌱㔶ㄳ㤸昶〶㍣㑡挰ㅡ〲㌲〰〸戵㙢㔱㜲愸攵㑣敤戵戶㕦㔷慦㝣㡣㘶㡦搳慣〹〰ㄷ戵㑦㐲愷愹㝤ち敢愴㤶㜳慥换㔳晢戴㡤㥡〷㔴愷愹攵攴㙤㡢摡㘷㘰敥晢ぢ㠴昴捡ㄴ戶敥㌷㥥戵㕤㜲㜶㜷㘷愸攵ㅤ晢〶㝡㈵㈷㠱ぢ㜵捦挳户㕡㠰㔲〱㜵㉦㌰㠰つ㔲挷㔹攳昸慢㌰㕥愴ㄳ㈶㡡换㘲挸戵㔸㈹愲敥㈵㘰㡣扦ㄱ挸㈹攵ㅥ㠰㤷〹㜸㠵㠰愳〱㄰敡㕥㐵挹愱㡥昳挸戵㤹慢㔷扥㐶戳搷㘹戶ㄴ〰ㄷ㜵敢愰搳搴扤㠱㜵㔲挷ㄹ攱攵愹㝢搳㐶㥤づ㔴愷愹㍢〳㘰㡢扡户㘰敥㝢ㅢ㠲搴㈵㉣敡摥戱㕤㜲敥㜹㘷愸㍢ㅢ戸つ㔰挷㈹敡㐲摤㝢昰慤㤶愱㔴㐰摤〷っ㘰㠳搴㜱㑥㍢晥㉡㡣て改㠴㠹攲㜲㍥攴㕡慣ㄴ㔱昷ㄱ㌰挶㍦〸攴㠴㜷て挰㍦〹昸ㄷ〱ㄷ〲㈰搴晤ㅢ㈵㠷㍡捥㜲搷㘶㉥敡㍥愶搹㈷㌴扢ㅡ〰ㄷ㜵㥦㐱愷愹晢ㅣ敢愴㡥昳搵换㔳昷㠵㡤扡ㄶ愸㑥㔳挷㠹敦ㄶ㜵㕦挲摣昷ㄵ〴愹㡢㕡㌷ㄶ㕦摢㉥慦〷慡㌳搴摤〰摣〶愸攳〴㝡愱敥㕢昸㔶㉢㔱㉡愰敥㝢〶戰㐱敡㌸攳ㅥ㝦㤸㍥㐱㈷㑣ㄴ㤷㕢㈱搷㘲愵㠸扡ㅦ㠰㌱㝥㈴㤰搳昱㍤〰敢〹昸㠹㠰摢〱㄰敡㝥㐶挹愱㡥㜳昰戵㤹㡢扡㕦㘸昶㉢捤ㅥ〴挰㐵㥤㍣晦戴㥦㐲㜲搸㠸搴㜱㌶㝤㜹敡㉡㙤搴挳㐰㜵㥡㍡㑥换户愸敢〶㜳ㅦ扥扤换㍡㘰㕡㔷愸㔵戶换搵㐰㜵㠶扡㌵挰㙤㠰㍡㑥敦ㄷ敡㝡挰户㝡っ愵〲敡昸摤㜴ㅢ愶敥〹㤸攱て戳愱改㐴㔳昷ㄴ搶㜴㡡挹扥㍤攴搳ㄳㄸ愳ㄷ㠱㝣㔹挰〳搰㥢㠰㍥〴㍣〳㠰㔰㔷㠳㤲㐳ㅤ摦㄰搰㘶㉥敡〲㌴摢㠸㘶慦〲攰愲㙥㘳攸㜴慦敢㠷㜵㔲挷戹晥攵愹摢挴㐶昱㘵㠰㑥㔳挷㤷〶㉣敡㌶㠵戹敦て㄰搲敢慣㉢搰捤㙣㤷敢㠰敡っ㜵㙦〲户〱敡昸昲㠱㔰户〵㝣慢户㔱㉡愰㙥㉢〶戰挱㕥昷㉥捣昰㔷㘱㙣㑤㈷㥡扡昷戱愶㔳散愲㙥ㅢ㘰㡣晥〴昲㔵〶て㐰㉤〱〳〸昸㄰〰愱㙥㕢㤴ㅣ敡晥改㌲㜳㔱户ㅤ捤〶搲散㑢〰㕣搴つ㠲㑥㔳户〳搶㐹ㅤ摦㐴㈸㑦摤㡥㌶㡡慦㉡㜴㥡㍡扥搲㘰㔱户ㄳ捣㝤㠳㈱㐸㥤晤㈸㙥㠸敤昲㕢愰㍡㐳摤昷挰㙤㠰㍡扥ㅡ㈱搴敤〲摦㡡敦㐸ㄴ㔰户㉢〳搸㈰㜵敢㘱㠶㍦捣〳愲ㄳ㑤摤捦㔸昳㘰㈶〴㡣ㄱ㈶㤰㉦㕡㜸〰㈲〴㐴〹昸ㄵ〰愱㉥㠶㤲㐳ㅤ摦慥搰㘶㉥敡攲㌴㑢搰捣て㠰㡢扡ㄴ㜴㥡扡㘱㔸㈷㜵㝣㑦愲㍣㜵扢搹愸㕥㐰㜵㥡扡摥〰㕢搴敤づ㜳摦㜰〸㔲ㄷ㐹㘱敢㝥㘳て摢㘵ㅦ愰㍡㐳ㅤ㕦捤㄰敡㝣㝢挲㜲〳㌷て攸搸挸㔴昱㉤㍤㕦散㄰㙡㐷挰㠳敡㡢㔲〱戵愳ㄸ㈰㤴㤲ㅡ晣㔷㌰敢〲敥慣攱晥㝥㐰愰㠰挹㉦㜴㠲ㄵ㔹昸㉡㠸愶㠰㉥散〳敡㘸㘰㡣㌱〴昲㌵ㄱて挰㔸〲挶ㄱ戰ㄹ〰㐲敤㜸㤴ㅣ㙡昹㙥㠸㌶摢㕡晣捡搰昷〴㥡㑤愴搹㐰〰㕣搴㑥㠲㑥㔳扢㌷搶㐹敤昶㠰㤴愷㜶ㅦㅢ㌵〸愸㑥㔳换搷㐵㉣㙡㈷挳摣㌷〵㐲㝡愵㜵㉥摣搷㜶戹㈳㔰㥤愱㜶㌰㜰ㅢ攸㤵㝣敤㐴愸㥢〶摦㙡㘷㤴ち愸摢㡦〱㐰搹㌱㜵㐳㠱㄰敡㘶搰〹搱㕣昸愲㡡㑥㌱㕤搸搴敤て㡣㜱〰㠱㝣㠹挵〳㌰㤳㠰〳〹〸〳㈰搴ㅤ㠴㤲㐳ㅤ摦㕣搱㘶慥㕥㜹㌰捤㘶搱㙣て〰㕣搴捤㠶㑥㔳㌷〷敢愴㡥捦㘳捡㔳㤷戶㔱㈳㠰敡㌴㜵㝣㤹挵愲㉥〳㜳㕦ㄶ㐲捥㠵ㄶ㜵㌹摢㈵摦㜶改っ㜵愳㠱摢〰㜵㘳〰ㄱ敡昲昰慤挶愲㔴㐰摤㕣〶〰㘵挷搴㡤〷㐲愸慢愷ㄳ愲戹㑣㠴㔶愷㤸㉥㙣敡づ〳挶㌸㥣㐰扥㘲攳〱㘸㈰愰㤱㠰㐹〰〸㜵㑤㈸㌹搴㑤㜶㤹戹愸㙢愶搹㍣㥡ㅤ〰㠰㡢扡ㄶ攸㌴㜵慤㔸㈷㜵㝣㐳愶㍣㜵㙤㌶敡㐰愰㍡㑤ㅤ㕦戵戱愸㥢て㜳摦〲〸愱㉥挴㕤㌷㡥戴㕤昲㕤㥣捥㔰㜷〸㜰ㅢ愰㡥慦散〸㜵㡢攰㕢捤㐱愹㠰扡愳ㄸ〰㤴ㅤ㔳挷㜷㝣㠴扡愳改㠴㘸㉥㌹㘸㍤㤸㌹〶ㄸ攳㔸〲㑤㙦挰㜱〴ㅣ㑦㐰ㅥ〰愱㙥〹㑡づ㜵㝣敢㐷晢ㅤ挴扣昸㌷㠲㌴㑥愰搹㠹㌴㙢〱挰㐵摤挹搰㘹敡㑥挱㍡愹攳晢㍢攵愹㍢搵㐶戵〱搵㘹敡昸㈲㤰㐵摤㔲㤸晢㑥㠳㤰〳㈶㐶戹㐰摤改戶㑢扥㈹搴ㄹ敡ㄶ〲户〱敡昸㐲㤱㔰㜷㈶㝣慢挵㈸ㄵ㔰㜷㌶〳㠰戲㘳敡昸〶㤲㔰㜷づ㥤㄰捤攵㔸㘸㜵㡡改挲敥㜵换㠰㌱捥㈵㤰慦㈷㜹〰㤶ㄳ㜰ㅥ〱挷〳㈰搴㥤㡦㤲㐳ㅤ摦㐹搲㘶慥㕥㜷〱捤㉥愴搹㤹〰戸愸扢〸㍡㑤摤ち慣㤳㍡扥㕤㔴㥥扡㡢㙤搴搹㐰㜵㥡扡㜳〰戶愸扢〴收扥㑢㈱㐸㕤㈴捥㕤㌷㉥戳㕤昲㍤愶捥㔰户ㅣ㌸愱捥㜷㌹㉣㍢扥㡣〹愵戰㝦愵㤷㌱㝣ㅤ㑡愸扤〲ㅥ搴昹㈸ㄵ㔰㝢ㄵ〳㠴戲㘳㙡昹晥㤴㔰㝢㌵㥤㄰捤攵㈲㘸㌵〵㜴㘱㔳㝢つ㌰挶戵〴昲攵㉡て挰㜵〴㕣㑦挰挵〰〸戵㝦㐲挹愱㤶㙦㔴㘹戳慤挵慦㕣挶摣㐰戳ㅢ㘹㜶㍤〰㉥㙡㙦㠲㑥㔳㝢㌳搶㐹㉤摦㡤㉡㑦敤㉤㌶敡〶愰㍡㑤㉤㕦戲戲愸扤ㄵ收扥摢㈰攴㔹愱㐵敤敤戶换㤵㐰㜵㠶摡㥢㠱ㄳ㙡扤㥦ㄵ昲㐵㉤愱敤づ昸㔵户愲㔴㐰摢㕤摣㌸㤴ㅤ搳挶㌷扢㠴㌶昷㘴ㄳ㜵㈷戴㍡扤㜴㘱搳㜶㌷㕣ㅡ昷㜰㙢㝣敤换〳㜰㉦〱昷ㄱ戰ち〰愱敤㝥㤴ㅣ摡昸慥㤷㌶㜳昵挸〷㘸昶㘷㥡慤〶挰㐵摢㐳搰㘹摡ㅥ挶㍡㘹攳㕢㕢攵㘹㝢挴㐶昱戵慥㑥搳挶搷扦㉣摡㔶挳摣昷㈸㠴昴挸㈴㜷摤㔸㘳扢攴㙢ㄹ㥤愱敤〹攰慣ㅥ戹ㄶ㤶ㅤ昷挸㌰㑥戵㐸㝦昱㡤〵㕦㌳ㄳ㙡ㅦ㠳〷昵ㄴ㑡〵搴㍥挱〰愱散㤸摡㘷㠰㄰㙡㥦愴ㄳ愲戹㍣ぢ慤愶㠰㉥㙣㙡㥦〲挶㜸㥡㐰扥戴收〱㜸㠶㠰扦㄰昰㍣〰㐲敤戳㈸㌹搴昲㑤㌵㙤收敡㤱捦搱散㜹㥡慤〳挰㐵敤ぢ搰㘹㙡㕦挴㍡愹攵㍢㘷攵愹㝤挹㐶昱愵戴㑥㔳换㤷搷㉣㙡晦〶㜳摦换㄰搲㈳慤昱搱㔷㙣㤷㙦〳搵ㄹ㙡摦〵慥㠳ㅥ挹ㄷ攰㠴戶㔷攱㔷昱㑤戸〲摡㕥攷挶愱散㤸戶て㠱㄰摡ち㝡攴㍦愰搵改愵ぢ㥢戶㜵㜰㘹扣挱慤昱㜵㍡て挰㥢〴扣㐵挰扦〰㄰摡摥㐶挹愱㡤敦搰㘹㌳㔷㡦㝣㠷㘶敦搲散㕢〰㕣戴扤て㥤愶敤〳慣㤳㌶扥つ㔷㥥戶て㙤ㄴ㕦㤷敢㌴㙤㝣慤捥愲敤㈳㤸晢晥〱挱ㅥ㤹戰慥㑣晦㘹扢晣〱愸捥搰戶ㅥ㌸愱慤晣㈳㕥扥㥥㈷搴晤ㅢ扥ㄵ摦搳㉢愰敥ㄳ〶〰㘵挷搴晤ち㠴㔰昷㈹㥤㄰㉤㑢户昶ㄴ搳㠵㑤摤㘷挰ㄸ㥦ㄳ愸扣〱㕦㄰昰㈵〱㤵〰〸㜵㕦愱攴㔰㔷攵㌲㜳㔱昷㌵捤扥愱㔹ㅦ〰㕣搴㝤〷㥤愶敥㝢慣㤳扡ㅡ㐰捡㔳昷ㅦㅢㄵ〰慡搳搴㙤〴戰㐵摤て㌰昷晤〸㈱㔷愶搶㌹㜰扤敤戲㉦㔰㥤愱慥ㅦ㜰ㅢ愰㙥ㄳ㐰㠴扡㥦攱㕢㙤㡡㔲〱㜵扦㌲㠰つ㔲户ㄹ捣㠴扡摦攸㐴㔳户〵戴㙢㔱㈸㝡㈲㔱㔱㠵ㄴ昳搷ㅣ搴㤶摥㠰㑡〲扡ㄱ戰ㄵ〰㐲㕤㜷㤴ㅣ敡晡扢捣㕣搴㔵搱捣㐷戳ㅤ〱㜰㔱㔷つ㥤愶㡥扦ㅥ㐳敡㜶〲愴㍣㜵㝥ㅢ㌵ㄸ愸㑥㔳㌷〴㘰㡢扡㥥㌰昷昵㠲㈰㜵㔱敢愶愲户敤㜲㘷愰㍡㐳摤㔰攰㠴㍡㕦ㅦ㔸㙥攰㍣㠸攳㌱戲㕥㝣ㅥ摣ㄵ㉥㠴摡ㅡ㜸㔰㐱㤴ち愸摤㠸〱㙥㤰摡㌰捣㠴摡扥㜴愲愹㡤㐲扢戶㤴摡㡤㠱㌱晡ㄱㄸ昳〶㙣㐲挰愶〴挴〱㄰㙡晦㠰㤲㐳㙤捡㘵戶㌵晣摢㜳㘶㌶愳搹收㄰㔵㜵〰㜴敥㥤㍡㕥搲〶㕣㉦㍡㜲晥㜷敢㐶昹㝤攷愷ㅢ昰㈳㌰㤳昱戶㑤ㅢ㔵晦ぢㄳ慣扢㕢敦㍣ㄵ㝦㌵㝢攱㙦挳攰㜵㐱搹㠵㠳㘶㙤㠳㍤㉢捥㐱㈱搶摥户㔶㈲㝦摦㍢㔱晥慡㝦慣晦敤户捥㙤㠵慤愲挷〲㝥敢敦散搹ㄵ搵摣㈶㐸挲愵摦㤶㈰㡣㝤㙤㌴㡡搲㠴ち捥挹㘳扣戴㔵㘳愱敤攰挵㠴愲搷㠹攸㜵攳昶㘹搴㥣㌰㍦愴㠱㍦㌱攵㌵晦扡昰晤㠴慤ㄱ㥣ㅡ敦ㄵ㠳㥡愰戵晤㠹挱㈶戸㔴㑤㠲㜶㠳㌳摥㜱昸挳ㅢ㤴㥣晢㍥慤㙤㔱〳摥㌷攰㉡扦㈹搷㕡攳〴㙢慢ㅡ㐱㌷户㜴挷换愲挵摦㡤敤搸摥〳㔷㍤晢ㄵ㝤ㄷ戹㤸戱㘶㈲愲愹㝡ㄷㄴ㤵戵㘷搰敤慣搰㠶ㅦ摦〰散㔳扦扤敢戳㉤捤慤捤昹戶摡㘹㜸㘷愶㤶摦㑥㥦挷摢㔳㈳慢摥㠶㐷捦㙤㜲挷扡㌷昱昷㤲㠴㘸晦攱㑤捤㐷㌶㐹㌴㔵慤晣㤲㝥㙥捤攸搱㠳㥢攱㍢㔵昲搹づ㠹ぢ㘸捥〳晢㈰㘲ㅥ㙤㝣摢㈱㠲敤敢㐶搵㑤㥤㥤㑥㘵挲挱㠸ㄹ挹挴㤳戱㘸㌰㤸捥㐴ㄳ挱㜰挶㡣攴攳搱㜸㌴ㅣ捡昸〶㍡㔰㌳㥤㡡㐶捤㕣㌶㥡㑢㐶愲㘶㍣㥢㠶捣挷㔳挹戰㤹㡣挶愲挹㘰㘰戲敤摥搸ㅥ㌶挶㈰㠸挰ㄴ慤摡㠱慡ㅤ愹摡㔷慢ㅣ㔴捤㔴愸ㄸ戲捦ち晡扦㈷〳㥣ㄱ㡦㍦㝣㝤㈹㌶摤慢㙥搴㙣㜹㐹㘰㉡扥㌵摦户㌳㌴ㅢ㐱㔳昸换㔴扥㕤愰敥〳戵敢晤㥢挰㜴摢㡢㌱〰慥㡣㕤㠱㌰㙡戱愶㘶㐰捦愳愱㕦晤ㄵ愴戱户㜲㕢㝥㈳っ〴㝢摤晥㈸ち㉢㥡〱搴㘲愸搴㔳㍢ㄳ㕡昶㍣㈳ち㘳㜵㤰㈷㘶㤶搶挶㠹愱㉦㉥戳愱㘵捦㔰㑦㈳〰戶㐷㙥挵㤷〴愴㙣㈳㔳㑦〲挶㠶㔶搸㔰收挰ぢ㕢㤹㌱っ挶扤扢〵搲㈸㑢㝢搹つ㘵慢扤㘴攳ㄹ㌳ㅦ㡣挵捤㘴㉣ㄱ㑤㠴ㄲ挹㘰㌸㤲挶㕡㍡ㄲ捡㤸昱㑣搸户扢〳つ收攲搹㙣㉥ㅢ㡢愵昲改㘸㌸ㅥ捣㤸㠹㑣㌴㥣㑦愶攲愹㔰㈲ㄸ㡡〵㌲戶㝢㘳㌸㙣㡣㍤㈰〲㔹慤摡㤳慡ㄱ㔴攵戴㡡〰㠱搶㤸㔰㜵㑤㝢挹挳㌳晥昰攵〶摣ㄸ㥢㠸挱〶ㄱ攰捣㝢搱敦挰捡㜱搴て挲㥡慡㠷搲㙡〱昷㈲㥢敤㉤㘰㈲㄰㙣〱㠷愱扥戴〵ㅣ敥愹㙤㠰㔶㕡挰㈴ㄸ慢㈶㑦捣㍣慤摤㠷ㄸ㐶挰愵〵㕡㘹〱㜷㈰〸摤〲っ戶〰ㅥ㔱搴㙤㥥㘴㜳㑡扣㤰㍤ㄵ㌸㤰摤㠶戲㤰㍤つ㘵㡢散㑣㍣ㅢ㐹攴㌲搹㔸㈲㤹㡤㈶戳㤱㔴㉣ㅤ捤㈶昰㍢㝢戹㘸㌶㤴て㐷㝤搳ㅤ㘸摡捣愷搳㐹㌳ㅥ㡦㈵捤㘸㈶㤹㐹㈶㤳戹㕣㈲㥤㑥愷㜲㤱㘴㌶㥦〹捣户摤ㅢ晢挱挶㤸〱ㄱ㔸愰㔵敤㘴ㅦ愹㔵づ慡㘶㈱㔴㕤㐳昶㈲㜸挶㕦〹搹㡢戵㝥ㄷ㔶捥㘶扣㍢㘳㑤ㅤつ扤㐵昶ㄵ〵㘴㘷㠰㈰搹挷愰扥㤴散㘳㍤戵挷㐱㉢㘴攷㘰慣㤶㜸㘲㑥搰摡㍣㌱㡣㠰换㐹搰ち搹㉢摣㘴昳㥣㈲㘴晦搱㤳散㔳㘰㈴攴ㅥ〶㥣㐵㙥㌲ㄳ捤㠴㔲昸㈱㐴搳捣攱户ㄳ愳挹㜸〶慢㤹㙣㍣ㄱ㑦㈴ㄳ昹愸敦㜰〷ㅡ㐹㠷戳搱㐴㍣㤹㠸㐴㜳搱㕣㌶㤷ち挵戲昸つ挵㐴㌰㤹㌷㠳㌸〳〴㌸晤㥥敥㡤〶搸ㄸ㡤㄰㠱愵㕡搵㝥攴㍦㑤慢〸㄰㘸捤改㔰㜵つ戹㘷挰㌳晥㑡挸㍤㔳敢㌹㠰㘲㉣㘰㈴扣㘸㔷㘷㐳㙦㤱扢戴㠰摣㐵㐰㤰摣㜳㔰㉦攴㉥㠶㐲㝦搴㌲㑦敤戹搰ち戹㐷〱慢㌸㔵扦搴昲〲慤㍤㠶ㄸ㐶挰攵㡦搰ち戹㈷戸挹㜵㝡昲昱㥥攴㕥〴㈳改挹㑢攰ち㍤㜹〵捡㐲昶〹㈸㕢㘴㥢攱㙣㉥ㄸ挹挶捤㔸㍣ㅣ㡤攵㤲㐹㌳㤵挶㈹㍣ㄷ捦㈵㤲愱㕣㍣敤㍢搱㠱挶捤㜰㈶ㄶ㌴攳改㐴㌶ㄹ㡤愶ㄲ㤹㐸㌴㤱㑡㘴㘳愹㘰㍡ㄷ㑡㘵搳㠱㡢㙤昷挶㐹戰㌱㑥㠶〸㕣愲㔵愷㔰㜵㉡㔵㤷㙡ㄵ〱〲慤戹っ慡慥㈱晢㜲㜸挶㕦㠵敦㜴㙣慣昰㌴㝦〶㌴ㅥ愷昹㌳愱㉥㍥捤㕦㘱㝢㤱㥦て㌴捥㘶摣㐹㤲㜲ㄵ昴㔶搳㤸㔷搰㌴捥〵㠲㑤攳㙡搴ぢ挱〵愷昹㙢㍣戵搷㐲㉢㑤攳㍣ㄸ慢敢㍤㌱㌷㘸敤〵挴攸愶戱ㄲ㕡㘹ㅡ㠷㜹㌶㡤戹㥥㑤攳㈶ㄸ㐹搳㔸〱㔷㘸ㅡ㌷愳㉣㑤攳㘲㤴敤㠳㝣挴㑣㈵㤳昹㜸㈸㤹挴挱㈰ㄲ㑡㠶㌲㤹〸㡥收昹㔸㈶ㄱ㡦㐶㐳扥㑢ㅣ㘸㌰㤵㑦挴㌲挰㐶㌳㤹㘸㌶㤷㑢㐷㜸㄰挱〱㈰ㅦ换〵㜱挸〸摣㘲扢㌷㉥㠵㡤㜱ㄹ㐴攰㔶慤㙡㍦挸摦愶㔵〴〸戴收㜶愸扡愶㘹摣〱捦昸㉢㌹づ摣愹昵㝢戲昲㝡㐶戲〷㔳扤ち㝡㡢散〳ち挸扥ㄱ〸㤲㝤㌷敡㠵散㠲攳挰㍤㥥摡㝢愱ㄵ戲㙦㠲戱扡摦ㄳ昳㘷慤扤㠵ㄸ㑤昶㐳搰ち搹㔳㍤挹㥥攲㐹昶挳㌰ㄲ戲敦㠰㉢㤰晤〸捡㐲昶㥤㈸㕢㘴㐷ㄲ㤹㘰㈲ㄱ㑡㘷挳㌸㠷攷㈳㌱㕣㡣挵挲㤹㐸㉥㥤㑡愶挲戹㘰搲㜷㤷〳㡤愶㤲愱㝣㍥ㄹ㠹㘷㜱昹㤶捥愷㌳昱㜰㌰ㅢ㡤攵㘳攱㕣㌲ㅥ捥挶〲慢㙤昷挶㉡搸ㄸ㜷㐳〴ㅥ搵慡昶攳挰ㅡ慤㜲㔰㌵㙢愱敡ㅡ戲ㅦ㠳㘷晣攱ぢ挷ㄹㄲ扢扥挱㡥ㅥ㜸㕣敢挷戰昲㘱敡㐷㌳搵㝣戳挰㈲㝢㐴〱搹㡦〲㐱戲㥦㐲㝤㘹捦㝥摡㔳晢っ戴㐲昶㕡ㄸ慢㘷㍤㌱捦㙢敤攳挴㘸戲㕦㠰㔶挸ㅥ收㐹㜶搲㤳散ㄷ㘱㈴㘴㍦つ㔷㈰晢㈵㤴㠵散㘷㔰戶挸づ㘵愳搱㜰㌶㤴捣挵㜰㙦〷扥㜱慢㤶㌶㜱捤ㅥ㐹㠶攲㘶㍡㥡昰晤挵㠱㥡愹㔴㌴㤵ぢ㘶捤㐸㌰ㅦつ愶㠲愹㔴㈸㤸ぢ㈵㑣㌳ㄵ㡣㐵愲改㔸㠰㉦つ搰扤昱㉣㙣㡣攷㈰〲㉦㙢㔵㝢捦㝥㐵慢〸㄰㘸捤慢㔰㜵つ搹慦挱㌳晥㑡㝡昶敢㕡扦ㄷ㉢㕦㘵㈴ㄳ㤹敡㜵搰㕢㘴敦㔸㐰昶摦㠱㈰搹㙦愰扥㤴散㌷㍤戵㙦㐱㉢㘴扦〱㘳昵㡥㈷收㍤慤㝤㡢ㄸ㐶挰攵〳㘸㠵散㙤㍤挹慥昵㈴晢㐳ㄸ〹搹敦挱ㄵ挸晥〸㘵㈱晢㝤㤴㉤戲愳戸〷㡦㘵捤㈴㡥挶㤹㈸㍡㙤㌲ㄷ㌴㘳戱ㄸ慥敡昲戹ㄸづ搵扥てㅣ㘸㉣ㄶ㑥愶戲㜹㕣搵攵ㄲ搱㘸㍣〹攲ㄳ昹㜴ㄲ搷㜶㈹㕣晤㠵搲㠱㝦搸敥㡤て㘱㘳㝣〴ㄱ攰摢〵挲㝦㍢搹晦搲㉡〷㔵昳㙦愸扡㠶散㡦攱ㄹ㝦㈵㘴㝦愲昵晢戲昲㜳挶㍢㠵㘹晥っ㝡㡢散㐰〱搹㕦〱㐱戲㍦㐷㝤㈹搹㕦㜸㙡扦㠴㔶挸晥〶挶敡㙢㑦捣户㕡晢ㅤ㌱㡣㠰换昷搰ち搹㝥㑦戲慢㍤挹晥て㡣㠴散ㅦ攱ち㘴晦㠰戲㤰扤ㅥ㘵㡢散㐴搶㑣㘷㘲㤱㐴㍥㡣摥㤹㐹攴㔲㠹㔸㉥ㄴ㑦愶搳昱㔰㌶㤲つ㠷㝣㍦㌹搰㘰㌴㤷捥愵㤲改㘴㈴㠲㈱㥤㜰㍣㤵挷㥤㕣㈲㤷捥挶挳改㔸㌲ㄹづ晣㘸扢㌷㝥㠶㡤昱ぢ㐴㘰扤㔶戵㤳晤㤳㔶㌹愸㥡㥦愱敡ㅡ戲㝦㠱㘷晣㤵㤰捤㜷ㅤ㐴扦㍦㉢㝤ㄸ㉥㌲㘶㐸慡㤱㉥㡢散ㅦ㝥㜴摦㠵昳㈷敡㐹戶㐲㝤㈹搹㤵㥥摡㙥搰ち搹㍤㘱慣慡㍣㌱㍤戴戶㌷㌱ㄲ〱晥㌷愰ㄵ戲扦㐶㄰愵㜷攱㕦㐲㕢㍡攴攲㠷ㄱ晥昰㌲〰㕣㠱散㥥㈸〸搹㝤㔱戶挹づ㠶㠳㘶㌰ㄱ㡢㈶戲昹㘸㉡ㅣ㑡挷攲愱㔰㉡㠴㔱㤸㜰㌴ㄹ㡥攵㝤ㅢ㍢搰㜸㍡㥥〹挶昲㔱ㄳ㥤ㅥㅤ㍢㤴挹㐷㐳戱㡣㤹㌴戳挹㜸㍥㥢ち〶㝡搹敥㡤㝥戰㌱㌶㠱〸昴搶慡㜶戲晢㘸㤵㠳慡愹㠱慡㙢挸づ挰戳ㄷ搹ㅢ㘹晤㉣愶㘷ㅢ挶㝢㌰㔳扤㌱昴ㄶ搹敦ㄶ㤰㍤〰〸㤲摤て昵愵㘴㙦攲愹摤ㄴ㕡㈱㝢㍢ㄸ慢捤㍣㌱㕢㘸敤昶挴㘸戲户㠲㔶挸㕥攷㐹昶敢㥥㘴㙦つ㈳晣攱㑢㌴攱ち㘴㙦㠳㠲㤰㍤ㄸ㘵㡢散㑣㌰㘴攲敥㍡㥥〲户搱㘴㈸㥢㐹㈵愲㜹㌳㤵捦愴挲ㄸ㐶〹挷㝤㐳ㅣ㘸っ愳㜰戱㔰ㅡ㍦㌰ㅢ〹㐷㈳㠹㘸㍡㤳㠹攵捤㐴㈴ㄷつ愲㙤愴㘲㠱晥戶㝢㘳㘷搸ㄸ扢㐰〴㙡戵慡㥤散〱㕡攵愰㙡戶㠵慡㙢挸摥づ㥥扤挸ㅥ愸昵㔹愶㈷捥㜸㌳㑣昵㈰攸㉤戲㥦㉡㈰㍢〵〴挹摥〱昵愵㘴敦攸愹摤〹㕡㈱㝢㌷ㄸ慢㈱㥥㤸㕤戴㜶㌸㌱㥡散㕤愱ㄵ戲搷㜸㤲扤摡㤳散㈰㡣昰㔷㘱㡣㠴㉢㤰ㅤ㐲㐱挸ㅥ㠵戲㐵戶ㄹ㠹愴㈳㌱㌳㥤㐸愶攳搱㙣㌰㤸㡡〶ㄳ戹㙣㈸㥡㡡攰㘷㠳戳㘶挶㔷攷㐰㤳㤱ㄸ〶敡愳愹㔴㍥ㄷ挲㑤㔹㌰㙤㐶㜰㜷㤶〸挶㌰〴㥦づ㘶挳㠱戰敤摥ㄸつㅢ㘳っ㐴㈰愲㔵敤㘴㐷戵㡡〰㠱搶挴愰敡ㅡ戲攳昰散㐵㜶㐲敢敢㤹㥥㝤ㄸ挹㕣愶㍡〵扤㐵昶敤〵㘴敦ぢ〴挹ㅥ㠶㝡㈱扢攰搶㙢㌷㑦敤敥搰ち搹搳㘰慣昶昰挴㡣搰摡晤㠸搱㘴㡦㠲㔶挸㕥改㐹昶つ㥥㘴搷挱〸㝦昸ㄹ〰戸〲搹愳㔱㄰戲て㐴搹㍥㡣㐷㤳㜸搸㤲っ㈷㌳㘱㥣㠸㔳攱㑣捥㡣挴㠲㘱㌳〱㉡戳戸敤昶ㅤ攴㐰㌱㔰㡥慢戳㔴㈴㤴つ㐷愲挱㜸㈴ㄹ㑦㐶㈳改㈸㝥㑣㍡ㅣ〹挷㤳挹挰ㄸ摢扤㜱㌰㙣㡣㔹㄰㠱戱㕡搵㝥敢㌵㑥慢〸㄰㘸捤㜸愸扡㠶散〹昰㉣㘴ㄷ摤㝡㑤搴晡㘶愶㈷捦㐸㥡㤸敡㐹搰㕢㘴㕦㔴㐰㜶㍤㄰㈴㝢㙦搴㤷昶散㝤㍣戵㤳愱ㄵ戲て㠷戱摡搷ㄳ㌳㑤㙢ㅢ㠹搱㘴敦〷慤㤰扤摣㤳散㘵㥥㘴捦㠰ㄱ晥昰㜳㕦㜰〵戲昷㐷㐱挸㙥㐱搹㈲㍢㤷捡㠵捤㜸㉣㠲㔱戳㘰㌴ㄳ捥愶㘳愱㉣〶搱㠳戸㤱捥㠵挳㠹愸慦搵㠱㠶挳㘶㈸㡡攷㈸㤹㝣㍥ㄱ捤攰扡捥㑣㘲晣㈵ㅢ㑣挵㠲搱㔸㈴㤷てㅣ㘰扢㌷摡㘰㘳捣㠷〸捣搴慡昶㥥㝤愰㔶ㄱ㈰搰㥡㠳愰敡ㅡ戲て㠶㘷慦㥥㍤㑢敢攷㌳㍤挷㑡㈴㑣昵㙣攸㉤戲㡦㉦㈰㝢〹㄰㈴㝢づ敡㑢挹㑥㝢㙡㌳搰ち搹㈷挲㔸攵㍣㌱㜹慤㍤㤹ㄸ㑤昶㕣㘸㠵散挵㥥㘴㉦昴㈴扢ㅥ㐶昸挳㌷挸挰ㄵ挸㍥っ〵㈱晢㜴㤴㙤戲㜳㠹㘰㌶㤸㠸愳摢㘶愲挹っづ攳昱㍣ㅥ㠳愴攲㐱ㄳ摦攱㤷㐹晢捥㜰愰㜸㜴㠲㜱戲㔸捣っ㠶搲搱㜸〸㘷㘹㌳ㄵ㐹攵搲㈱摥㤰㈵攳㠹挰攱戶㝢攳㑣搸ㄸ㘷㐱〴ㅡ戴慡㥤散㐶慤㜲㔰㌵㑤㔰㜵つ搹捤昰散㐵昶㍣慤㍦㡡改戹㤰昱㉥㘶慡㕢愰户挸㥥㕢㐰昶ち㈰㐸㜶㉢敡㠵散㠲挳㜸㥢愷㜶㍥戴㐲昶㈵㌰㔶㐷㝡㘲ㄶ㘹敤㘵挴㘸戲㡦㠲㔶挸捥㜸㤲㍤挷㤳散愳㘱㠴扦ち攳㉡戸〲搹挷愰㈰㘴㕦㡤戲㝤捥㑥收昳㘶㉣㤲㑡〶㜳㈶㉥扦㜱㘱ㅤ㡣收㐳戱ㄸ敥愹昲㘶㌴㤴昵㕤攳㐰㜹㐹㤶っ㐵戲搹㜴㈶ㅢ捤㠶㔳㤹㐸ㅥ㡦㐳㔳㘶㍥ㄵ㡡〶㜳㤱㘸攰㔸摢扤㜱㉤㙣㡣敢㈰〲挷㘹㔵晢㘱晣㜸慤㈲㐰愰㌵㑢愰敡ㅡ戲㑦㠰㘷㈱㕢〶捦攴㔸㉥㈳㘸㈷㙡晤㉤っ㘲〹㜳㜴㍣㔳㝤㌲昴ㄶ搹㔳ち挸扥〳㌰㤲㝤ち敡㠵散㠲戱昱㔳㍤戵㑢愱ㄵ戲敦㠲戱㍡摤ㄳ㜳愶搶摥㑤っ㈳攰㜲㌶戴㐲昶㐴㑦戲挷㝢㤲㝤づ㡣昰㠷㥦㑢㠷㉢㤰扤っ〵㈱晢〱㤴㉤戲㈳戱㤰ㄹ㌱㘳㔹㕣㜹攵愳改㘴㌶㤳捦㐴㜳昱㔸㍣㙢㘲㤰㍣㥥つ晢晥散㐰戳愱㑣㈸㤸㡣愱捦挷㌰㑤〲愳改戸㡥㑢㘳挰㉤ㄵ换挵㠳攱㝣㍣㜰慥敤摥㜸㄰㌶挶㐳㄰㠱攵㕡搵摥戳捦搳㉡〲〴㕡㜳㍥㔴㕤㐳昶〵昰散搵戳㉦搴晡㔳㤹㥥㈷ㄸ挹㈹㑣昳㐵搰㕢㘴㈷ぢ挸㝥ㅡ〸㤲扤〲昵㐲㜶㐱捦扥搸㔳㝢〹戴㐲昶㕦㘰慣㉥昳挴㕣愱戵捦ㄱ挳〸戸㕣〵慤㤰ㅤ昶㈴㍢攸㐹昶搵㌰挲ㅦ扥㈶〵慥㐰昶㌵㈸〸搹㉦愱㙣㤱㥤㡥挷㘲㜸慡㥤㠹㐴昰㤸ㅢ愷㙣㥣戶㠳㤹㜴㉡ㅦ〹愱戳㘷㔳㌱摦摦ㅣ㘸搶っ㘳〲㐳ㅣ㘷昸㠴挹㘷愷ㄹ㍣㌰捤愵昰慣っ昷摤㠹㘰㉡ㄳ戸搶㜶㙦扣っㅢ攳ㄵ㠸挰㜵㕡搵摥戳慦搷㉡〷㔵昳㈷愸扡㠶散ㅢ攰㔹挸㉥扡㐰扢㔱敢捦㘲㝡摥㘶扣㘷㌲捤㌷㐱㙦㤱㕤㕢㐰昶㝢㐰㤰散㥢㔱㉦㘴ㄷ昴散㕢㍣戵户㐲㉢㘴㝦〰㘳㜵扢㈷收づ慤晤㠸ㄸ㐶挰攵㉥㘸㠵散㉤摣㘴㍢㑦扢㌷昳㈴晢㙥ㄸ〹戹晦㠶㉢㡢摣㔸㈲㤵づ愶搳搹ㄴ㈶㌵攱㜹㘶㌶ㄵ挲摣㠴㙣㌶㤲挷㔰㡡㤹㑥〷㝤ㅦ㍢搰㑣ㄸ㑦挱愲搱㘴㌲㤳〸㐷㜱挲挶㠴㠶㔸㍣ㄳ㠹㐷攲戹㜸〶扤㌹㜰㡦敤摥昸〴㌶挶愷㄰㠱㝢戵慡晤㘹昷㝤㕡㐵㠰㐰㙢敥㠷慡㙢挸㝤〰㥥扤㝡昲㥦戵晥㍣㤲晢ㅤ㈳㔹捥戴㍥〴扤㐵慥㔱㐰敥て㐰㤰摣㠷㔱㉦攴ㄶ昴攴㐷㍣戵慢愱ㄵ㜲搷挳㔸慤昱挴㍣愶戵㍦ㄳ愳挹㝤〲㕡㈱户㥢㥢㕣攷㘹户昲㈴昷㐹ㄸ攱慦挲愸挰昴㔲昴攴愷㔰㄰戲ㄵ捡ㄶ搹㐱㍥愰㡣㘱㤶ㄱ㠶扦愳㤱㘰㌸㡤㍢收㐴挴㌴㤳昹㘰㌰㡥换㙣㕦愵〳捤愷捣㘸捥っ攵㌳搹㌴㘸㐶晢㐸〳ㄸ㑦㘵㠳㘶㉡㠶ㅢ慥㙣攰㘹摢扤搱つ㌶㐶㜷㠸挰㌳㕡搵摥㤳晦愲㔵づ慡收㔹愸扡㠶散攷攰搹慢㈷㍦慦昵㉢㤸㥥摥㡣昷㈲愶晡〵攸㉤戲扦晡挱㍤㍣ㅡ〰㠲㘴扦㠸㝡㈱扢愰㈷扦攴愹晤ㅢ戴㐲㜶㕦ㄸ慢㔷㍣㌱慦㙡㙤㍦㘲㌴搹慦㐳㉢㘴㝦㠲㈰㥣攱㔱愷㈷晦ㅢ摡搲攱搱㜵㌰ㄲ㜲㌷㠳㉢㡢㕣㑣㔷㐴愷捤㈷挲戸㈷㡥收㐲挱㑣㈸㠴挷㔹㤹㜴ㅥ㈷攷㉣敥慡㝤㥢㍢搰㘸㌰ㅤ㑥㠵捤㜰㍡㡥㈹㉥愹㌸㙥慤ㄲ昹ㄴ㌸挶挸㔹㉥㡤㡢昳挰ㅢ戶㝢㘳ぢ搸ㄸ㕢㐲〴摥搴慡昶㥥晣㤶㔶㌹愸㥡户愱敡ㅡ㜲摦㠱㘷慦㥥晣慥搶㕦㐱㜲〷㌲摥换㤹摡昷愱户挸㕤㔷㐰敥づ㐰㤰摣て㔰㕦㑡敥㠷㥥摡㡦愰ㄵ㜲㜷㠲戱晡愷㈷收摦㕡㍢㠴ㄸ㑤敥㈷搰ち戹㉦扢挹㜵㝡昲㑢㥥攴㝥ち㈳晣㘱㐶㈵㕣愱㈷㝦㠶㠲㤰ㅤ㐴搹㈲ㅢ㤷㕦攰㉥㡣〳㉦㡥挲挹㔸㉥㤳㑢挴捣㑣㌸ㄲ㡢挷戲㜸㜰ㅤ昷㠵ㅣ㘸ㄸ㜳㔵ㄲ㤹㕣㍣㠵㡥ㅦ捤㘳挰㌴㠵昱ㄵ摣㠰㘵搲㔰攰㌰㄰昸摣㜶㙦㠴㘱㘳㐴㈰〲㕦㘸㔵晢〵搸㤷㕡㐵㠰㐰㙢扥㠲慡㙢挸晥ㅡ㥥扤挸晥㐶敢慦㘳㝡㜶㘷㈴搷㌲搵摦㐱㙦㤱扤愶㠰散㍤㠱㈰搹摦愳扥㤴散晦㜸㙡㝦㠰㔶挸ㅥ〹㘳戵摥ㄳ昳戳搶搶ㄱ愳挹晥ㄵ㕡㈱晢㐱㑦戲ㅦ昰㈴晢㌷ㄸ攱て㤳㈷攱ち㘴昳ㄵㄴ㈱㝢㍣捡ㄶ搹昹ㄴ㉥户㜳攱㝣㌸㘷㥡搱㝣㌸㤸㡥攵挳㤱㑣㌰ㄳて㘶ㄳ㜸㝣㤱昴㑤㜰愰攱㈸㠷㔲㜰搱ㄵつ㠶愲戹㜰㍣㤳挰㑤㜵〶㡦扦㌰㈴ㅥ挶㌸㑡㐰搹敥㡤㠹戰㌱昶㠲〸昰㥤ㄶ㙥搱㘸㈷扢㥢㔶㌹愸㥡敥㔰㜵つ搹㔵昰散㐵戶㑦敢昹㈳㘱挶㜴挶扢㤲愹收㍢㌳ㄶ搹㉢ぢ挸摥ㅦ〸㤲捤昷㘸㠴散〳愰搰ㅦ攵昷搴昶㠴㔶挸㥥〹慣敡敤㠹㤱㔷㔴攰挷㌸㠸ㄸ慣挸挲㔷㔴㠴散㙢㕤㘴晢㘶〱㔲㝥㜶昱搵㥥㉤㠰㙦慦㐸ぢ㤸つ㘳戴㠰㡤㔱㤶ㄶ㌰〷㘵慢〵愴㠳戸㤲㡥㤹〹㌴㠴㍣敥戸㌲㤹ㅣ挶捦昰ㅣ㈴ㅡ挹攳㐶㉡ㄱ昲愵ㅤ㘸㈴捣改㡡㈶て晥㠹㈸㈶㉣㘴㌰搰㤶挳㡤㌶挷㕣㜰挹㙥〶晡搹敥㡤っ㙣㡣㉣㐴㘰ㄳ慤捡㔱㘵㔲戵愹㔶㌹愸ㅡ扥つ搳㌵㉤㘰㌳㜸㘶ぢ昰捤挵愶ぢ愷愹搵㐳攳㌱㑤敤㌰愸㡢愷愹㙤㙥㝢㌱敥㈰㔹つ㐰ㄸ户㤳慤㉤愱㤷昶搰〴ㄵ㌷挳㐵㙤慤戵捤搰㙡㔶〳晤愱ㄵ㉥收㐱摢扢㕢搵昶㈸㝢晥㜲㡢㌵㍢㝥ㅡ扥㡦摦ㅣ㕡㌷㉡㌱㜴捣挲慣搹挰摦捡挱ㅣ㝡㕣捡㔵㙣搲㌸愱ㄵ慢㘶㑢敢昴收㤱昲摢㉤㝣搵㘲㈳㍤捤㝥㐸攳戸昹昵㌹㝣㍤晦昶敤ㅡ晤㐳㐹摡㙣㜲㡢㘳搷扢ㅤ㠵㙦㝡摦愴扤㔴㠷㜷㌸捣㠵㙤晣㡥晣㉤摢戵昸㔵㉣晣㔶㡦㤹搳ㅥ㕢昹愸户戲㥢摡愵晣㉦㝥㡤㙤挹摡㉦戰㘸㌷慤㝣挹㘹㑢㡦摦〳ㄸ㔵摦㈶敦慢㙣挵㌴ㅡ摢㈱㐳扥ㄶ㘴慢挷昰㠱愳敡〶挶㔲㔵㘷愱㤵晦摦戶挴昴户扦て挲敤昲攳㌷昸㍤晦㙡㄰㌶㐰ㅡ㤴㌱㤰㥢㕡〰㕤㕦㙣㙡搴挰㔰㘲搰戶挳㙡户ㅤ㌴㜰㈴户㝡ㅡ戶㍡搸㙢晦㐶㌷㌷愶敢㥢㠶㘲〷昵㥥㡤㘹㥡摦㔸戸挹晥搶ㄶ戱挹㠵摣㈴㉦㜱戸ㄷ搴㉡扥㥣㐱攷㔲攰㍢づ〳戱㘶㍣㐷昱㍣挵㕦㈱搴㐹〰扣㠱ㅦ摢㕢㔳戵攸敡攴㈹ㄵ㈳敥晦攸愱扥㍤㥥㝥㉥愲㑥戴㉢慥㍣敦㠲搰愸晢㕦摡敢敥昹戵戳ㅥ㍡㘳㕡て挵㜷㈱愴㔵ㅥ㡢㉤㍡慤㌲慡戵挷㌱づ㝡挶ㄲ㠸㐳㉢慤昲㜸㘸搱㉡㠷愱扣㥢搷扥捡㑦搸っ㜵扤愲㌱〴愴攲㤷㘸捣ㅣ㝥ㅢ㘲ㅥ摡挴愲㌱㑤㙤㉤晣挶㡦㡡㙥㘸㝣㔵㤲㤱敥㤵挳㝥㥦㉦扥昳㐵戲戸㔴ㅤ㠷ㅤ晤晦昰㔳挸〷㍤㤲ㄳ攳〴愶㘱㌸㜶搷㙡〱扢㘱捤㜷ㄲ㜴㘸〱㈳昷㜳户㠰㜸㐲ㅤ㠵〸㌴㔱㝥攳ㄴ㕡昲搵〸换㤲慦㕦昸㤶㐲㠷㘶㍡㜲挶㐰挰㡦〴㕣㤳㡣㉦㔶㈱㥣㈷㐰慤㔲㝣挹㐲扢㔳攳㔰昰攲扤挵愶户㠴昷㈳散㡡〱戹㤷晣㙢㕦扤㜲捣㤲挹晦㝡㜰捦戱晤㤷慡㠹昰㈴扣㉦挳ㄶㅤ摥㈷㘹敤戹㡣〳㝢㉥扣昳㘵〶攱㝤㌹戴扤扢㈹扥㤱㐰敥㔵㈳扣㌳攱㤲愳昳㘹戲ㅦ搴搶㥥㑥挳㥡敦㐲攸慣㍤㡤㐵㔴㍤㤰㝡户晣挶㐵㠴捦㜰攰搳〹扦ㄸ扡㤲㤴挲搲㠴愵捥㠱摦戸㤴㤶戳㠱昷捡挴ㅣ㐰㍤㝢挰㙣扢㘲搵晤愷扥晤挸散㙥ㄳ㔷㉣摣晣散昵挳㝢づ㔶㝣㍤㐰㌲㜱㌵晣㍡㤹挸㘹敤㌵摣㥡捥㐴ㅥ㕡挹挴戵搰㈲ㄳつ㈸㕢扢㝢ㄸ搶㝣搷㐳㕢㝡㔰㐸慡㤹〵昱摦㐰㡦㡤㡥攵攱戴㕣〹㥤㝤攴㑡慡晤〰㙦㑦搴捤㠴㉦〰挸㙢㜷愷㤴摢摤挹㜶㐵晦挰㔵㉦晣晡挵挳愳敥㙤㌹攰㤶敥愳㝦晣㐹㉤㠲㈷搹摤㍢攱㔷敦㙥㐰㡦㈳愸愳㜴昵㕤摣㉣昶㥢㤰挰㌱搰捡㝥慦㠲ㄶ晢扤〴㘵㘹〱㝢㘱㌳㑥ぢ戸㠷㈶㈷愱捡㑡〹愷户晢敥㠳捥㙡〱㤱㤸ㅡ㔷戰㘳て㄰㝥戲〳㍦㤱昰〷愱㉢㘹〱戰慣㠳㘵㝢ぢ㜸㤸㤶扣扢搷㉡㜵㉡ち㍡㘵㡡㔳挳扤㤲戵㠷㥤㤳㤲㕥㌲摣慥ㄸㄱ㕢昶挱摥㑦扤㍦攲㠶愶㤱㉦㍥昷㑢㝣㉢挵㈹攴㤲慣挷戰㐵㥤㉣㜵㥥搶㍥捥㌸㜴摢戸〰㕡挹搱ㄳ搰㈲㐷㉢㔰㤶ㅣ愵攰摤挹搱㔳㌴攱昴㙢㉢㐷ㄷ㘳捤昷っ㜴㈵㍢ㅤて慢㔸挱㑥㍦㑢换换ㅣ换㑢㘸昹㍣㜴昶㤱㈴慣㐲㠰敢ㅣ昸㡤ㄷ〸扦ㅥ㈰慦㑣散㙣敦㜰㐹㈶㠶搸ㄵㅦ慤摡晤挷摢摦㕣㌶改慣㝢摦㍥昸㡢㤵㜵㥦㉡捥慦㤶㑣扣ち扦㑥㈶㙥搲摡搷戸㌵摤㕡㙥㠱㔶㌲昱㍡戴挸〴攷㍢㑢㈶㜶㠰㜷㈷ㄳ敢㘸挲㔹挷㔶㈶㌸〹摡昷㈶㜴㈵㤹㠸㈴搴㜶㌰搴㕣晢㡤户㘹㜹户㘳㜹ㄷ㉤摦㠵捥㙥㘷〹搵ㅦ昰昶㑣扣㑦㌸㈷ㄵ㝢㘵㘲ぢ㝢㠷㑢㌲戱戹㕤昱挶攲㘳愶㥥㌸攳慣㤱昷㘵㔷晥㌶㙤摤㈱㜷慡㐷攱㐹㌲昱㉦昸㜵㌲戱㔶㙢晦捤慤改㌶昱㌸戴㤲㠹㡦愱㐵㈶㌸ㄹ㔸㌲戱〹扣㍢㤹昸㤴㈶㥣戸㙢㘵攲ㄹ慣昹㍥㠷慥㈴ㄳ昱㤴摡〸㠶敤㤹昸㤲㤶㥣捣㙢㔹晥㠵㤶㕦㐳㘷户㠹㤴敡つ㜸㝢㈶扥㈵晣㔵㠰扣㌲㔱㙤敦㜰㐹㈶㝡搸ㄵ昱戳攷ㅣ㤹愹摥㝢㥦愵挳㕡㘶㌵戵ㅣ扦扤晡㍢㍣㐹㈶搶挳慦㤳㠹㌷戴昶㈷㙥㑤㘷攲㉤㘸㈵ㄳ㍦㐳㡢㑣扣㠷戲㘴愲ㅢ扣㍢㤹昸㤵㈶ㅦ愲捡摡ㅦ㑥㥦昵㔵㔴敢晤㐹愴搴㙦晦㜱敦㑦㈵慡搴㐷づ晣〳挲扢㐳㔷㤲㌸㔸晥〴换昶挴昹㘸挹改愸㕥㤹昸ㅥ㔰捦㜳挸㜷㜶挵つ㉢ㅥ㙢摣㘹改ㅤ㤳㔷㕣㜳敥挹戳晡㉤昹㔹㜱摡慡㘴愲ㄷ晣㍡㤹昸㐶㙢㝢㜳㙢㍡ㄳ摦㐱㉢㤹攸〳㉤㌲昱㈳捡㤲㠹慦攰摤挹㐴㠰㈶㥣捣㘹㘵㘲㍤搶㝣㝤愱戳㤸㡤㐶搴㘷㐰户㌳摢㡦昰㕦ㅣ昸㑦㠴㙦ち㕤㐹㈶㘰昹㙦㔸戶㘷㘲㌳㕡㜲慥愶㔷㈶㍥戴㜷戸愴㑤㝣㘰㔷㍣㜷昲〱㔷㕣戰攲慢㠹搷㈴〶㍦昹摢㠳扤慢㤵㘱て㈰ㅢ摢挰慦㤳㠹㥥㕡摢㥦㕢搳㤹攸つ慤㘴愲ㄶ㕡㘴㘲㈳㤴㈵ㄳ敦挰扢㤳㠹㙤㘹挲㤹㡥㔶㈶㌸昱搲㌷㄰㍡扢㡤挷搴ㅢ㐰户㘷㘲㄰攱㥢㌸昰㡤〹摦ㄱ扡㤲㑣挴㘳敡㌵㔸戶㘷㘲㌰㉤㌹㤱搱㉢ㄳ㉦搹㍢㕣㤲㠹ㄷ敤㡡攵㍢㍤㌸㈵昲挲捣㌱㉢㙦㝣㜹挶戹搱搰㍡㌵〰㥥愴㑤〴攱搷挹挴㜶㕡ㅢ攲搶㜴㈶戶㠷㔶㌲ㄱ㠶ㄶ㤹搸〹㘵挹挴㜳昰敥㘴㈲㑡㤳㥤㔱㘵㘵㠲戳ㄲ㝤㜱攸散㌶ㄱ㔶㑦〳摤㥥㠹㈴攱扢㌸昰㈱㠴て㠳慥㈴ㄳ搱戰㝡ㅣ㤶敤㤹搸㥤㤶㥣攵攷㤵㠹搵昶づ㤷㘴攲ㄱ扢㘲㜸挳㥢ㅦ㕦昰搸昸搱户㉣戹㘹昷慢敦摦改㜵挵搹㠰㤲㠹㔱昰敢㘴㐲愶昹㈱〱㐶ㅤ户愶㌳㌱ㅣ㔸挹挴㘸㘸㤱㠹㤱㈸㑢㈶晥っ敦㑥㈶挶搲㠴㌳改慣㑣㜰捡㥥㙦㍣㜴㈵扢ㄶ㑢愹㝢ぢ㜶㙤㈲㉤挷㌸㤶㜵戴㥣〴㥤㤵㐳挰敦〲扣㍤㠷晢㄰捥㈹㜰㕥㤹戸搵摥攱㤲㑣摣㘲㔷㡣㝥㝥攱攷㝢扦昹挳挸㥢㕥㍦攴改㡢㍥扢㘷戰摡ㄷ㥥㈴ㄳ搳攱搷挹挴㌴慤摤㡦㕢㐳㈶㔸ㄳ搸て㕡挹挴っ㘸㤱〹㑥㕤㤳㑣摣〸敦㑥㈶づ愰〹愷㤹㔹㤹攰㝣㌶摦㠱搰㔹晢ㄳ㐹愹敢ち昶攷㘰挲㘷㌹㜰捥㘹昳ㅤ〲㕤㐹攲㘰㜹ㄵ㉣摢摢挴ㅣ㕡㜲㑣挱㉢ㄳ㤷摡㍢㕣㤲㠹㑢散㡡戱㌳〷㕤晥换慡敢昶㍡晦搴㥤ㄶ扥㌷㘵搰昷慡ㅥ㥥㈴ㄳ㜹昸㜵㌲㜱戸搶ㅥ捡慤改㌶搱〸慤㘴㘲㉥戴挸挴ㄱ㈸㑢㈶晥〸敦㑥㈶づ愳〹攷㘰㔹㤹攰㘴㉦㕦〳㜴㈵扢ㄶ㡢愹昳ち㜶慤㠹㤶昳ㅤ换㔶㕡捥㠳捥㙥ㄳ㌱㜵づ攰敤㙤愲㠵㜰㑥㥥昲捡挴改昶づ㤷㘴攲㌴扢㘲㤳捦扦晥愲㜹挰㝤ㄳㅥ㝣晦㤲ㄳ攷㙥㜹昹㝢㙡〹㍣㐹㈶ㄶ挲慦㤳㠹ㄳ戵㜶ㄱ户愶㌳㜱㌲戴㤲㠹挵搰㈲ㄳ愷愱㉣㤹㌸ㄹ摥㥤㑣ㅣ㑤ㄳ㑥㍤戲㌲挱㤹㔰扥㘳愱戳㡦ㄳ㌱戵愴㘰㝦㡥㈷晣㉣〷㝥〶攱㈷㐰㔷㤲戸㘸㑣ㅤ〳换昶㌶㜱ㄲ㉤㌹戳挸㉢ㄳぢ敤ㅤ㉥挹挴㤱㜶㐵晤ㄷ㙢㕦㙢㝣㝣攳扤捦㍦攵昶扡㠳㍦散㥤㔲㥣㠱㈴㤹㌸ㅤ㝥㥤㑣挸搴㈲㈴挰㌸㠳㕢挳ち捥㙤ㄵ㠱换㠰㤵㑣㥣〹㉤㌲㜱ㄵ捡㤲㠹㔶㜸㜷㌲㜱㌶㑤㌸㝢挷捡〴愷〹昹㤶㐱㘷㘷㈲愴㥡㠱㙥㘷㜶㌹攱搷㌹昰㙢〸㍦ㅦ扡搲㑣㠴搴攱戰㙣捦挴㠵戴扣〵㜸慦㑣攴敤ㅤ㉥挹㠴㘹㔷晣㤲慢晢㜴摤挰戹㜵搷摦㌴晢㠵ぢ㤲挷㉦㔷㜷挰㤳㘴攲㔲昸㜵㌲㜱㤷搶㕥挶慤改㌶㜱㌷戴㤲㠹换愱㐵㈶㌸㕤㐶㌲㤱㠶㜷㈷ㄳ㔷搲㠴㔳㕢慣㑣㜰づ㡤敦㙡攸㑡㜶㉤ㄶ㔴戳ち㜶敤㕡㕡㜲扡㡢㘵挹㈹㌵扥敢愱戳㝢㐷㔰捤〴扣㍤㠷㌷㄰捥㌹㈹㕥㤹㤸㙥敦㜰㐹㈶愶搹ㄵㄳ㔶捣㥦昷攴愲摤㈶㥤昱挰㘵㉤㤹㝢㉢㝢愹愷攱㐹㌲㜱㉢晣㍡㤹昸㡢搶摥挶慤㈱ㄳ慣〹㍣〷慤㘴攲㜶㘸㤱㠹ㄷ㔱㤶㑣㑣㠶㜷㈷ㄳ㜷搲㠴㌳㍡慣晤攱〴ㄳ摦㉡攸㑡㌲ㄱ㠹慢扤㘰搸㑥昲㍤戴㝣挵戱晣ㅢ㉤敦㠳捥捡〴攰攳〰㙦捦挴〳㠴㜳挲㠶㔷㈶㐶搹㍢㕣㤲㠹㤱㜶挵攸㝢てㄹ摣晦挳摢挶摣㜸㜲敢㌳户㝣晣搲戶敡㍤㜸㤲㑣慣㠶㕦㈷ㄳㅦ㘸敤愳摣㥡㙥ㄳㅦ㐱㉢㤹㔸〳㉤㌲昱〹捡搶敥晥ㅢ㙢扥挷愰挵敥ㄶつ㕥挶搵㙥〵扢晢〴㍤㜲㜶㠴㘵挹ㄹㄸ扥愷愰挳敥㜲㠴㌵慥ㄲ〵扢晢っ攱摦〱攴戵扢攱㜲扢ㅢ戲㉢敥换摣㌱戳戲㝡昹㤸㔵昷㉣昸昶㠲慢慥㝦㑡㜱慡㠳散敥ぢ昰敢散慥捣㘱挰㕥ㅡ㉦㜲㙢㥡㜸捥㕡㤰摤㝤〹㕡散㉥愷ㅥ〸昱扢挰扢㐳晣换㌴攱〴〰㙢㝦㌸ㅦ挱昷㉡㜴愵挴㈷搵㑥㌰㙣㈷晥㜵㕡㜶㜷㉣㉢㘹戹づ㍡㥢昸愴摡ㅥ昰㜶攲摦㈴㥣捦昷扤㌲㔱㙢敦㜰〹昱晤敤㡡昵㤱搷敦㤸㤲㥢㔴㜷搳㉢〳昶㕢㝥㝦攴㌰ㄵ㠰㈷挹挴晢昰敢㘴愲慦搶㝥挰慤㘹攲晢㐱㉢㤹昸㄰㕡㘴㘲ぢ㤴慤摤摤っ㙢扥㝦㐰㙢搳ㄷ㔱㥢ㄷ〴晤㉦扡攱㈳㜶ぢ捥愷昴扥㡦愱㉢㙤㈷ㄱ戵〹㉣摢戳昳㈹㉤〷〲敦戵扢㠱㜲扢㕢㘳㔷扣扤换戰㑦て㕣㝡搶戸㤳㍦㝢敤摢㐹昷慣㕢慥昸㘴㕣㜶昷㙢昸㜵㜶㔷ㅥ㜹㤳昸㙦戸㌵扤扢㝣挸㉤扢晢㉤戴搸㕤㍥愹ㄶ攲㝢挲扢㐳晣昷㌴〹愳捡摡戵㈰搶㝣㍦㐰㔷㐲㝣㈲愴㝡ㄴ散摡㝡㕡昲㐹戳㘵挹愷搹扥㥦愱戳㠸〷扣ㅢ攰敤挴晦㑡昸敥〰㜹㘵攲搷敦换摣㔵晥㘲㔷㙣户㜰攷㈹挳戶㥡㌹昲摡ㄱ收㘷昷晡㌷戹㑦昱戱戱㘴愲㍢扥挳捦挹㠴㍣て㘶㈶慡愰㜵㌲挱㈷挰㤲〹ㅦ戴挸〴ㅦ攳㑡㈶㝥㠴㜷㈷ㄳ搵㌴㤹㠸㉡㙢㝦挶㘳捤攷㠷捥摡ㅦ㜴改敦㠰㙥摦㥦㕥㠴昳攱慣〵攷昳㕤㕦ㅦ攸㑡ㄲ〷换慦㘰搹摥㈶〲戴㥣づ扣㔷㈶㍥戵㜷戸愴ぢ㝣㘲㔷慣㍡敢搰㐳收昷捣㡣㝢㘸挷㈳攲㙦㉤㕦搷㐷昱㤹慡㘴㘲㔳昸搵㤹〸ㅣ〰㉤㍦㑡㥥㥡㘲挵昸〳㌷㡢ㄵ㐲〲㝣㑥㉡㈹搹っ㕡愴㠴捦㌵㈵㈵晦挴㘶㥣㤴㙣㐱㤳っ慡慣㝤攴挳㑥摦㔶搰㤵散㘳㌴愸㍥㈸搸挷㙤㘸挹〷㤷㤶㈵㥦㝤晡㙡愱戳㤲〹昸㍢㠰户㈷㜳㕢挲㜳〰改㉣㈹㍥攱搴昵㡡てち扤㤲戵捥捥㐹㐹戲晥㙥㔷搴㙣昹捦㍤捥㔳捦㡤㍣慤㙥㡦挵㔵㍦〴㤷〷昸㝣㔱昶㝢㐷㙣搱搸㠹㘲㌰㠴㍦挰㐷㡣㔲㌱〴㐵㍣扦㤹㠷戲攷戳㉡敢昹㡤昵㕢敤昸攲㌳戳㔵ㄴ㌵㐸㙡㔵㥥捦て㝢收昹㝤㘸愶晣㘰㍣扥慣慤扥愱㐱扥攷慣ㄷ㝥戶扤攵㜰戳㘵㔲㝤㤳㠹ㅦ㙢㥦㔶摦㘸㝦㜹搷攸摥㜹㍥ㅡ搴㍦っ㙥㐸㠹㡦㙤㝣昹挹㉤昸愵昰ㅥ昹〹慤晢戵㥡戹敡挶㈹改戶㌶戳愵改㝦攱㉢〷昱捤㜳摤昹㠴ち慤愹㥢㔲ㄵ㤵㥥㕦晡挶㙦㜳㉢晥㈱昱扡㔱㜸ㄴ㙢愵戰㍤ㅦ㤳昰㥤㝢㝣㥣㔴挹㕦㝢晦㝤㕦㌸攸摢ㄹ戴搵㌸㍦戱扤㠰㕦㈷搸㕡愹晥㠶㜶㈰㌳戳㍥〹㙦㉥㑦〷昹搸摥ㄸち慣㙦㔷㠸㙥㜸攲挸摦摢㘱挷昰ㅢ㐱㘸㡣搵㈸㠸愸攸摥㠶㈶搰搱挳㔵㜶愴ㅥ㡤戳搳㉤㉤改㐵搵㡤戳ㅢ捣愶㐳摢收㔶捦㕥㠰〷捡昵捤㙣㘸搵搵搵㐶ㄸ㑥戹〵㉥㙡㈱㤴昴㙡㐴愰㘵㙢愳㌶挰愷㡢搲昴愲っ㈰㐶ㄱ㠷昰〷昸㠰㔱㉡ㄲ㈸愲㤳ㅥ㡦㌲摢愵挱㥤慤㔴㑦㝡敥摣㌰摡㜳攷摡㜷㙣㜷慡㔶㘳㔳搶㡥㔵㥤〰ㅦ挵㡣昱扢〵挷㌲㥣慡㈳敢㜳㙤㜳㝤㜳捤晡㐳攷戶攱㍢〴㝢敡敦晥㐳ㅤㅥ㉣挰㔴昶㘰て昸搴㝢愰㑥搷㕡晥愲扢摥摢挰㌲㘸㈵晣ㄱ摣晥㐸㡡㔱㄰晥〰ㅦ愰㐹㐵ㅤ㡡搸慦攵㈸扢昶敢捦㥥晢㌵㤶昶㠵晢㌵㥥慡搵〸换摡㉦㜵㍥晣㜰摦昴㐷㕤㠴㠲㐴㍢ㄱ㐸ㅤ㤷扡㔴㙢昷㠲㔶敦㐳攰㙡㘸㈵愸㐹昴扡㌷挵㍥㄰晥〰ㅦ㜲㐹挵㘴ㄴㄱ敤戵㈸扢愲扤捤㌳摡愹戴㉦㡣㜶㍡㔵慢ㄱ㥢ㅤ㉤ㅦ㜵㐹㜰㌳㔰愱挳㔰㝣愲㈵摡晤愱搵㈱〷敥搴㌱ㅣ㐰㈷㌳㈹づ㠴昰〷昸㈴㑡㠲㍢〸㐵〴户ち㘵〶攷㍢ㄸ攵搲晥㜰㡤㘷戰㠷〰敢㥢つ㔱搸ㅦ收㐰攳づ㤸㡦戰㤸摥㘹㉢ㅥㄸ昱㑢㘴搶㐸挵㠷㔴ㄲ㙢〶㐸ㅤ慢攲〳㈸搱㘶愱搵晢ㄵ㜸っ㕡〹㌴㐷慦㈶㐵ㅥ挲ㅦ攰㜳㈲愹㌸ㄴ㐵散〱㥦㄰戹搲晢㐷捦㠸て愳㝤㘱㝡ㅢ愸㜲愵㤷て㤳ちㅡ〳㥦ㄱ㐹㕣㑤㐰敡戸搴ぢ㕡摢っ慤摥㠷〰ㅦ攴㐸㔰昳攸昵〸㡡ㄶ〸㝦㠰捦㜲愴愲ㄵ㐵㐴晢㍡捡ㄲ㉤昳㕤愹捥昰㡣㜶〱敤㤹摦昶㉥戹㤰㉡㔷戴㝣攰㔳㤰㕢㍥挷㤱㘸ㄷ〳改㐴晢扥搶ㅥ〵慤ㄳ㉤ㅦ戶㐸㔰㐷搳敢㌱ㄴ挷㐲昸〳㝣摥㈲ㄵ挷愱㠸㘸昹愴挵㤵摢攳㍣愳㍤㠱昶㠵戹㍤㠹㉡㔷戴㝣㈸㔳㤰摢㉦愱㤰㘸㑦〱搲㠹昶㕢慤㍤ㄵ㕡㈷㕡㍥㄰㤱愰㤶搲敢㘹ㄴ愷㐳昸〳㝣㈶㈲ㄵ㘷愰㠸㘸昹㌴挴ㄵ㙤慢㘷戴㘷搳扥㌰摡㘵㔴戹愲攵㠳㤳㠲㘸㉢㜱㈹㉡搱㉥〷㔲挷愵㝣㕡㝢ㅥ戴㝡ㅦ〲扤愰㤵愰捥愷搷ぢ㈸㉥㠴昰〷昸摣㐲㉡晥㠸㈲愲敤㠳戲㉢摡㐳㍤愳扤㤸昶㠵搱㕥㑡㤵㉢摡〰晣ㄴ㐴摢てち㠹昶㜲㈰㥤㘸㌷搳摡㉢愰㜵愲摤〶㕡〹敡㑡㝡扤㡡攲㙡〸㝦㠰捦ㄶ愴攲ㅡㄴㄱ㙤㉤捡慥㘸て昲㡣昶㝡摡ㄷ㐶㝢〳㔵慥㘸户㠵㥦㠲㘸〷㐱㈱搱慥〴搲㠹㜶戰搶摥〴慤ㄳ㙤㄰㕡〹敡㘶㝡扤㠵攲㔶〸㝦㠰攳晦㔲㜱ㅢ㡡㠸㌶㡣戲㉢摡挹㥥搱摥㐹晢挲㘸㔷㔱攵㡡㌶ち㍦〵搱㈶愱㤰㘸敦〱搲㠹㜶㜷慤扤ㄷ㕡㈷摡㔱搰㑡㔰昷搱敢晤ㄴて㐰昸〳ㅣ愳㤷㡡㍦愳㠸㘸㐷愳散㡡戶捥㌳摡㠷㘹㕦ㄸ敤㙡慡㕣搱㡥㠵㥦㠲㘸㈷㐲㈱搱慥〱㔲挷愵昶搱摡戵搰敡㝤〸㑣㠷㔶㠲㝡㡣㕥ㅦ愷㜸〲挲ㅦ攰㌸扡㔴㍣㠹㈲愲㥤㠱戲㐴㙢ㅤ挱ㄲ㥥搱㍥㐳晢挲㈳搸戳㔴戹愲㍤〰㝥ㄸ慤㜳㜶㌸ㄸち㠹昶㜹㈰㜵㕣㙡㡥搶晥ㄵ㕡扤て㠱㍣戴ㄲ搴ぢ昴晡㈲挵㑢㄰晥〰挷扡愵攲㙦㈸㈲㕡㡥㜲扢㜲㍢挴㌳摡㔷㘹㕦㤸摢搷愹㜲㐵㝢ㄸ晣ㄴ攴戶〹ち㠹㜶ㅤ㤰㍡㉥搵愲戵㙦㐰慢昷㈱戰㄰㕡〹敡㑤㝡㝤㡢攲㙤〸㝦㠰攳搱㔲昱づ㡡㠸㤶㈳搱慥㘸晢㝢㐶晢㍥敤ぢ愳晤㤰㉡㔷戴㐷挳㑦㐱戴挷㐳㈱搱晥〳㐸ㅤ㤷㍡㐹㙢晦〹慤摥㠷挰改搰㑡㔰晦愲搷㝦㔳㝣っ攱て㜰捣㔸㉡㍥㐱ㄱ搱㜲戴搸ㄵ敤挶㥥搱㝥㑥晢挲㘸扦愴捡ㄵ敤搹昰㔳搰ㄲ㤶㐳㈱搱㝥つ愴ㄳ敤㠵㕡晢つ戴㑥戴㤷㐲㉢㐱㝤㑢慦摦㔱㝣て攱て㜰㕣㔷㉡晥㠳㈲愲攵㠸慥㉢摡ㅥ㥥搱慥愷㝤㘱戴㍦㔳攵㡡昶㑡昸㈹挸敤戵㔰㐸戴扦〲愹攳㔲ㅣ扡ㄵ敤㙦搰敡㝤〸摣ち慤〴挵㔹户㠶愲愸㠴昰〷㌸昶㉡ㄵ摤㔰㐴戴ㅣ㜵㤵㘸慤㕥昶搳㜷㕥昷㈵㍥摡ㄷ昶戲㙡慡㕣搱摥〹㍦〵戹扤〷ち㠹ぢ搳慡摢愳攵昰慡㘸㝢㐲敢㐴扢ㅡ㕡〹慡ㄷ扤昶愶攸〳攱て㜰㝣㔴㉡㙡㔰㐴戴㙢㔰㜶攵昶ぢ捦㘸晢搲扥㌰户晤愸㜲㐵晢㠴づ㘳㔳㔴㜰〳っ㐵㍤愳戵㝦㠰搶〹㡥㐳㤹ㄲ挳㘶㜴戲㌹挵ㄶ㄰晥〰㐷㌳愵㘲㑢ㄴㄱ摣㑢㈸扢㔲昹㠱㘷㜰摢搰扥㌰㤵戵㔴戹㠲㝢ㄹ㝥ち㔲昹㍡ㄴ㤲戴㙤㠱㜴愲㝤㔳㙢户㠳搶㠹昶㝤㘸㈵愸㠱昴扡㍤挵㈰〸㝦㠰㈳㡥㔲戱〳㡡㠸㤶㘳㡤慥㔴扥收ㄹ敤㘰摡ㄷ愶㜲㘷慡㕣搱㜲〸㔲㠲ㅢ㡡ちㅤ㠶攲昰愲㘸㜷㠵㔶㠷ㅣ昸㕡挷㄰愴㤳㄰㐵ㄸ挲ㅦ攰昸愰〴ㄷ㐱ㄱ挱㝤㡢戲㉢戸扦㜸〶ㄷ愷㝤㘱㜰㐹慡㕣挱㜱㄰戱愰て㜱㙣㔰攲ㅡ〶愴㡥㑢㜱〸㔰戴扢㐱慢昷㈱搰摤敥㘶挶敥昴㍡㥣㘲て〸㝦㠰㘳㜸ㄲ敤㥥㈸㈲㕡ㅦ捡慥㘸ㅦ昱㡣㜶ㄴ敤ぢ愳ㅤ㑤㤵㉢摡㙡昸㈹㠸戶ㄷㄴㄲ搷㔸㈰㜵㕣㉡愰戵攳愰搵晢㄰搸ㄴ㕡〹㙡㍣扤㑥愰㤸〸攱て晣㐱㔷散㠵㈲愲摤っ㘵㔷戴㜷㜹㐶扢て敤ぢ愳㥤㐲㤵㉢摡㉤攰愷愰㤹㙥〳㠵㐴㍢ㄵ㐸ㅤ㤷摡㔶㙢愷㐱敢散挳㡥搰捡戰摥捤搸㍣㠷昵㜶慦挰戰㐴愵㑦㜱攴㑢㉡㙥戲㉢㠶㑢㠵㔲㠳㜵挵㑡扢㘲㑦㔴ㄸ晢挳㘹搵㄰㔴ㄵ晦愴㠳㙢㍣挷昵攳ち攰ㄹ㕦愵㍣つ摦散捦愱ㅤ㝦㈳㘷㜳换㍣㘶㕦攳戴戹昸收晦㡤㙣散㄰〷搳搷搱㌸搸㍥㡥㑡㙣㌶慦㙢㙥㥣㤷㙥㐹㘷ㅡ㑣㐲㠶戴㍢摤愴戸㐶昰挸っ㤳㔳戱㙤昹㠹搳㍡㐰㡥㍤㔵慢㑥〳慢ㄵつ㡣〳㤰㤳摥㔸㔱敤㙢㔲慣ㅡ㡡㍣㜵㝡摣㡢㈳戲扦昳㌷㈸㘶㈲〰ㄵ挴挶㘴昴昷㐰ㄷ敦㌵㘱㕢㕢捤㌱慡㥡㠸㉥攱晦ちㄵ㠵ㄴ敡慦㉢㙡ㄳㅣ㜹㤲㡡㙢㡢摡㐴㕣㔷㕣攳㙥ㄳ㠷㜰昳〹㔴戱㕤ㄸ戳㥤㙣㌸㙢㤲つ㌵っ戵捣㠸㌱㠷昸摤戱㈶攱愶摤攱敥㘱㙢搹㌳㉢㙡昶搴㈵〶慦㌸㜸㈴㔱㕤㕥ㄴ㉥〷㤴愴攲戲愲㜰㐷改㡡㑢摤攱㥡摣㍣〷㥣㍡づ㜷㉣㄰ㄲ敥愱挴㡦㐷㐹挲㥤敢づ㜷愲慤戵戲扢㤷㉥攱㝦㝣㌷㄰愴㐴昵挷愲㜰㌹愲㈴ㄵㄷㄶ㠵扢㡦慥戸挰ㅤ㙥〳㌷㍦ㄹ㔵ㄲ㙥戹戶愶愶〲㈱攱㌶ㄱ㍦ㅤ㈵〹户搹ㅤ敥っ㕢㙢㘵㜷㝦㕤㤲散ㅥ㠰㤲㐴戵慣㈸㕣㡥㌱㐹挵㌹㐵攱ㅥ愸㉢捥㜶㠷摢捡捤㜳っ㑡挲㙤㐳挹敡ㅡ捥㥡搵ㄸづ〱㐲挲㥤㑦㍣〷㤸㈴摣〵敥㜰㌳戶搶捡㉥〷㤱㠸㤱攰㔵づ㈵㠹敡戴愲㜰㌹愰㈴ㄵ㑢㡢挲捤敢㡡㔳摤攱㉥收收㌹攰搴㜱㘳㌸っ〸〹昷㘸攲ㅢ㔰㤲㜰㡦㜱㠷摢㘴㙢慤散㌶敢㤲㘴㜷ㅥ㑡ㄲ搵〹㐵攱㜲㐴㐹㉡㤶ㄴ㠵摢愲㉢㡥㜷㠷扢㠴㥢㙦㐵㤵㠴㝢〲㑡㔶㜶㥤㌵㉢扢ぢ㠰㤰㜰㑦㈴㝥㈱㑡ㄲ敥㐹敥㜰ㄷ摢㕡㉢㕣づ㈳㐹㜶㈵摣愳㔱㤲愸㡥㉡ち㤷㐳㑡㔲戱戸㈸摣㘳㜵挵㈲㜷戸㑢戹昹攳㔰搵㜱㜶㑦〰㐲挲㍤㥤昸㤳㔰㤲㜰捦㜰㠷㝢㡡慤戵挲攵㌸㔲㝢戸㑢㔱㤲愸摡㡡挲攵㤸㤲㔴戴ㄶ㠵㝢扡慥㘸㜱㠷㝢づ㌷㝦〶慡㍡づ昷㙣㈰㈴摣㜳㠹㕦㠶㤲㠴扢摣ㅤ敥㜲㕢㙢戵摤昳㜴〹晦攳户㕤㈱㈵慡挶愲㜰㌹愸㈴ㄵつ㐵攱㕥愸㉢づ㜷㠷㝢㈱㌷晦㐷㔴㜵ㅣ敥挵㐰㐸戸ㄷㄱ㝦㈹㑡ㄲ敥ち㜷戸㤷摢㕡㉢摣㉢㜴〹晦㔷㈸㡥㈰㐹㔴昹愲㜰㌹慡㈴ㄵ㘶㔱戸㔷敢㡡㥣㍢摣换戸㜹㡥㍡㜵ㅣ敥昵㐰㐸戸㔷㄰㝦〳㑡ㄲ敥㤵敥㜰㔷摡㕡㉢摣㥢㜴〹晦攳㉢㍤㈰㈵慡搹㐵攱㜲㔸㐹㉡づ㈹ち昷㔶㕤㌱换ㅤ敥戵摣晣㙤愸敡㌸摣㍢㠱㤰㜰慦㈷㝥ㄵ㑡ㄲ敥㥦摣攱摥㘳㙢慤㜰敦搵㈵晣㕦愱敥㠳㤴愸づ㈸ち㤷攳㑡㔲戱㝦㔱戸て攸㡡ㄹ敥㜰㙦攲收㌹敥搴㜱戸て〳㈱攱摥㐲㍣〷㥡㈴摣㕢摤攱慥戱戵㔶㔷攳㘰ㄲ㌱ㄲ扣㝡っ㈵㠹㙡摦愲㜰㌹戰㈴ㄵ㔳㡡挲㝤㐲㔷㑣㜶㠷㝢㈷㌷捦㠱㈷〹昷㉥㤴慣〳㤹戳㘶ㅤ挸㥥〱㐲挲㕤㐵晣戳㈸㐹戸㜷扢挳㝤摥搶㕡搹晤慢㉥攱㝦㝣㙢〴愴㐴㌵戱㈸㕣㡥㉣㐹挵㠴愲㜰㕦搲ㄵ攳摤攱摥捦捤晦つ㔵ㅤ㘷昷㔵㈰㈴摣㍦ㄳ晦㍡㑡ㄲ敥㠳敥㜰搷搹㕡㉢扢ㅣ㑥㙡捦敥㥢㈸㐹㔴㜵㐵攱㜲㘸㐹㉡㐶ㄵ㠵晢戶慥ㄸ改づ㜷㌵㌷晦づ慡㍡づ昷㝤㈰㈴摣㌵挴㝦㠸㤲㠴扢搶ㅤ敥㍦㙣慤㤵㕤㡥㈷㐹戸昸ㅦ㍦㘶ち㈹㔱敤㕥ㄴ㉥挷㤶愴㘲户愲㜰㍦搶ㄵ挳摣攱㍥挹捤㝦㠲慡㡥挳晤ㅣ〸〹昷㘹攲扦㐴㐹挲㝤挶ㅤ敥搷戶搶ち昷ㅢ㕤挲晦昸ㄱ㔵㐸㠹㉡㔶ㄴ㉥〷㤷愴㈲㕡ㄴ敥昷扡㈲攲づ昷㜹㙥晥㍦愸敡㌸摣昵㐰㐸戸㉦㄰晦㌳㑡ㄲ敥㡢敥㜰㝦戵戵㔶㘳昸㑤㤷攴㈴㕣〱愰㐴㌵戴㈸㕣㡥㉥㐹挵㉥㐵攱㔶敡㡡㥤摤攱扥〲慤攲攸㤳㠴晢㉡㔶慣慥收慣㔹㕤㡤㘳㑥ㄲ敥㙢挴㜳戸㐹挲㝤ㅤ㉢晡㉥戲挶㙦㙢慤㜰㌹愴㈴㡤㐱挲攵㔰㤲㐴戵㐳㔱戸ㅣ㕥㤲㡡㐱㐵攱昶搱ㄵ摢扢挳㝤㤳㕥㌹晣㈴攱㤶扤摥敤ぢ㠴㠴晢㌶昱ㅣ㙦㤲㜰摦挱㡡ㄳ敥愶戶搶ち㤷㠳㑣敤攱㙥㠶㤲㐴㔵㕢ㄴ㉥〷㥣愴愲㝦㔱戸ㅣ㠴㤲㡡㙤摣攱㝥㐰慦ㅣ㤰㤲㜰㍦挴㡡㤵㕤㘷捤捡㉥㠷愱㈴摣㡦㠸慦愵㐰㤳㌴晥㠱ㄵ㈷摣㙤㙤慤ㄵ敥㜶扡㈴搹ㅤ㠸㤲㙣㝣昳愲㜰㌹攲㈴ㄵ㥢ㄵ㠵㍢㐸㔷晣挱ㅤ敥挷昴扡〳㐴挷搹ㅤっ㠴㠴晢㈹昱ㅣ㠲㤲㜰㍦挳㡡ㄳ敥㔰㕢㙢㜵㌵㡥㍢㐹㜶搱㠶㜱㌳㡡㤲㐴搵户㈸㕣㡥㐱㐹挵㐶㐵攱㠶㜵㐵挰ㅤ敥㔷昴ㅡ㠱㤰㜰㥤ㅢ捡昶㥢㑣㉢扢㜱㈰㈴摣㙦㠸㑦㔲㌰扢摦㘲挵〹㤷〳㔰㑥㠰㌵ㅣ㜸㤲㤲㘴㤷〳㑥ㄲ㔵捦愲㜰㌹〸㈵ㄵ晥愲㜰㌹㌰㈵ㄵ㠶㍢摣ㅦ攸㜵㑦㠸㡥挳ㅤ〵㠴㠴扢㥥昸搱ㄴっ昷㈷慣㌸攱㡥戵戵㔶㜶挷改㤲㘴㤷㈳㑥戲昱敥㐵攱㜲ㄴ㑡㉡扡ㄵ㠵㍢㔱㔷㔴扡挳晤㡤㕥㌹㑡㈵攱㔶昴搴㙤搷㔹戳戲扢て㄰ㄲ慥〲㐲㜱㔸㑡挲慤㐴挹〹㜷慡慤戵摡敥㌴㕤㘲㜶㙢㌸㘶挴㉦扢慦㕣愸戲㜳㜲㜳收晣㔰搳扤㜶㡢敥〷㡣攸戵攲摤㘷摥㕦晥昲挱挳晦昹昳愵㤷扥晣攱昲㘷㝦㝥㌰㌳晣挹慢慦㝥㙣攲ㄵ捦扥摦㌷㝦㘵攵㍤㍦㑣扡昲攸搰攱㐷ㅦ㤱摦㙦昰戸愳㘷ㅥ戶㙦㘸捡㐶㐳扡㜵敢搱㘳㠷㡤㥦摡㙣挷挰昱㐷摣愷ㅥ晤晢ㅦ㥡慡㜸㤰攸挴愰つ愳晥㥤㈳㉣摤戸攷㌲捣㐲愲扡愳挴て㐷户〲〷㘲攳㌲づ㔸〵慤攱㠳攸㕤㔹挳㈱㤱慥摣㘵挵慥挰摤㌶㝡㌰戲㌹㔸ㄳ㑥慡摤㤱㜱㘴㐵㈲㌳ㄸ㤹摦㡡㡣愳ㅦ㕤ㅡ搹愱㍡㤶㥥敥㔸㌸㙣㈲戱昴㘲㉣扤慤㔸㌸戴搱愵戱㌴改㔸晡戸㘳攱㤸㠸挴㔲挳㔸〲㔶㉣慤㕤ㅤぢ〷㐰㠴戱㡤戰㐱㈵挳ㅥ㘸㍥㐶㕦㜷㘴ぢ㜴㘴ㅢ㌳戲㝥㔶㘴㡢扢㍡㌲ㄹ搳㘰㉣㥢戸㘳攱搸㠶㘴㘹㔳挶昲〷㉢ㄶ㡥㍦㜴㈹㘳㈷㘰〳㤲愵捤戰㐱㜵㈲㑡搲慥㌷㜷㐷㜶㤲㡥㙣ぢ㐶戶愵ㄵㄹ㠷ㅡ扡㌴戲搳㜵㉣㕢戹㘳攱ㄸ㠵㘴㘹㙢挶戲㡤ㄵぢ挷ㄱ扡㌴ㄶㄹ㜸㈰㘳晤摤戱㉣搷戱搴㌲㤶〱㔶㉣ㄷ㜶㜵㉣ㄷ㘱〳挲搱戶敥㔸㌸扡㈰㜹搹㡥戱っ戴㘲攱〸㐰㤷收攵ちㅤ换昶敥㔸慥搴戱っ㘲㉣㍢㔸戱㕣摢搵戱㕣慦㘳搹搱ㅤ换㥦㜴㉣㍢㌱㤶挱㔶㉣扣㜷敦搲扣挸捤㍥摢换㄰㜷㉣户敡㔸㜶㘶㉣扢㔸戱摣搹搵戱摣㠵つ㐸てㅦ㡡つ㉡戹慦㘷㘴扢扡㈳攳晤扤戴㥥㈰㈳ぢ㔹㤱昱ㅥ扣㑢戳㈴㌷敤㡣㈵散㡥㠵㌷敦ㄲ㑢㠴戱㐴慤㔸㔶㜷㜵㉣㙢戰〱改㔵㌱㜷㉣㙢㜵㉣㜱挶㤲戰㘲㜹戲慢㘳㤱摢㙤收㈵改㡥攵ㄹㅤ㑢㡡戱っ戳㘲㜹扥慢㘳㤱㝢㘹挶戲㥢㍢ㄶ摥㔳ぢ㐷扢㌳㤶攱㔶㉣扣敦敤搲昶昲㉡㌶㈰㉤㜹て㙣㔰挹㙤㌳㈳摢搳ㅤ搹敢㍡戲ㄱ㡣㙣愴ㄵㄹ㙦㜱扢㌴㌲戹㈷㘶㉣愳摣戱扣愳㘳愹㘳㉣愳慤㔸㜸晦摡愵戱㝣㠸つ㐸㤶挶㘰㠳㑡㙥㝦ㄹ搹㔸㜷㘴扣つㄶ晥挶㌱戲昱㔶㘴ㅦ㜷㜵㘴㜲㙦换㔸㈶戸㘳攱㍤慥挴㌲㤱戱散㘵挵挲晢搰㉥捤㤲摣戸㌲㤶㐹敥㔸㜸〳㉢戱散捤㔸昶戱㘲昹愱慢㘳㤱扢㔲挶㌲搹ㅤぢ敦㑥㈵㤶㈹㡣㘵㕦㉢ㄶ摥㐱㜶㘹㕥㜸㉢㉡慤㘷㉡㔶㤴摣㠰㌲戲㘹㈸昱㈳㜷㘰扣ㄱ㤵挸愶㘳挵搸て愲㜷愵㤲㍢㌶㈰㡣ㄹ㈸昳㐸捡㈵挰㍢㌷㐲㝢㜷㔷扣㕤㤳㝢攵ㅢ扦戵㘶㐴㡣㠲扥㕡㔵㈸摥挲㐹挵つ㜶㐵〰ㄵ挶㑣扡㤱㥢㉤㤶づ㘴〹㉢攲㤴㌷㕤戶㔳摥㘹㠹敤㜵㐵㑥㜹昷㈵ㄵ搷扡㥤捥㠲㌶挰晢㈴摢㥣㌷㐷㠲扡扡挸㥣㌷㑣㔲㜱㤵摢㝣づ捤㜹㙢㘳㥢昳㝥㐶㔰㔷ㄴ㤹昳ㅥ㐷㉡㉥㜷㥢㘷愱㔵㜲㌷挲㕤捡戱愴㜷㠹㜷㈵戶㔳摥㡡㠸敤㈵㐵㑥㜹㝢㈲ㄵㄷ扢㥤ㅥち㙤㠰㌷ㄲ戶㌹敦ㅥ〴㜵㔱㤱㌹敦㈸愴攲㡦㙥昳挳愰㔵㜲敤捦㤸づ㘷㐹挷挴㝢〰摢㈹㉦晣挵昶晣㈲愷扣ㄹ㤰㡡昳摣㑥㥢愰つ昰戲摤㌶攷戵扡愰捥㉤㌲攷昵扢㔴㉣㜳㥢ㅦ㐱㜳㕥㘹摢收扣扣ㄶ搴搹㐵收扣攴㤶㡡戳摣收㙤㌴攷挵戱㙤捥㉢㘲㐱㥤㔱㘴捥慢㘴愹㌸摤㙤㝥㈴捤㜹㍤㙢㥢昳㈲㔶㔰㑢㡢捣㜹㘱㉢ㄵ愷扡捤ㄷ搳㥣㤷愰戶㌹慦㍢〵㜵㜲㤱㌹慦㐵愵攲㈴户昹㌱㌴攷㔵愳㙤捥㑢㐵㐱㥤㔰㘴捥换㐷愹㔸攲㌶㍦ㅥ㕡㈵ㄷ㝡愴㜳〹㑢㥡㑥㕥昰搹㑥㜹㤵㈷戶挷ㄶ㌹攵㤵㥦㔴ㅣ攳㜶㝡ㄲ戴〱㕥愳搹收扣㌰ㄳ搴㔱㐵收扣㔸㤳㡡挵㙥昳㔳㘹捥换㉡摢㥣搷㔲㠲㕡㔸㘴捥敢㉢愹㌸搲㙤㝥㍡捤㜹㈵㘴㥢昳昲㐷㔰昳㡢捣㜹㐹㈴ㄵ㙤㙥昳戳㘸捥㡢ㄷ摢㥣㔷㉣㠲㙡㈹㌲攷㔵㡣㔴ㅣ攱㌶㕦〶慤㤲敢つ㈶昴㕣㤶㜴㐲㜹摤㘱㍢ㅤ愱㙤㥢㡡㥣昲〲㐴㥣㌶扡㥤㥥て㙤㠰㤷ち戶㌹慦て〴㜵㜸㤱昹㘸㕤㜱㤸摢晣㡦搰㉡㌹扢㌳愶㡢㔸搲㌱昱㉣㙦㍢ㅤ愷㙤て㉤㜲捡搳扤㙣㉤敦㜶㝡〹戴〱㥥㤸㙤昳㠹ㅡ㤵㉢㌲攷ㄹ㕡捣戳㙥昳换㘹捥㜳愹㙤捥ㄳ愸愰搲㐵收㍣愹㑡挵ㅣ户昹㔵㌴攷改捦㌶攷㌹㑦㔰㠷ㄴ㤹敦慢㉢㘶戹捤慦㠵㔶挹ㄹ㡢ㄹ戹㡥㈵㥤ㄱ㥥戹㙣愷搳戵敤㠱㐵㑥㜹ち㤳慤捤㜴㍢扤〱摡〰捦㘶㌴㌷㙥挴ち㈶ㄷ昲戴㈴㘳戳㉢㔹换搳㤲搴摥㘴搵昲晣㈲戵㌷㘳㐵昱㜴㈱愵㕢㔸攲搱㕦㑡户㘲㈵㤰㠳㜰㕢昲㌰㉥戵户㘳㐵ㅤ愶㑢㜷㘰㈵挰愳戲ㅢ换挳慢㘰敦挲㡡㍡㐲㤷㔶戱搴愶㑢㜷戳挴㘳㤹㈰敦㘱㠹㠷㈶㈹摤换ㄲ㡦㌴㔲扡㡦㈵ㅥ㌸愴㜴㍦㔶〲㍣㜰戸户挸㈳㠰搴晥ㄹ㉢㡡ㅤ㕡㑡て戲挴晥㈹愵㠷㔸㘲㜷㤳搲挳㉣戱昷㐸改ㄱ慣〴搸㝢摣㕥搹つ愴昶㔱慣㈸戶㙡㈹慤挱㑡㠰慤摡㡤㘵昳㤴摡挷戰愲搸摡愴昴㌸㑢㙣㍣㔲㝡㠲㈵戶〵㈹㍤㠹㤵〰摢㠲昸㜹ち㉢攰㡦愴㑡敤搳㔸愹㈲愹ㅤ㑣ㄸ㥣㘲戶㘴捤愶戶晡〶㤳ㄳㄶ㜱改㔵搱扢戱㙥㝥㙢㕢戳㌵愷戲戵㑡㘶㔱㤶捥戲散㑢昸㤰〲愸摦㔲㔱搶㔸慢捥㜴换㥥㜶ㄵ攷㘷晥㕦攷㕡昶挰扥㜱挱㙢㠴摢㜴㍣摤搲㥡㙡搹㌹㤴㍤捦昲ㄹ㘴挷㡦㉦戱挰㐴换昶㔵㈹慢㤵愸㘲ㄷ㌳ち㝥晤㠱扤㠰㈹㌵㥥㙤户㙣㕦戵㉣愵㘷㤴㔸㑡て㈹搱戲愷㤴㙥㐵㝡㐸〹㤶㍤愵ㄴ㉢㍤愴〴㉢㍤愵㐴㉢㍤愶㐴㉢㍤愷㐴㉢㍤愸㐴㉢㍤愹㐴换ㅥ㔵ㅡ㤹昴愴ㄲ慣昴愸ㄲ慤昴慣ㄲ慤昴戰ㄲ㉤㝢㕡改搶愴㠷㤵㘰搹搳㑡戱搲挳㑡戰搲搳㑡戴搲攳㑡戴散㜹愵㝥搹〳愵㜵㍣㡦ㄵ扢㕤戵慦㕡慤㠳扤戲挴戲㠶慤㡦㑦戶㠸挱攷摤㍤㉦㕥挱捦扦昷㝣敥㔹㝥㍥摤戳㠶慤慣㘳〴户搴㈱愲攷晦〳捥㑡ㄴ㝤</t>
  </si>
  <si>
    <t>㜸〱捤㝤〷㤸ㄴ㔵昶晤扣㠱㘹愶㥡㌰㉤㠲㌹っ㡡ㄸ㐰散ㅣ㔴㤴㌸㈰㈲㈸㘰㐶愱愳㡣㑥挰㤹㈱ㄹ㜱㔵搶㐵〴挵戰㘶ㄱ㕤〵㑣㤸㜵㔵ㄸ挱㥣㜳㑥敢㥡㜶搷戸㠶㌵晢㍦攷㔶扤㥡敡敥敡㘶㝥晥㜷扥㙦〷晡㜶扤晢敥扤敦扣㝢㕥㔵㔷扤㝡搵㕤愱㉡㉡㉡㝥挳ㅦ摦昹搷㥤ㅢ摢㑣㤹摦摡㤶㙤ㅣ㍡慡戹愱㈱㥢㙥慢㙦㙥㙡ㅤ㍡愲愵㈵㌹㝦㐲㝤㙢㕢㌷ㄸ㜸愶搷愳扥戵㙡㝡㙢晤〹搹敡改㜳戲㉤慤㌰慡慡愸愸慥㌶㉡㔱扦愵昵昲改㠲㐱㉦愳㍢〵慣㉡って㐵て㡡㙡ち㠳挲㑢搱㤳愲ㄷ㐵㙦㡡㍥ㄴ㌵ㄴ㍥㡡㑤㈸晡㔲㙣㑡搱㡦愲㍦挵㘶ㄴ㥢㔳㙣㐱挱昶㡤慤㈸戶㠶攸戵つ挴搴㔱㈳㈷愵㡥㐵㙦愶戴㌵户㘴㠷搴ㅥ㘲㘲ㅥㄶ〸っつっつ㐷〲挱愱晥㈱戵愳㘶㌷戴捤㙥挹づ㙢捡捥㙥㙢㐹㌶っ愹㍤㜰㜶慡愱㍥扤㝦㜶晥搴收攳戲㑤挳戲㈹㝦㈸㤵っ挷〳攱㐸㈴㤷㐸挴㝢㙤㡢挸ㄳ㐷㡤㍣戰㈵㥢㙢晤㙦挵摣㡥㌱㈷㡤ㅡ㌹㜴㘲戶敤扦ㄵ㜳㝢挴㐴挸搱捤㡤挹晡愶晦㔲搰㉡㜲ㅡㅡ㥤㑤搷㤳晣㙣戶愵扥改㤸愱㠰㥤㤷㘸㤴㘲㐳敢㤰昱㜴戲戵㙤㔴戶愱㘱㜲㌶㐷摥㝢㌵㌲㘷搹㤶㙣㔳㍡摢摡愷㜱捣扣㜴戶挱慡㙥慤㙥㍣㈴搹㌲㌱搹㤸敤捥㡤㥡㐶㤳户晤㌲搹愶戶晡戶昹扤ㅢて㙥捤㑥㑥㌶ㅤ㤳愵㐹㔵攳搸搹昵㤹敥摤㔵昷敥ㄵ摤㜶㜶〳㈳摣っ慤㙢㐹㡦㥡㤹㙣㘹㤳ㄲ㔹ぢ戸搹㍡㐶㠸〰捦㠳挵㔱㔴㕢攰㐵㥡愶搴㌷敥㥦㙤㘹捡㌶戰ㄱ㤲㌷戸挰㐸㜲㘲愶摥㑥㡥敥つ㠹㔱㍤慤晤㡤㕤㘱㉢㐶㉤挵〰〸捦づ㄰扥㘱㈳㐷づっ挴〶敤戰㘷敤づ㠳〶㡥〸㠷㡣ㅤ㔹㍦㄰㐲㜵㝦ㄳ㍢慦搳㥦㍢㔰攵昴㘴攵昴㔴攵昴㜴攵昴㑣攵昴㙣攵昴㕣攵昴㘳㉡愷捦慣㥣㕥㕦㌹晤搸捡改挷挱㐶晦㔵昷攸㔱㘹晤㑤晢㜰搳㘱摤㥥摥㝡捣㐵㜵ㄵぢ㔷扥戱昷㑥㡡晢慢散戸㠳戰㘱散っ攱搹〵挲㌷㙣挴挱づ㍣愱戰戱㉢敢㜷㠳㔰敡㘵攰㈱愶愶昶昵户ㅤ晤攵扦挶㕥戸昴愷搰昲〳扥搸㔲㜱扦㤷㘰㐳㘸扣㍢㠴㘷㈸㐴㐱戰㘸搸搸㠳昵㝥〸愵㥥戵㠲攵づ慢扣愶㐷搵〷㘳㉦㝦挳㝦㜲昷㔷㕥㥥慤㜸晣㤰㘰㐱ㅡ㠷㈰㍣㘱㠸挲㑣挵㡣〸敢愳㄰㑡㍤㙥〵㍢㘹敤ㄹ㉦㑦㥣扢捦昰㑢㍦戹㈵㤰晣敡戴㘱㡡攳㔱㠲挵㘹㥣㠰昰散〹㔱㄰㉣ㄲ㌰昶㘲晤摥㄰㑡㙤戰㠲昹ㅡ敥㝣昶捦昷㌴㡥㍥㘳㑤摢㥣㉢㡦㝥敢㐲挵攳㤹〴摢㠷挶晢㐲㜸㠶㐳ㄴ㜴㌳㥣㌰㐶戰㝥㈴㠴㔲て㔸挱挶ㅦ㤱ㅢ㜳捡㐱户㡤㕢晡攴挳㠷㕣㌵慤㝦㉦挵攳愲〴ㅢ㑤攳㌱㄰㥥㍡㠸〲㘴攱戰㌱㤶昵攳㈰㤴扡摢ち昶敤㤹摢扥搵敤㤷挰挴挵敢捦慢慡摤晤愳㍤ㄵ㡦慦ㄲ㙣㍣㡤昷㠷昰㑣㠰㈸〸ㄶ㠹ㄹ〷戰㝥㈲㠴㔲户㕡挱戶昶っ㡣晥㜴攴昳愳搷㙤㤵㜹㝥挱攰昰攳㡡挳㑣㠲ㅤ㐸攳㠳㈰㍣㤳㈱ち扡ㄹ㠹ㅢ㔳㔸㍦ㄵ㐲愹ㅢ慣㘰㑦㝣㜴摤愸慢㐳㠱攱ㄷ㕥摣㘷捡晡ㄵ㙦ㅤ慦㜸扣㤷㘰㠷搰昸㔰〸捦㘱㄰〵挱搰捤挳㔹㝦〴㠴㔲㝦戱㠲搵〵㥦摣㜱敤㜹㕢㡦扢晤戳㉢㤶㐶㠶㍤戱㑥昱㜳㐳㠲㑤愳昱㔱㄰㥥愳㈱ち扡〹〲愶戳㝥〶㠴㔲㔷㔹挱㔶㌷慤㕡戴昰㠵㍢㐶摣搷晡搳㈶昳ㅦ㝥㜲㡡攲攷㡦〴㑢搱㌸つ攱挹㐰ㄴ〴ぢ㐵㡣㉣敢㜳㄰㑡㕤㘲〵ㅢ㝡晢ㅤ㙦㝦戳晢㤸〹ㄷ捤㜹昰晢ㅢ㥥㝦昴ㄳ挵捦㌱〹㌶㤳挶昵㄰㥥㘳㈱ち扡ㄹつㄸ摣㍦㡤〶〸愵捥户㠲ㅤ㝥昶㍦摥㍤昳㡤昵㘳搷㥥ㄶ㜸晢㤹捦户〹㈸㝥ㅥ㑡戰㈶ㅡ㌷㐳㜸㘶㐱ㄴ㈰ぢ挷㡤攳㔹摦〲愱搴㌹㔶戰㜳㉦㜹㍤㜲昸㕥扥昱愷㙤㜲昷收敢ㄶ摣摢㑢昱㜳㔵㠲戵搱㜸㌶㠴㘷づ㐴〱㌲〴㥢换晡㜹㄰㑡晤搱ち昶昱攸摥昷慣摥愷戱㙥搵晤㌷搴散㜲敢愸㤴攲攷戳〴㍢㠱挶㈷㐲㜸㑥㠲㈸〸㠶㜱㜶㌲敢㑦㠱㔰敡㌴㉢搸㜳ㄷ扣戲㝣晢慡〵攳㙥㕡搵㝣㙢挳摢㍤㕥㔴晣㥣㤷㘰ぢ㘸㝣ㅡ㠴攷て㄰〵摤っ挵㡤搳㔹㝦〶㠴㔲㈷㕡挱づ敡㔱搹㝢搹捣㙦敢㤶㍦搶昲捣て㌷摦戹㡦攲昹㠲〴㕢㐸攳㍦㐲㜸捥㠲㈸〸ㄶ㡥ㅡ㝦㘲晤㈲〸愵㘶㕢挱挶㡣㕡昳搵㡤搳て㥣㜴晢㐵㉢㕦ㅡ㜱挶晤戵㡡攷ㅤㄲ㙣㌱㡤捦㠱昰㉣㠱㈸〸ㄶ〹ㅢ㑢㔹㝦㉥㠴㔲捤㔶戰摦捥㜹晣昱㥦㔲㤷㡣扦敢戸愳て㝢昲挶㜰㍦挵昳ㄷ〹戶㡣挶攷㐳㜸㉥㠰㈸っ收㌷㉥㘴晤㐵㄰㑡搵㕢挱ㄶ晥㜰摥㠷搷㑤㝥昶㠰挵攷ㅦ戴换〳晤㔲敦㉡㥥〷㐹戰㡢㘹㝣〹㠴攷㔲㠸㐲〲㠲挶㘵慣扦ㅣ㐲愹戴ㄵ散㠸㐱扤㤷㠴㍦㝥㝥攴㔹挳㜶敡戹㙡敥㍥㕥戵〵慡㈵搸㤵㌴扥ち挲戳ㅣ愲㌰㔸搸戸㥡昵㉢㈰㤴㍡捡ちㄶ摥收捥愷㑦㍤昳扡〹㡢〶扥搵㝡捣ㄶ慦㝤愸㜸㕥㈶挱慥愵昱㕦㈰㍣搷㐱ㄴ㜴㌳ㅡ㌴慥㘷晤㑡〸愵づ戵㠲㉤ㅤ㍦攴收㠷㤳〷㑦扣愶敦㐷愷㍦㍦戸搷换㙡㉢㔴㑢戰搵㌴扥〱挲㜳㈳㐴〱戲㜰捣戸㠹昵㌷㐳㈸㜵㤰ㄵ散敤挹㜵㑦扤昷㘳㘰搲ㄵ慤㡦㈶づ扢晡㥡㔷ㄴ捦ㄳ㈵搸ㅡㅡ摦ち攱戹つ愲〰㔹挸㙦摣捥晡㍢㈰㤴摡摦ち昶敥戱挱㉤㕥㑤㔶㡣戹昱晥搳扦ㅤ晥挹搴㠷㝢摤㠵敡㠳慣捦昴搱㉤挹戹㌸㌱敡㌸攷挲㠹㈶晦㙤晣㘴ㄳ攷㥡戹㐸㉥㤶ぢ〴㌲ㄱ㝦㌲㤴慣慡㐵搸捥㥥攲㜰愸昷捡ㅤ㕡摦㤴㘹㥥㉢攷㍣扤㜲㜵昵つ㙤搹ㄶ㈹搴攴昰㘶㥥户㐹戹㜷㙥捣㍣㥣昰愶捤搳愳㝥戹㔱搹㤶㌶㥣㈸戶捤敦㌸㘷摡㘶㘴戲㌵摢㔱ㅣ㙣挵ㅥ搹㍣扢㈹搳扡戵㝢攵㤴戶㘴㕢㜶慢挲扡㡥㈰㐵㙥㔳㜰ㄲ㤹㙤ㄵ㐸摢ㄵ扡ㅤ㤲㙣㤸㥤ㅤ㌱慦摥慣摥戶愰ㅡ愷㤳捤愹搲戵㜵㉤搹攳敤摡㈲㐴㈳㜰㡤㌳㐷㘲ㄷ昵搲慣㌲㜱搵㡥㥡搹摣㥡㙤ㄲ㜸㠳ㅢて慣㑦ㅦ㤷㙤㤹㤲攵ㄵ㔲㌶㈳㕤敤捦㉡敢㥣㜶昰愴㈶㜴ㄴ㘷愹㤹ㅤ㥣㕡㈶㍡摢㤴挹㘶㠰㜷ㄶ戲㍣㝦㙡㌲搵㤰摤㉣捦挴㙣ㄳㄵ㕢收愹敢㥡搳戳㕢㐷㌵㌷戵戵㌴㌷攴搷㡣挸捣㐹攲㍣㍡㜳㐰㜳㈶摢㕤晥㉡㑣愹㉡扡㜵㔳慡㘲ㄷ户ㄳ㔲挶㙥攵㈹慢㘳㤰昰挴戸扣戱㘳㄰搱搸昵㔴搷㡥㡣つ挷㈰愳晤慥㘵㤱㌸〷㈱慤晤㘵慤㕤〶㈹㥤戶挸摦昱㠶㑥〶㍦攰愱㈱换扤戲㜲㘰改㤰ㅤ攳㜲㈳㐸ㅤ慣昰㠲㤸搶㘵㤲㈶㘱敤戱搷戵挶㤵㤵㥢㕡扤ㅦ㌳〷㔷㑢攳㤲㑤㤹㠶㙣㑢搹换㜹㐵㐴挶摤ㄴ昷㔰摣㑢昱㔷㡡晢㈰慡㐶攳ㄸ㔷㌲愳摤㘱愱收愹昹㔵㜳敢㌳㙤㌳㍤㌳戳昵挷捣㙣㠳づ搳〰搵搵㑣㜷搱㥦昱〰㔴挶㕡㡡㜵㄰㕥㙦㠵愷ㅤ敦ㄵㅥ慦昱㈰摦搶㐳搴攸换挵㕡㜳㘴㝡㔵搵〰愸晦敦ㄷ㙣㤵昰㌲攴晡㄰ㄷ昰慤㔵㡤㠸摢摡慤㥢㕢㌶挶㈵㕢㘷戶㜱㐷㉣㕦挹㜸ㅢ㈸ㅥ㠲攸昵㌰挴挴㜱搹〶散挶晦慤㙢晦慡ㅤㄱ㜳愳搷㤸㍣挱摡慣㜱捡晣愶昴捣㤶收㈶捣挰㡣㑥戶㈵㐷愴㜱㈱摤慡㤲㥥挶〹捤愳㘶户㜹ㅡ挷搵攳慤㔷攳攴散慣㙣戲㙤ㄴづ搳㙤扤ㅢ㈷攰㈲㕣㡥愳晢㘵收㔵㌵㥡搷捦愳戳慤㘹㠳ㄷ摡晢攱戰㌴捦㠳㉤ㅣ㘷㝢㌵昲㐰㤳㥤搷挶搰㍤ㅡて㑣攲㐲扤捤㠰搱㘰昱㌲户攸搹㕢㜴摡摢㙢㤵㄰挱㈷㥢㡥㈸㍤㐵㘱㐶慡攰挸挱㈷㈸㍥㜳扢㕢戲㜰て㍡戸慤扥愱㜵愸㤵摥愱愳㥢㌱ㄱ㤳㤵㌹㈸愶摤攳挱〰昳㤴㈵慢㜰㐷攷㤵晡愴㜴捡っぢ㈸㘳㕢㥡㘷捦摡づ戱晥㕢㜱ㄸ慢挲㜸〴攲慡慦㔶敦戵搳ㄵ户晣㘶扤㥦㡡㕤㐸晥㡣ㅤ㘸搱づ挱㈲摥攴捦㜸ㅣ㙦摥㜲㜵㔵〳㘱攱㝡愴㉤㌱愹㔰〵晢㕥㡤攸敤搴㤶慣捣㤲㔴㑢㘱晥慣㙣敦挶㐳㥢㕢㡥㑢㌵㌷ㅦ㐷昲晢㐸愹㜵㘶㌶摢挶愹㠷㥥搶㑣ぢ户㤵㔲摤扡攵捤㉢㌸收㈸戶㐷㝣捦搳㄰扤㐷㌴㌴搴敡㠸慤㥥㘷愰敡㠶㑦ㄴ捦戳搸ㄸ㌴㍥搹㔴ㅢ昴〷挳戵愳愶㑣ㅥ㔱㡢昹挲㔹つ㌸ㅤ愸㥤㍣收㄰晦敥扢敦㍥㝡挲㤴愱昳ㅡ㕡攷㈹㍦㜲挱〹㠳昵㔵昳㔷挴ㄷ㔶っ扦昷挳〷晡昶㜸晣改㤰摡挳慡㈸㥡㤶ㄸ㠴攸戵㜸ㄹ㉦㔰扣㐸昱ㄲ挵换ㄴ慦㐰愸㕤攱捡㈳ㄷ㉦戴昸㝡〸㠷㠲て㌰摡㉡㡣搷㈸㕥愷㜸〳〲挷ㅦ攱〳㠷㥦户愸攳攱挷慢搴捥㜸攳㈱挷㜸㠷攲㕤〸戵㉢〴㜷捥ち攳㍤㠸㤲っ敦㐲㡢㜶〸㌴摥挱昰摦愱昰ㅡ㘵敡搴㙥戰㈰换〶戳㙡㌰㡦〶㜳愸㌶㐳ㄸ搷攴昴户㉡㡡愶㔹㠶挰慤㤶晥㥦㔲㝣㐶昱㌹挵ㄷㄴ㕦㐲愸ㅡ戸㌲㌹搸捥晦㌳晥㡤戲昱㌵挵㌷㄰㡥攴㝣㐷㥤㤵㥣摤戱㉤挹昹㥥捡ㅦ㈰搴ㅥ㄰㘶㜲㝥挴㔶挹攴っ愵㐳㍢〴ㅡ户㕢㌷㝥㠱挲㙢㤴愹㔳㝥㔸戸㈵攷攷㕦㑢㈴攷㈷慢愲㘸摡㈸㠸㐸戵㜸ㄹㅥ〵搱㠳愲㥡挲愰昰㐲愸㙦攱敡㥥㥣㕥戴改㑤搱〷挲㤱ㅣㅦ㜵㔶㜲㐲〸㍥㠰つ昴愵㜲㔳〸ㄵ㐱搱㑣㑥㍦ㄴ㑢㈶㈷㑣慦㜶㠸扣攴㙣づㄷ慦㔱愶㑥㐵攱攲㤶㥣昷㑢㈵攷㙦㔶㐵搱㌴㔸ㅣ㤱㙡昱㌲㙡搱愸㌱㠰㘲〷㡡ㅤ㈹〶㐲愸㌷㑢㈶㘷㄰㙤㜶愶搸〵挲㤱㥣摤愸戳㤲㤳㐰昰〱㙣㘰〸㤵扢㐳愸扤㔰㌴㤳㌳ㄴ挵㤲挹搹㤳㕥敤㄰㜹挹〹挰挵㙢㤴愹㔳㝢挳挵㉤㌹㡦㤵㑡捥愳㔶㐵搱戴摥㍥㠸㔴㡢㤷戱㈷ㅡ㌵昶愲搸㥢㘲ㄸ挵㍥㄰敡挱㤲挹ㄹ㑥㥢ㄱㄴ㈳㈱ㅣ挹ㄹ㑤㥤㤵㥣㝤ㄱ㝣〰ㅢ愸愳㜲㉣㠴ㅡ㠱愲㤹㥣㜱㈸㤶㑣捥㜰㝡戵㐳攴㈵㘷㝦戸㜸㡤㌲㜵㙡㈴㕣摣㤲㜳㜳愹攴摣㘴㔵ㄴ㑤㔳㡥㐶愴㕡扣㡣愹㘸搴㌸㤸攲㄰㡡㐳㈹づ㠳㔰搷㤷㑣捥ㄱ戴㌹㤲㘲ㅡ㠴㈳㌹㐷㔳㘷㈵㘷っ㠲て㘰〳㌳愸㑣㐲㈸捥㜸㥡挹㐹愱㔸㌲㌹㜵昴㙡㠷挸㑢㑥ㄶ㉥㕥愳㑣㥤ㅡ〷ㄷ户攴㕣㔰㉡㌹攷㕢ㄵ㐵搳慥攳ㄱ愹ㄶ㉦愳〹㡤ㅡ捤ㄴ戳㈸㡥愷㘸㠱㔰攷㤴㑣㑥ㅢ㙤㘶㔳捣㠱㜰㈴㘷ㅥ㜵㔶㜲昶㐷昰〱㙣攰〴㉡㑦㠴㔰〷愰㘸㈶攷㈴ㄴ㑢㈶㘷〲扤摡㈱昲㤲㜳㉡㕣扣㐶㤹㍡㌵ㄱ㉥㙥挹㌹愱㔴㜲收㕢ㄵ㐵搳挸〷㈲㔲㉤㕥挶㔹㘸搴昸ㄳ挵㈲㡡戳㈹ㄶ㐳愸搶㤲挹㔹㐲㥢愵ㄴ攷㐲㌸㤲戳㡣㍡㉢㌹㥣㤹ㅥ挰〶㉥愰昲㐲〸㌵〵㐵㌳㌹ㄷ愱㔸㌲㌹㤳改搵づ㤱㤷㥣㑢攰攲㌵捡搴愹愹㜰㜱㑢捥㡣㔲挹㤹㙥㔵ㄴ㑤㡢ㅦ㠲㐸戵㜸ㄹ㉢搰愸㜱つ挵戵ㄴ㝦愱戸づ㐲ㅤ㕥㌲㌹㉢㘹戳㡡㘲㌵㠴㈳㌹㌷㔲㘷㈵㠷㌳敤〳搸挰捤㔴摥〲愱づ㐷搱㑣捥ㅡㄴ㑢㈶攷㌰㝡戵㐳攴㈵攷㜶戸㜸㡤㌲㜵敡〸戸戸㈵愷慥㔴㜲挶㔸ㄵ㐵搳晣搳㄰愹ㄶ㉦攳㝥㌴㙡㍣㐰戱㤶㘲ㅤ㐵㍢㠴摡户㘴㜲搶搳㘶〳挵㐳㄰㡥攴㍣㐲㥤㤵㥣愳㄰㝣〰ㅢ㜸㡣捡挷㈱搴㜴ㄴ捤攴㍣㠱㘲挹攴ㅣ㑤慦㜶㠸扣攴㍣つㄷ慦㔱愶㑥捤㠰㡢㕢㜲㠶㤴㑡捥㘰慢愲攸戶㐵ち㤱㙡昱㌲㕥㐱愳挶慢ㄴ慦㔱扣㑥昱〶㠴摡愹㘴㜲摥愲捤摢ㄴ敦㐰㌸㤲昳ㅥ㜵㔶㜲搲〸㍥㠰つ扣㑦攵摦㈱㔴ㄶ㐵㌳㌹ㅦ愰㔸㌲㌹ㄹ㝡戵㐳攴㈵攷㘳戸㜸㡤㌲㜵㉡〷ㄷ户攴昴㉤㤵㥣㑤慣㡡愲摢㌰扣㈰愸挵换昸ㄲ㡤ㅡ㕦㔱晣㥢攲㙢㡡㙦㈰㔴捦㤲挹昹㡥㌶晦愱昸ㅥ挲㤱㥣ㅦ愹戳㤲挳㍢㍢〳搸挰捦㔴晥〲愱㜸㐷挷㑣捥慦㈸㤶㑣捥戱昴㙡㠷挸㑢㡥慡㘴㜲捡搴愹〶戸戸㈵攷晢㕦㑡㥣㈱晦挷慡㈸扡慤搴㠴㐸戵㜸ㄹ㕥㌴㙡昴愴攸㐵搱㥢愲て㠴晡ち慥敥㘷挸㕣敤㘱㙣㐲搱ㄷ挲㤱㥣㝥搴慤㐷㔴㕣㕢㌵攳㙤〰ㅢ搸㡣捡捤㈱ㄴ敦㔰㤹挹搹〲挵㤲挹㤹㐵慦㜶㠸扣攴㙣つㄷ慦㔱愶㑥戵挰挵㉤㌹敦㤴㑡捥摢㔶㐵搱㙤戲㌶㐴慡挵换ㄸ㐸散㍢㔱っ愲搸㤹㘲ㄷ〸昵㙡挹攴散㐶㥢挱ㄴ㐳㈰ㅣ挹ㄹ㑡摤㝡㐴㐵㜲㘶攳㑤㤲攳愷㌲〰愱㜸挷捤㑣㑥㄰挵㤲挹㤹㐳㔸敤㄰㜹挹㠹挰挵㙢㤴愹㔳昳攰攲㤶㥣㠷㑡㈵㘷㠳㔵㔱㜴摢敦〴㐴慡挵换搸㠷搸昷愵ㄸ㑥㌱㠲㘲㈴㠴㝡愰㘴㜲㐶搳㘶っ㐵ㅤ㠴㈳㌹攳愸㕢㡦愸㐸捥㠹㜸㤳攴㡣愷㜲㝦〸㜵㌲㔴㘶㜲㈶愰㔸㌲㌹㈷ㄱ㔶㍢㐴㕥㜲㈶挱挵㙢㤴愹㔳愷挰挵㉤㌹慢㑢㈵㘷㤵㔵㔱㜴ㅢ㜳〱㈲搵攲㘵ㅣ㐶散㠷㔳ㅣ㐱㜱㈴挵㌴〸㜵㑤挹攴ㅣ㑤㥢改ㄴ㌳㈰ㅣ挹㐹㔱户ㅥ㔱㤱㥣搳昰㈶挹挹㔰㤹㠵㔰愷㐳㘵㈶㈷㠷㘲挹攴晣㠱戰摡㈱昲㤲㔳てㄷ慦㔱愶㑥㥤〱ㄷ户攴㥣㕢㉡㌹㑢慤㡡愲摢戲ぢㄱ愹ㄶ㉦愳〵㡤ㅡ慤ㄴ㙤ㄴ戳㈹收㐰愸㍦㤵㑣捥㍣摡捣愷㌸〱挲㤱㥣㤳愸㕢㡦愸㐸づ敦昴㑡㜲㑥愱昲㔴〸挵㍢扣㘶㜲ㄶ愰㔸㌲㌹㘷ㄱ㔶㍢㐴㕥㜲㑥㠷㡢搷㈸㔳愷ㄶ挱挵㉤㌹㜳㑡㈵㘷戶㔵㔱㜴㥢㜹㌱㈲搵攲㘵㉣㈶昶㜳㈸㤶㔰㉣愵㌸ㄷ㐲㌵㤷㑣捥㌲摡㥣㑦㜱〱㠴㈳㌹ㄷ㔱户ㅥ㔱㤱㥣㜳昰㈶挹戹㤸捡㑢㈰搴㔲愸捣攴㕣㡡㘲挹攴㉣㈱慣㜶㠸扣攴㕣〱ㄷ慦㔱愶㑥㥤ぢㄷ户攴㑣㉢㤵㥣㈳慤㡡愲摢收换㄰愹ㄶ㉦攳㍡㘲扦㥥㘲㈵挵㉡㡡搵㄰敡攰㤲挹戹㤱㌶㌷㔱摣っ攱㐸捥ㅡ敡搶㈳㉡㤲㜳㍥摥㈴㌹户㔱㜹㍢㠴攲ㅤ㜸㌳㌹㜷愰㔸㌲㌹ㄷ㄰㔶㍢㐴㕥㜲敥㠶㡢搷㈸㔳愷㉥㠲㡢㕢㜲㐶㤶㑡捥〸慢愲㘸ㄹ挰挵㠸㔴㡢㤷搱㑥散て㔲慣愷搸㐰挱ㄹ㔱戵㔷挹攴㍣㐲㥢㐷㈹ㅥ㠳㜰㈴攷〹敡搶㈳㉡㤲㜳〹摥㈴㌹㑦㔱昹㌴㠴扡っ㉡㌳㌹捦愰㔸㌲㌹㤷ち㉣㠸扣攴㍣てㄷ慦㔱愶㑥㕤づㄷ户攴散㔲㉡㌹㍢㕢ㄵ㐵换ㅡ慥㐴愴㕡扣㡣㌷㠸晤㑤㡡户㈸摥愶㜸〷㐲つ㈸㤹㥣昷㘸昳㌷㡡昷㈱ㅣ挹昹㠰扡昵㠸㡡攴㕣㠵㌷㐹捥㐷㔴㝥っ愱慥㠶捡㑣捥㈷㈸㤶㑣捥㜲㤸ㄵ㡦㥣㝦挱挵㙢㤴愹㔳㉢攰攷㤶㥣㍥愵㤲搳摢慡㈸㕡愶㜱㉤㈲搵攲㘵㝣㠳㐶㡤㙦㈹扥愳昸て挵昷㄰慡㐷挹攴晣㐸㥢㥦㈸㝥㠶㜰㈴攷㔷敡搶㈳㉡㤲昳ㄷ扣㐹㜲戸收挲㔰㄰㡡㉢㍥捣攴㔴愲㔸㌲㌹搷ㄱ㔶㍢㐴摥挸攱㔲㔴慦㔱愶㑥慤㠴㡢㕢㜲扥昹戹挴ㄹ昲搷㔶㐵搱戲㤳搵㠸㔴㡢㤷搱〷㡤ㅡ㌵ㄴ㍥㡡㑤㈸晡㐲愸捦攰敡㝥㠶摣㡦㌶晤㈹㌶㠳㜰㈴㘷ぢ敡慣攴㜰㈵㡢㈴㘷㉢㉡户㠶㔰㌷㐱戵㈳㕥ㄵ挶㌶㈸㤶㑣捥㡤戴㘸㠷挸㑢捥昶㜰昱ㅡ㘵敡搴捤㜰㜱㑢捥ㅢ愵㤲昳扡㔵㔱戴㡣㘶つ㈲搵攲㘵散㠲㐶㡤㕤㈹㜶愳ㄸ㑣㌱〴㐲扤㔸㌲㌹㐳㘹戳〷㠵ㅦ挲㤱㥣㈰㜵㔶㜲戸㌲㐷㤲ㄳ愶㌲〲愱㙥㠷㙡㐷扣戰捥ㄳ挵㤲挹戹㡤ㄶ敤㄰㜹挹㐹挰挵㙢㤴愹㔳㜷挰挵㉤㌹敤愵㤲戳捥慡㈸㕣ㄶ㔴挵㥢散㠵户㌹㘵㙤戰扤㘰挲戱ㄴ愳て㡣㍤戹㠳㥢敡摢㕡㝢收㐶捣㙥㙢慥慢㙦ㅢ摤摡搶㉢〷㠱㑤㜱搹㑡搶ㄶ㌸㥣〶攷づ愹捦捥㥤㡡ㅢ㝤摢ㄷ㔷㘱搹昴愸搹慤㙤捤㜲〷㜷扢攲晡搱捤ㄳ㥢摢㐶搷户攲㌶摤晣㠱㉥搵㘶捤愱㌳戳㑤㔸散搲㠲㌵㉦ㅢ㌳㙡㥥㌵㉢㥢㜱挱㌸愵㜹㜶㑢㍡扢摦攸晦㠵攵㌲捡扣ㄵ㕤㠱扢㥤㑡㘱㕡愴昴昲㄰㐷摥户〵㌷㤵戸㐳慡㝥攷㙡㡢㜶昸㔷ㄸ愳㌰昴㉡㄰〴㐳摤ㄸ捤㘱攸慤愸扡〷慡昲㐳挴戱〰愷㈷㡣扤㌹搰㙡敡㝡㕢㉢扣昶㙢㙡慤捦㘴扤㔶改㠰晡愶㍥搶收愴搹㙤㜹㌵挹㜹㥢㕡㌵戸㡤㍢愹〹搴愷㤳㉤㤹晦〵㔶搰㌱晣㤹㤴㈸て晥晤扥㐴㥢㘱㉡㉡扥搴㡦户㝣㜹㉡㜶昶㌱㔶慥敦㐵戵敢㕤㜵㝢㜷挴㠶㘳晤㔲つ散㝢㌳摤戶扡㥡愵〳戲挹㈶㘱㘱㑡㕢㘶㜴㜶㑥ㅦ戱挸㘲㠰攳㘹㠵㠶散愶昹㐵㔹㕣㘱攴㐶愴㕡㥢ㅢ㘶户㘵晢搸㕢戲愳ㅢ戹挹㔹摣㈳挷㕡戴㕥昶搶㠱改㌶慣搶戳攳㜱㥤搹晦づ㐳挸㐸㜷㡢㈵㈵㍣㜹捡っ摥晣㑥㜰ㅦ晡㥤慣慡㡡㡡㥣晣㝤扥慦扡昴ㄲ晥慤摡户㐲㙦㜸昹㔷㔱昵㔷㠴敦晣㘲㌳敥㐹㥢敡㌵㤰收ㄱ㑥づ㕥扤戴㡥敢扣㝡攷攴戸㠷挵㥣㝣㔰愵㠶扢㑥〳㥥㈲㙡慢㑦㈷ㅢㅡ收昷挹敤搷㤴㙥㤸㥤挹㑥㐸愶戲つ晡㤸摤摣搲昸㍦挲㔷㜷㘴捤摡愳捡攴挵㕡㠱户ㅦ㔶㙢攸愵㙤扦晢㌰愷㡣㍡散㘹㥥戱㄰㔵挳㐶㡥ち昳摥戸搷ㄸ㘷敤㝤㕣㕤昶㝦㕥摦攷㠵㔳摦㡥搵愹昲ㄴ㄰づ㜰㐵㉡ㅥ搹戸搶挹㕥㈲㈸晢㥤挳㙣㐲昳㠴㘶㉣摦捣㌸㔴攳敡㑤搵晦捣摥㈵㍢㤶挷攳昹扤ㅦ㌳挸ㄵ晥扥戴㔶㕡攰搰㘷㤶昷攵㈷つ㜷㤱〷㔰㉥㕣㈵攵㌸ㅤ㤱㌳〰㌹ㄴ晡㘰㔸挳攳㤸㜹晡㌰戵扥慤㈱摢㌳㈷昵戲㕤捤ㅤ㠳搹散㤱㥢㍡ㄳ㉢㡥㐶昷捥㡤㙤愹捦㌴搴㌷㘵㜹㉡㠲攵挴㝣昲㙡㐲昶ㄸ㉣㝣㍤戰戹戵㥥てㄴ昶捥㑤㙤㐹㌶戵捥攲挲戲昴晣扥㜹㈵㈱慢㉡㌷戲扥〹扢㤱搹㈶户㙢㜲㔳㘶㌶捦挵㌳㠹戳ㅢ㥢挶㈶㘷戵晥㑦㄰挵扤捡晣㌳㡦㠳㤵慡戲㔲㔵㔷㔶晦摥㑦㉣㡣㜰㠴っ㈲㘴㈵㠵㐵搵㕡㙣㤵搹㙢挹㤲戵散㤸㝢㉤㌱攵㍤㕦攷扡收搱㝥愰㤳㐷㘲㘳㍦散㤶扤挶㐳㡣ㅦ㝢昰㝥ㅤ㡢搵晦扦㥥㡥慣㕡㠷挸㘵㍥㄰㘴㔸搸㉢㘳晢挳戸㡦㌹㔴愸攳挸㌱㠴㜱㤶ち㠷㥦㌷㈷㌶ㅣ㠹昸っ愵㌹㌷敢戰㘶戱ㄷ㜶㝣ㅣ㠰戱搶ㄳ㐷摥㍥㘶㠱㈷㜵㡤挹㠶㔶慢㙥㔴㜳㘳㘳㤲㐳㡢挳㜲ち㡥摥搹㙡㌹挳挶㤱挴挸㐱挸昸戳㔴挹㜹㔰㈵攷㠹ちㅦ捡㕣敤㉥摢㡣搵㝣㑣戲愵扥㙤㘶㘳㝤扡㥡〵慥㐸晦㥦ㄸ㤳ㄸ㐲摤㤱㑣晤㈷〳ㄳ愷慢㠵敢㑡捤愵㤰愰㝢㈸慥㈰㤸㍡搲㡦㤱㕢㈹㥦攴敡㜷㉥㈵挶昰㤵慢㉣㘳〲愲㔵攱㥡㕦㑥㜱〵㡢攳㌴っ㐳㔴づ㐲敡㐱ㅡ攰㘵ㅣ〰㜳晤搷㝤〳戶捡慥敥散〱〳敦㠴收㘴愶づて㉤㌴户昴戰㥥收慤〶戵㍣愴戴昸戸愲㜷ㄴ㤶挳㘳㤹晤ㅣ㥣つ户㔴㔳㌱〵㙢㘵扢㜳㉤戰挷攴㤰ㅦ㠸ㄵ㔵㔵㍤慢摤摡摡㑦挷ㅡ㘸慤㝣㜴㍥つ扤㕦㔱晣㑦て㡡昳㥥〷扡挵㡥ㄸㄳ㈱㡤㐹㄰敡㈱ㄴ搹㥦〲㠳〳㘹㜰㄰㐴搵㈳愸㉣摣㑢㑡慥㝥㠵㐳㐵㔵㈳㔷攵㔶㌷戲㍢㌸改昰㘰慤㉥㔶昷㈲㈵㥥㥥搵て愳摥㤸っ慢愷㥦㝡㙡ㄸ戶㉢ㄴ㤷㤷㙥挰㡢敤ㅢ㜸昷㝡㤹㍣㘳ち㙣㡣愹㄰敡〵ㄴ㘵晤㜷㍢㌶戰㜲〷㍡㝤㔹㜲㈸戶昱㔱愱㕥㠴㡡㤷㈶晡捦挱㈴㍥搲て戳慣㕥㐲㌵㑦慡㐹攸挶㑥搰搴换戰攳㐹㥡㌲づ㠷扢攷〸㠸慡㘱㈳づ〹㠵愱昳ㅡ㐷㕡㈱㕦㐱㠹㘷ち收㕦挹捦㌲昵ㅡっ昸㜹㔶攱㤹〶捦敤㐷㌵户戶搵摡换挸攷敥搱㕣㍢戹扥昵戸㕡㥥搶散㔹ㅢ㠸〹挲㠲㘳慣㝡ㅤ摥㍣捥ㅡ㐷㈱㠲㝡〳㕢㍣㝣搹挳㜹㍡〱㙥㜴㌸扦㈵ㅥ〸㌲㠳㐱慣㠲㝡〷ㅢㅢ昰㉡ㄸ〲㐹搸ㄸ㈹ㅡ扥敢㙥㤰愶㐱㠶〶敦挱㠰攳挴挸愲㘴㔳晢㜷㠷ㅢ㡦攲ㄶ戵㌹扡ㅤ㐳户㑦愱㜴㔰㕢て㥤愶昶㔸㙣㤳摡捦愰㉡㑤敤㜱㤶搵攷戰敡㌴戵㕦挰搸愴戶〱敥㥥㐶〸㔲ㅢ㌵愹㙤戲㐲㝥〹慢捥㔰晢㙦搸㤹搴㌶挳戳㍣戵㐱㌴㠱慣ㄷ㔲晢㌵㐲〸戵戳㄰㐱㝤㠳㔲ㅥ戵㉤〴戸㔱㙡扦㠳㥢ㅣ愹㕡ㄹ挴㉡愸敦戱戱〱慦〲㙡昹㉤〹挶㙣ㅡ晥攰㙥㌰㠷〶㜳㘹昰㈳っ㠴摡㜹㈸搹搴晥攲㜰㜳散戵昳改㜶〲摤㍣㠰攰愰昶㈴攸㌴戵㈷㘳㥢搴昶㠰㐹㘹㙡㑦戱慣慡㘱搵㘹㙡戹㔰搶愴昶㔴戸㝢ㄶ㐰挸戹㍤㜶㈹散戵愷㔹㈱扤戰敡っ戵㕣㔲㉢搴扡㥥昵㈸㉥戶ㄵ摡晥㠰戸慡て㑡㜹戴㥤挱挶㌷㑡㥢て㙥昸㥦晦〱愳戸㍣㜷〳戴〵戴㉤㐴㐸攳㡦㙣㡤㑢㜷㕤っ捥愲挱㥦㘸搰て〶㐲摢㈲㤴㙣摡戸㕥㔷扢㌹㘸㍢㥢㙥㡢改㔶ぢ〳〷㙤㑢愰搳戴㉤挵㌶㘹ㅢ〰㤳搲戴㥤㙢㔹敤〰慢㑥搳戶㈳㡣㑤摡捥㠳扢㘷ㄹ〴㘹㡢〴搰扡搷㌸摦ち㌹㄰㔶㥤愱㙤㄰散捡搰戶㌳慡㠵戶ぢ㄰㔷敤㠲㔲ㅥ㙤ㄷ戱昱㡤搲戶ㅢ摣昰扦㠰㌶㉥ㅣ摥〰㙤〱㙤ㄷ㈳愴㜱〹㕢攳愲㘲ㄷ㠳㑢㘹㜰ㄹつ㠶挲㐰㘸扢ㅣ㈵㥢㌶慥㈴搶㙥づ摡慥愰摢㤵㜴摢ㄳ〶づ摡㤶㐳愷㘹扢ㅡ摢愴㡤㙢㠲㑢搳戶挲戲摡ㅢ㔶㥤愶㡤㡢㡢㑤摡慥㠱扢攷㕡〸ㅥ㐸挳〹愱敤㉦㔶挸㝤㘰搵ㄹ摡㠶挳㑥㘸㌳㜸㈰〵晥攲〳攵〸攸㠴扡敢㘱愱㐶愲㤴㐷摤㉡〲搸㈸㜵愳攱㠶晦戸〱换㈰㘶㐳ㄵ慡づ㕢ㅢ㔰㈸愰敥〶搸ㄸ㌷搲㜰慣扢挱㑤㌴戸㤹〶攳㘰㈰搴摤㠲㤲㑤ㅤ搷㌹㙦戰攲㍡愸㕢㐳户㕢改㌶ㄵ〶づ敡㙥㠷㑥㔳㜷〷戶㐹ㅤ㔷㉣㤷愶敥㑥换敡㄰㔸㜵㥡㍡㉥㝤㌶愹扢ぢ敥㥥扢㈱攴㐰㘹㝥〶摥㘳㠵攴摡攸捥㔰㜷〴散捡散㜱㕣㍥㉤戴摤㡢戸㙡ㅡ㑡㜹戴摤挷挶㌷㑡摢搱㜰挳晦㠲㍤㙥〶㔴ㅢ㡡㘹㝢〰㈱㡤戵㙣㉤改㙥戰㡥〶敤㌴㐸挱㐰㘸㝢㄰㈵㥢㌶慥挰摥㔰㑣摢㝡扡㙤愰㕢ㄳっㅣ戴㍤っ㥤愶敤ㄱ㙣㤳㌶慥愵㉥㑤摢愳㤶搵㉣㔸㜵㥡㌶㉥捡㌶㘹㝢っ敥㥥挷㈱攴㐰ㄹ㐳敢㕥攳〹㉢㈴㔷㙤㜷㠶㌶㕥㠹㤷愱㡤ぢ扢㠵戶㈷ㄱ㔷捤㐱㈹㡦戶愷搹昸㐶㘹攳㑡㜰晣㉦愰敤〴愸㌶㔸改㘵〸敢慡攴㔹㠴㌴㥥㘳㙢㕣㈶敥㘲昰㍣つ㕥愰挱㐹㌰㄰摡㕥㐴挹愶㡤㙢挳戵㥢㘳㙦㝢㠹㙥㉦搳敤㉣ㄸ㌸㘸㝢ㄵ㍡㑤摢㙢搸㈶㙤㕣攵㕤㥡戶搷㉤慢㐵戰敡㌴㙤㕣㉥㙥搲昶〶摣㍤㙦㐲昰㐰ㄹ㠹戳敢挶㕢㔶㐸慥㈷敦っ㙤㑢㘰户㤱〳㈵㤷㥤ぢ㜵敦㈰戶㍡ㄷ愵㍣敡摥㈳㠰㡤㔲挷㜵敡昸㡦戵〴っ挲㐴昱㜵〱攴〶㙣ㄴㅣ㈸摦㠷㡤昱㜷ㅡ㜲ㄱ扢㡢挱〷㌴昸㤰〶ㄷ挱㐰愸晢〸㈵㥢㍡慥㕣搷㙥づ敡㍥愶摢㈷㜴㕢〱〳〷㜵晦㠴㑥㔳昷㉦㙣㤳㍡慥㐱㉦㑤摤愷㤶搵戵戰敡㌴㜵㕣捣㙥㔲昷ㄹ摣㍤㥦㐳挸㘷㥣㜹愰晣挲ち㜹ㅤ慣㍡㐳摤㑡搸㙤㠴㍡㉥㡡ㄷ敡扥㐲㙣戵ㅡ愵㍣敡扥㈶㠰㡤㔲挷㔵昴昸㡦ㄵㄲっ挲㐴昱㜵㌳攴〶㙣ㄴ㔰昷㉤㙣㡣敦㘸挸㈵昶㉥〶晦愱挱昷㌴㔸〳〳愱敥〷㤴㙣敡戸慥㕥扢㌹愸晢㤱㙥㍦搱敤㝥ㄸ㌸愸晢〵㍡㑤摤慦搸㈶㜵㕣㈱㕦㥡扡摦㉣慢戵戰敡㌴㜵㕣㙡㙦㔲挷㥢愸ㅥ㑥㍡挹㘷㕣〲慤㝢㡤㑡ㄴ搹㜰㍢慣㍡㐳摤㝡搸㤵㌹㔸㜲戹扥搰搶つ㜱搵㐳㈸攵搱㔶挵挶㌷㑡摢㈳㜰挳晦㠲㠳攵㘳㔰㙤㈸愶慤〷㐲ㅡ搵㙣㡤㡢晦㕤っ昸㝤㜶㠶㤷〶㑦挰㐰㘸敢㠹㤲㑤ㅢ㔷晣㙢㌷〷㙤扤攸搶㥢㙥慦挰挰㐱㕢つ㜴㥡㌶ㅦ戶㤹㍤慥摤㉦㑤摢㈶㤶ㄵㄷ昷㜷㥡㌶㍥〴㘰搲搶ㄷ敥㥥㑤㈱㐸㕢㈸㈲戴昵戳㐲扥〱慢捥搰昶ㄶ散捡搰挶〷〹㠴戶晥㠸慢摥㐱㈹㡦戶捤搹昸㐶㘹㝢て㙥昸㕦㐰摢晢㔰改昴㌲㠴昵ㄹ户㈵㐲ㅡ㕢戱㌵㍥㤶攰㘲戰㌵つ戶愱挱〷㌰㄰摡戶㐵挹愶敤㘳㠷㥢㠳戶敤攸戶㍤摤扥㠴㠱㠳戶〱搰㘹摡㜶挰㌶㘹攳㔳〵愵㘹摢搱戲攲㘳〷㥤愶㡤㡦㈷㤸戴つ㠴扢㘷㈷〸㤹㔵㌱慦攱〶㔹㈱扦㠱㔵㘷㘸晢づ㜶ㅢ㌹㔰昲㌱〷愱㙥ㄷ挴㔶㝣摥㈱㡦扡摤〸㘰愳搴晤〸㌷晣挷ち㈰〶㘱愲昸晡ㄹ搲㠵㤹㈱戰㌱㜶愷㈱ㅦ㥡㜰㌱ㄸ㑡㠳㍤㘸昰㉢っ㠴㍡㍦㑡㌶㜵㝣㔲㐲扢㌹愸ぢ搰㉤㐸㌷㉦っㅣ搴㠵愱搳搴㐵戰㑤敡昸捣㐳㘹敡愲㤶㔵㉦㔸㜵㥡扡摥㌰㌶愹㡢挱摤ㄳ㠷㤰〳㘵ㅣ慤㝢㡤㠴ㄵ戲て慣㍡㐳ㅤㅦ戳㈸戳挷昱〱っ愱㙤㑦挴㔵㝤㔱捡愳㙤㙦㌶づ愵㜴ㅢ㙦㜹慢㈳㤰㔴㜳㕡扥ㅦ㉣㔰㈸搸攳昸挸㠶㑥㉦㐳㔸㝢摣㍥〸㘹散换搶昸㌸㠷㡢挱㜰ㅡ㡣愰挱ㄶ㌰㄰摡㐶愲㘴搳挶㘷㌸戴㥢㠳戶㔱㜴ㅢ㑤户㠱㌰㜰搰㔶〷㥤愶㙤㉣戶㐹摢㑥㌰㈹㑤摢㌸换㙡㄰慣㍡㑤ㅢㅦ敢㌰㘹摢て敥㥥昱㄰㜲㙡㘲搲戶扦ㄵ㜲ㄷ㔸㜵㠶戶摤㘰户㤱㍤㡥㡦㠷〸㜵〷㈰戶ㅡ㠲㔲ㅥ㜵㤳〸〰捡昲搴つ㠵㠵㔰㜷㈰㠳搰㥡㉦㍥㔰愲㔳捣㄰ㄶ㜵〷挱挶㤸㑣㐳㍥㙣攲㘲㌰㠵〶㔳㘹㄰㠴㠱㔰㜷㌰㑡㌶㜵㝣挲㐴扢㌹愸㍢㠴㙥㠷搲㙤ㅦㄸ㌸愸㍢ㅣ㍡㑤摤ㄱ搸㈶㜵扣㙦㔲㥡扡㈳㉤慢攱戰敡㌴㜵㝣攸挴愴㙥ㅡ摣㍤㐷㐱挸〵㐱㡣㕤㌷㡥戶㐲昲愹㤴捥㔰㌷ㅡ㜶ㅢ愱㙥っ㑣㠴扡ㄹ㠸慤敡㔰捡愳㉥㐵〰㔰㤶愷㙥ㅣ㉣㠴扡㌴㠳搰㥡慦昱搰敡ㄴ㌳㠴㐵㕤〶㌶㐶㤶㠶㝣ㄴ挶挵㈰㐷㠳㘳㘸㌰〱〶㐲摤㑣㤴㙣敡㈶㌹摣ㅣ搴搵搳敤㔸扡ㅤ〶〳〷㜵つ搰㘹敡ㅡ戱㑤敡昸㈴㑢㘹敡㥡㉣慢㈳㘰搵㘹敡昸㐸㡣㐹㕤㌳摣㍤戳㈰攴昴挴摣敢㡥户㐲昲㤹㤹捥㔰㜷㌴散捡ㅣ㉣昹㔸㡤搰搶㠲戸㙡〶㑡㜹戴戵戱㜱㈸换搳挶攷㜰㠴戶〳扡挱搴晡㔳ㄹ㘸㕤㔸㤹㠳㤰挶㕣戶㤶㜵㌷㤸㐷㠳昹㌴挸挱㐰㘸㍢〱㈵㥢㌶㍥㤹愳攳㍡㘸㍢㤱㙥㈷搱慤〵〶づ摡㑥㠱㑥搳㜶㉡戶㐹ㅢ㥦戱㈹㑤摢〲换慡つ㔶㥤愶㡤て敢㤸戴㥤〶㜷捦ㅦ㈰攴㌳㉥㡡搶扤挶改㔶㐸㍥捤搳ㄹ摡收挱慥っ㙤㝣攰㐷㘸㍢〳㜱搵〹㈸攵搱戶㤰㡤㐳㔹㥥㌶㍥㈱㔴㑣摢㈹搰敡昴㌲㠴戵户㥤㠵㤰挶㥦搸ㅡㅦㅦ㜲㌱㔸㐴㠳戳㘹戰〰〶㐲摢㘲㤴㙣摡昸捣㤰㜶㜳搰㜶づ摤㤶搰㙤㌱っㅣ戴㥤ぢ㥤愶敤㍣㙣㤳㌶㍥晤㔳㥡戶㘵㤶搵ㄲ㔸㜵㥡戶愵㌰㌶㘹㍢ㅦ敥㥥ぢ㈰㐸㕢挴扣晣扥搰ち挹攷㡣㍡㐳摢㌲搸㤵愱㡤㡦㈲〹㙤ㄷ㈱慥扡〰愵㍣摡㉥㘶攳㔰㤶愷㡤捦㉥ㄵ搳㜶㌱戴㍡扤っ㘱搱㜶㈹㐲ㅡ㤷戱㌵㍥搸攴㘲㜰㌹つ慥愰挱愵㌰㄰摡慥㐴挹愶㡤㑦㌳㘹㌷〷㙤㔷搱㙤㌹摤慥㠳㠱㠳戶ㄵ搰㘹摡慥挱㌶㘹攳㜳㐹愵㘹扢搶戲㕡〹慢㑥搳挶〷㥣㑣摡晥〲㜷捦㜵㄰㐲㥢㥦㕤㌷慥户㐲慥㠶㔵㘷㘸扢ㄱ㜶㘵㘸攳㐳㔲㐲摢㑡挴㔵㌷愳㤴㐷摢㙡㌶づ㘵㜹摡昸㔴㔵㌱㙤户㐱慢搳换㄰ㄶ㙤㌷㈲愴㜱ㄳ㕢攳㈳㔷㉥〶㌷搳攰ㄶㅡ摣〱〳愱㙤つ㑡㌶㙤㝣捥㑡扢㌹㘸扢㤵㙥户搱慤ㅤ〶づ摡敥㠰㑥搳㜶㈷戶㐹ㅢ㥦㤸㉡㑤摢㕤㤶ㄵㅦ愹敡㌴㙤㝣昴捡愴敤㙥戸㝢敥㠱㤰搳ㄲ摥戰昶ㅡ昷㕡㈱ㅦ㠲㔵㘷㘸㝢〴㜶㐲㕢改ㅢ㍡㝣㠴㑢愸扢て戱搵㘳㈸攵㔱昷〰〱㐰㔹㥥扡㈷㘰㈱搴慤㘵㄰㕡昳昵ㄴ戴㍡挵っ㘱㔱户づ㌶㐶㍢つ昹㐰㤸㡢挱㠳㌴㔸㑦㠳㘷㘰㈰搴㙤㐰挹愶㡥㑦㠱㘹㌷〷㜵て搱敤㘱扡扤〱〳〷㜵㡦㐲愷愹㝢っ摢愴㡥捦㜳㤵愶敥㜱换㡡て㝣㜵㥡㍡㍥ㄸ㘶㔲昷〴摣㍤㑦㐲〸㜵收㠱昲㈹㉢攴㍢戰敡っ㜵敦挱㙥㈳搴昱〱㌳愱敥ㄹ挴㔶㝣搲㉣㡦扡攷〸〰捡昲搴㝤〰ぢ愱敥㜹〶愱㌵㕦ㅦ㐱慢㔳捣㄰ㄶ㜵㉦挰挶㜸㤱㠶㝣㕣捤挵攰㈵ㅡ扣㑣㠳㑦㘰㈰搴扤㠲㤲㑤ㅤ㥦㔱搳㙥づ敡㕥愵摢㙢㜴晢〶〶づ敡摥㠰㑥㔳昷㈶戶㐹ㅤ㥦㌶㉢㑤摤㕢㤶ㄵㅦ㐷敢㌴㜵㝣㙣捤愴敥㙤戸㝢摥㠱攰挱㌲㙡敥㜵敦㕡㈱扦㠷㔵㘷愸晢ㄱ㜶㘵づ㤶㝣昴㑤㘸㝢て㜱ㄵ㥦㠱换愳敤㝤㌶づ㘵㜹摡㝥㠵㠵搰㤶㜷㐶㔹搱慤㈳扤っ㘱搱昶〱㐲ㅡㅦ戲㌵攵㙥昰ㄱつ㍥愶㐱㈵っ㠴戶㑦㔰戲㘹慢㜲戸㌹㘸晢〷摤晥㐹户㍥㌰㜰搰昶㈹㜴㥡戶捦戰㑤摡㙡㘰㔲㥡戶捦㉤㉢ㅦ慣㍡㑤摢㈶㌰㌶㘹晢〲敥㥥㉦㈱攴昲㍢挶慥ㅢ㕦㔹㈱晢挲慡㌳戴昵㠳摤㐶昶戸晥㌰ㄱ敡扥㐶㙣戵ㄹ㑡㜹搴㝤㑢〰ㅢ愵㙥ぢ戸〹㜵摦㌱〸ㄳ挵搷㔶搰㙥挰㐶挱㥤㠱晦挰挶昸㥥㠶㕢扢ㅢ晣㐰㠳ㅦ㘹戰つっ㠴扡㥦㔰戲愹摢摥攱收愰敥㘷扡晤㐲户㕤㘰攰愰敥㌷攸㌴㜵ㄵ㔵㈶㜵扢挲愴㌴㜵晣摤〶ㄲ扣ㅢ慣㍡㑤摤㘰ㄸ㥢搴㔵挲摤搳つ㠲㝢㕣挸㍣㍤改㙥㠵ㅣ〲慢捥㔰㌷ㄴ㜶㘵昶戸㍤㔰㉤戴㔵㈱慥昲愳㤴㐷㕢て㌶扥㔱摡㠲㜰㉢摥攳挲搰㙥㈸愶㡤扦㘱㘳㜸搹㕡挴摤愰㈷つ㝡搱㈰ち〳愱慤㌷㑡㌶㙤〹㠷㥢㠳戶㍥㜴慢㠱愸ㅡ〵㠳捥㍤㡢挶挵㥣㍥挷〳㠲㕣㌷摤扡㐹敥愰搹挹〶晣㔸捡㈴㍣愵搲㐶搵晦挲挲攴敥收戳㐲㠵㕦㘱㥥晦ㅢ㉡㜸捣㑥扡㜰攴㔱摢愱㘷㠵㌹挸户戵晡搶㑡换摦昷㉣㤱户敡换ㅦ㝦晢慤㜳慤㜰㜸昴㤸挳㙦挷㥤㍥扤愲㥡㙤㠲㈴ㅣ㠹㌶〱㘱摣㐳㐶愳㔸㍣㠴挶戸㘹慢敡愰㉤戳愰扦攰㌱ㅣ㐶摤戴㘳昹㌱ㄷ㥡て㙥攰㑦㌱戹慤㕢捥㕦搷扦㈹挰愹㜱㙥ㄸ搴㝥㕡摢㥦㌶㘸㠲慦慡〹搰㙥㜴愵㌸㡦㈲㜸挰㄰㙢挶愷戴捤㙦挰㍡㝤㙥昲ㅢ㘵捤㉤㉥㑣㌶慢〱扡戹愵㍢ㅥ戲㉣晣づ㘹摢昷㉥㠴敡搹慦攰㍢扢挵㡤㌵攳㠱愶敡㥦愰愸愴㍦㐱㜷戰㐲ㅦ晥㜹㌶㐷㥦晡ㅤ㔰㥦㙥㘹㙥㙤捥戵搵㑥挱戳㈶戵晣ㄶ昷ㅣ㥥㍡ㅡ㔱昵〹㈲扡戶挹㡥㜵㙦攲敦ち〹搱摥攳㥡㥡攷㌶〹㥡慡㔶㝥㤹㍤㕢㌳㝡昴㘰㌳㝣ㄶ㐹晥㜶㐴攲㝣晡㠳摡㌷ㄱ㠸㜹戴昱㙣〹〴㍢㡤ㅡ㌹㙡昲昴愴摦㥦㡡〵㌲㠱㐴㉡㤴攲㙦㐷㈵㐲搱㔸㉥ㄳ㑢愷挳昱㔸㍣㥡㑤㜹戶戲㑤搳㤹㜰㉥㤵㑤挷戲戱㔴㌰ㅣ㑥愴㤲挱戸㍦ち搷㙣㈰ㄷ㑤愶愳㘹摦㈴㉢扣戱㌵㝣㡣㙤㈰㝣〷㙡搵戶㔴㙤㐷搵㐱㕡㘵㕢搵㑣㠶㡡㤰㍤㈶攸晦㥥昴㑤㐱㘴晣慦昰っ㐰搳扤㐶㡤㥣㉥㡢敢㈷攳摢攵㍤㍢㐰戳〹㌴昹扦攰攴搹ㄱ敡㍥㔰㍢㥥㕢昱㑤戵愲ㄸ〳㄰捡搸〹ㄶ㐶㉤戶搴㈱搰昳㘸攸㔵慦㠳㌴敥慤㙣ぢ摦愶ぢぢ敥㜵㠷愲㈸慣散ち㠵晥㔳㠷戹㙡て㠷㤶㝢㥥戱ㅢ㙣搵㤱慥㌶㐷㘹敤㄰摡㈰愰扣愶㐳换㍤㐳扤〸〰ㅣ㡦㙣挹㌳ㄴ㈶㈵〷㤹㝡ㅥ㘶ㅣ㘸昹〳㘵〶愲㜰㤴ㄹ㝥㌸昷敥收㑢愲㉣攳㈵㠰戲㌹㕥㌲㤱㔸㈸ㄹ捣挵ㄲ昱㔸㈴ㅣ㐸挷㤳晥㈸㠶㐵㉥㤲捡㐴㜲搹㐴㉡攸〹摡愶搱㐰㈸㤶换晡㜳昱㑣㈲ㄶ㑥㐴挳昱㜴㈰㤶昵〷㤳搱愸ㅦ㈳㈷㤷昱愵慣昰㐶〸㍥㐶ㄸ挲㤷搶慡〸㔵㔱慡㌲㕡㘵㕢搵㘴愱敡㥡昱㤲㐳㘴晣慦昰㈴搰㜴晥㜸搹ㄳㅡ㤷昱戲ㄷ搴㠵攳攵ㄸ㉢㡡晣㉣㤵㌱っㄶ挶㈰〴㔵昵搰㥢攳攵㐱攴扥㘳扣っ㠷〵挷换戱愸㤷昱愲昷㔸㌸攱晢搹㕣戵つ搰捡㜸ㄹ〹㘷搵攴㙡㌳㑢㙢㐷搳㠶戱昸㙡㠱㔶挶换㝤〰㘱㡦㤷㍡㤸㤴ㅥ㉦昷扡㡥㤷㔶㐴㤲昱㌲づ捥ㄸ㉦㙤㈸换㜸搹て㘵㜳扣㘴㘳㠹㘰㉣㥣ぢ挵㈳㤱㜰㌸ㅣ㐵㈹ㄳ㡣㘷搳攱㐴㄰〷㤲㜴㈲改ㄹ㙦㥢㈶㘳搹㙣搸㥦捥挶戲㠹㜸㌸ㅥつ挴㠳愹㜴㌲㤸㑣挷㘲㠹㈴㡥㐵㘱摦㙣㉢扣戱㍦㝣㡣〹㄰扥㌹㕡㜵〰㔵ㄳ愹㥡慢㔵戶㔵捤㍣愸扡㘶扣捣㐷㘴晣挷㔷ㄲ戳㝤ㅥ㔲っㅥ㐰㝣㈷㘸晤敥慣㍣㤸晡㈱捣㍤㤷挲㥢㈳㘰㔵摥〸㌸っㄶㅣ〱㈷愳扥㜸〴㥣攲慡㍤ㄵ㕡ㄹ〱㐷挰㔹㥤收㙡昳〷慤㥤㐶ㅢ㈲攰敢っ㘸㘵〴㕣攳ㄸ〱〶㍦㤶昸〹愴慥㜶㈵㝢㈱㥣㠴摣ㄹ戰㌳挹㑤〵㔲搹㜰㍡㤶㡡㠷愲晥㜰㈸㤴㡣㠷㤳晥㠰㍦㤱挹愶㜳搱㑣㉡ㅥ昳㈴㙤搳㜰㈸ㄲ挰て挶㐴搲昱㔰㍣㥣つ〷ㄳ愹㐴㈰㤰㡣愵㐲挱㔰㈲ㄷ㡣〴㝤㝦戴挲ㅢ㈹昸ㄸ㘹〸摦㔹㕡搵昱攱昱㈷慤戲慤㙡ㄶ㐱搵㌵攴㥥㡤挸昸㕦㐴敥㘲慤攷㔳挳㐶〳昱昲㜲㕤㉤㠱摥㈴㜷㔹ㅥ戹捤戰㈰戹㑢㔱㕦㑣敥戹慥摡昳愰ㄵ㜲㡦㠷戳㍡摦搵收〲慤㙤愵つㄱ昰㜵ㄱ戴㐲敥㘲㔷㜲ㄷ戹㤲㝢㌱㥣㠴摣戹〸㘵㤲㥢ぢ㈴㠳晥㔰㌴㤷つ挴愲攱㜴㈲㤸㠸〴〲㠹㐸㈶ㄸ㠸攳ㅣ㈱ㅤ〸㜹收搹愶愱㔸㉡ㄷづ〷愳㠹㔰〲㙦㈹㝦㍣㤴㡢愷ㄲ搸攵〳㜱晣ㄲ㘵㉡攷扢挴ち㙦捣㠷㡦㜱〲㠴敦㔲慤敡㈰昷㌲慤戲慤㙡戸ㄲ扥㙢挸扤〲㤱昱扦㠸摣㉢戵㍥挱捡搳㠹㌷捥戴㉥㠷摥㈴昷挴㍣㜲ㄷ挲㠲攴㕥㡤晡㘲㜲㔷戸㙡慦㠱㔶挸㍤ぢ捥敡㉦慥㌶搷㙢敤㈲摡㄰〱㕦慢愰ㄵ㜲㘷㍢挹攵戱㕢昶摣㔶㔷㜲㔷挳㐹づ搳㑢㘰㠷挳昴つ㈸ぢ搹㑢㔱㌶挹挶㠷㜳㈲㥣㡥㐶愳戱㘴㉡㡣㡦敤㐴㌸ㅡ㡣㐷戲攱㐸㉣㤲つ㘵挳㐹捦戹戶㘹㉥ㄲ昱挷㘲搹㘰㌰㥣㡢㠷㜳改㔴㈲㤱㑥㘵㔲愱〴捥ㄶ㜳㌰㑥晡㙥戴挲ㅢ攷挱挷㔸〶攱扢㐹慢㍡づ搳㌷㙢㤵㙤㔵㜳ぢ㔴㕤㐳昶ㅡ㐴挶晦㈲戲㙦搵晡㝤㔹㜹ㄹ昱敥㠳㉤㜵㍢昴㈶搹改㍣戲慦㠴〵挹扥〳昵挵㘴摦改慡扤ぢ㕡㈱㝢㌹㥣搵㍤慥㌶昷㙡敤ち摡㄰〱㕦昷㐱㉢㘴ㅦ攵㈴摢㍥㑣ㅦ改㑡昶〳㜰ㄲ㜲慦㐳㈸敢㌰ㅤづ㘵㘳昱㔴㌲ㅤち攲戴㍥㄰㡦挷㜰戸捥收愲㌸ㄵ㡢攱㜷扣㤲㥥敢㙤㔳搰ㅥ昵攷㈲挱㜰㈶㤳っ愷㐳搸㜹戳攱㔴㈴ㄴ挶愷㜵㈴攴㡦㘵㝣㙢慤昰挶㑡昸ㄸ慢㈰㝣敢戴慡㘳㑦㙥搷㉡ㅡ㠸㘹捤㠳㔰㜵つ戹敢ㄱㄹ晦㡢挸摤愰昵㘳㔸㜹ㅢ㤱㡣㘶㕡ㅦ㠶摥㈴㜷㐲ㅥ戹㜷挲㠲攴㍥㠲晡㘲㜲ㅦ㜵搵㍥〶慤㤰㝢㌷㥣搵ㄳ慥㌶㑦㙡敤扤戴㈱〲扥㥥㠶㔶挸慤㜳㈵㜷戴㉢戹捦挲㐹挸㝤〰愱㑣㜲搳㝥㝦㌶㠲ㄳ敡㔰〶㘷㑤㌸搵㑡攴㐲戱㐰㌲攰㡦收愲昱㌸捥戵㍤㙢㙤搳㑣㈲㡣㥤㌷㤲㑤〷戳㝥㕣攸㈵㤲㤱㐴㌴㤲㤱て敥㔴㉣ㅣ㑡晢㥥戳挲ㅢ敢攰㘳戴㐳昸㥥搷慡づ㜲㕦搰㉡ㅡ㠸㘹捤㡢㔰㜵つ戹㉦㈱㌲晥ㄷ㤱晢戲搶敦捦捡挷㠹㘴㍣搳捡㐵晤㈶戹㤱㍣㜲㥦㠲〵挹㝤つ昵挵攴扥敥慡㝤〳㕡㈱昷ㄹ㌸㉢慥搴㉦昶㝣㐷㙢㥦愳つㄱ昰昵ㅥ戴㐲敥ㅥ㑥㜲敤挳昴敥慥攴晥つ㑥㜲㤸㝥〹愱㜰㤸㝥ㅦ㘵㈱晢㘵㤴㉤戲㐳搹愴㍦ㅢ㐸㠵〳攰㉤ㅡ㐸㈶攳㔹㝦㌴ㅢ㑦㠱攸㙣〲〷㙢捦㉢戶㘹㍣ㄹ〸愶〲晥㜴㌲ㄴ㈶挵愹㜸㈶ㄹ㡡㘷㐲㐱㝦㌶㥢㡡㐷攲㈹摦摦慤昰挶慢昰㌱㕥㠳昰㜱㤹㍥㕢㌴㍡づ搳ㅦ㙡㤵㙤㔵昳ㄱ㔴㕤㐳昶挷㠸㡣晦㐵㘴㝦愲昵〷戱昲㙦挴㝢㈰搳晣㑦攸㑤戲户捤㈳晢〳㔸㤰散㝦愱扥㤸戲㑦㕤戵㥦㐱㉢㘴㝦〴㘷昵㠵慢捤㔷㕡晢〹㙤㠸㠰慦慦愱ㄵ戲㌷㜷㈵扢扦㉢搹摦挰㐹挸晥ㄴ愱㐰昶户㈸ぢ搹㥦愱㙣㤲ㅤ㑤㐶㠳戹㐴㈸㤰㐸攴㤲攱㔴㌸㥡㡣㘵愲㌸㌰㘷㠳搹㔴ㄶ㍢㝤挲昳戹㙤㡡摤㍡㤵ち㠶愲㈱㕣㐱㠵〳攱㜴㉡つ搷㔰ㄲ㥦攴㈱㕣㥥〷〳扥敦慣昰挶ㄷ昰㌱扥㠴昰㜱㘱㝦〱搹摦㙢㤵㙤㔵昳〳㔴㕤㐳昶㡦㠸㡣晦㐵㘴晦愴昵㠷戲昲〷攲㍤㠴㘹晥〵㝡㤳散慡㍣戲㝦㠶〵挹晥ㄵ昵挵㘴㜳㐶愶㔸换搴ぢ搹扦挲㔹㔵愲㔴㙣搳㑤㙢㌹㉤㈵㐴ㄳ㐵ㄵ戴㐲昶㙦㍦㜴㕣㍣㜷㕣㍡晤〲㙤昱扣㑡て㌸〹戹摤ㄱ㑡㝦㈶㠳搷㔰㌲㥢捤㠰摣〴㉥愴㌲㠹㜴㈸㡥㥦搳㡣㈶㘲搱㤰㍦攴愹戲㑤搳㌱㑣戴㐴ㄲ晥戴ㅦ㠷敤㠰㍦ㄲ㡦〷㌱〷ㄳて㐶㌲㌸ㄸ㐴挲㝥㕦戵ㄵ摥昰挰挷攸〱攱㌳戴慡攳戰敤搵㉡ㅡ㠸㘹㑤㑦愸扡㠶摣㕥㠸㡣捣ㄷ㤱摢㕢敢㡦㘲愵㡦㐸愶㌱慤㌵搰㥢攴㝥㡥っ㜶捣㡣㙣ちぢ㤲敢㐳㝤㌱㐵㥢戸㙡晢㐲㉢攴昶㠷戳敡攷㙡搳㕦㙢㌷愷つㄱ昰戵㌹戴㐲敥㈷慥攴㝥攴㑡敥㤶㜰ㄲ㜲户㐶㈸㙢捦昵㐷昰㡢㤷晥㘸㌴攸㡦㠶〳搹㐸㌲㠷ㄹ戰㔴㌰ㅤ㠸攲㤴㌹㥡〹㜹戶戱㑤〳㍣摦挲〷㜳㈴㥢挹㠶㌳愹㑣㌲ㄵ捡挴㜲愱㐰搸ㅦ㡣㘶攲㤱㤴㙦㉢㉢扣戱㉤㝣㡣敤㈰㝣㕢摢㉡敥ㅣ㌲愹扡㡤㔶搱㐰㑣㙢戶㠵慡㙢挸摤づ㤱摤挸摤㕥敢搳㈴㜷㘷㈲㐹㌱慤㝣〸挱㈴昷搵㍣㜲㜷㠳〵挹摤〱昵挵攴敥攸慡ㅤ〸慤㤰㍢〴捥㙡㤰慢捤㉥㕡㍢㤴㌶㥡摣摤愰ㄵ㜲㥦㜷㤲㙢㝦㈶㍦敢㑡敥㘰㌸攱㍦㉥昰ㄱち㠷改㈱㈸〸搹㈱㤴㑤戲〳改㘴づ扣挵㔲㤸戸ち晢㌳㈹㕣㈷㐷愳ㄹ㔰㤹㡢㘷攳戹㘸挲ㄳ戶㑤㈳㘹捣㠰攱㡣㍡㥡捤〴挳愱㜸㉥㤵捡㠵晣攱㜴㈶ㄳ㠸〶挲挱㕣摣户扢ㄵ摥㠸挰挷㠸㐲昸㠶㙡㔵挷㘷昲ㅥ㕡㐵〳㌱慤昱㐳搵㌵㘴〷㄰搹㡤散愰搶搷㌳㍤晢ㄲ挹㑣愶㍡っ扤㐹昶扡㍣戲㐷挲㠲㘴㐷㔰㕦㑣㜶搴㔵ㅢ㠳㔶挸ㅥつ㘷㤵㜰戵搹㔳㙢敢㘸愳挹摥ㅢ㕡㈱晢㕥㈷搹昶愵搳摤慥㘴敦〳㈷㈱㜷㍣㐲㤹攴收㈲挹〸㡥戵愹㔸㉣攵て㠷㜳㤹㜸㉡㥤㡥晢搳戹〰愶扣㜳搱㔴搶戳扦㙤ㅡ㠸㐷㤳㈹㥣㠸㠷愳戹㄰㘶㐱㘲挹〴捥挹挳挹㠸㍦㤱つ攲㝥㑡挸户慦ㄵ摥㤸〰ㅦ攳〰〸摦㜰慤敡㌸㑣昳㔱〴㠲攸戰慡ㄹ〹㔵搷㤰㍢ち㤱摤挸ㅤ慤昵捤㐴㜲〸昱㌶㌱戵㜵搰㥢攴慥捣㈳昷㜰㔸㤰摣戱愸㉦㈶㜷㥣慢㜶㍦㘸㠵摣㈳攱慣昶㜷戵㌹㐰㙢㡦愲㡤㈶㜷ㄲ戴㐲敥ち㈷戹昶㥥扣摣㤵摣〳攱㠴晦ㄵ㐶ㄲ愱戰㈷ㅦ㠴㠲㤰㥤㐲搹㈴㍢ㅤ㠹㠵攳㤱㔰ㅡㅦ戶㍣㠷挲㘱㍢攷挷㔹㜴㌸ㄶ挴㘴㐷搸㥦昳愴㙤㔳㥣㠴昹〳挱ㅣ㐶〴㑥户攲㠹㘴㈲㄰て愷戲㠹㐸㉣㤹挶ㄹ㜷㈸敡㥢㙣㠵㌷㌲昰㌱戲㄰㍥㍥慥㈰捣㜶散挹㔳戵捡戶慡㌹ㄸ慡慥㈱晢㄰㐴㜶㈳晢㔰慤㥦捤昴㌴ㄱ㙦ㅢ㔳㝤㌸昴㈶搹攷收㤱㝤㍣㉣㐸昶ㄱ愸㉦㈶晢㐸㔷敤㌴㘸㠵散㔶㌸慢愳㕤㙤㘶㘸敤㙣摡㘸戲㔳搰ち搹㡢㕣挹㍥换㤵散㌴㥣昰ㅦ㙢搵ㄱち㘴㘷㔰㄰戲㑦㐰搹㈴㍢ㄸち攰㤳搸㥦ち愷㠳㤱㜰〶㌳㤸㤱㘰㉡挳㌳敢㐸㍡㠳㤹㑣扦攷㐴摢搴ㅦ㑥〶㌰㘳㠲㌱ㄱ挸㘱㌳㥢ち愷㜲㘹㕣㕦晢㘳搹㑣〴ㄷ摤扥慣ㄵ摥㌸〹㍥挶挹㄰扥㥣㔶㜵㤰㝤㡣㔶搹㔶㌵㌳愱敡ㅡ戲敢ㄱ搹㡤散㘳戵晥㐴愶㘷㈱昱㥥挰㔴㌷㐰㙦㤲㍤㉦㡦散㍦挱㠲㘴㌷愲扥㤸散㈶㔷㙤㌳戴㐲昶搹㜰㔶挷扢摡戴㘸敤㌹戴搱㘴户㐱㉢㘴户㌸挹戶て摢戳㕣挹㥥〳㈷㈱昷㍣㠴㌲挹㑤攴愲㌹㝦㉥㤶っ㈴㜰搴捥㈴戳挹㙣挲㥦〸攰㑥㠳㍦㡢ㄹ㡦㑣搴戳捣㌶㡤㘴㘳㤱㠰㍦㤰㡤㈶〲搱㌰㈶㌲㜱摢㈲ㅤ挵㕤换愴㍦ㄹっ㐷㔲㘹摦㕣㉢扣㜱㍥㝣㡣ぢ㈰㝣昳戴慡攳戰㍤㕦慢㘸㈰愶㌵㈷㐰搵㌵攴㥥㠸挸㙥攴㥥愴昵愷㤱摣㉢㠸㘴〱㔳㝢ち昴㈶戹挹㍣㜲㤷挳㠲攴㥥㡡晡㘲㜲ㄷ戸㙡昹〴㠵㤰扢〲捥敡㜴㔷㥢㌳戴昶㕡摡㘸㜲ㄷ㐲㉢攴ㅥ改㑡敥攱慥攴㥥〵㈷㈱㜷㈵㐲㤹攴收攲昱㔴㈰ㅤづ㠵ㄳ㤹っ愶㌱㌳㜲昸つ收㔲戱㜸ㅡ〷㘵㑣㠲慣戲㑤戳㌱㑣㜹㐶㌳戸捤㤴㑡㠷㈳戸攷㤴ぢ㘴戲㔱㥥㥡㈵〲晥㙣㌲散晢㤳ㄵ摥㔸つㅦ攳〶〸摦㈲慤敡㈰昷㙣慤愲㠱㤸搶㉣㠶慡㙢挸㍤〷㤱摤挸㕤愲昵㝦㈴戹㜷㄰挹㐲愶昶㕣攸㑤㜲挷攷㤱㝢㌷㉣㐸敥㜹愸㉦㈶㜷㤹慢㤶捦㔹〸戹昷挲㔹㕤攸㙡㜳㤱搶摥㐷ㅢ㑤敥挵搰ち戹愳㕤挹ㅤ改㑡敥愵㜰ㄲ㜲搷㈱㤴㐹㙥㌶㡢摤捦㥦捥愴㐳戸〷㠱㔳慤㌸慥㥣愲㠹戴㍦㠲捦摡㐸㉥㤸昶戴摢愶〱㑥㑢㈷戱昲㈰㤰挵散㘵〴扢㜹㍡㥥捥㠰搸㐴〴㘷㘱挱㤰敦㌲㉢扣昱㈰㝣㡣昵㄰扥换戵慡㠳摣㉢戴㡡〶㘲㕡㜳㈵㔴㕤㐳敥㔵㠸散㐶敥㜲慤㍦㠷攴㍥㐹㈴㡢㤹摡ㄵ搰㥢攴㠶昲挸㝤〶ㄶ㈴昷ㅡ搴ㄷ㤳㝢慤慢昶㉦搰ち戹捦挱㔹㕤敦㙡戳㔲㙢㕦愰㡤㈶㜷㌵戴㐲敥敥慥攴づ㜶㈵昷㐶㌸〹戹慦㈰㤴㐹㉥㉥㤲㜰㘹㡢㕢挵㜱㥣㘹昹㠳晥㔴㠰㈷挶攱っ㘶愳㌱慦㤵㐸㜹㕥戵㑤戱扢挶㜰㘳㌸ㅡ捤㠶㜳愸㡤㈴ㄳ挱㜸〰ㄷ挹挹㑣㌰ㅤ挹〵ㄲ扥㥢慣昰挶㙢昰㌱㕥㠷昰摤慣㔵ㅤ攴摥愲㔵戶㔵捤ㅡ愸扡㠶摣㕢ㄱ搹㡤摣摢戴晥㝣㤲晢㍥昱㉥㘳㙡敦㠰摥㈴㜷㥢㍣㜲㍦㠴〵挹扤ㄳ昵挵攴摥攵慡扤ㅢ㕡㈱昷㘳㌸慢㝢㕤㙤敥搳摡㝦搰㐶㤳晢〰戴㐲敥㘶㑥㜲敤戳改㝥慥攴慥㠵ㄳ晥攳㐷扣ㄱち㈷㔸敢㔰㄰戲㍦㐷搹㈴ㅢ户ㅦ㜰㍤㥣捡攲㡡㈹ㄳ挶ㄴ㜵㈲ㅣ捦㈵搳㤹㘸㌶㤶挳㝥㥢ぢ㝢扥戰㑤㈳搱戰摦ㅦ㑤㠶㘲扣㌱㤱〹㘵攲㌸攱挶㉣㔷ㅡ昷㥦搳㌱㐸㕦扢ㄵ摥昸ㄲ㍥挶㔷㄰㍥㍥慡挱ㄶㅤ㜳搵敢戵㡡〶㘲㕡戳〱慡慥㈱晢㈱㐴㜶㈳晢㘱慤扦㠴攰㝥㈴㤲㡢㤹敡㐷愱㌷挹敥㥥㐷昶㉦戰㈰搹㡦愱扥㤸散挷㕤戵㑦㐰㉢㘴晦〶㘷昵㤴慢捤㌳㕡慢戰ち搷㈶晢㌹㘸㠵散㕦扦㜷㑣㕦摡㘴晦っ㙤昱昴攵昳㜰挲晦ち愳ち愱㐰昶ぢ㈸〸搹ㅥ㤴㌵搹㤸晣㐸攱ㅡ㌹㠰㑢愷㐸㈸㤸㡡攲ㄳ㌷㠹ㄹ攸㙣ㄶ㜷㤵㜱挲搵挳㌶挵㈵㜴㈶㡥摤㌸㠸㔵㐰攱㘴ㄲ㡢㐰攲愹㜰〴㤳㈱㔸㌷攲て昹戳㍥㍥攵㈱捣㔶挳挷㌰㈰㝣㉦㘹㔵挷搹昴换㕡㘵㕢搵扣〲㔵搷㤰晤㉡㈲扢㤱捤〷㐷㐴㝦ㄵ搳搳㤷㜸慦㈴搹㙦㐰㙦㤲晤㈹㌲摡㌱㥤搹ㅦㄶ㈴晢㑤搴ㄷ㤳晤㤶慢昶㙤㘸㠵散捤攱慣摥㜵戵㜹㑦㙢户愴つㄱ昰昵㍥戴㐲昶㐷㑥戲敤戳改て㕣挹晥〰㑥㐲敥戶〸㘵㤱㥢挹挵㔲㌱摣攵て㈵㈲戸㈹ㅣ㑥㈴㌲戸搲つ攲ㅡ〸㝢㙡摣ㅦ昴㙣㘷㥢收〲戸捦㥣〸攳昶㌲愶㌰㘳昰㠹㐶㜰て㈳ㄱっ㘰挲㈴㤷挱㑡㤰て慤昰挶昶昰㌱㙡㈱㝣ㅦ㘹㔵挷㘱晢㘳慤愲㠱㤸搶㝣〲㔵搷㤰晢て㐴㜶㈳昷㥦㕡晦ㄷ㤲扢㉢㤱㕣换戴㝥ち扤㐹敥换㜹攴づ㠱〵挹晤っ昵挵攴㝥敥慡晤〲㕡㈱㜷㈸㥣搵㔷慥㌶昲挴〷㈱昸㘹㐳〴㝣㝤ぢ㕢㈱昷㔹㈷戹昶㥥晣戴㉢戹摦挱〹晦戱搸ㄲ愱戰㈷晦〷〵㈱㍢㠲戲㐹㜶㈴ㄸつ挴㘲㌱㝦ㄴ㘷搳㘱㑣㜱挵攳愱㐸㈴ㄸ㡣攰晡〸㘷摡搱㤴㈷㙡㥢愶㜰㙥㤶挴昹㕡㌸㠹戵挳㐱慣〱㑤昸㠳改ㄴ㉥扢㌲搱㕣㌲㤱㡢昸昸昴㠸散挹㌱昸ㄸ㜱〸摦て㕡搵戱㈷晦愸㔵戶㔵捤㑦㔰㜵つ搹㍦㈳戲ㅢ搹扦㘸㍤㝦攱捡ㄸ㐱扣慢㤹收摦愰㌷挹㝥㈰㡦散搱戰㈰搹ㄵ扣㠱㐴㤷扣㈵㥢捡㔵㕢〹慤㤰㕤〷㘷挵㈷㑤㡡㍤攵㌹ㄱ挶ㅢ㐷ㅢ㈲攰㡢捦㠹〸搹㜷㍢挹戶昷攴㍢㕤挹㌶攰㈴攴㑥㐰㈸㤳㕣㉣戴㡢㐵㌳晥㘰㈸㤲攵㘲㠱㜸㈲㡢昹㉥㍦㤶て㐴㔳戹㙣㌰ㄷ昵ㅣ㘰㥢㘶〲晥㘴ㅣ㔳搹挱㘰㉡ㄹ㡥㠵戰㉥㈸㠶ぢ慦㈸㈶慢ㄳ愹ㄸ㙥㕡昹昸㡣㠹㤰㍢ㄱ㍥挶㈴〸ㅦㅦ㉤ㄱ㔵挷㥥摣㑢慢㘸㘰搰戴愶㌷㔴㕤㐳㙥ㅦ㐴㜶㈳户㐶敢昹ぢ㕤挶㘱㐴戲㠶㘹摤〴㝡愱攰〸愸攸挸㤷㤲挷ㄲ㘸㜸㈴戴㥡〲㕦㝦搸㘲㉣攰㝥ㄵ戴扤扢㔵㜱昵扡敢㙦㠴㤸敢挹愷攰㥢摦戳㐳㐷㡤㡣つㅤ㌳㉦㥤㙤攰慦戲㘰搵㌹㍥慥㉢晡㌷敥搷㡡捤㙣㑢敢搴收ㄱ昲㉢㈱㝣㌸㘱ㄳ扤㌰㝤㜰攳搸搹昵ㄹ㝣ㄱ晣㑥ㅤㅡ晤㤳㍣摡㙤㔲㡢敤搷扢挳ち摦㈹摥扦愳㌴ち㑦㍤㘴攷戵昱摢搸户敥搰攲昷㤷昰慢㌰搹㡣㡥搸㡡〷慥扡㔷㜶㔳扢昳㘷〸㕡昱摢ㄷ㔹㍣㠷搰㜴っ㠰攳扦晣挰挶搰扡㤶戴昵挸㠷づ搳扡㉤扡戱戵换㌷捦㡦慣㙦㤳㈷㍣戶㐱扤㌲戶㐴㠶㍣㐷㈳㕢㍤㠶つㅣ㌹㙡㘰㌸㔴㜵㌵挶改晦慤㈵愶扦攳〹ち戶换㍦慦㌱㠳搴昰〹〳搲愰っ㍥愴攰㐹㐱搷ㄷ㑤㡤ㅣㄸ㠸つ摡㘱捦摡ㅤ〶つㅣ挱㔶慦㐰慢扢戹昵㙦㜴㜳㘳戲扥㠹ㅤ搴㍤ㅢ搳㌴扢㌱扦挹敤捤ㄶ搱㘴㠶㑤㜲㘰戳ㄷ搴㉡摥㜹㘳㜰㈹昰愹㠰㠱搸㌲㥥愶㜸㠶攲㔹〸㜵㌱っ摥挴捦扡慤慦㥡扦㈲扥戰㘲昸扤ㅦ㍥搰户挷攳㑦㠷搴㥦慤㡡㘹ㅦ㙥㍡慣摢搳㕢㡦戹愸慥㘲攱捡㌷昶摥㐹敤㠲㐸㌲㉡㡦㐵㡢㝡㔴晡㜶㠵㤶㝦㑡㥥て挰㠶㜱ㅣ〱㘱㠳㈶扥㈱愸㤶攱搹〰㉤㠶㈷㔷昰敦攵搶㘹㤳㔴挷搳つ㠳挱㉥㝥晣㈴㥢挱捦ㄱ捣挲攰㤸㍦愶愹慤㠵㕦㘲㔱搱つ愳戰㑡㔲搳扤㜲捦摦ㄷ㡢㡦㑢㤱㌵扥慡捥㐷㡦晦㍦攲攴ㄳ挳㠸㈴挷㘸㘲ㅡ昸㙣㠰㌹ㄴ〲搸昲捣㠲づ㐳㘱挴挱捥愱㄰ち慢愵㐰愰ㄹ昳ㅡ㉤昴攴㘳〷愶㈷㥦㕣昰昰愷ち㌰㕥㐷ㅣ㌲㄰收㘷挳㕣戳㡤㥦慡愶㜹〴㐶㍡㠲攲昳〹扡㕥つ㐳挱㙤〰㉣戴㜸㉥ㅡ〰㘷㕡ㄵ㑤敤敢㙦㍢晡换㝦㡤扤㜰改㑦愱攵〷㝣戱愵ㅡ㡥㐸㌲〰㑥㐲㡢㝡〰愸㤱㕡㝢㌲㜱愰攷㝣昹戸戲㕦㜸㍦〵摡摥摤搴㌸㤴挹扤㍡つ搱㤹㜰挹搱〲扡㜰㍤扣搹搳晤戰攵昹〳㜴㘶㑦愳㘱㜵㌲㉣㜵㑦扣挶ㄹ㌴㥦㘰㥢㜳㠹扥㘷㈱㜴㐵㈹㠵攷㝣㜸敡㠴攰㜷㠷改挹㡦㜶ㅤ㑣㑤㐴㐱搷慢㠳㔱㜰换㔱ㅢ㠲戸敥㈴慤㔶㐵敥戰捡㙢㝡㔴㝤㌰昶昲㌷晣㈷㜷㝦攵攵搹㡡ぢ收㈵㐷㑢搰愲㥤㈳㔹〹捦㐱戱㤴㌸㜴㡥戸昶㕤㜲㜴㉥戴挸ㄱ搷㡥㥢㠹㤸㠱㉤捦㌲㘸慤㐳㔴㑣㌵收㈵攲〲㠶攱㕡㜴搳㥣换搹㍤ㄷ㐱㔷㝣㤸㠹愹晡扣㐴㕣㑣捦〶搸扢㜵㌷㔳慡扢㘹慢攲愴戵㘷扣㍣㜱敥㍥挳㉦晤攴㤶㐰昲慢搳㠶愹㘶㐴㤲敥㕥㠹戸㜶㜷㡦搷摡慢搸㥡敥㉥㔷㠳㑢㜷㤷㐳㡢敥㜲㌵戵㠹㝦㉥戶㍣㉢愰㌵扢ㅢ〹愸愳昲扡㝢㉤挳㜰㜵戶㘹捥〵摥㥥敢愰㉢敡㉥㍣て捦敢敥㑡㝡㜲戱戴㕢㜷愷㤶敡敥ㄴ慢挲搷㜰攷戳㝦扥愷㜱昴ㄹ㙢摡收㕣㜹昴㕢ㄷ慡㠵㠸㈴摤扤ㄹ㜱敤敥㥥愵戵户戰㌵摤㕤慥㡦㤶敥慥㠱ㄶ摤㕤㠲戲散〱㤳㄰摤摥〳㙥愳ぢ㤷ㅡ㥢㕤㕢㡡㉤捦ㅤ搰㤹㝢㐰㌸愱昶㠷戵ㅥ戴㕥攳㉥㥡㜳改戲㘹㝥㉥捤敦㠱慥㘸て㠰攷㔸㜸敡ㄱ敥㌵晥㑡捦换㘰敦㤶㠹㤱㔶㠷㡢㡥〵㈳慣㡡昱㐷攴挶㥣㜲搰㙤攳㤶㍥昹昰㈱㔷㑤敢摦㑢㕤㠹㐸㤲㠹㜶挴戵㌳戱㕣㙢ㅦ㘴㙢㍡ㄳ㕣㍣㉣㤹㔸て㉤㌲戱ㄲ㘵ㄳ晦㜵搸昲㍣〴㙤ㄱ㤳攱戰摡㉢て晦㈳㡣戸捡昶攴搲㘰捦㘳搰㔹㝢㐸㔸挵㘰摥㤱愸㈷㘸捥戵戵㙥摤つ㤶敡㙥挰慡昸昶捣㙤摦敡昶㑢㘰攲攲昵攷㔵搵敥晥搱㥥敡㑥㐴㤲敥㍥㠷戸㜶㜷敦搶摡攷搹㥡敥㉥㤷搳㑡㜷㕦㠰ㄶ摤攵愲㔵戳扢て㘰换昳ㄲ戴㐵摤㡤挴搴攰扣敥扥挲㠸敤戶攷㕡㝡扥〶㥤戵㠷挴搴捥㜹摤㝤㠳收㡦挳挸慤扢㍢㤴敡敥〰慢㘲㙢捦挰攸㑦㐷㍥㍦㝡摤㔶㤹攷ㄷっづ㍦慥㥥㐲㈴改敥㝢㠸㙢㜷昷ㄹ慤晤ㅢ㕢搳摤㝤づ㕡改敥晢搰愲扢㕣㈵㉡攳㝣㕢㐴户挷昹〷㜴㜹ㄵ㔵㘶㈶㕥挶㤶攷㈳攸捣㜱ㅥ㠹慢㉤昳晡昳〹捤戹昶搳㌴攷昲㔱捦㍦愱㉢ㅡ攷昰散て捦㡥㜱晥㈹㍤戹ㄴ搳㉤ㄳ㍥慢挳㐵攳扣挶慡㜸攲愳敢㐶㕤ㅤちっ扦昰攲㍥㔳搶慦㜸敢㜸挵㈵㥢㤲㠹㝦㈳慥㥤㠹㡦戴昶㙢戶愶㌳昱〹戴㤲㠹㙦愰㐵㈶㍥㐵㔹㌲搱ㄳ搱敤㑣㝣㐷ㄷ㉥㘴㌴扢昶ㄹ戶㍣摦㐳㘷敤昱㘱搵〳搶ㅤ〳昹㐷㥡㝦㘹㥢㝦㑥昳㥦愱㉢捡〴昶㤸㙥昰散挸挴慦昴攴㍡㐵户㑣晣晡㥦ㄲ㥦㙣扦㔸ㄵ㜵挱㈷㜷㕣㝢摥搶攳㙥晦散㡡愵㤱㘱㑦慣㔳㕣捦㈸㤹攸㕥敤挸挴慦㕡㕢〵慤㥤〹㉥㑤㤴㑣㜸愰㐵㈶戸〰搰散㙥㜷㙣㜹慡愱㉤摡〵㜰挴晡て摡敥挰敦㘵㐴㉥ち㌴㍤戹昰搰搳ぢ㍡㙢㡦㑦愸慦㘱摥㤱愸㍥㌴攷捡㍤户敥㝥㕥慡扢㥦㔹ㄵ慢㥢㔶㉤㕡昸挲ㅤ㈳敥㙢晤㘹㤳昹て㍦㌹㐵㜱㠵㥦㜴户ㅦ攲摡挴换搲㍤昰㙤昴㘷㙢㥡㜸㉥搶㤳敥㙥〶㉤扡扢㉤捡㈶㘸慥扤昳㙣〱㙤㔱㜷㐳ㄱ昵㜱㕥㜷户㘲㐴㉥㤳㌳㍤戹ㄴ捦戳つ㜴㘶㜷㘱晥昷扣敥㙥㐷㜳慥㘵㜳敢敥㍢愵扡晢戶㔵㌱昴昶㍢摥晥㘶昷㌱ㄳ㉥㥡昳攰昷㌷㍣晦攸㈷㡡㙢摥愴扢〳ㄱ搷敥慥㉣㘶㘳㜷㜷㘲㙢扡扢㕣扥㈶摤ㅤ〴㉤扡换㌵㘸㌲捥㕦㐷㜴㝢㥣敦㐲ㄷ慥ㄷ㌳晢挳㠵㘹㥥摤愰㉢ㅡ戸搱㠰㝡ㄹ㡥ㅤ挴て愱㈷搷㤰㤹㥥㘱㝡づ㠵捥摣㐳㘰晥㍣捣㍢㠸昷搳㥣ぢ扤摣㌲昱㤴搵攱愲㍤晥㐹慢攲昰戳晦昱敥㤹㙦慣ㅦ扢昶戴挰摢捦㝣扥㑤㐰㡤㐴㈴挹㐴ㄴ㜱敤㑣㡣搶摡ㄸ㕢搳㤹攰摡㉥挹㐴ㅣ㕡㘴㠲㉢愸㑣搰㕣慡攵搹ㄳ㕡㙢戴挶搵挳㜹愰昷㘶ㄸ慥戵㌲捤昷愷昹㍥搰ㄵ㡤㤳㜰㕣㍤〸捦㡥散っ愷㈷㤷㍥戹㜵昷晥㔲摤扤捦慡㌸昷㤲搷㈳㠷敦攵ㅢ㝦摡㈶㜷㙦扥㙥挱扤扤ㄴ㤷㐸㐹㜷敢㄰搷敥慥慣㝤㈲昱㘳搹㥡敥敥㔱戰㤵敥㡥㠳ㄶ摤攵㤲㈵㈱晥㙥㐴户㠹ㅦ㑦ㄷ㉥ㅣ㌲扢㤶挲㤶㘷〲㜴㈶㝤攸捦敤戰敥愰㙦㈲捤戹㄰挹㌴攷㕡㈶捦㠱搰ㄵ㡤ㄳ㜸摥〲捦㡥㑣㑣愶㈷搷〵戹㘵㘲戵搵攱㈲攲㔷㔹ㄵㅦ㡦敥㝤捦敡㝤ㅡ敢㔶摤㝦㐳捤㉥户㡥㑡㈹慥ㅦ㤲㑣ㅣ㠶戸㜶㈶㘴㘱㄰㌳㜱㌸㕢搳㤹攰㔲㈰挹挴ㄱ搰㈲ㄳ㕣捦㈳㤹昸ぢ愲摢㤹㤸㐶ㄷ慥慡㌱扢挶㐵㍥㥥愳愱㌳㌳㠱捦晣慢㘱摤㤱㠹ㄹ㌴㍦搹㌶攷㐲ㅦ㑦ち扡愲㑣挰昳ち㜸㜶㘴㈲㐳㑦㉥㥡㜱换挴挵㔶㠷㡢㌲昱㘷慢攲戹ぢ㕥㔹扥㝤搵㠲㜱㌷慤㙡扥戵攱敤ㅥ㉦㉡㉥慥㤱㑣ㅣ㡢戸㜶㈶捥搶摡攳搸㥡捥〴搷挹㐸㈶ㅡ愰㐵㈶戸ㅡ挵散㉥㤷扤㜸㥡愰㉤ㅡ搳愱戸㍡㉦て晦㉣㐶攴ちㄵ搳㤳慢㘰㍣㉤搰㤹㍢て捣捦㠱㜹㐷愲摡㘸㝥〵㡣摣扡㝢㔶愹敥晥搱慡㌸愸㐷㘵敦㘵㌳扦慤㕢晥㔸换㌳㍦摣㝣攷㍥㡡换㑤愴扢㈷㈰慥摤摤ㄵ㕡㝢㈲㕢搳摤攵捡ㄱ改敥㐹搰愲扢㕣㥦㘱㠲收㐲㄰捦㈹搰ㄶ㜵㌷ㅣ㔵愷攵㜵㜷〱㈳㜲捤㠶改挹㜵㈱㥥㍦㐰㘷ㅤ㉢愲敡攴扣敥㥥㐱㜳㉥慣㜰敢敥扣㔲摤㥤㙢㔵㡣ㄹ戵收慢ㅢ愷ㅦ㌸改昶㡢㔶扥㌴攲㡣晢㙢ㄵㄷ㘰㐸㜷ㄷ㈱慥摤㕤㔹㔹挱㜱㝥㌶㕢搳摤攵㕡ち改敥㘲㘸搱㕤慥㔸㌰㐱㜳㘹㠴㘷〹戴㐵摤㡤㠴搵昱㜹摤㍤㤷ㄱ搷摢㥥㕣㈹攱㔹〶㥤搹㕤㤸㌷收㜵昷〲㥡㜳愹㠱㕢㜷㘷㤶敡敥㌱㔶挵㙦攷㍣晥昸㑦愹㑢挶摦㜵摣搱㠷㍤㜹㘳戸㥦攲㤲〴改敥愵㠸㙢㜷㔷搶ㅡ戰扢㤷戱㌵摤㕤慥㉥㤰敥㕥づ㉤扡换扢昳㘶㜷戹㔸挰㜳㈵戴ㄶ㘸扦㑡收㠱㕥捥㌰扣摢㙦㥡㜳挱㠰㘷〵㜴挵搹昱慢愳攰搹戱敦㕥㑢捦昷㘱敦搶摤挳㑡㜵昷㔰慢㘲攱て攷㝤㜸摤攴㘷て㔸㝣晥㐱扢㍣搰㉦昵慥攲㑤㝡改敥㙡挴戵扢㉢㜷摦搹摤ㅢ搸㥡敥㉥敦户㑢㜷㙦㠴ㄶ摤攵㑤㜳㌹㡡㑤㐱㜴晢㈸㜶㌳㕤㜸㠳摢散ㅡ敦愴㝢搶㐰㠷慥攵㑦㘴㐵㠲㙡㔲㕥搷㙥愳㈷㙦㝡㥢㥥扣戱敥戹〳㍡攴㄰ㄳ㔹㌰摦ㅦ收ㅤ扢昵㕤㌴攷㥤㘹户㑣搴㔹ㅤ㉥㍡㡡㡤戱㉡㡥ㄸ搴㝢㐹昸攳攷㐷㥥㌵㙣愷㥥慢收敥攳㔵扦㈰㤲㘴攲㝥挴戵㌳㈱户愶㤹㠹〷搸㥡捥〴㙦㐶㑢㈶搶㐲㡢㑣昰㡥戲㘴㘲〴愲摢㤹㘸愷㑢㌵慡捣晥㜸戰攵㔹て㥤搵㥦戰ㅡ㤶搷㥦㠷㘸捥晢挴愶㌹㙦㌵㝢ㅥ㠱慥㌸㜱㘱㤵㠰㘷挷㤸㜸㡣㥥㝤㘱敦㤶㠹戰搵攱愲㑣㠴慣㡡昰㌶㜷㍥㝤敡㤹搷㑤㔸㌴昰慤搶㘳戶㜸敤㐳挵摢扢㤲㠹㘷㄰搷捥㠴摣户㘵㈶㥥㘵㙢㍡ㄳ扣㔳㉢㤹㜸づ㕡㘴㠲昷㐳㑤晣扣昱敡㜹〱摡愲㌱ㅤつ慡摤昳昰扦挴㠸戵戶攷㜶昴㝣〵㍡㜳攷㠱昹慥㌰敦㈰晥㌵㥡昳㐶愶㕢㜷〷㤶敡敥㡥㔶挵搲昱㐳㙥㝥㌸㜹昰挴㙢晡㝥㜴晡昳㠳㝢扤慣㜸挳㔳扡晢づ攲摡摤ㅤ慡戵敦戲㌵摤㕤㍦戴搲摤昷愰㐵㜷挳㈸ぢ昱摢㈳扡㑤晣晢㜴攱㙤㐰㌳ㄳ扣㉢改昹〰㍡㤳昸㜰㑣㙤㥤搷㥦㡦㘸ㅥ户捤愳㌴晦〴扡㈲攲攱戹㌹㍣㍢㠸晦㈷㍤㜹㤷捦㉤ㄳ㝤慤づㄷㄱ扦㠹㔵昱昶攴扡愷摥晢㌱㌰改㡡搶㐷ㄳ㠷㕤㝤捤㉢㙡㌴㈲㐹㈶扥㐴㕣㍢ㄳ㜵㕡晢ㄵ㕢搳㤹ㄸ〷慤㘴攲摦搰㈲ㄳㄳ㔱㌶扢换晢㜴㥥㙦愰㉤㈲㍥攴㔷㍤昳昰㝦挷㠸扣愵㘶㝡昲戶㥤攷㝢攸㑣攲㘱摥〳收ㅤ挴晦㐸昳挳㘰攴搶摤捡㔲摤㔵㔶挵扢挷〶户㜸㌵㔹㌱收挶晢㑦晦㜶昸㈷㔳ㅦ昶昱㜶㤹㜴愱〲㕦㄰㘷㈸㡡㑡〸慦㡦㜷捣愴愲ㅢ㡡戸ぢ挱㝢㘵慥户㕥捣扢㄰收㡦㕣攳㡥㔳戶㔵ㄴ㌵挸㔱㔵㡥户挳㝡收昸㠵㔸㔹昹愵㙤㝣㕢㔷㝤㐳㠳㝣搱㔵㉦晣摥㜵换㜱搹㤶〹昸昹㜶晣捡昵㤴晡㐶敢摢㥢昰戳敥扣搳愵㝦㔱搹㤰ㄲ㙦㍥㜸㜲㤳㕡昰ㄳ换㍤㜲晢戵攲㐷攲㌳搵㡤〷㈶摢摡戲㉤㑤晦ぢ摦㌹㠷慦ㅥ敢捥晢㉣ㄸ㌲摤㤴慡愸㜴晤搶㉦㝥㥤㔷攱㉦㌰㍢敥捥㜵攴㠳扦慥捥㥢㈲㤵晣㤹散摦昷㡤㜳㥥敥愰慤挶晥㙤攲㌹晣㍥戹搶㑡昵搳㜷搶慡愰㝦〵户㤴㥢㕤扣换㙢㜸㘰敢改〱搱つ㌷搰昸攳㈶ㅣ攳㕥愳ㅡㅡ愳ㅤ〵ㄱㄵ摤㘷㘰〸㤴扢㔷挸扤愵㐷攳昴㘴㑢㑢㜲㝥㜵攳昴㠶㙣搳㌱㙤㌳慢愷捦挱晤㔱摣㡥㠴㜳㜵㜵戵攱㐵㔰戶挰㤷捡㐰挹愸㐶㑦㘸㌹摡愸昵昱㘶㤹っ扤㕥〴搰㥢愲て㠴搷挷摢㘴㔲㔱㠳㈲昶㌷摥㈰攳戸㌴搸搹㑡昵㠵㙢攷晡搲㥦㥤敢攸㔸㍦慡摡搱㤴搹戱㉡㘲㉢㘴㡣㕦㉥㔷㐷㌸㔵㜳敢㌳㙤㌳㍤㌳戳昵挷捣挴挳ㄴ㍤㝢㤲挶㈹㤷晣㜵昸㉦愱愳㐶愸ㄶ戸㑡て㌶㐳㑣摤〳㌵㐷㙢㌷㠷㔶昷搶挷㝢㐰〲㝦ぢ戶扦㈵挵㔶㄰㕥ㅦ㙦〳㐹挵搶㈸愲㕦扣〱攴攸搷摦㕤晢戵ㅤ晤昳晢㔵㑢㔵㐷扦搴〲挴㘱摦昴㥦㍡〳〵㐱扢〳㉣㌵㉥㜵㤶搶敥〸慤敥㠳㙦〹戴〲㙡㈰愳敥㐴㌱〸挲敢攳つㄹ愹搸ㄹ㐵愰攵慤ㄸ〷摡㔷㕤搱敥㐶晦㝣戴㐳愸㜲愰扤㐰挳ㄸ㡡ちㅢ摣挵㕡扢〷戴㌶㌸摥㍢ㄱっ㝥〶〹㔰〴㈱扣㍥摥㍥㤱㡡㄰㡡〰户ㅣ㘵〷戸㈷㕤挱㐵改㥦て㉥㑥㤵〳摣戵ㅡ挶㥥愸戰挱慤搴摡扤愰戵挱摤慣㌱散捤㈰挳㈸昶㠱昰晡㜸戳㐳挰昱ㄷ搲〱㡥户㌹ㅣ攰搶戹㠲ㅢ㐹晦㝣㜰愳愹㜲㠰扢つ㜱昲㜸扥ぢち攱戹づ㤶㌶㕡摥捦㄰敤㔸㘸㙤戴敤搰ち愸㜱㡣扡ㅦ挵㜸〸慦㡦㌷㈴愴㘲㝦ㄴ㠱㤶户㈲ㅣ㘸㙦㜷㐵㍢㤱晥昹㘸て愴捡㠱㤶户㈵〴挶㘴㔴㘸ㄸ㡡㜷ㅦ㐴㍢〵㕡つ搹挷㝢〷㠲㘱㉡㠳ㅣ㑣㜱〸㠴搷挷摢〷㔲㜱㈸㡡〰昷〲捡づ㜰搷扢㠲㍢㠲晥昹攰愶㔱攵〰昷㡡㠶㜱㌴㉡㙣㜰扣㔷㈰攰愶㐳㙢㠳㝢㑦㘳㤸挱㈰㐹㡡ㄴ㠴搷挷挹㝥〱㤷㐶ㄱ攰㌸捤敦〰㜷㤹㉢戸ㅣ晤昳挱捤愴捡〱敥〳挴挹攳昹ㄳ㈸〴搷戱戰搴戸ㄴ攷昳㐵㝢ㅣ戴扡て扥㝦㐳㉢愰ㅡㄸ戵㤱愲〹挲敢攳㠴扣㔴㌴愳〸戴㥣㡡㜷愰㕤敡㡡戶㠵晥昹㘸摢愸㜲愰晤づ㜱昲搰㜲㕥㕥㜰捤㠱愵㡤㤶㜳敥愲㥤ぢ慤㡤戶㍢㑥㜳〴搴㍣㐶㥤㑦㜱〲㠴搷挷㐹㜳愹㌸ㄱ㐵愰昵愰散㐰㝢扡㉢摡㔳攸㥦㡦㜶〱㔵づ戴㕥挴ㄱㄸ㝦㐰㠵㠶愱晡㘸敤改搰㙡挸扥㝥ㅡ挳ㄹっ㜲㈶挵㐲〸慦㡦㔳摣〲敥㡦㈸〲摣㘶㈸㍢挰捤㜵〵户㠸晥昹攰ㄶ㔳攵〰户㤵㠶戱〴ㄵ㌶戸敤戴㜶㈹戴㌶戸㠱ㅡ挳戹っ㜲ㅥ挵㌲〸慦㡦ㄳ搲〲敥㝣ㄴ〱㙥㄰捡づ㜰挷戹㠲扢㠸晥昹攰㉥愶捡〱㡥戳搶㜹㍣て㠱㐲㔲㜹㈹㉣㙤戴㝥慤扤っ㕡ㅢ㙤ㄴ㕡〱㜵㌹愳㕥㐱㜱㈵㠴搷挷㐹㘳愹戸ち㐵愰攵㜴戱〳敤㜴㔷戴㉢攸㥦㡦昶㕡慡ㅣ㘸昷搶㌰慥㐳㠵㠶愱㠶㙢敤昵搰㙡挸扥㍡㡤㘱㈵㠳慣愲㔸つ攱昵㜱㡡㔷挰摤㠰㈲挰㜱㜲搷〱㙥㡡㉢戸㥢改㥦て㙥つ㔵づ㜰攳ㄱ㈷㉦㤵ㄳ愱㤰㔴摥〶㑢ㅢ敤㘴慤扤ㅤ㕡ㅢ㉤攷㘰〵搴ㅤ㡣㝡㈷挵㕤㄰㕥ㅦ愷㘱愵攲㙥ㄴ㠱昶〸㤴ㅤ㘸挷扡愲晤㉢晤昳搱摥㑦㤵〳敤㌴挴挹㐳㍢〳ち㐱扢ㄶ㤶㌶摡㡣搶慥㠳搶㐶㝢㉣戴〲慡㥤㔱ㅦ愴㔸て㠱㤳㍣㕤戱〱㐵愰攵㈴愹〳敤㕥慥㘸ㅦ愱㝦㍥摡挷愸㜲愰㥤愵㘱㍣㠱ちつ㐳戵㘹敤㤳搰㙡挸扥ㄳ㌴㠶愷ㄸ攴㘹㡡㘷㈰扣㍥㑥㙣ち敡㘷㔱〴戸㤳㔰㜶㠰摢挳ㄵ摣ぢ昴捦〷昷ㄲ㔵づ㜰ぢ㌴㡣㔷㔰㘱㠳㍢㐳㙢㕦㠵搶〶户㐸㘳㜸㡤㐱㕥愷㜸〳挲敢攳㌴愴㠰㝢ㄳ㐵㠰攳〴愴〳摣㡥慥攰摥愱㝦㍥戸昷愸㜲㠰㍢㔷挳㜸ㅦㄵ㌶戸ぢ戴昶敦搰摡攰㉥搵ㄸ㍥㘰㤰て㈹㍥㠲昰晡㌸㘹㈸攰㍥㐶ㄱ攰㉥㐷搹〱㙥㜳㔷㜰晦愴㝦㍥戸㑦愹㜲㠰㕢慥㘱㝣㡥ちつ㐳㕤慢戵㕦㐰慢㈱晢㔶㙢っ㕦㌲挸㔷ㄴ晦㠶昰晡㌸挵㈷攰扥㐶ㄱ攰㌸戹攷〰搷搳ㄵ摣㜷昴捦〷昷㍤㔵づ㜰㥣〷捣摢㐳㌸扤㈷㝢挸㡦戰搴戸搴㕤㕡晢ㄳ戴扡て扥晢愱ㄵ㔰㍦㌳敡㉦ㄴ扦㐲㜸㝤㥣㠶㤳㡡摦㔰〴㕡㑥挰㌹搰晥昶慤摢㌵㕥㈵搶改ㄶ愰敤㑥㤵〳㙤㍢攲攴愱㝤〸ち㐱敢㠱愵挶愵㌸搳㈶摡ㅥ搰敡㍥昸㌸㑦㈶愰慡ㄹ搵愰挰愲㙡愰攵㔴㤹㔴昴㐴ㄱ㘸㥦㐳搹㠱昶㙢㔷戴㝤攸㥦㥦㕢ㅦ㔵づ戴㉦㘹ㄸ㝤㔱愱㘱㈸捥㡢〹戸㑤愱搵㤰㝤㥣搵ㄲっ晤ㄸ愴㍦挵㘶㄰㕥ㅦ㈷戶愴㘲㜳ㄴ〱敥㍤㤴ㅤ攰㍥㜶〵户ㄵ晤昳挱㙤㐳㤵〳ㅣ㘷扦昲㔲挹昹㉤挱戵ㅤ㉣㌵㉥昵㑦慤摤ㅥ㕡摤〷摦㤷搰ち愸㕡㐶ㅤ㐰戱〳㠴搷挷挹㈷愹搸ㄱ㐵愰攵戴㤳〳敤㥢慥㘸〷搱㍦ㅦ敤㉥㔴㌹搰㜲ち㑡挰敤㠶ちつ㐳晤愸戵㠳愱戵㈱㔷㘰捣挹㙣摦㑢㘸㡤戳㝤㝢㔷攰挲扥搲愳㌸㜷㈴ㄵ㉦㕡ㄵ挳愴㐲愹㑡㕤昱㠲㔵戱㉦㉡㡣㍤㄰戴慡ㅢ慡ち扦ㄵ摦㌱㈳攲昸㝥㝡㘰挱㐹敢ㄴ㝣㌹㍡㈷㐷扣㡤㕣摥㉢敢㔹㍤㡤㔳㘶攲换搳㌷戱㙣〷摢㌶㝤㙤㡤㙤摢挷㔶㠹捦㤶愳㥡ㅢ㘷㈵㕢㤲愹㠶㉣㑤〶㜷〴敤㕦㔸㈳昶挸っ㤳㔳戱㐳改〵戴ㅡ㈰㘷㙦慡㔵愷つ慢ㄵㅤっ㍦㜲搲ㅢㅢ慡㘳㑢㡡㔵ㅥ攴愹搳㌳㐷㥣㥥晣㥤㕦攳ㅦ〰〰㔵㡤挶㘴〶㌴攸攰扤挶㙢㘹慢㌹换㔳搳㔳㤷昰㕥愱㝡㐱ち昵㑦ㄷ㡣〹捥摤㐸挵㔳〵㘳愲㡦慥㜸搲㌹㈶愲㙣扥〶㔵ㅣㄷ㐶捣捥㠶扤㈵搹㔰㝤㔱换㡣ㄸ㜱摡昷挳㤶挰㑤㌸攱㙥㘶㘹搹㤹㡡㥡捤㜵㠹攰搵ㄶ㈸〹慡㐷ち攰㜲㑡㐶㉡ㅥ㉥㠰扢㤵慥㜸挸〹㜷ㄸ㥢摦ㅡ㔵〲㜷ㅦㅢ慥扤㘵挲摤づㄶ〲㜷㕦摡搷愲㈴㜰㠷㍢攱敥㘰㘹捤散敥愸㑢㜸慦㔰〳㈱〵搵扡〲戸㥣㤳㤱㡡戵〵㜰〷改㡡〷㥣㜰㐷戳昹㥤㔱㈵㜰㑢㡤㌵戵ㅢ㉣〴㙥ㅤ敤㠷愰㈴㜰挷㍡攱づ戵戴㈶摣㍤㜴〹敦ㄵ捡て㈹愸敥㈹㠰换㔹ㅡ愹戸扢〰㙥㔰㔷摣攵㠴扢㍦㥢て愱慡㍣摣㈸㉣〴敥〱戴㡦愳㈴㜰㈷㍡攱敥㘹㘹㑤戸㝢改ㄲ摥㉢搴摥㤰㠲敡搶〲戸㥣户㤱㡡㌵〵㜰昷搱ㄵ户㌸攱㑥㘶昳晢愲慡晣㘰ㄸ〹ぢ㠱㍢㤵昶愳㔱ㄲ戸〷㍢攱搶㔹㕡ㄳ敥㔸㕤挲㍢㝥㘳〳㔲㔰慤㉥㠰换㠹ㅢ愹㔸㔵〰㜷扣慥㔸改㠴㝢㌸㥢摦ㅦ㔵攵戳㍢ㄱㄶ〲昷㐸摡ㅦ㠸㤲挰㥤收㠴㍢搹搲㥡扢摡ㄴ㕤㤲㕤㙤㉡㑡㠲敡㥡〲戸㥣捡㤱㡡ㄵ〵㜰て搱ㄵ㔷㍢攱捥㘰昳㠷愲慡㍣摣㈳㘰㈱㜰㔳戴㥦㠶㤲挰㑤㍢攱ㅥ㙤㘹㑤戸搳㜵㐹攰捥㐰㐹㔰㕤㕥〰㤷㤳㍢㔲㜱㔹〱摣㤴慥戸搴〹昷ㄸ㌶㥦㐶㔵昹挱㤰㠳㠵挰慤愷晤㑣㤴〴敥戱㑥戸挷㕡㕡㜳㌰ㅣ愷㑢㜸挷愲㜴㐸㐱㜵㘱〱㕣捥敥㐸挵〵〵㜰㥢㜴挵昹㑥戸㑤㙣扥ㄹ㔵攵攱戶挰㐲攰捥愲㝤ㅢ㑡〲昷㜸㈷摣㌹㤶搶㠴㍢㔷㤷昰㕥愱收㐱ち慡㈵〵㜰㌹扤㈳ㄵ攷ㄴ挰㍤㐱㔷㉣㜶挲㥤捤收㑦㐴㔵昹挱㜰ち㉣〴敥㕣摡㉦㐰㐹攰捥㜳挲晤㠳愵㌵〷挳改扡㈴㠳攱っ㤴〴搵ㅦぢ攰㜲挲㐷㉡ㄶㄶ挰㕤愸㉢捥㜴挲㍤㠹捤晦ㄱ㔵攵攱㉥㠲㠵挰㍤㠵昶㡢㔱ㄲ戸愷㍡攱㉥戱戴㈶摣愵扡㈴㜰捦㐵㐹㔰㉤㈸㠰换㈹㈰愹㌸戵〰敥㌲㕤㜱㡡ㄳ敥改㙣晥㝣㔴㤵ㅦっㄷ挱㐲攰㥥㐹晢㡢㔱ㄲ戸ぢ㥤㜰㉦戵戴㈶摣换㜴㐹攰㕥㡥㤲愰㥡㕦〰㤷㜳㐰㔲㌱慦〰敥㤵扡㘲慥ㄳ敥㈲㌶㝦ㄵ慡捡㘷㜷〵㉣〴敥㘲摡㕦㡢㤲挰㍤挷〹昷㍡㑢㙢㡥摤敢㜵〹敦ㄵ㙡㈵愴愰㙡㈹㠰换㔹㈱愹㌸扥〰敥㙡㕤㌱换〹昷㍣㌶㝦〳慡捡㘷昷㘶㔸〸摣昳㘹扦〶㈵㠱㝢㠱ㄳ敥㙤㤶搶㠴㝢扢㉥攱ㅤ㑢㥦㈰〵搵㜱〵㜰㌹㉤㈴ㄵ挷ㄶ挰扤㑢㔷搴㍢攱㕥捣收敦㐶㔵㜹戸㝦㠵㠵挰扤㤴昶昷愳㈴㜰㉦㜳挲㕤㙢㘹㑤戸敢㜴〹敦ㄵ慡ㅤ㔲㔰㘵ち攰㜲㕥㐸㉡搲〵㜰搷敢㡡㤴ㄳ敥㔵㙣㝥〳慡捡て㠶㐷㘰㈱㜰慦愶晤㘳㈸〹摣ㄵ㑥戸㑦㔸㕡㜳散㍥愹㑢㌲㜶㥦㐲㐹㔰ㅤ㔵〰㤷㌳㐵㔲㌱慤〰敥㌳扡攲㐸㈷摣敢搸晣戳愸㉡て昷〵㔸〸摣㤵戴㝦〹㈵㠱扢捡〹昷ㄵ㑢㙢挲㝤㔵㤷〴敥㙢㈸〹慡㐳ち攰㜲敥㐸㉡づ㉥㠰晢㠶慥㤸敡㠴㝢ㄳ㥢㝦ㄳ㔵攵攱扥〳ぢ㠱㝢ぢ敤摦㐳㐹攰慥㜱挲㝤摦搲㥡㜰晦慥㑢〲昷〳㤴〴搵愴〲戸㥣㑤㤲㡡㠹〵㜰㍦搲ㄵ〷㌸攱摥挱收㍦㐶㔵㜹戸晦㠴㠵挰扤㡢昶㥦愲㈴㜰敦㜶挲晤摣搲㥡㘳昷ぢ㕤挲㍢㤶㜹㐱ち慡㜱〵㜰㌹扦㈴ㄵ㘳ぢ攰晥㕢㔷搴㌹攱摥挷收扦㐶㤵挰戵慦㈱っ㝢换扣㥡昸づㄶ〲昷〱摡㝦㡦㤲挰㕤敢㠴晢愳愵㌵戳晢㤳㉥㐹㜶㝦㐶㐹㔰㡤㈸㠰换〹㈶愹ㄸ㕥〰昷㔷㕤戱慦ㄳ敥㝡㌶晦ㅢ慡捡挳慤㠴㤹挰㝤㠸昶㥣㜱ㄲ戸て㘳㐳㑦㈹搴㜸㉣慤㤹㕤捥㉡搱㐶挰㉢捥㈶〹慡㍤ぢ攰㜲㠶㐹㉡ㄲ〵㜰㌹敢㈴ㄵ㜱㈷摣挷ㄹ㤵㌳㔰攵〷〳攷㥤〴敥㤳戴昷㔱〰㡡昱ㄴ㌶㙣戸㥣㙦戲〱搶㜰㥥㐹㑡㤲㕤捥㉦㐹攳愱〲戸㥣㜳㤲㡡㘰〱㕣捥㐳㐹㐵挰〹昷㌹㐶摤ㅣ愲㝣㜶㌹ㄳ㈵㜰㕦愰㍤㈷愱〴敥㡢搸戰攱㙥㘷㘹捤散㜲愲挹〶慦㌸挱㈴㡤て㈹㠰换㐹㈷愹ㄸ㕣〰㜷〷㕤戱㥢ㄳ敥慢㡣捡㐹愹昲搹ㅤ〴ぢ㠱晢㍡敤㌹ぢ㈵㜰摦挰㠶つ㤷㔳㔰㌶挰ㅡ㑥㍤㐹㠹搹慤攱㥣ㄱ扦㑡扣㜲㥥㑡捦挸捣㤸昱㝤㑤昷摡慤扡ㅦ㌶扣搷㈵敦㍤昱晥戲㤷愶つ晢昸攷换㉦㝦改㠳㘵㑦晤㝣㝦㙡搸愳㉢㔶㍣㌴晥慡愷摥敦㥢㕢㕥㜹搷昷ㄳ㤶㥦ㄴ㌸敥愴攳㜳〷敦㌶昶愴挳㡦㍤㈸㜰攰㈶㠳扢㜵敢搱㘳攷㑤ㅦ摢㘲ㄷ摦㠲攳敦㔱て扥扥㜹㔳㤵ㅦつ㜴㘲搲㠶㠸㝥攷っ换㥢散㤰㑣戳㜰㕣扤㠵ㄲ晦㌸扢攵攳㜴㡢捣敥扤㡤つ攳ㅤ㠸摥㤵㌵㥣ㄲ改捡㉥慢ㄸㅡ㘰户㡤㜷㈱㤴捣愸〰㡣昱ㅥ㑡晣ㄳ㘴㥣㔹ㄱ㘴㝦愳攱晢㄰㐰挶搹㡦㉥㐵挶〳㥦㈰晢㍢㌶搴扥ㄴ〰㘴㝣㠰つ晥〹㌲㑥愲〸戲て戱㘱㝣〴〱㘴㥣攸攸㔲㘴㜵㘸㐰戰㝣㡣つㅢぢ㘷㐸〴换㈷搸㌰晥〱〱㉣㥣挵攸㔲㉣㌲敤〱っ挶㍦搱㤲㡤㠵搳ㅦ㠲攵㕦搸㌰㍥㠵〰ㄶ㑥㔱㜴㈹ㄶ㤹搳㈰㤶捦搰㤲㡤㠵㜳ㅢ㠲攵㜳㙣ㄸ㕦㐰〰ぢ攷ㅦ扡ㄴ㡢㑣㔸㄰换㤷㘸挹挶挲㠹ぢ挱昲ㄵ㌶㡣㝦㐳〰ぢ㈷ㄷ扡ㄴ㑢ちつ挸㜸昹ㅡㅢ㌶ㄶ捥㑡〸㤶㙦戰㘱㝣ぢ〱㉣㥣㌹攸㔲㉣昵㘸㐰戰㝣㠷つㅢ换戱㈸〸㤶晦㘰挳昸ㅥ〲㔸㌸㉤搰愵㔸㘶愱〱挱昲〳㌶㙣㉣㥣㑦㄰㉣㍦㘲挳昸〹〲㔸㜸捤摦愵㔸收愲〱挱昲㌳㌶㙣㉣㥣㉣㄰㉣扦㘰挳昸ㄵ〲㔸㑥挲㕢㤷㘲㌹〵つ〸㤶摦戰㘱㘳㌹ㄵ〵挱㔲搱ㄳ㔸ㄴ〴戰昰㙡扤㑢戱挸攵㍤㌰ㄸ㤵㘸搰挶戲㔰㘳改㐶㉣摤㑤㉣㡢扡ㅡ㡢㕣扢ㄳ㑢㤵ㄳぢ慦攱㈵㉦ㅥ㘲改㘱㘲攱㜵㜶㤷收㐵㉥捣㠹愵摡㠹攵〲㡤挵㈰ㄶ慦㠹㠵ㄷ搱㕤㡡㐵慥扡㠹愵愷ㄳ换㘵ㅡ㑢㉦㘲改㙤㘲戹慡慢戱挸㈵㌵戱昴㜱㘲㔹愱戱搴㄰㡢捦挴㜲㕤㔷㘳㤱敢㘵㘲搹挴㠹㘵㤵挶搲㤷㔸㌶㌵戱昰摡戶㑢㌹㤲㡢㘱㘲改攷挴戲㐶㘳改㑦㉣㥢㤹㔸敥攸㙡㉣㜲愵㑢㉣㥢㍢戱摣慤戱㙣㐱㉣㕢㥡㔸敥敢㙡㉣㜲ㄹ㑢㉣㕢㌹戱慣搵㔸戶㈶㤶㙤㑣㉣敢扢ㅡ㡢㕣愳ㄲ换戶㑥㉣扣㔶㤵攳换㜶挴戲扤㠹㠵搷㤳㕤㍡㕥攴〲㤴㔸㙡㥤㔸㜸㈱㉡㔸〶㄰换づ㈶㤶攷扡ㅡ㡢㕣㕤ㄲ换㡥㑥㉣扣捡ㄴ㉣〳㠹㘵㈷ㄳ换慢㕤㡤㐵㉥ㅤ㠹㘵㤰ㄳぢ㉦㈱〵换捥挴戲㡢㘰㔱㙦㐲㈹ㅦ愳扢愲捣つ扥㝣扣收愲㘹敦敥㡡ㄷ㕡㜲㤵晢捡㌷收㕡㠶㤱搰㔷慢ち昵㡥慥㜸搹慡昰愱挲ㄸ挲㌰敦敡愰扢㍢㠳昲㜲挹ち捡㙢㈴〹晡㐲㐱㔰㕥㌷㐹挵昳捥愰㝥㠶㤱㉢ㅣ㌶ㄱ㜰〶攵㤵㡥ㄵ㤴㤷㌷攲晢㑣㐱㔰㕥昲㐸挵搳捥愰㘱㠴昱昱攲挴㜲攷ㄵ㠹㔸㍤㔹攰捥慢ㄴ愹㜸挲改ㅥ愳㍢慦㈷㉣㜷㕥㐴㠸搵㘳〵敥扣戰㤰㡡㐷㥤敥㝢搲㥤㤷〰㤶㍢捦晢挵敡攱〲㜷㕥ぢ㐸挵㐳㑥昷㘱㜴攷㔹扢攵捥㔳㜵戱㕡㕦攰捥搳㜷愹㜸搰改㍥㥣敥㍣搱戶摣㜹㜶㉤㔶敢ち摣㜹挶㉤ㄵ㙢㥤敥愳攸捥㜳㘳换㥤㈷挴㘲㜵㝦㠱㍢㑦㤲愵攲㍥愷㝢ㅤ摤㜹㍡㙢戹昳ㅣ㔶慣敥㉤㜰攷㜹慤㔴摣攳㜴摦㡦敥㍣〳戵摣㜹摡㈹㔶㜷ㄵ戸昳㔴㔴㉡敥㜴扡㑦愰㍢㑦ㅡ㉤㜷㥥㈹㡡搵敤〵敥㍣㝢㤴㡡摢㥣敥㤳攸捥昳㍣换㥤㈷㜷㘲戵愶挰㥤㈷㝣㔲㜱㡢搳㝤㌲摤㜹㙡㘶戹昳㝣㑣慣㙥㉡㜰攷㌹㥡㔴摣攸㜴㍦㤸敥㍣㥢戲摣㜹ち㈵㔶慢ぢ摣㜹㕡㈵ㄵ慢㥣敥㠷搱㥤㈷㐰㤶㍢捦㝡挴敡晡〲㜷㥥〹㐹挵㜵㑥昷㈳改捥㜳ㄶ换㥤㈷㉡㘲㜵㙤㠱㍢㑦㕥愴攲ㅡ愷晢搱㜴攷㘹㠶攵捥㜳ぢ戱扡扡挰㥤攷ㅢ㔲戱摣改㥥愴㍢捦っ㉣㜷㥥づ㠸搵㤵〵敥㍣㐵㤰㡡㉢㥣敥ㄹ扡昳挳摣㜲攷㈷戸㔸㕤㔶攰捥㑦㜵愹戸搴改㝥っ摤昹昹㙢戹昳㐳㔷慣㉥㉥㜰攷〷戱㔴晣搹改㝥㉣摤昹㤱㘹戹昳㜳㔲慣㉥㉣㜰攷㘷愷㔴㕣攰㜴㙦愴㍢㍦攵㉣㜷㝥戴㠹搵戲〲㜷㝥摣㐹挵㜹㑥昷㔹㜴攷〷㤳攵捥㑦㈳戱㕡㕡攰捥㑦㈸愹㔸攲㜴㙦愵㍢㍦㑢㉣㜷㝥㠰㠸搵攲〲㜷㝥愸㐸挵搹㑥昷㌹㜴攷攷ぢ摤㡤戹搸挰扡㍣㝥㔰挸㍣攷㍣搶昲㠳㐲㙡攷㥢戵㍣攲㑢敤〹慣攵ㄱ㕦㙡㑦㌴㙢㜹攸㤶摡㤳戰愱㜸㈴㤶搲挹㉣昱挰㉡愵㔳㔸攲㜱㔲㑡愷戲挴挳㥥㤴ㄶ戰挴愳㤸㤴㑥㘳㠹〷㈵㈹晤㠱㈵ㅥ㘳愴㜴㍡㑢㍣㘴㐸改っ㤶㜸〴㤰搲㤹㉣㜱㠷㤶搲㐲㤶戸㝦㑡改㡦㉣㜱㜷㤳搲㔹㉣㜱敦㤱搲㥦㔸攲捥㈰愵㐵㉣㜱㙣㑢改㙣㤶㌸㔴愵戴㤸㈵㡥㍣㈹㥤挳ㄲ〷㤲㤴㤶戰挴㜱㈱愵愵㉣㤱㘶㈹㥤换ㄲ㔹㤳搲㜹㉣㤱〴㈹㉤挳㐶ㄵ㐹㈸戳㔸敥挰㙣㑢㍡摢搴㔶摦㤰攵㘲㍤ㅣ㉢㉢㝡㌷㡥㥡摤摡搶㙣慥㈷㙣慤㤲ㄵ㠴挵㉢っ晢搲㝣㜰㥥愹搷㔴㔱搶㤸㥢昶㔲挳㥥㔶ㄵ搷㈶晥㕦搷ㄹ昶挰㜸攰ぢ㥤摡慥晣㔲㐳㜳㤹㘱攷慣慣㌵㠶攷㈳㍢㕥㍣收㡦㐵㠶ㅤ㥢㔲㔶ㅣ慤㜲扥㤴昷〵挸ㅣ戵㑣愹㜱㘱㠷㘷挷愶改挹㤱㕣散挹ㄱ㉤㥥㝦敥昰散搸㌴㍤㘵㤴〳㑤晥㤷㉥换㘸㉦搲捡愸㉦搲捡攸㉦搲捡㕥㔰愴㤵扤愱㐸㉢㝢㐵㤱㔶昶㡥㈲慤散㈵㐵㕡搹㕢㡡戴戲搷ㄴ㘹㘵敦㈹搲捡㕥㔴愴㤵扤愹㐸㉢㝢㔵㤱㔶昶慥㈲慤散㘵㐵㕡搹摢㡡戴戲搷ㄵ㘹㘵敦㉢搲捡㕥㔸愴㤵扤戱㐸换扤戲㘸㜴搴㜰昴昱慥づ挷〱晥摥摢昷搲㑢昸昷㡦㝤㥦㝥㡡㝦㥦敥㕢挳㔱㔶摥㠲愳愹慣㐵捦晦〷て搴昳慤</t>
  </si>
  <si>
    <t>㜸〱捤㝤〷㤸ㄴ㔵昶晤扣㠱㘹愸㈶㑣㡢ㄸ搶㌸㈸㉡ち㘲攷㘰㈲つ㐱㠹ㄲ㑣愰搸愱ㅡ㐶㈷攰捣㠰愰㤸㕤ㄳ㡡㡡㘱捤〱㤵㔵㐴㜴ㄵ挵㜵ㄵㄱ㔰搴挵㥣㔱搱㐵㔷㕤昳㥡㜵つ晦㜳㙥搵敢愹敥慥㙥攷攷㝦攷晢㜶愰敦搴扢敦摥晢捥扢攷㔵㝡昵㙡扡㐲㔵㔴㔴晣㡡ㅦ晥收㑦㘷㙥散㌰㘹㕥㑢慢搹㌰㜰㔸㔳㝤扤㤹㙥慤㙢㙡㙣ㄹ㌸愴戹㌹㌹㙦㑣㕤㑢㙢㈷ㄸ㜸愶搷愱扥愵㙡㝡㑢摤㠹㘶搷改㜳捣收ㄶㄸ㔵㔵㔴㜴敤㙡㔴愲晥て昶挷愷ぢ〶扤㡣捥ㄴ戰慡㌰㍣ㄴ㕤㈸扡㔲ㄸㄴ㕥㡡㙥ㄴ摤㈹㝡㔰昴愴愸愶昰㔱㙣㐱搱㡢㘲㑢㡡摥ㄴ㕢㔱㙣㑤戱つ挵戶ㄴ㙣摦搸㡥㘲㝢㠸敥㍢㐰㑣ㅥ㌶㜴㝣敡㔸昴㘶㔲㙢㔳戳㌹愰收㔰ぢ昳〱㠱挰挰挰挰㜰㈴㄰ㅣ攸ㅦ㔰㌳㙣㜶㝤敢散㘶昳㠰㐶㜳㜶㙢㜳戲㝥㐰捤㠴搹愹晡扡昴㘸㜳摥攴愶攳捣挶〳捣㤴㍦㤴㑡㠶攳㠱㜰㈴㤲㑤㈴攲摤㜷㐴攴㜱挳㠶㑥㘸㌶戳㉤晦慤㤸㍢㌱收昸㘱㐳〷㡥㌳㕢晦㕢㌱㜷㐶㑣㠴慣㙤㙡㐸搶㌵晥㤷㠲㔶㤱搳㔰慤㤹慥㈳昹愶搹㕣搷㌸㘳㈰㘰攷㈵ㅡ愵搸挰ㄱ挸㜸㍡搹搲㍡捣慣慦㥦㘸㘶挹㝢昷〶收捣㙣㌶ㅢ搳㘶㑢捦㠶攱㜳搳㘶扤㕤摤搲戵攱搰㘴昳戸㘴㠳搹㤹ㅢ搵つㄶ㙦〷㘵捣挶搶扡搶㜹㍤ㅡ愶戴㤸ㄳ㤳㡤㌳㑣㥡㔴㌵㡣㥣㕤㤷改摣㔹㜵敥㕣搱㘹て㌷㌰挲捤挰ㄱ捤改㘱㌳㤳捤慤㔲㈲㙢〱㌷㕢挷〸ㄱ攰㜹戰㌸㡡㙡ち扣㐸搳愴扡㠶搱㘶㜳愳㔹捦㐶㐸㕥晦〲㈳挹㠹㤵晡㕣㜲㜴㙦㐸㡣敡㘶敦㙦散ち㕢㌱㙡㈸晡㐰㜸㜶㠱昰ㅤ㌰㘴㑡摦㐰㙣昷㕤昶慤搹㘵昷扥㐳㠲㐱㘳㔷搶昷㠵㔰㥤摦挰捥敢昴攷づ㔴㌹㍤㔹㌹㍤㔵㌹㍤㕤㌹㍤㔳㌹摤慣㥣㥥慤㥣㍥愳㜲晡捣捡改㜵㤵搳㡦慤㥣㝥ㅣ㙣昴㑦搷㉥㕤㉡敤㥦愱㔵㠹昳挶愵慥ㄸ㝥改㐷㍦㕣㘲摣㝥捥挱㡡晢慢散戸扢㘳挳搸〳挲搳て挲㜷挰搰愱づ㍣搱㠰戱㈷敢昷㠲㔰敡㘵攰㈱愶㐷㠷㝣㤶㤹㍤㉤㌰收晣㝤攷晦㌲昸攱㐱㝤ㄴ昷㝢〹㌶㠰挶㝢㐳㜸〶㐲ㄴ〴㐳攷昶㘱扤ㅦ㐲愹㘷敤㘰㡢戲搳㌷晥晣攸晥挳捥戹散昳㘱挱㜷㑥㥥慣㜸晣㤰㘰㐱ㅡ㠷㈰㍣㘱㠸㠲㘰攱愰ㄱ㘱㝤ㄴ㐲愹㈷敤㘰ぢ㜶㕤㕣晢搲〱ㅦっ扥攴㤴㕢挷慦㕣㌹攱㐵挵昱㈸挱攲㌴㑥㐰㜸昶㠵㈸〸ㄶ㡣ㅢ晢戱㝥㝦〸愵搶摡挱捥昹昵愴敢ㅥ晣搳扤㐳㑦㝦㜷挶㑤昳扦㕣㕦慢㜸㍣㤳㘰〷搲㜸㄰㠴㘷㌰㐴㈱㠷〱㘳〸敢㠷㐲㈸昵戰ㅤ㙣搰挲㑥愱㈵㌷慦㍢攸㤱搱㜳慦㔴捦㥥㜲㤷攲㜱㔱㠲搵搲㜸㌸㠴㘷〴㐴㈱戲㤰㌱㤲昵愳㈰㤴㕡㘹〷敢㕦㜱搸〳㘷㘵㑥ㅣ㜱晡愶慡㘳户晡敢㘳㕦㉢ㅥ㕦㈵搸挱㌴ㅥつ攱ㄹ〳㔱㠰㉣ㄴ㌴挶戲㝥ㅣ㠴㔲㝦戱㠳㍤晣㘶㝦㙦敤㘳㌳挷摥昱晤愸㡦戶㜹昹攷㉦ㄵ㠷㤹〴㥢㐰攳㐳㈰㍣ㄳ㈱ち㠲㠵愳挶㈴搶㑦㠶㔰敡づ㍢搸晤慦㙤摡搰晦攸㕦挷㕥㄰㝦㜶㘱㙡㠷㔱㈷㉢ㅥ敦㈵搸愱㌴㍥っ挲㜳㌸㐴㐱㌷㐳㌱攳〸搶ㅦ〹愱搴慤㜶戰㙢㌶慣㡥㉤搹昹愷攱㉢㙥㤹㜷㐴㤷捤ㄷ昵㔳㍣㙦㐸戰㘹㌴㍥ち挲㜳㌴㐴㐱戰㘰挴㤸捥晡㘳㈰㤴扡挱づ㜶攴㔶扢昵㕥搷㈵㌹昶搶敤㡦㝡㝥改慦㌷㤸㡡攷ㅦ〹㤶愲㜱ㅡ挲㤳㠱㈸っ收㌷㑣搶㘷㈱㤴扡捡づ㜶㘷㡦㑥戱昵捤㌷㡤晢攳㈷㥢て㥢昲昸㤸愸攲㜹㑣㠲捤愴㜱ㅤ㠴攷㔸㠸㠲㘰㔱扦挱晤搳愸㠷㔰敡㔲㍢搸捡㘵挱㈹愳敦攸㌲㜶㐵散愹ㅤ㈲搷㕦㜴㠹攲昹㔰㠲㌵搲戸〹挲㌳ぢ愲㠰〰っ摡攳㔹摦っ愱搴㠵㜶戰㍤㡦戸扥㘵敥捣扡ㄱ昷㉤㠸愵㑥て㍣㜱慣攲㜹㔵㠲戵搲㜸㌶㠴㘷づ㐴〱㌲っ㡤ㄳ㔸㍦ㄷ㐲愹㜳散㘰摤㘶散㝡搴愹㘷㍤㌵敥㤱攳㜶敥ㅥ扥㝣搹㐰挵昳戳〴㍢㤱挶㈷㐱㜸收㐳ㄴ〴ぢ㐶㡤㤳㔹㝦ち㠴㔲愷摢挱㔶捤慦㍡㜹晣慤戵㠳㙦ㅡ㜱挳昱收㤸㙤㕥㔷㍣捦㑢戰搳㘸㝣㍡㠴攷っ㠸㠲㙥㠶㐲挶㤹慣㍦ぢ㐲愹㤳散㘰㑦㑤㍤敤慢㌵㑢户ㅣ㝤换摦㐷㉦扦敤敤昴ぢ㡡搷ぢㄲ散㙣ㅡ㥦〳攱㌹ㄷ愲㄰㔹搸㌸㡦昵攷㐳㈸㌵摢づ戶㙣摤慢㜷㙤晦昵㠵㐳敦㘸昲摣㜱挶愳ㅢ愳㡡搷ㅤㄲ散〲ㅡ㕦〸攱㔹〸㔱㄰㉣㤰㌰㉥㘲晤挵㄰㑡㌵搹挱慥㝦挲㝣攱攷㠵改摡㘵愷㝤㝣摢戲㈵昵摤ㄴ慦㕦㈴搸㈲ㅡ㕦ち攱戹っ愲㈰㔸㌸㘲㕣捥晡㉢㈰㤴慡戳㠳晤㝢㥦㐷㑥㝤慤㘲晤攸㠵㍢㕦㜰昸㠶ㅦ戶㥥慣㜸ㅤ㈴挱慥愴昱㔵㄰㥥慢㈱ち㠲㐵㈲挶㌵慣扦ㄶ㐲愹戴ㅤ㙣攴㘳搷㥣㜹挸㉢㤷㡥㝤㜰捦㍢摥ㅥ㌲攲㡡㥥㙡㕢㔴㑢戰敢㘹㝣〳㠴攷㐶㠸挲㘰㐱攳㈶搶㉦㠶㔰敡㈸㍢搸㙢㔳㙦㜸散㠶昷㝦ㅡ㜱攷愵攳敡㥦昷摥散㔱扣㉥㤳㘰户搰昸㔶〸捦ㄲ㠸㠲㘰㘱扦昱㘷搶摦〶愱搴㘱㜶戰ㄵぢ㡦㕦ㄵ扦攲慤㈱㡢愷㕣㌲㜷攳ㄱㅢ㕥㔲摢愱㕡㠲㉤愵昱ㅤ㄰㥥㘵㄰〵挱㐲㘱攳㑥搶㉦㠷㔰敡㄰㍢搸捥晢㥥㄰㥢昱㤷搸挸㕢㕦㌹愲㜷㈰㝤摦㘷㡡搷㠹ㄲ散㙥ㅡ晦〵挲㜳て㐴㘱戰㤰㜱㉦敢㔷㐰㈸㌵摡づ㌶慥摦摤㡦散㔲㔷㔵扢㘰户戳搷㥦ㅣ㥥昱㙡昷晢㔱㝤㠸㝤㑥慦㙤㑥㥥㠰ぢ愳戶㙢㉥㕣㘸昲摦㙦㕦㙣攲㕡㌳ㅢ挹挶戲㠱㐰㈶攲㑦㠶㤲㔵㌵〸摢摥㑢ㅣづ昵敥搹挳敡ㅡ㌳㑤㈷挸㌵㑦昷散㠸扡晡㔶戳㔹ち搵㔹晣戲慥摢愴摣㈳㍢㝣㉥㉥㜸搳搶攵㔱敦散㌰戳戹ㄵㄷ㡡慤昳摡慥㤹㜶ㄸ㥡㙣㌱摢㡡晤敤搸㐳㥢㘶㌷㘶㕡戶㜷慦㥣搴㥡㙣㌵户㉢慣㙢ぢ㔲攴㌶〹ㄷ㤱㘶㡢㐰摡愹搰敤搰㘴晤㙣㜳挸摣㍡慢㝡挷㠲㙡㕣㑥㌶愵㑡搷㡥㘸㌶㡦捦搵ㄶ㈱ㅡ㠲㝢㥣㌹ㄲ扢愸㤷㔶㤵㠵慢㘶搸捣愶ㄶ戳㔱攰昵㙦㤸㔰㤷㍥捥㙣㥥㘴昲づ挹捣㐸㔷户㘲㤵㝤㑤摢㝦㝣㈳㍡㡡慢搴捣㉥㑥㉤ㄳ㙤㌶㘶捣っ昰捥㐲㤶攷㑤㑥愶敡捤慤昳㑣慣㌶㔱昱㠷㍣昵㠸愶昴散㤶㘱㑤㡤慤捤㑤昵昹㌵㐳㌲㜳㤲戸㡥捥㡣㙤捡㤸㥤攵愷挲㤲慡愲㔳㈷愵㉡晡戹㕤㤰㌲㜶ぢ㉦㔹ㅤ㠳㠴ㄷ挶攵㡤ㅤ㠳㠸挶慥㤷扡戹挸搸㜰っ㌲摡敦㔹ㄶ㠹㜳㄰搲摡㕦搶摡㘵㤰搲㘹摢晣ㅤ㙦攰㐴昰〳ㅥ敡㑤敥㤵㤵㝤㑢㠷㙣ㅢ㤷扦㠱搴挱ち㙦㠸㘹㕤㈶㘹ㄲ㌶㌷昶㍡搶戸戲㜲㑢扢昷挳攷攰㙥㘹㔴戲㌱㔳㙦㌶㤷扤㥤㔷㐴㘴慣愴㜸㠰攲慦ㄴて㔲晣つ愲慡ㄶ挷戸㤲ㄹ敤っぢ㌵㔷捤慢㍡愱㉥搳㍡搳㌳搳慣㥢㌱戳ㄵ㍡㑣〳㜴敤捡㜴昳㄰捤捦扡捡㡡㡡昷ㄴ㌶㡣㠷㈹㔶㔱㍣〲攱昵㔶㜸㔶攳㜷㠵挷㙢㍣捡㕦㙢㈰慡昵敤㘲㡤㌵㌲扤慡慡て搴晦昷ㅢ㌶㌴㕡㘱挸晤㈱㙥攰㕢慡ㅡ㄰户愵㔳㈷户㙣㡣㑡戶捣㙣攵㡥㔸扥㤲昱搶㔲慣㠳攸晥ㄸ挴戸㔱㘶㍤㜶攳晦搶扤㝦搵慥㠸昹㥢昷㤸扣挰摡扡㘱搲扣挶昴捣收愶㐶捣挰搴㈶㕢㤳㐳搲戸㤱㙥㔱㐹㑦挳㤸愶㘱戳㕢㍤つ愳敡昰慢㝢挳㐴㜳㤶㤹㙣ㅤ㠶挳㜴㙢㡦㠶㌱戸〹㤷攳攸㐱㤹戹㔵つ搶晤㜳慤搹㤲㌶㜸愳㝤㄰づ㑢㜳㍤搸挲㜱戶㝢〳て㌴收摣㔶㠶敥搲㌰㈱㠹ㅢ昵㔶〳㐶晤挵换摡愲㘷て搱㘹㙦慦㕤㐲〴㥦㙣㍡愲㜴ㄳ㠵ㄵ愹㠲㈳〷㘷㔰㥣㜳㍢摢戲㜰て㥡搲㕡㔷摦㌲搰㑥敦挰摡㈶㑣挴㤸㌲〷挵戴㝢㍣ㄸ㘰㥥戲㘴ㄵ敥攸扣㔳ㅦ㥦㑥㔹㘱〱㘵㘴㜳搳散㔹㍢㈱搶㝦㉢づ㘳㔵ㄸ㡦㐳摣昰敦愵晢敤㜶摤㕤扦摡扦㑦挵㉥㈴㍦挶㉥戴㔸つ挱㈲㝥挹㡦昱㈴㝥㜹换搵㔵昵㠵㠵敢㤱戶挴愴㐲ㄵ散扢㌷愰户㤳㥢㑤㤹㈵改㉡㠵㜹戳捣ㅥつ㠷㌵㌵ㅦ㤷㙡㙡㍡㡥攴昷㤴㔲换㑣搳㙣攵搴㐳㌷㝢愶㠵摢㑡愹㑥㥤昲收ㄵㅣ㜳ㄴ㍢㈳扥攷㘹㠸ㅥ㐳敡敢㙢㜴挴ㄶ捦㌳㔰㜵挲ㄹ挵昳㉣㌶㜶㍦㌸搹㔸ㄳ昴〷挳㌵挳㈶㑤ㅣ㔲㠳昹挲㔹昵戸ㅣ愸㤹㌸晣㔰晦摥㝢敦㕤㍢㘶搲挰戹昵㉤㜳㤵ㅦ戹攰㠴挱㥡慡㜹㡢攳㘷㔷っ晥敢㍦ㅦ敥搵攵挹愷㐳㙡ㅦ扢愲㘸㕡㘲㜷㐴慦挱挷㜸㠱攲㐵㡡㤷㈸㕥愶㜸〵㐲敤〹㔷ㅥ戹戰㥤晦㘳扣㠶戲昱㍡挵㐶〸ㅣ㝦㠴てㅣ㝥摥愴㡥㠷ㅦ慦㔲㝢攰ㄷて㌹挶㈶㡡户㈱搴㥥㄰摣㌹㉢㡣㜷㈰㑡㌲摣㡦ㄶ慢㈱搰㜸慥㜵攳㕤㈸扣㐶㤹㍡戵ㄷ㉣挸戲挱慣ㅡ捣愳挱ㅣ慡慤ㄱ挶㌵㌹㕢搹ㄵ㐵搳㉣〳攰㔶㐳晦㑦㈸㍥愵昸㡣攲㜳㡡㉦㈰㔴㌵㕣摤㤳昳㈵㙤扥愲昸ㅡ挲㤱㥣㙦愹戳㤳戳㌷戶㈵㌹摦㔳昹〳㠴摡〷挲㑡捥㡦搸㉡㤹㥣㠱㜴㔸つ〱〰㙤挹昹ㄹち慦㔱愶㑥昹㘱攱㤶㥣㥦㝥㈹㤱㥣晦搸ㄵ㐵搳㐶㐱㐴慡挱挷昰㈸㠸㉥ㄴ㕤㈹っち㉦㠴晡〶慥敥挹改㑥㥢ㅥㄴ㍤㈱ㅣ挹昱㔱㘷㈷㈷㠴攰㝤搸㐰㉦㉡户㠴㔰ㄱㄴ慤攴昴㐶戱㘴㜲挲昴㕡つ㤱㤷㥣㙤攰攲㌵捡搴愹㈸㕣摣㤲戳戹㔴㜲晥㘱㔷ㄴ㑤㠳挵ㄱ愹〶ㅦ愳〶㡤ㅡ㝤㈸㜶愱搸㤵愲㉦㠴㝡愳㘴㜲㜶愷捤ㅥㄴ晤㈰ㅣ挹搹㡢㍡㍢㌹〹〴敦挳〶〶㔰戹㌷㠴摡て㐵㉢㌹〳㔱㉣㤹㥣㝤改戵ㅡ㈲㉦㌹〱戸㜸㡤㌲㜵㙡㝦戸戸㈵攷㠹㔲挹㔹㙦㔷ㄴ㑤敢ㅤ㠸㐸㌵昸ㄸ晢愲㔱㘳㍦㡡晤㈹づ愰㌸㄰㐲㍤㙡㈷攷㈳㔸昱搳㜶捤㌳㤸㌶㐳㈸㠶㐲㌸㤲㔳㑢㥤㥤㥣㐱㜰改挳〶㐶㔰㌹ㄲ㐲つ㐱搱㑡捥㈸ㄴ㑢㈶㘷㌰扤㔶㐳攴㈵㘷㌴㕣扣㐶㤹㍡㌵ㄴ㉥㙥挹㔹㕥㉡㌹㜷摡ㄵ㐵搳㤴戵㠸㔴㠳㡦㌱ㄹ㡤ㅡ㔳㈸づ愵㌸㡣攲㜰〸昵㘷㍢㌹㌰捡晦㌱㡥愴捤㔴㡡㘹㄰㡥攴ㅣ㑤㥤㥤㥣攱㜰敡㠳㡦㜱っ㤵㐹〸挵ㄹ㑦㉢㌹㈹ㄴ㑢㈶㘷〴扤㔶㐳攴㈵挷㠴㡢搷㈸㔳愷㐶挱挵㉤㌹㤷㤵㑡捥愵㜶㐵搱戴敢挱㠸㔴㠳㡦搱㠸㐶㡤㈶㡡㔹ㄴ挷㔳㌴㐳愸ぢ敤攴㜰㌷攷愷㙤攴戴搲㘶㌶挵ㅣ〸㐷㜲收㔲㘷㈷㘷㌴㕣晡戰㠱ㄳ愹㍣〹㐲㡤㐵搱㑡捥㝣ㄴ㑢㈶㘷っ扤㔶㐳攴㈵攷㔴戸㜸㡤㌲㜵㙡ㅣ㕣摣㤲㜳㘲愹攴捣戳㉢㡡愶㤱㈷㈰㔲つ㍥挶戹㘸搴㌸㡦攲㝣㡡〵ㄴㄷ㐰愸ㄶ㍢㌹㌰捡晦㌱ㄶ搲收㈲㡡㡢㈱ㅣ挹㔹㐴㥤㥤ㅣ捥㑣昷挱挷戸㡣捡换㈱搴㈴ㄴ慤攴㕣㠱㘲挹攴㑣愴搷㙡㠸扣攴㕣〵ㄷ慦㔱愶㑥㑤㠶㡢㕢㜲㡥㈹㤵㥣改㜶㐵搱戴昸愱㠸㔴㠳㡦戱ㄸ㡤ㅡ㌷㔳摣㐲㜱㉢挵ㄲ〸㜵㐴挹攴摣㐶㥢摢㈹㤶㐲㌸㤲戳㡣㍡㍢㌹㥣㘹敦挳〶㤶㔳㜹ㄷ㠴㍡〲㐵㉢㌹㜷愳㔸㌲㌹㠷搳㙢㌵㐴㕥㜲敥㠵㡢搷㈸㔳愷㡥㠴㡢㕢㜲㐶㤴㑡捥㜰扢愲㘸㥡㝦ㅡ㈲搵攰㘳㍣㠴㐶㡤㠷㈹㔶㔱㍣㐲戱ㅡ㐲つ㉡㤹㥣㌵戴㔹㑢戱づ挲㤱㥣挷愹戳㤳㜳ㄴ㠲昷㘱〳㑦㔰昹㈴㠴㥡㡥愲㤵㥣愷㔰㉣㤹㥣愳改戵ㅡ㈲㉦㌹㑦挳挵㙢㤴愹㔳挷挰挵㉤㌹〳㑡㈵愷扦㕤㔱昴搸㈲㠵㐸㌵昸ㄸ慦愰㔱攳㔵㡡搷㈸㕥愷搸〸愱㜶㉢㤹㥣㌷㘹昳ㄶ挵㈶〸㐷㜲摥愱捥㑥㑥ㅡ挱晢戰㠱捤㔴扥ぢ愱㑣ㄴ慤攴扣㠷㘲挹攴㘴攸戵ㅡ㈲㉦㌹ㅦ挰挵㙢㤴愹㔳㔹戸戸㈵愷㔷愹攴㙣㘱㔷ㄴ㍤㠶㤹㠹㐸㌵昸ㄸ㕦愰㔱攳摦ㄴ㕦㔲㝣㐵昱㌵㠴敡㔶㌲㌹摦搲收㍢㡡敦㈱ㅣ挹昹㤱㍡㍢㌹㝣戲搳㠷つ晣㐴攵捦㄰㡡㑦㜴慣攴晣㠲㘲挹攴ㅣ㑢慦搵㄰㜹挹㔱㤵㑣㑥㤹㍡㔵てㄷ户攴㝣晦㜳㠹㉢攴敦散㡡愲挷㑡㡤㠸㔴㠳㡦攱㐵愳㐶㌷㡡敥ㄴ㍤㈸㝡㐲愸㝦挳㤵㔷挸昷挳㡡㥦戶戳ㄵ㔷㝢ㄸ㕢㔰昴㠲㜰㈴愷㌷㜵㙢㘰㡢㝢慢㈶晣敡㠳㡦戱㌵㤵摢㐰㈸㍥愱戲㤲戳㉤㡡㈵㤳㌳㡢㕥慢㈱昲㤲戳㍤㕣扣㐶㤹㍡搵っㄷ户攴㙣㉡㤵㥣户散㡡愲挷㘴慤㠸㔴㠳㡦搱㤷搸㜷愳搸㥤㘲て㡡㝥㄰敡㔵㍢㌹㌰捡晦㌱昶愲㑤㝦㡡〱㄰㡥攴っ愴㙥つ慣㤱㥣搹昸㈵挹昱㔳ㄹ㠰㔰㝣攲㘶㈵㈷㠸㘲挹攴捣㠱㔹㜱㜲㈲㜰昱ㅡ㘵敡搴㕣昸戹㈵㘷㕤愹攴慣戵㉢㡡ㅥ晢㥤㠸㐸㌵㐴㜱㈰戱て愲ㄸ㑣㌱㠴㘲㈸㠴㝡戸㘴㜲㙡㘹㌳㥣㘲〴㠴㈳㌹愳愸㕢㠳愸㐸捥㐹昸㈵挹㌹㤸捡搱㄰敡㘴愸慣攴㡣㐱戱㘴㜲收ㄳ搶㙡㠸扣㤱㌳ㅥ㉥㕥愳㑣㥤㍡〵㉥㙥挹㔹㕡㉡㌹户摢ㄵ㐵㡦㌱㑦㐳愴ㅡ㝣㡣挳㠹晤〸㡡㈳㈹愶㔲㑣㠳㔰㌷摢挹攱戵ㄵ㍦㙤扢搵搱戴㤹㑥㜱っ㠴㈳㌹㈹敡搶挰ㄶ挹㌹ㅤ扦㈴㌹ㄹ㉡㑤〸㜵㈶㔴㔶㜲戲㈸㤶㑣捥ㄹ㌰㉢㑥㑥ㅤ㕣扣㐶㤹㍡㜵ㄶ晣摣㤲㜳㜱愹攴㕣㘴㔷ㄴ㍤㤶㍤ㅢ㤱㙡㠸愲ㄹ㡤ㅡ㉤ㄴ慤ㄴ戳㈹收㐰愸昳散攴挰㈸晦挷㤸㑢㥢㜹ㄴ㈷㐲㌸㤲㌳㥦扡㌵戰㐶㜲昸愴㔷㤲㜳ち㤵愷㐲㈸㍥攱戵㤲㜳ㅡ㡡㈵㤳㜳㉥捣㡡㤳㜳㈶㕣扣㐶㤹㍡㜵㍥晣摣㤲㌳愷㔴㜲㘶摢ㄵ㐵㡦㤹㉦㐰愴ㅡ愲戸㠰搸㉦愴㔸㐸㜱ㄱ挵挵㄰慡愹㘴㜲ㄶ搱收㔲㡡换㈰ㅣ挹戹㠲扡㌵㠸㡡攴㕣㠸㕦㤲㥣㉢愹扣ち㐲㕤〴㤵㤵㥣慢㔱㉣㤹㥣㠵㠴戵ㅡ㈲㙦户扡づ㉥㕥愳㑣㥤扡ㄸ㉥㙥挹㤹㔶㉡㌹㔳敤㡡愲挷收㡢㄰愹〶ㅦ㘳〹戱晦㤹攲㌶㡡摢㈹㤶㐲愸㈹㈵㤳戳㡣㌶㜷㔲㉣㠷㜰㈴攷㙥敡搶㈰㉡㤲㜳㈹㝥㐹㜲敥愱昲㕥〸挵㈷昰㔶㜲㔶愰㔸㌲㌹㤷ㄱ搶㙡㠸扣攴慣㠴㡢搷㈸㔳愷慥㠰㡢㕢㜲㠶㤶㑡捥㄰扢愲㘸ㄹ挰㤵㠸㔴㠳㡦戱㥡搸ㅦ愵㔸㐳戱㤶㠲㠷ㄷ戵㕦挹攴㍣㑥㥢昵ㄴ㑦㐰㌸㤲昳ㄴ㜵㙢㄰ㄵ挹戹ち扦㈴㌹ㅢ愸㝣ㅡ㐲㕤〳㤵㤵㥣㘷㔰㉣㤹㥣慢〵ㄶ㐴㕥㜲㥥㠷㡢搷㈸㔳愷慥㠵㡢㕢㜲晡㤵㑡捥ㅥ㜶㐵搱戲㠶敢ㄱ愹〶ㅦ㘳㈳戱扦㐱昱㈶挵㕢ㄴ㥢㈰㔴㥦㤲挹㜹㠷㌶晦愰搸っ攱㐸捥㝢搴慤㐱㔴㈴攷〶晣㤲攴扣㑦攵〷㄰敡㈶愸慣攴㝣㠸㘲挹攴摣〸戳攲㤱昳㌱㕣扣㐶㤹㍡戵ㄸ㝥㙥挹改㔹㉡㌹㍤散㡡愲㘵ㅡ户㈰㔲つ㍥挶搷㘸搴昸㠶攲㕢㡡敦㈸扥㠷㔰㕤㑡㈶攷㐷摡晣㠷攲㈷〸㐷㜲㝥愱㙥つ愲㈲㌹户攲㤷㈴㠷㙢㉥っ〵愱戸攲挳㑡㑥㈵㡡㈵㤳戳㠴戰㔶㐳攴㡤ㅣ㉥㐵昵ㅡ㘵敡搴㙤㜰㜱㑢捥搷㍦㤵戸㐲晥捡慥㈸㕡㜶戲ㄴ㤱㙡昰㌱㝡愲㔱愳㥡挲㐷戱〵㐵㉦〸昵㈹㕣摤攷㤰㝢搳㘶㉢㡡慤㈱ㅣ挹搹㤶㍡㍢㌹㕣挹㈲挹搹㡥捡敤㈱搴㥤㔰敤㡡㑦㠵戱〳㡡㈵㤳戳㡣ㄶ慢㈱昲㤲戳㌳㕣扣㐶㤹㍡戵ㅣ㉥㙥挹搹㔸㉡㌹慦摢ㄵ㐵换㘸敥㐶愴ㅡ㝣㡣㝥㘸搴搸㤳㘲㉦㡡晥ㄴ〳㈰搴㡢㈵㤳㌳㤰㌶晢㔰昸㈱ㅣ挹〹㔲㘷㈷㠷㉢㜳㈴㌹㘱㉡㈳㄰敡㕥愸㜶挵〷敢㍣㔱㉣㤹㥣㝢㘸戱ㅡ㈲㉦㌹〹戸㜸㡤㌲㜵㙡〵㕣摣㤲戳扡㔴㜲ㅥ戱㉢ち㤷〵㔵昱㈱㝢攱㘳㑥㔹ㅢ㥣㕢㌰攱㔸㡡搱ㄳ挶㥥散㤴挶扡搶㤶㙥搹㈱戳㕢㥢㐶搴戵搶戶戴㜶捦㐲㘰㔳㕣戶㤳戵〵づ愷晥搹㐳敢捣ㄳ㈶攳㐱摦捥挵㔵㔸㌶㍤㙣㜶㑢㙢㤳㍣挱摤愹戸扥戶㘹㕣㔳㙢㙤㕤ぢㅥ搳捤敢敢㔲㙤搵ㅣ㌶搳㙣挴㘲㤷㘶慣㜹昹㉤愳愶㔹戳捣㡣ぢ挶㐹㑤戳㥢搳收㐱戵晦ぢ换㘵㤴昵㈸扡〲㑦㍢㤵挲戴㐸改攵㈱㡥扣敦〸㙥㉡昱㠴㔴晤捥搵ㄶ慢攱㕦㘱っ挳搰慢㐰㄰っ㜵愳㤶挳搰㕢㔱昵〰㔴攵㠷㠸㘳〱㑥㌷ㄸ㝢戳愰搵搲昵戰㔷㜸ㅤ搴搸㔲㤷㌱扤㜶㘹㙣㕤㘳㑦㝢㜳晣散搶扣㥡攴摣㉤敤ㅡ㍣挶ㅤ摦〸敡搳挹收捣晦〲㉢攸ㄸ㝥㉣㑡㤴〷晦㝥㕦愲慤㌰ㄵㄵ㕦攸搷㕢扥㌸ㄵ㍢晢㜰㍢搷㝦㐵戵敢㔳昵摣敥㠸つ挷晡愵㙡搸昷㘰扡㜳敡慥㉣㡤㌵㤳㡤挲挲愴搶㑣慤㌹愷愷㔸㤸ㄸ攰㜸㕢愱摥摣㌲扦㈸㡢㉢㡣散㤰㔴㑢㔳晤散㔶戳㘷㙥㑢㜶㜴㈳㍢搱挴㌳㜲慣㐵敢㥥摢㥡㤰㙥挵㙡扤㕣㍣慥㌳晢摦㘱〸ㄹ改㙣戳愴㠴㈷㑦㤹挱㥢摦〹敥㐳扦㤳㔵㔵㔱㤱㤵㥦捦〶愹慢慦攲捦敤㠳㉡昴㠶㤷㍦ㄵ㔵て㈲㝣晢ㄷ㥢㜱㑦摡㔲慦㠱戴㡥㜰㜲昰敡慥㜵㕣攷搵㈳㉢挷㍤㉣收攴㡢㉡搵摣㜵敡昱ㄶ㔱㙢㕤㍡㔹㕦㍦慦㘷昶愰挶㜴晤散㡣㌹㈶㤹㌲敢昵㌱扢愹戹攱㝦㠴慦捥挸㥡扤㐷㤵挹㡢扤〲敦㈰慣搶搰㑢摢㝥昷㘱㑥ㄹ㈳戰愷㜹㐶㐲㔴ㅤ㌰攴搰㘰㄰〰扣挶㈸㝢敦攳敡戲晦昳晡㍥㉦㥣㝡戵慤㑥㤵户㠰㜰㠰㉢㔲昱挸挶戵㑥戹㈵㠲戲摦㌹捣挶㌴㡤㘹挲昲捤㡣㐳㌵慡捥㔲晤捦散㕤戲㘳㜹㍣㥥摦㝢㥡㐱慥昰昳㠵扤搲〲㠷㍥慢㍣㠸㘷ㅡ敥㈲て愳㕣戸㑡捡㜱㌹㈲㔷〰㜲㈸昴挱戰㥡挷㌱敢昲㘱㜲㕤㙢扤搹㉤㉢昵戲摤㤵㍢〶戳搹㈵㍢㜹㈶㔶ㅣ搵昶挸㡥㙣慥换搴搷㌵㥡扣ㄴ挱㜲㘲扥㜹㌵挶㥣㠱㠵慦ㄳ㥡㕡敡昸㐲㘱㡦散攴收㘴㘳换㉣㉥㉣㑢捦敢㤵㔷ㄲ戲慡戲㐳敢ㅡ戱ㅢ㔹㙤㜲扢㍡㍢㘹㘶搳〹㜸㈷㜱㜶㐳攳挸攴慣㤶晦〹愲戸㔷㔹㍦搶㜱戰㔲㔵㔶慡慥㤵㕤㝦敦ㄹ换㜳㄰昶㡦㥤㠶㌵戵戴搶攴㤶㐱㥥戰㑦㔳捤挴扡㤶攳㙡戸㕢敥㕢㠳〵㈵㘸㤵㝢㔳㈵㠵捤收㉡㙣㤵搹戱㐹愴扤㌲㤹㍢㌶㘱攷扤㠲攷扡㉣㌲昷捥㈷て搶挶挱㐰搶㝤㌴挴挱㈳愷ㅣ搴戶㥥晤晦敢〵捡慡㐷㄰戹捣㌹㐳㐶㑥㙥昱散㔶㌰敥㘹㡤㈶敡㌸戸っㄹㄴ㉣ㄵ㡥㔰㙦㔶㙣㌸㔸㜱㥡愵㌹㌷㐷㘰㔹㘳㜷ㅣㅢ㜰㡣㐶㝥㜱㜰敥㘹ㄵ㜸摤搷㤰慣㙦戱敢㠶㌵㌵㌴㈴㌹晡㌸㜲㈷攱〰㙦㜶㤵㡢㜰ㅣ㙣㡣㉣㠴っ㔱㕢㤵㥣ぢ㔵㜲慥愸㜰摥收㠲㜸搹㘶慣愶ㄹ挹收扡搶㤹つ㜵改慥㉣㜰搱晡晦挴戰挵㄰敡㡣㘴敡ㅦㄹ扢戸愲㉤㕣㝡㙡慤㤶〴摤〳㜱㤳挱搴㤱㝥っ敥㑡㌹搹慢摦戹摡ㄸ挳㔷㙥挴㡣戱㠸㔶㠵㘹〱戹ちㄶ㉣㡥㉢㌵っ㔱㌹㑥愹㐷㘹㠰㡦㌱づ收摣攰愷昳㕡㠸戲ぢ㐰扢挰挰㍢愶㈹㤹ㄹ㠱昷ㅡ㥡㥡扢搸㉦晣㜶〵戵㍣敡㌴晢戸攸㜷ㄸ㔶捣㘳㈵晥ㅣ㕣㌰㌷㜷愵㘲ㄲ㤶搳㜶收㜲㘱㡦挵㈱捦㤹ㄵ㔵㔵摤扡扡戵㜵㤰㡥搵搷㕥ㅣ改㝣㘱晡愰愲昸㥦ㅣㄲ攷㘳ㄱ㜴ぢㅤ愹㌰挶㐳ㅡㄳ搸愷㜵㈸戲㍦〵〶㠷搰㘰㈲㐴搵攳愸㉣摣㑢㑡㉥㤰㠵㐳㐵㔵〳ㄷ敥㜶㙤㘰㜷㜰㕤攲挱㜲㕥㉣〰㐶㑡㍣摤扡㍥㠶㝡㘳ㄲ慣㥥摥戰攱〰㙣㔷㈸慥㐰㕤㡢て摢攷慥敥昵㌲㜹挶㘴搸ㄸ㔳㈰搴ぢ㈸捡ㄲ昱搵搸挰扡ㅥ攸昴㥤换攱搸挶搹㐴扤〸ㄵ敦㕥昴㡦㠳㐹㥣昵㡦戰慤㕥㐲㌵慦扢挹攱㙦㕤挳愹㤷㘱挷敢㌸㘵ㅣ〹㜷捦㔴㠸慡〳㠶づ㡢〶愰昳ㅡ搳散㤰慦愰挴㡢〹敢愷攴改㑥扤〶〳㥥昲㉡㜰ㄱ㠱搶ぢ㡥㥦敡㜵搴昰ㄸ㙡ㅣ㠵戸㙡㈳戶㜸㘸㠲愵㌵㔴愷戳昱摦ㅣ慡㙦㡡〷㠲ㅣ〳㜳晤愳㌶㘱㙢㉤㍥〵昴㈶㘱㘳愴㈰搴摢敥〶㘹ㅡ㘴㘸昰づっ㌸〶っㄳ愵ㅣ㙤敦㍡摣っ㙣摢戴㘵改㌶㠳㙥㥦㐰改愰慤づ㍡㑤摢戱搸㈶㙤㥦㐲㔵㥡戶攳㙣慢捦㘰搵㙥摡㍥㠷戱㐵㕢㍤摣㍤つ㄰愴捤扥晥㙢戴㐳㝥〱慢昶搰昶㈵散捡搰昶ㄵ慡㠵戶㈶挴㔵㕦愳㤴㐷摢昱㙣晣㌷㘹晢ㄶ㙥㍣愸攴搳昶㍤㌴㙢昱㈹愰慤〵㈱つ晥ㄵ〴昵㠳扢挱㙣ㅡ捣愱挱㡦㌰㄰摡㑥㐰㈹㐷摢捦づ㌷〷㙤㜳改㌶㡦㙥ㅥ㘰㜱搰㜶ㄲ㜴㥡戶昹搸㈶㙤㕤㘰㔲㥡戶㤳㙤慢慥戰㙡㌷㙤㕣〳㙢搱㜶ち摣㍤愷㐲㤰戶㌰㜷ㄴ慦㜱㥡ㅤ搲ぢ慢昶搰挶搵戲㘵㘸攳㍡㕡愱敤㜴挴㔵㍤㔱捡愳敤㑣㌶晥㥢戴昹攰㠶晦〵戴㜱攵敤㕡㘸ぢ㘸晢㈳㐲ㅡ㘷戳㌵慥捡㜵㌱㌸㠷〶攷搲愰㌷っ㠴戶昳㔰捡搱挶愵戸摡捤㐱摢昹㜴㕢㐰户ㅡㄸ㌸㘸扢㄰㍡㑤摢㐲㙣㤳戶㍥㌰㈹㑤摢㐵戶搵㉥戰㙡㌷㙤扢挲搸愲敤㘲戸㝢㉥㠱㤰扤㉤㡥搶扤挶㈲㍢㘴㕦㔸戵㠷戶摤㘱㔷㠶戶㍤㔰㉤戴㕤㡡戸慡ㅦ㑡㜹戴㕤捥挶㝦㤳戶扤攰㠶晦〵戴㜱㑤昰㕡㘸ぢ㘸晢ㄳ㐲ㅡ㔷戲㌵慥ㄷ㜶㌱戸㡡〶㔷搳㘰㈰っ㠴戶㙢㔰捡搱挶㐵挲摡捤㐱摢戵㜴扢㡥㙥晢挲挰㐱摢つ搰㘹摡㙥挴㌶㘹攳㜲摦搲戴摤㘴㕢敤て慢㜶搳挶㜵挳ㄶ㙤㡢攱敥戹ㄹ㐲㙥㤲慤㜳摢㉤㜶挸〳㘱搵ㅥ摡〶挳㑥㘸昳摣ち捦昲户て㘱㜴慦昸昴㌷〴㍡㘱㜶〹〲愸愱㈸攵㌱㝢ㅢ昱晤㈶戳戵㜰挳㝦㍣㝦㘵㄰收㤱㥦ㄱ㤰㙢戱㔱挰散㔲搸ㄸ㜷搰㜰愴扢挱㌲ㅡ摣㐹㠳㔱㌰㄰㘶㤷愳㤴㘳㤶㉢㥣搷摡㜱㜷挴㙦晢昴㜷ㄷ摤敥愶摢㘴ㄸ㌸㤸扤〷㍡捤散扤搸㈶戳㕣慢㕣㥡搹ㄵ戶搵愱戰㙡㌷戳㕣昴㙣㌱㝢ㅦ摣㍤昷㐳挸づㄹ㈲㐴㘳愵ㅤ㤲慢愲摢挳散㤱戰㉢戳㐳㜲攱戴搰昶〰攲慡㘹㈸攵搱昶㈰ㅢ晦㑤摡㡥㠶ㅢ晥ㄷ散㤰挷㐰戵ㄶ摡〲摡ㅥ㐲㐸攳㘱戶㤶㜴㌷㔸㐵㠳㐷㘸㤰㠲㠱搰戶ㅡ愵ㅣ㙤㕣㝢扤搶㡥敢搸㈱ㅦ愵摢ㅡ扡㌵挲挰㐱摢㍡攸㌴㙤㡦㘱㥢戴㜱ㄵ㜵㘹摡ㅥ户慤㘶挱慡摤戴㜱㌹戶㐵摢㝡戸㝢㥥㠰攰づㄹ戲㑥㝦㑦摡㈱戹㕥扢㍤戴昱〶摢摡㈱㥦㠲攷捥㘵敦攷〳慥㌷昴㡡换扥㠵摡扦㈳㠲㥡㠳㔲ㅥ戵㑦ㄳ攰㙦㔲换㜵攲昸㡦㔷㡡ㄸ㠴㠹攴攷㐴挸戵搸㈸愰昶㔹搸ㄸ捦搱㤰㡢挸㕤っ㥥愷挱ぢ㌴㤸て〳愱昶㐵㤴㜲搴㜲攵戸㜶㜳散㤱㉦搱敤㘵扡㥤ぢ〳〷戵慦㐲愷愹㝤つ摢愴㤶㙢挰㑢㔳晢扡㙤㜵㍥慣摡㑤㉤ㄷ㤳㕢搴㙥㠴扢攷つ〸㔲ㅢ㡥愲㜵扣昸㘵㠷攴㙡昳昶㔰扢㄰㜶ㄶ戵㙦挱戳㍣戵㐱昷㠳㉤ㄷ慤ぢ戵㥢㄰㐱㕤㡣㔲ㅥ戵敦㄰攰㙦㔲换㔵敥昸㡦㤵〸っ挲㐴昲㜳ㄹ攴㕡㙣ㄴ㔰扢ㄹ㌶挶扢㌴攴ㄲ㜸ㄷ㠳昷㘸昰㑦ㅡ㕣〱〳愱昶㝤㤴㜲搴㜲摤扢㜶㜳散戵ㅦ搰敤㐳扡㉤㠶㠱㠳摡㡦愰搳搴㝥㡣㙤㔲换ㄵ散愵愹晤挴戶扡〵㔶敤愶㤶㑢攱㉤㙡㍦㠵扢攷㌳〸ㅥ㙣㐳㌱戴敥㌵㍥户㐳㉥㠱㔵㝢愸扤つ㜶㘵づ戶㕣㑥㉦戴㝤㠱戸㙡㈹㑡㜹戴㝤挹挶㝦㤳㌶慥扦挷晦㠲㠳敤㜲愸搶ㄶ搳昶㌵㐲ㅡ摦戰㌵㉥捥㜷㌱昸㤶〶摦搱攰㙥ㄸ〸㙤摦愳㤴愳㡤㉢昲戵㥢㠳戶ㅦ攸昶㈳摤ㅥ㠲㠱㠳戶㥦愰搳戴晤㡣㙤搲挶戵昵愵㘹晢挵戶㕡〵慢㜶搳挶㐵晡ㄶ㙤扦挲摤挳㘷戰㜲㡥挴㤱㄰戴㜱㙡㡡つ慦㠶㔵㝢㘸㕢〳扢㌲戴㜱愱扦搰㔶㠹戸㙡ㅤ㑡㜹戴攱て㠷戵㠳戶挷攱㠶晦〵戴㍤〱搵摡㘲摡㍣〸㘹㜴㘱㙢㝣㙤挰挵愰㉢つ昸攷昰搴㔳㌰㄰摡扣㈸攵㘸攳扢〲摡捤㐱㕢㌷扡㜵愷摢㉢㌰㜰搰搶ㄳ㍡㑤㕢㌵戶㤹㍤慥晡㉦㑤㥢捦戶攲㙢〱敤愶㡤慦て㔸戴㙤〱㜷㑦㉦〸愱捤㉦戴㙤㘹㠷摣〸慢昶搰昶㈶散捡搰挶㔷㄰㠴戶摥㠸慢㌶愱㤴㐷摢搶㙣晣㌷昷戶㜷攰㠶晦〵戴㙤㠶㑡愷㤷㈱散〹戹㙤ㄱ搲昸〳㕢攳ぢつ㉥〶摢搱㘰㝢ㅡ扣〷〳愱㙤〷㤴㜲戴㝤攰㜰㜳搰戶㈳摤㜶愲摢ㄷ㌰㜰搰㔶〳㥤愶慤て戶㐹ㅢ摦㐷㈸㑤摢㉥戶ㄵ㕦㔸㘸㌷㙤㝣戱挱愲㙤㔷戸㝢晡㐲㤰戶愸㐵摢㙥㜶挸慦㘱搵ㅥ摡扥㠵㕤ㄹ摡昸㜲㠴搰戶㍢攲㉡扥㈵㤱㐷㕢㍦㌶晥㥢戴晤〸㌷晣㉦愰敤㈷愸㕣㔸搹ぢ㈱㡤晥㙣㡤慦㕡戸ㄸっ愰挱摥㌴昸〵〶㐲摢㐰㤴㜲戴昱晤ち敤收愰㙤ㅦ扡昹改收㠵㠱㠳戶㈰㜴㥡戶㄰戶㐹ㅢ摦㤴㈸㑤㕢搸戶敡づ慢㜶搳搶〳挶ㄶ㙤ㄱ戸㝢愲㄰㜲㡢ㄸ攷㠸㌵㘲㜶挸㥥戰㙡て㙤㝣㌹㐳㘸昳挴攱㔹晥戲㈵㠰扢㔰㘴慡㜰㡡㤴慦㜶〸戵〹㐴㔰扤㔰捡愳㜶㍦〲㠴㔲㔲㠳㕦㜹敢㉥㄰捥㥡捤敦つぢㄴ昰晡㉣㠳㘰㐳㍥㝣ㄹ㐴㔳挰㄰昶ㅥ㜹〰㙣㡣〳㘹挸ㄷ㐵㕣っ〶搱㘰㌰つ戶㠵㠱㔰㍢〴愵ㅣ戵㝣㍢㐴扢敤㈸㜱㘵㘶㝢㈸摤㠶搱慤㉦っㅣ搴づ㠷㑥㔳㍢〲摢愴㜶㌷㤸㤴愶㜶愴㙤戵㍢慣摡㑤㉤㕦ㄸ戱愸ㅤ〵㜷捦㐱㄰㜲搹㘲摤㙣ㅣ㙣㠷散〷慢昶㔰扢ㄷ散捡散㤱㝣改㐴㘸ㅢ㡤戸㙡〰㑡㜹戴㡤㘵攳㔰㤶愷㙤㈰㉣㠴戶㘳㍡挱搴晥㔱㝣㑤㐵愷㤷㈱昴㤳つ㠴㌴㈶戰㌵扥挲攲㘲㜰〸つ㈶搲㈰〸〳愱㙤ㄲ㑡㌹摡昸摥㡡㜶㜳散㤱㤳改㌶㠵㙥〷挲挰㐱摢㘱搰㘹摡づ挷㌶㘹攳愳㤶搲戴ㅤ㘱㕢つ㠶㔵扢㘹攳慢㉣ㄶ㙤㐷挲摤㌳ㄵ㐲捥㝦搶㡤挴㌴㍢㈴摦㜵㘹て㙤戵戰㉢㐳摢㜰㔴ぢ㙤㐷㈱慥ㅡ㠱㔲ㅥ㙤搳搹㌸㤴攵㘹ㅢ〵㡢㘲摡づ㠶㔶愷㤷㈱㙣摡㤲〸㘹愴搸ㅡ㕦慥㜱㌱㐸搳㈰㐳㠳㌱㌰㄰摡㑣㤴㜲戴㡤㜷戸㌹㘸换搲㙤〶摤づ㠷㠱㠳戶㍡攸㌴㙤挷㘲㥢戴昱摤㤸搲戴ㅤ㘷㕢ㅤ〹慢㜶搳挶㤷㙣㉣摡敡攱敥㘹㠰㤰㕢㝢㙢㐶愶搱づ挹户㜰摡㐳摢搱戰戳づ愴㑤昰晣㡤〳㈹㐶〶搲㕦㜸㈰攵换㍣㐲敤㉣㐴㔰挷愰㤴㐷㙤㌳〱㐲㔹㥥㕡扥晤㈳搴戶㌰〸慤昹挹㐰敢挲㕣㉢㙣㡣搹㌴㌴摤つ收搰攰〴ㅡ㘴㘱㈰搴捥㐵㈹㐷㉤摦〷搲㜱ㅤ〷搲㜹㜴㍢㤱㙥捤㌰㜰㔰㍢ㅦ㍡㑤敤挹搸㈶戵㝣戳愷㌴戵愷搸㔶慤戰㙡㌷戵㝣㐵挸愲昶㔴戸㝢㑥㠳㤰㍤ㄲ昷摤㌸㐷㥥㙥㠷攴㍢㐴敤愱㜶㉥散捡散㤱㝣捤㐸㘸㍢〳㜱搵㠹㈸攵搱㜶ㄶㅢ㠷戲㍣㙤㝣㉦㐹㘸换㍢㤰㥥〲慤㑥㉦㐳搸㝢攴搹〸㘹㥣挳搶昸搲㤲㡢挱戹㌴㌸㡦〶愷挱㐰㘸㍢ㅦ愵ㅣ㙤㝣㔳㐹扢㌹昶挸〵㜴扢㠰㙥ㄷ挰挰㐱摢㐲攸㌴㙤ㄷ㘱㥢戴昱㥤愳搲戴㕤㙣㕢㉤㠴㔵扢㘹扢〸挶ㄶ㙤㤷挰摤戳〸㠲戴〵ㄲ㐲摢愵㜶㐸扥摤搴ㅥ摡ㄶ挱慥っ㙤㝣〱㑡㘸扢っ㜱搵㘵㈸攵搱㜶〵ㅢ㠷戲㍣㙤㝣㘳慡㤸戶㉢愱搵改㘵〸㥢戶㉢ㄱ搲戸㡡慤昱㜵㉡ㄷ㠳慢㘹㜰つつ慥㠶㠱搰㜶㉤㑡㌹摡昸づ㤵㜶㜳搰㜶ㅤ摤慥愷摢ㄲㄸ㌸㘸扢ㄱ㍡㑤摢㑤搸㈶㙤㝣ㅢ慡㌴㙤㡢㙤慢摢㘰搵㙥摡昸㕡㤵㐵摢捤㜰昷摣〲㐱摡挲搶㙤晢慤㜶挸愵戰㙡て㙤换㘰㔷㠶㌶扥㥡㈵戴㉤㐱㕣戵ㅣ愵㍣摡㙥㘳攳㔰㤶愷㡤敦㜲ㄵ搳㜶て戴㍡扤っ㘱搳戶ㄴ㈱㡤㍢搸ㅡ㕦昴㜲㌱㔸㐶㠳㍢㘹戰〲〶㐲摢㜲㤴㜲戴昱敤㉥敤收愰敤㉥扡摤㑤户搵㌰㜰搰㜶て㜴㥡戶㝢戱㑤摡昸㥥㔶㘹摡㔶搸㔶㝣㤱慢摤戴昱㠵㉦㡢戶晢攰敥戹ㅦ㠲戴㐵㉣摡㔶摡㈱搷挱慡㍤戴㍤づ扢㌲戴昱愵㌱愱敤〱挴㔵㑦愰㤴㐷摢㠳㙣ㅣ捡昲戴㍤〵㡢㘲摡㌶㐰慢搳换㄰㌶㙤て㈱愴昱㌰㕢攳㉢㘸㉥〶慢㘸昰〸つ㥥㠱㠱搰戶ㅡ愵ㅣ㙤㝣敦㑣扢㌹㘸㝢㤴㙥㙢攸戶ㄱ〶づ摡搶㐱愷㘹㝢っ摢愴㡤㙦㤰㤵愶敤㜱摢㡡慦㤸戵㥢㌶扥㡡㘶搱戶ㅥ敥㥥㈷㈰㠴㌶晢㠹㠴ㅤ㜲ㄳ慣摡㐳摢㍢戰㉢㐳ㅢ㕦㘷ㄳ摡㥥㐲㕣挵昷摡昲㘸摢挰挶愱㉣㑦摢㝢戰㈸愶敤㝤㘸㜵㝡ㄹ挲愶敤ㄹ㠴㌴㥥㘵㙢㝣㌹捥挵攰㌹ㅡ㍣㑦㠳て㘱㈰戴扤㠰㔲㡥㌶扥ㄱ愷摤ㅣ戴扤㐸户㤷攸昶㌵っㅣ戴扤〲㥤愶敤㔵㙣㤳㌶扥摢㔶㥡戶搷㙣㉢扥晣搶㙥摡昸㤲㥣㐵摢敢㜰昷㙣㠴㤰㠳愴㌵摢昲㠶ㅤ昲㝢㔸戵㠷戶ㅦ㘱㔷㠶㌶扥㘸㈷戴扤㠹戸㡡㙦摣攵搱戶㠹㡤㐳㔹㥥戶㕦㘰㔱㑣㕢㐵愷戶昴㌲㠴㑤摢㍢〸㘹晣㠳慤㈹㜷㠳捤㌴㜸㤷〶㤵㌰㄰摡摥㐳㈹㐷㕢㤵挳捤㐱摢㍦改昶㍥摤㝡挲挰㐱摢㠷搰㘹摡晥㠵㙤搲㔶つ㤳搲戴㝤㘴㕢昹㘰搵㙥摡戶㠰戱㐵摢挷㜰昷㝣〲㐱摡㐲搶㤵攴愷㜶挸㕥戰㙡て㙤扤㘱㔷㠶戶慤㔰㉤戴㝤㠶戸㙡㙢㤴昲㘸晢㠲㡤晦㈶㙤摢挲慤㤸戶敤愰㕤㡢㡣ㄵ㍣〰晡ㄲ㈱㡤慦搸摡昶敥〶㕦搳攰ㅢㅡ散〰〳愱敤㕢㤴㜲戴敤散㜰㜳搰昶ㅤ摤扥愷㕢㍦ㄸ㌸㘸晢ㄱ㍡㑤摢㝦戰㑤摡昶㠴㐹㘹摡㝥戲慤昶㠲㔵扢㘹敢て㘳㡢戶㥦攱敥昹〵㐲㘸戳敥敤㝥戵㐳昲捤挳昶搰㌶㄰㜶㘵㘸摢〷搵㐲㕢㐵ㄵ晡收㐷㈹㡦戶㑡㘸㝦㥢戶㈰摣㡡㘹ぢ㐳扢戶㤸戶捥〸㘹㔴戱戵㠸扢㠱㠷〶㕤㘸㄰㠵㠱搰搶ㄵ愵ㅣ㙤〹㠷㥢㠳㌶㝥ぢ㡦攱㠵愸ㅡ〶㠳昶扤昵挶㤹㌳㥦攳㔵㐴㉥扦㙥搹㈲㝢挸散㘴㍤扥㤶㘵㍣摥㠷㘹愵敡㝦㘱㝤㜳㘷敢慤愴挲㍦㤶㥥晦㙤㉤㜸愱㑦扡㌰昵愸㥤搰戳挲ㅣ攴摢摡㝤㙢愱攵敦㝢㙢挹㕢昵捤㡦扦晥摡扥㔶㌸㍣扡捣攱摦攱㥤㍥扤愲㉢摢〴㐹戸㥦敤づ挲戸ㅦ搵愲㈸㐳愸〷ㄴ晡㐷つ㜷搳㔶㡤㠰戶捣㝢〱〵㉦晣㌰敡㤶㙤慢㤸戹㕥扤㝦㍤扦昴挹㙤昹㜳晥敢〱㍤㠱㐵㡤㜲挳愰づ搶㕡ㅦ㙤搰〴㍦㔵㘳愱晤捤〵攷搸㠱昱㡥㈳㤷㥥㑦㙡㥤㔷㡦攵晥摣攴摦慥戵戶戸扥搹慡〶攸愶收捥㜸㥤戳昰慦㔵攷㝣敦㐷愸㙥扤ぢ晥㍡戸戸戱㘶㌴搰㔴㝤づ㡡㑡晡ㄳ㜴ㅢ㉢昴攱㡦愷ㄷ晡搴㝢㙣㕤扡戹愹愵㈹摢㕡㌳〹㙦戵搴昰敦挵㘷昱㝥搳㤰慡㑦ㄱ搱戵㑤㜶慣㜳㈳扦挱㐸㠸昶ㅥ搷搸㜴㐲愳愰愹㙡攱㥦捤㘷㙢㐶㤷㉥㙣㠶㙦㍤挹捦慥㐸㥣㙦ㅣ㠰搲搹攸㡤㠶㝢㜴昲㡤㐷㤹攷ち捦㔶㈸敦㌶㙣攸戰㠹搳㔳㠱㐸挰㑣㘷攲愹㔸搶ㅦ㑥㘱㈳㤶㡤㈶捣㘸㍣㙥挶愳㠱㐰㉣敤搹㍡㘷ㅡ㐹挴㘰㄰〸㈷戳愹㔰㌸ㄴて挴㈳㤹㡣㍦㄰捥㥡戱㘰㍡ㄲ㡤㈶㝣ㄳ散昰挶㌶昰㌱戶㠵昰ㅤ愲㔵㝦愰㙡㍢慡㈶㙡㔵捥慡㝡ㄲ㔴㐴敥ㄱ攸晦㐵攱㥢㡣挸昸㕦攱搹ㄱ㑤㜷ㅦ㌶㜴扡㉣搵㥦㠸㍦㘷敦搹〹㥡㉤愰挹晦捡㈸捦捥㔰昷㠴摡昱ㄶ㡣㙦㡡ㅤ挵攸㠳㔰㐶ㅦ㔸ㄸ㌵搸㔲㠷㐱捦㠳愲㔷扤〵敥戸搳戲㉤慦搱ㄷㄶ摣昹づ㐷㔱挸挹㥢挰㌹挲㔵㝢㈴戴摣〱㡤摤攱慣愶戹摡ㅣ愵戵晤㘸㐳〴晣㑣㠷㤶㍢㠸㝡ㄵ〰㌸㉣愱慣昰散〵㤳㤲㘳㑤扤っ㌳㡥户晣昱愲㘱晡㤲〸㈷〳㘵〰愲㔸〳㈵㤳㑥㠴愲愹㔴㌰ㅡ㑦〴挲㤹㔸㌸ㄵ㑡㈷㌲攱㔴㌶㥥捥㠶攲㤹㜰搶戳㜷捥㌴攰㌷搳攱㘸㉡㡡㘱㠲搱ㄲ昳愷㘰㙢㘲㘰〵ㄳ改㉣㥣㐲扥㤴ㅤ摥ㄸ〸ㅦ㘳ㅦ〸㕦㕡慢晣㔴〵愸捡㘸㔵捥慡摡㠴慡㘳〶㑡ㄶ㤱昱ㅦ摦つ㠵愶昳〷㑡〴ㅡ㤷㠱ㄲ㠵扡㜰愰㜰㈹㍤愳挸ㄷ㘰ㄹ㜱㔸ㄸ扢愳愸敡愰戴〶捡攳㐸㝡摢㐰搹てㄶㅣ㈸挷愲扥㜸愰ㅣ攷慡攵㑡㜹ㄹ㈸〷挰㔹㌵扡摡㌴㘹敤㈰摡㄰〱㍦挷㐳㉢〳㘵㌵㐰攸㠱㘲㜰愰昰昸愳㔶戹㡥㠹ㄶ㌸挹㔰ㄸ〶㍢㙢㈸挴㐲㠹㘸ㄶ〷㡢戸㤹挹㠶㤳ㄹ晣㡥㘷㈳㠹㘴㍡㘴㈶㘳搹㙣㌲攲愹捤㤹愶〳㝥㝣昹㕤㈶ㄶ㠸挵ㄲ攱㠰㍦ㅤて㐵㈳愱㡣㍦ㄴ㡥㐶㔳戱㜸㈲攴㙢戵挳ㅢ挳攱㘳㡣㠰昰捤搶慡戶愱㌰㐷慢㜲㔶搵㈷㐰搵㌱㐳㘱㉥㈲攳㝦㠵挱愱㘰㤰㝤㠳㕣晢收㘹晤摥慣ㅣ㑦晤〰㙣㈹㉥扡户挸扤㉢㡦摣㠹戰㈰戹昳㔱㕦㑣敥挹慥㕡慥愷ㄷ㜲㈷挳㔹㥤收㙡㜳扡搶ㅥ㑡ㅢ㈲攰攷㑣㘸㠵摣摢㕤挹晤戳㉢戹㝦㠴㤳㤰㝢㈴㐲㔹攴㐶㌳昱㘴㈸㤶挰昹㈰㘱㠶攳愱㔴㉡㥡㌱㘳㤱㜸㌶ㄵ捣挶愳搱㔰摣㌳㌵㘷ㅡ㡦愶㐳㠱㙣㈰㤴づ㈶㘲攱㑣㈶㥤捣㘶搳愱㐸㍡㤹㐸〷戰㘵㐶㝣㘷摢攱㡤㘹昰㌱㡥㠲昰㜱改㍣㕢㌴摡挸㍤㔷慢㘸㈰愶搵攷㐱搵㌱攴㥥㡦挸昸㕦㐴敥〲慤攷摤㠰㤱㈵ㄲ㑥㥥愸ぢ愱户挸扤㌲㡦摣㍡㔸㤰摣㠵愸㉦㈶昷㈲㔷敤挵搰ち戹挷挱㔹㉤㜲戵戹㔴㙢ㅢ㘸㐳〴晣㕣づ慤㤰扢挸㤵摣㡢㕤挹晤ㄳ㥣㠴摣攳ㄱ捡㈲㌷ㄹ㐸㐶㤳昱㔴㈰㤸㡣晢挳戱㐴㌴㤱㡤㘶㔳㤹㐸㈶㤹㐸〴㔳㠹㔰搸搳㥣㌳昵〷㑣㝦っ搶㘱搳っ㠷ㄳ昱㔸㉡ㅡ捡〶㠳愱㐰挴㡣㠰摢㐴挶㜷愵ㅤ摥㘸㠱㡦搱ち攱扢㑡慢摡挸扤㕡慢㜲㔶搵㕣㜳摦㌱攴㕥㡢挸昸㕦㐴敥㜵㕡㥦㘰攵挹挴ㅢ㘷㕡㙦㠰摥㈲昷昴㍣㜲㑦㠳〵挹扤ㄱ昵㐲㙥摥挵昳㑤慥摡挵搰ち戹㘷挰㔹摤攲㙡戳㐴㙢捦愲つㄱ昰㜳ㅢ戴㐲敥㐹㑥㜲㜹慤㈸㠷攵㜹慥攴摥づ㈷戹戴㍢ㄷ㜶戸戴㕢㡡戲㤰㝤ㅥ捡ㄶ搹愹㜸㈴攱昷挷戲昱㌸㑥搴ㄹㄳ㘷㕦㘸捣㜰㄰〴㥡挹㘸㌴散㌹㍦㘷ㅡ㡣㐷晣㘱ㅣ扤攳晥㠰㍦ㅣて㘶㤳改㘰挸ㅦ昷㠳昹㘰㌰㥣㡣昸㝤㜷搸攱㡤〵昰㌱㉥㠰昰㜱捤扤散挹㙤㤷㜶㜷㙡㔵捥慡㝡㌹㔴ㅤ㐳昶㕤㠸㡣晦ㄵ挶㡥㠴挴慢㌹㠳搷㙥扥扢戵㝥㄰㉢㉦愷晥㐰㙣愹㝢愰户挸慥换㈳晢㑡㔸㤰散㝢㔱㉦㘴ㅦ挳愸昶㡦㕡攱慡扤て㕡㈱晢㙡㌸慢㤵慥㌶て㘸敤戵戴㐱㍣昹㍣〸慤㤰㥤㜶㤲㥤㍢〷㈷㕤挹㝥〸㑥㐲敥㡤〸㘵ㅦ愶愳改㙣㈴ㄴ㑤㐷㤲昱㘸㌸㘹㘶昱㤶㜲㈲ㅣち㠷晤㔹ㅥ戴愳㜱捦㑤㌹㔳搳㥦㑥㠶搳昱㈴扥㔷㌵ㅢ㡥㘵㔲㠹㜴搸㥦㌲㈳㤱㡣ㄹ挹愴捣㜴捡昷戰ㅤ摥㔸っㅦ攳㘶〸ㅦ㔷收ぢ戹㙤㝢昲㈳㕡㤵戳慡㕥つ㔵挷㤰晢㈸㈲攳㝦搱㥥扣㐶敢㠷戳㜲ㄹ昱搶㌲戵敢愰户挸㥤㤸㐷敥㕤戰㈰戹㡦愱㕥挸捤摢㤳ㅦ㜷搵㜲㔱扦㤰晢ㄷ㌸慢㈷㕤㙤晥慥戵昷搲㐶㤳晢㌴戴㐲敥ㄸ㈷戹戹㍤昹㘰㔷㜲㥦㠱㤳散挹㉢ㄱち㝢昲戳㈸ぢ搹て愰㙣㤱㥤づ愶挲㔱㥥㔸㠳搹㔴㌸㤹挸㈶㜱㝥㡤攰㍡ㅣ愷㕤㌳㠲昳戳攷慦㌹搳㜸㉣㥡㑤㈴攳戸攰㡡愴挳㤹㠴㠹㙢㌳㕣㠲愷㐲ㄹ㕣㠶〵㠳㠹愴敦㌹㍢扣昱㈰㝣㡣扦㐱昸戸㔶扦㘰㑦㝥㐱慢㘸㈰愶搵㉦㐲搵㌱㘴扦㠴挸昸㕦戴㈷扦慣昵愳㔹戹㡥㐸づ㘶慡㕦㠵摥㈲㝢摦㍣戲搷挳㠲㘴扦㠶㝡㈱㍢㙦㑦㝥摤㔵扢ㄱ㕡㈱晢㐹㌸慢㌷㕤㙤㘴改㍤㈱晣㥤㌶㐴挰捦㍢戰ㄵ戲挳づ戲㍤㑦挳愴昴㙤㔷搰㜵〴晣〳㤱㘴〴㍣ぢ㘷㡣㠰捤㈸换〸㜸づ㘵㙢〴挴〳㤹戸㍦ㅡぢ〶晤晥㔴ㄸ㔴昲晣ㅤ㑤㠵ㄳ㤹㌴㡥搷ㄹㅣ换㥦捦㤹㠶㌱㌲㤲戱㠸ㄹ㑤㈷攳㘱散敦㠹㈰㙥敤㘳㌸㜹㐷攳㠱㉣㐶㡣敦㕤㍢扣昱〲㝣㡣ㄷ㈱㝣敦㘹搵㑢㔴扤㑣搵㍦戵㡡〶㘲㕡晤㍥㔴ㅤ㌳〲昸㙥〰晥ㄷ敤敥ㅦ㙡晤㈱慣㝣㤳㐸㈶㌰昷ㅦ㐱㙦㡤㠰㕤昲㐶挰摢戰攰〸昸ㄸ昵挵㈳㠰慦つㄴ㙢㍦㠵㔶㐶挰㍦攰慣㍥㜷戵昹㐲㙢摦愵つㄱ昰昳㈵戴㌲〲㜶㜰㡣㠰戶晢愹敤㕣挹晥ㅡ㑥㐲敥〷〸㘵ㅦ换〳昱㔸㌰ㄹ换㘰ㅡ㈵㄰㡥挶㤳昱㐸㌴ㅢ㐸昸㐳戱㘸㌰ㄳ昶㐷戲㥥て摢㑣㈳㔱摣㠲愷ㄳ㔱㝦㌲ㄶ㡥㤸晥㐴㉣ㅥ㡦㠴晣改㙣㈲㄰㑤攳攸敦晢挶づ㙦晣ぢ㍥挶㐷㄰㍥㉥晣㤷摤扢敤㔸晥㥤㔶攵慣慡扦㠷慡㘳挸晤〱㤱昱扦㠸摣ㅦ戵晥㌰㔶㝥㐵扣㠷㌲慤㍦㐱㙦㤱摢㉤㡦摣㙦㘱㐱㜲㝦㐶㝤㌱㡤㝣戹愰㔸换〹ㄹ㈱昷㝢㌸㉢㠵扤慣搸愶㔲㙢㝦愴つㄱ昰搳ㄹ㕡㈱户捡㤵摣㑥慥攴㝡攰㈴攴晥㠲㔰ㄶ戹㠱㘸㈸ㄶ〲㤵昸㙡捥㔸ㄸ昳㈵愹㔴㈴挸㥢㕦㥣扥㌳ㄱ搳っ㝡㝥捤㤹挶晣昱㐴㍡㤸昱㐷㜰愸づ㈷搲改㘴㉣ㄸ捤愴晣ㄹ㝦㌲㠰㥤㌸㥥昶㜵戱挳ㅢ㥣㈹㌳昸捤搶扥慥㕡搵㐶慥愱㔵㌴㄰搳㙡㉦㔴ㅤ㐳㙥㌷㐴㐶㡥㡢挸敤慥昵㐷戱搲㑢㈴搳㤸搶㥥搰㕢攴㝥晤㠳㜳㈶愴〷㉣㐸㙥㌵敡㡢㈹昲戹㙡昹㘶㠱㤰㕢つ㘷戵愵慢㑤㙦慤摤㠲㌶㐴挰捦搶搰ち戹㥦〱㐴昱㑣挸㈷搰ㄶ捦㡥㙤ぢ㈷㈱㜷㉢㠴戲挸昵愷晣搹㈰愶㐹晤昱愴㍦㥣㠸挴㌱㙤㡡㜳戵ㄹ捥挶ㄳ昱㜴㍡㙡㝡戶捥㤹㐶晣㤹〰㍥㘹㌳ㄸつ㠶搳戸散挲㔵㥢ㄹ㑥愵㌰㥢ㅡ挰づㅣ昰晤挱づ㙦㙣〳ㅦ㘳㕢〸摦㜶㕡搵㐶敥昶㕡㐵〳㌱慤摥〱慡㡥㈱㜷㐷㐴㜶㈳㜷㈷慤㑦㤳摣㍥㐴㤲㘲㕡㙢愰户挸㝤㉢㡦摣扥戰㈰戹㝤㔰㕦㑣敥㉥慥摡㕤愱ㄵ㜲㜷㠷戳摡捤搵㘶㜷慤敤㐷ㅢ㈲攰愷ㅦ戴㐲敥慢慥攴扥散㑡敥㕥㜰ㄲ㜲〷㈰㤴㐵㙥ㄲ挴㠴晣晥㐰㌰ㄸ㑦㠷㔳搱㐴㍣ㄸ〹㈶㌱ㅦ㘲〶㤳㐱摣㐳㈷㍣㝢攷㑣ㄳ挹㠰ㄹ㐹〵愲㠹㔰㈸ㅢづ㘵㘳昱㐸㌸ㄵ㠸㠵㌱户㥥挵㈱㍣㤹昴昵户挳ㅢ〳攱㘳散〳攱ㅢ愰㔵㙤攴敥慤㔵㌴㄰搳敡㠱㔰㜵っ戹晢㈰戲ㅢ戹㝥慤慦㐳㌲㡤㌸㤱捣㘴㕡㠳搰㕢攴㍥㥥㐷敥㝥戰㈰戹㈱搴ぢ戹㜹㤷搸㘱㔷㙤〴㕡㈱昷〰㌸慢㤸慢㑤㐲㙢〷搱㐶㤳扢ㅦ戴㐲敥㙡㈷戹戹㑢散㔵慥攴敥て㈷晣挷㍡㝥㠴挲〵搶〱㈸〸搹戵㈸㕢㘴㘷戲昱㙣㈸㠶昹㐹㝦㈴ㄴ挶戹㌷㠹改㤰㙣㌶ㄶ㑢晢㜱搵ㄴ㑥㠴㍤挳㜳愶愹戸㍦ㄲ㠸攰扥搸捦ㄹ㌲㍦愶挵捣㑣㍣㥡㐸晡〳昱㑣㉡敢㡦晡づ戴挳ㅢ㈳攰㘳㡣㠴昰つ搲慡戶㥢攵挱㕡㐵〳㌱慤ㅥ〲㔵挷㤰㍤ㄴ㤱㠵散㠲㥢攵㘱㕡摦挴昴㑣㈰㤲㐶愶㝡㌸昴ㄶ搹换昳挸㥥〴ぢ㤲㍤〲昵㐲昶㌱㡣㙡晦愸㤱慥摡㔱搰ち搹㔳攰慣づ㜶戵ㄹ慤戵㠷搱〶昱攴㌳ㄶ㕡㈱晢㌶㈷搹戹㥢攵㈵慥㘴㡦㠷㤳㤰㍢ㄵ愱㉣㜲ㄳ愹㜰㈸㡡㕢㈵㍣敡㡡㠱戶㐰ㄲ㔷挶挱っ戸捤㈶㠳戸㜴捡㜸愶攵㑣戳愱㐸㉡㘹〶㐳搹㘸㌴㄰㑥㐷㔲愹㜸㤶㐷㘹㍣散㡡㈷㈳戸㌰昳㑤戰挳ㅢ㐷挱挷㌸ㅡ挲挷㔷ㄴ搸愲㘳㑥㜳愲㔶搱㐰㑣慢㈷㐱搵㌱攴㑥㐶㘴户㍤㜹㡡搶捦㈶戸ㄹ㐴搲捡搴ㅥ〶扤㐵敥㥦昲挸㍤ㄶㄶ㈴昷㜰搴ㄷ㤳㝢㠴慢昶㐸㘸㠵摣㝡㌸慢㘹慥㌶㐷㘹㙤㈳㙤㌴戹搳愱ㄵ㜲㉦㜱㈵昷㈲㔷㜲㤳㜰ㄲ㜲㥢ㄱ捡摥㜳㜱捤ㅣ㠸挶挲㐱㝦㉣㡥戹慢㈸收慥ㄲ搱㔰ㅡ戳㔶㠹慣ㄹて㠶㍣㉤㌹搳㘸摡っ㘳搲ㄳ愷摢㐸㍣㥣㑥㘵㤲㜸㜸ㄹ㡡㠷㤲搱㤰㠹㥢攴㜰捡㤷戲挳ㅢ慤昰㌱㘶㐳昸搲㕡搵㜶㤸捥㘸ㄵつ挴戴摡㠴慡㘳挸捤㈲戲ㅢ戹㌳戴晥㈴㤲㝢ち㤱㥣挸搴昲㐵〹㡢摣搳昲挸㍤ㅤㄶ㈴昷㔸搴ぢ戹㘷㐰愱㝦搴㜱慥摡㝡㘸㠵摣㌳㘱慢ㅡ㕤㙤㘶㘹敤ㅦ㘹㐳〴晣㌴㐳㉢攴㥥攸㈰搷㜳づ㑣㑡摦ㅣ捦㜵㘵扣〵㤱昰ㅦ㑢搷攱㡣㘳㜷㉢ち㌲〲捥㐷搹摥扤晤㠹㜸㍣ㄹつ愷㈲㘶ㄶ晢㌵㈶慢㌱捦ㄵ挴㔹ㅡ挳㈲㤹昵愷㍤ぢ㜲愶㘶ㄲ愷昲㤸㤹挴つ㌱㑥捦㈹㍣挵捣㐴〲挹㙣摣捣㈶㜰㍢㥤㠹昸㘶摢攱㡤ぢ攰㘳㕣〸攱㥢愳㔵ぢ愹扡㠸慡ㄳ戴㡡〶㘲㕡㍤ㄷ慡㡥ㄹ〱昳㄰㤹㈳挰戳〸㡤攵㍦㥡扣ㄴㅡ㤷㐷㤳㤷㐱㕤昸㘸昲㐴㍢㡡㜱㍡㤳㜹〵㜱㥦㠶㉤㌵ㅦ㝡㙢扣捣捣ㅢ㉦㔷挱㠲攳攵㘴搴换㜸挹㍢搲㥦攲慡㍤ㄵ㕡ㄹ㉦搷挰㔹㥤敥㙡㜳㠶搶㕥㐷ㅢ㈲攰攷㉣㘸㘵扣愴ㅣ攳愵敤㔶晡ㄸ搷愱㜱㌶㥣㘴㈸摣㠴㔰搶㔰㌰ㄳ戸㈳㡥㠶㜹㠳㥣つ㘷戰㥢愷㌰〲搲攱戴㍦ㅡ挸㈴㐳昱慣㘷㜱捥搴㡦ㄹ㌵摣㘷挵㔲㈰㍦ㅣつ攱㘸㤱挲捣㕡㌲㡤愹戳っ慥攴㠲扥㜳散昰挶捤昰㌱㙥㠱昰㥤慢㔵㙤〷〳扥㔱㈱〷晦㥣㔵昵昹㔰㜵捣㔰㔸㠰挸㙥〷㠳ぢ戴晥ㅣ㈴搳戸㤳㜸捦㘶㕡ㄷ㐲㙦㤱㝢㐸ㅥ戹㜷挳㠲攴㕥㠴晡㘲㜲㉦㜶搵昲昵ぢ㈱昷ㅥ㌸慢㑢㕤㙤㉥搳摡ㄵ戴搱攴㕥〱慤㤰㍢摡㤵摣㠳㕣挹扤ㄲ㑥㐲敥〳〸㘵㤱㥢㡡㈴㜰〹㡥㍢愸㔴㌸㠸㠷挹㈱㑣㤹㠴戲挹㔸挰㡦㤵㈸㜸㔶㤱昱晣㌵㘷ㅡ㑤挷挰㘴ち搳㉡搹㔰㌸ㄶ挷㈵㕢㈰ㅢ㑦㘲〲㌴㤲〸愷挳㘶搰㜷㤵ㅤ摥㜸㄰㍥挶摦㈰㝣㔷㙢㔵ㅢ戹搷㘸ㄵつ挴戴晡㕡愸㍡㠶摣敢㄰搹㡤摣敢戵晥㐲㤲扢㡥㐸㉥㘰㙡㙦㠴摥㈲㜷摦㍣㜲搷挳㠲攴摥㠴晡㘲㜲ㄷ扢㙡㙦㠶㔶挸㝤ㄲ捥敡㔶㔷㥢㈵㕡晢㜷摡㘸㜲㙦㠳㔶挸つ扢㤲ㅢ㜴㈵㜷㈹㥣㠴摣㘷ㄱ捡㈲㌷㤰㡤攱愶㌸攵㑦攰扡㉢ㅣ挲㔵㜵挰㥦〹〷㈳昸㘰捥㌲㥢㡥㝢㥥换㤹㈶挳戸㡥挳㑦ㄴ㔳摢攱㘴〰㍢㝢搰昴攳㐴ㅥ㐸㥡ㄸ㈲搹㤴敦づ㍢扣昱㍣㝣㡣ㄷ㈰㝣换戴慡㡤㕣扥㥤㈱㝢㙥捥慡㝡㌹㔴ㅤ㐳敥㕤㠸散㐶敥摤㕡㝦㈹挹㝤㠳㜸ㄷ㌱戵昷㐰㙦㤱扢㙢ㅥ戹㥢㘰㐱㜲敦㐵㝤㌱戹㉢㕣戵昷㐱㉢攴扥〳㘷戵搲搵收〱慤摤㑣ㅢ㑤敥㠳搰ち戹㍢扡㤲扢扤㉢戹て挱㐹挸㝤ㅦ愱散㌳㜴㌶ㅥち㠴㘳戱㐸っㄷ攰㌱捣㘵㠷㘲㤸扡挴㜳㠹㔸㈴㤰挰㝥改昹㈰㘷ㅡ㡢〷ㄳㄸ〰改㑣ち户搲㘹ㄴ㜰㙦㡤㜵㐴㘹㌳㄰ぢ㐰ㅤ昴㍤㙣㠷㌷㍥㠴㡦昱㉦〸摦㉡慤㙡㈳昷ㄱ慤愲㠱㤸㔶慦㠶慡㘳挸㝤ㄴ㤱摤挸㕤愳昵㔷㤱摣㉦㠹攴㑡愶㜶ㅤ昴ㄶ戹摤昳挸晤〶ㄶ㈴昷㌱搴ㄷ㤳晢戸慢㜶㍤戴㐲敥㜷㜰㔶㑦扡摡㍣愵戵㍦搰㐶㤳扢〱㕡㈱搷攳㑡㙥㘷㔷㜲㥦㠱㤳㤰晢㌳㐲㔹攴〶㔳㤹㔸㠲㉢㠲㈲㜸攴㤴つ攰㐴㡡㌹敢㔴搸㙦挶搲㘶挸㑣㤸㥥㕦㜲愶㌱散愶㔸㔲ㄲ㑢昹㜱扣㡥〵戸换㈶〳㔸ㄸㄶ挴㔳慣㘸㈲㄰昷㍤㙢㠷㌷㝥㠵㡦㔱㠱㜵挴扥攷戴慡㡤㕣扥改㈱㝢㉥つ挴戴晡〵愸㍡㠶摣ㄷㄱ搹㡤摣㤷戴晥〶㤲㙢㄰挹昵㑣敤㉢搰㕢攴㝥昳扤㜳㠶戳㍢㉣㐸敥慢愸㉦㈶昷㌵㔷敤敢搰ち戹㍤攱慣摥㜰戵㜹㔳㙢㝤戴搱攴㙥㠲㔶挸晤ㅣ㈰㡡㘷㌸㍦㠵戶㜸㠶昳ㅤ㌸〹戹扤ㄱ捡㈲ㄷてㄶ捣㘰㉣㘱挶㐲㥣搶㌴捤愴㠹搹㡦㜸㌲ㄵて㠴㠲㤱㐰挸昴㙣㤵㌳つ〷ㄲ搹㄰搶晥㘵戲㔱㍦敥慥㠲㠹㈰㙥慤㌲昱㌴㈶㔴㔲㘶㌶ㄸ昲晤挳づ㙦㙣つㅦ㘳ㅢ〸摦㘶慤㙡㈳昷㕤慤愲㠱㤸㔶扦〷㔵挷㤰晢㑦㐴㜶㈳昷㝤慤扦㤵攴搶㄰挹㉤㑣敤㠷搰㕢攴㙥捡㈳㜷㔷㔸㤰摣㝦愱扥㤸摣㡦㕣戵ㅦ㐳㉢攴敥〶㘷挵搷㐶㡡㍤㍦搳摡㍤㘸愳挹晤〲㕡㈱昷㌵㔷㜲㕦㜱㈵昷㑢㌸〹戹晤ㄱ捡㍥攷㈶戲搹㘸㈶ㄸ㠸愴㘳戸㉤ち愶㤲挱㠸㤹挱㕤ㄴ搶㘸挶㜱晦ㄴ昶っ挸㤹㐶攳ㄹ㑣㡣㐴㑤㝦㈶ㄵぢ挷㔳戸㔰捥〶晤〹㍣慦㑡攰搲㉡㥡㡣昹扥戲挳ㅢ㝢挳挷ㄸ〸攱晢㕡慢摡挸晤㐶慢㜲㔶搵摦㐲搵㌱攴㝥㠷挸㙥攴㝥慦昵晣晡㉣㈳㐶扣㑢㤹摡ㅦ愱户挸㕤㥦㐷敥扥戰㈰戹晦㐱㝤㌱㐵㍦戹㙡㝦㠶㔶挸摤ㅦ捥敡㔷㔷ㅢ㜹㌵㠴㄰づ愴㡤㈶㤷慦㠶〸戹㡦扡㤲晢㠸㉢戹㥤攱㈴攴づ㐵㈸㡢㕣㑣㍢挷〳㈹捣㝢愵攲愱戰ㄹ㑤愶戲㐱㍣㕣ち㠲㙡攸昱攰搸㌳㉣㘷㙡晡㔳〹㌳ㄱ㡤㘰昲㌲ㅥ㌶戱愶㌷㤱㐸挵㌱戹㤹挰搲摤㈴㥥㘴昸昸㕡㠹ㅣ㜰㙢攱㘳っ㠷昰昱㙤ㄲ㔱戵㤱换㜷㑢㐴㐵〳㠳愶搵㝣挱愴㘳挸㌵㄰搹㡤㕣慦搶晦㠵㤹ㅤ㐷㈴㜷㌳戵㝣㈱㐲挸㥢〰ㄵㅤ昹昱改戹㙡㈵慦㈴搰攳㄰㔴搳㑥慡㝤㜰〲㜵昸〳㈴搰昶攸㔴搵ㅢ攵晤㑡㝦敦㤳㘳捤㜸㝦扣㉤㠱敦戰㌰㌳昸㤳昱戳昰捤㉦昳㠶㌷戶㌶昳慦〲㔴㜴挲㥦㡣慦㤲㘵攸㥤㉢昷晤㝤戱昸㉥捡㡥〸挵㑦搵㥤ㄸ㄰晦ㅦ㜱搸搷戶㔷ㄵㄸ㜱㘷㝣㡣挹攸㜰ㄵ㔷攸扢㝥昱㡡戵㘶㝥ㄲ晥㔶扥㌹㜰搸搰搸挰攱㜳搳㘶㍤扦敡〶㉢敢㜱攲慥搸慡攱愰ㄶ㙣㥡捤㉤㤳㥢㠶挸㔷慦昰㍤㡣㉤昴攲晢晥つ㈳㘷搷㘵㤰㠷摤摡㌴晡㝢㡥戴摢昸收㥣㕦㡦㌶㉢㝣ㄱ挳㔶㙤愵㘱㜸挱挳㥣摢捡扦㕦扦㝤㥢ㄶ㕦㙡㠵㠴㥢ㄹㅤ戱㠵て㝥㉢㍢愹扤摣㤲㕤摢搴㤰慣㙢ㅣ㌸愲㌹慤〳っ㙦㥣摤挰ㄴ㙣敦昲㠷晡㠷搶戵捡㥢㉣㍢愰㕥ㄹ㕢㈱㍤㥥㐳㤱愸㕥〷昴ㅤ㌲愵㙦㈰戶晢㉥晢搶散戲㝢摦㈱㝤㠳挱慡摢㐱换晦愱挵㝣ㅡ搸㍥㝦扣挶攱ㅣ㡥摢愲㈱㜲愱㡣慤搹攴㤱搰㜵㐱㤳㠷戲㥤㕢搱捥摥㙥㍤㤳敦㘳㘱挷散昷㜶㜴晦㕡昲㥢㈲攳晣挱㕦挹㘷㔳㝣㍥㐱攸㔴愹敤㔰㘰㝣㈹昰戵㠷扥搸㌲㥥愶㜸㠶攲㔹〸㜵㈳っ摥挰ㄷ攵慤愹㥡户㌸㝥㜶挵攰扦晥昳攱㕥㕤㥥㝣㍡愴㙥戰㉢㠶㔶㈵捥ㅢ㤷扡㘲昸愵ㅦ晤㜰㠹㜱晢㌹〷慢扥㠸㐴㄰㐶ち㉤敡㕤㔱挹㝢て搴愶㠹㠳㤱昱昱昱㑤〷搹〳㌳搰昶攸愴昸㉥㠰㤵ち扥㥡攰挹㐲㡢㔴っㅤ搶㌷ㅡ㔰㔷愱㐱つ搷㙢捣㘴ㄸ扥㕢㘰㤹敦㑤昳㘳愱〳㔹㐳㠷㍡挹㠲攷攵昰搴扤昶ㅡ昵昴攴㘱㑤〷㔳㝣ㅦ㐱搷慢㌸ち㙥㠹戸戸㔴㈲㉥戲㉢ㅥㅤ昲㔹㘶昶戴挰㤸昳昷㥤晦换攰㠷〷昵㔱㕣晥㉦㠹㘸㐶㡢戹㐴ㅣ愰戵㉤挴愱ㄳ挱㤵晣㤲〸㝥㌵〳ㄲ挱㤵昰㔶捦戸㌰摦㌳〷㕡㉢ㄱ挱愰㍡㉦㉦ㄱ㜳ㄹ㠶㉢敢㉤昳㕡㥡㥦〸㕤㔱㈲攰昹挷扣㐴捣愷㈷ㄷ扡扢㜵昷戴㔲摤㍤搵慥㔸㤴㥤扥昱攷㐷昷ㅦ㜶捥㘵㥦てぢ扥㜳昲㘴㌵ㄱ㤱愴扢㘷㈰㙥慥扢戲搲㥤扣㥦挹搶㜴㜷戹戶㕤扡㝢ㄶ戴攸㉥㔷㤰㕢昸㡦挴㤶攷㙣㘸㡢昰㠷㠳㙡㕥ㅥ晥㜳ㄹ昱愸㥣㈷㔷慥㝢捥㠷捥㑡ㄴ捣㘷挳㕣㤳散㌵㉥愰㌹㤷㝥扢㜵㜷㔶愹敥㌶搹ㄵぢ㜶㕤㕣晢搲〱ㅦっ扥攴㤴㕢挷慦㕣㌹攱㐵㔵㠷㐸搲摤㐵㠸㥢敢慥慣晤㘶㜷㉦㘵㙢扡扢つ戰㤵敥㕥〶㉤扡摢㠲戲搵㕤㉥摥昶㕣〱慤捤㙥㕣搵攵㠱扥㤲㘱戸晡摡㌲㙦愶昹搵搰ㄵ㘵㈷ㄸ㔷㈶㍣昵㌰昶ㅡ搷搲昳㘴搸扢㜵昷㤸㔲摤㥤㙥㔷㥣昳敢㐹搷㍤昸愷㝢㠷㥥晥敥㡣㥢收㝦戹扥㔶㜱搱戴㜴㜷㌱攲收扡㉢慢愱搹摤㥢搹ㅡ㌶㔸攳㍢ぢ戶搲摤㕢愰㐵㜷戹㠸㤹攷㔶㌵ㄵ搱㜹㐲攳〱搰㔸㐲ㄷ㉥㈵戶扡㜶ㅥ戶㍣户㐱㠷慥ㄵㅣ㙥〳敡㌰㌸戵㜵㙤㈹㍤戹㑡搹昲㍣㥦㥥换愰㐳づ㜹搴っ愸㐹㌰㙦㈳㝥㌹捤戹㔲搸㉤ㄳ攳㘰敡㝡㝣ㅢ㙢㔷っ㕡搸㈹戴攴收㜵〷㍤㌲㝡敥㤵敡搹㔳敥㔲㔷㈲㤲㘴㘲〵攲收㌲㜱戵搶摥挷搶搰㍦㝥㝣㕣ㅣ㉣㤹戸ㅦ㕡㘴㠲㡢㙢㉤搰㕣敢敢㜹〰㕡㥢昸㤰ㅡ㤹〷晡㐱㠶攱㘲㕤换㥣敢㝤㍤て㐱㔷㑣㝣㐸つ㠳㘷㕢㜶㔶搱㤳㙢㘷摤扡㝢㘰愹敥ㅥ㘰㔷昴慦㌸散㠱戳㌲㈷㡥㌸㝤㔳搵戱㕢晤昵戱慦ㄵ搷搸㑡㜷搷㈱㙥慥扢戲㜸㤶㉣㍥挶搶戰㈱挴摦ぢ㕢改敥攳搰愲扢㉢㔱ㄶ攲ㄳ㠸㥥㈳晥〹扡㍣㠸㉡慢㙢て㘰换昳ㄴ㜴ㄶ㝤愱愰㡡挰扡㡤扥つ㌴攷㐲㔵换㥣㡢㘱㍤捦㐰㔷㌴㑥攰ㄹ㠰㘷㕢㈶㥥愳攷㍡搸扢㘵㘲㠰摤攱愲ㄳ㕢㝦扢攲攱㌷晢㝢㙢ㅦ㥢㌹昶㡥敦㐷㝤戴捤换㍦㝦愹戸〰㔵㌲昱ち攲收㌲昱愴搶扥捡搶㌴昱㕣㑢㉡㤹㜸つ㕡㘴㠲㙢㍦㈵ㄳ㝢㈰㝡㉥ㄳㅢ改挲㜵㥡㔶搷㥥挳㤶攷㑤攸㡡扡ㄶ㡥慡㕤昳扡戶㠹㥥㕣扢㘹㜹㜲㝤愸攷ㅤ攸慣ㅣ挲㝣㘷㤸户攵㜰㌳捤㕦㠲㤱㔶㈹慥〲搵㤹㔲㕣㝡改㤶愳敤散㔴ㄴ攵攸て㜶挵晤慦㙤摡搰晦攸㕦挷㕥㄰㝦㜶㘱㙡㠷㔱㈷㉢㉥搱㤴ㅣ㝤㠸ㄶ㜳㌹㤲戵㤷ㅣ㉤晦㈲づ㥤㈳慥戶㤴ㅣ㝤〴㉤㜲昴㉦㤴慤敥㜰昱愴攷ㄳ㘸慤㥤㈳ㄴ㔳㕢收㜵攷㌳㠶攱敡㐷换㥣ぢ㈸㍤㕦㐰㔷戴㜳挰戳ㅡ㥥扡愳㕥攳㑢㝡㜲㌱愲㕢㜷扤愵扡㙢搸ㄵ搷㙣㔸ㅤ㕢戲昳㑦挳㔷摣㌲敦㠸㉥㥢㉦敡愷戸㘸㔱扡晢㍤攲收扡晢扤搶晥挰搶㜴㜷㝦㠴㔶扡晢㈳戴攸㉥㔷昹㔹昸戹㥣搰昳ㄳ戴㐵昸㠳ㄱ搵㈹て晦㉦㡣挸㤵㝦㤶㈷㔷ㄷ㝡㉡扡敡㐴挱晣搷敦㥣扣㔷愲㑡㜱㜹㥥㕢㜷㝦㠴愹敢愱敦〷扢攲挸慤㜶敢扤慥㑢㜲散慤摢ㅦ昵晣搲㕦㙦㌰㔵て㐴㤲敥㜶㐵摣㕣㜷慢戵搶㘰㙢扡扢㕣㤱㈷摤昵㐲㡢敥㜲摤㥢〵㝡㉢㙣㜹扡㐳㕢摣㕤扦晡ち㙤户搱搵㤳ㄱ戹ㄶ捥昲攴㝡㍢㡦て㍡晢愰改㔷㥦攷㜵户ㄷ捤戹㘰捤慤扢ㅦ㤵敡敥扦散㡡㍢㝢㜴㡡慤㙦扥㘹摣ㅦ㍦搹㝣搸㤴挷挷㐴ㄵㄷ戶㐹㜷户㐵摣㕣㜷㘵挵ㅡ〷昳ㅦ搸㥡敥㉥搷愸㐹㜷户㠳ㄶ摤攵㑡㌰ぢ㌴㤷㥣㜹㜶㠰戶愸扢㔱扦㝡㌷慦扢㍢㌱㈲㔷㠷㔹㥥㝢搳戳〶㍡慢扢㌰㝦㍢慦扢扢搰㥣㑢戸摣扡扢戱㔴㜷㕦户㉢㔶㉥ぢ㑥ㄹ㝤㐷㤷戱㉢㘲㑦敤㄰戹晥愲㑢搴㝥㠸㈴摤敤㠷戸戹敥捡ㅡ㉥㜶㜷㑦戶㠶つ搶昸戸㙡㑢扡扢ㄷ戴攸㉥㤷㕥挹昱敤㘵㐴捦ㅤ摦〶搰㠵换愴慣晥㜰㍤㤶㘷㈰㜴搶㔱ち㤷㉣捦攷昵挷㑦昳㤱㌹㜳慥挹昲〴愱㐳攲ち慥〸攲敡㘹㜸戶㡤㤳㌰㍤戹扥挹㉤ㄳ㑦搸ㅤ㉥㍡㡡慤户㉢昶㍣攲晡㤶戹㌳敢㐶摣户㈰㤶㍡㍤昰挴戱㡡敢愰㈴ㄳ晢㈲㙥㉥ㄳ㔳戴㜶㍦戶愶㠹攷㤲㈶挹挴晥搰㈲ㄳ㕣㌸㘴㜵㜷㉡戶㍣〷㐲㕢㐴㍣捥㔴㡦收攱ㅦ捣㠸㕣㑣㘴㜹㜲挱㤲㘷㈸㜴昶昱㉦愸ㅥ㠶戹㍥㜶攳㑢愲㘹㍥〳㐶㙥摤㝤愰㔴㜷㔷摡ㄵ摤㘶散㝡搴愹㘷㍤㌵敥㤱攳㜶敥ㅥ扥㝣搹㐰挵㤵㐱搲摤㠳ㄱ㌷搷㕤㔹昲㐳攲㐷戳㌵摤㕤㉥昲㤱敥㡥㠱ㄶ摤攵㔲ㅡぢ㜴㌳戶㍣攳愰㉤敡㙥㌰慡晥㤲搷摤〹㡣挸攵㌵㤶㈷㤷昰㜸㈶㐲㘷敦搶㔱㜵㘷㕥㜷㈷搳㥣㙢㘰摣扡㝢㕢愹敥晥搹慥㔸㌵扦敡攴昱户搶づ扥㘹挴つ挷㥢㘳戶㜹㕤㜱慤㡣㜴昷㐸挴搵摤昵改〵㌳㑡㔶挳戰摦㔳搹㉣㌶㜰挸慤昰㜱晤㡢昴㝢ㅡ戴攸㌷搷慢挸㠰扦ㄹ捤攴〶晣搱㜴攱摡ㄲ慢㘳㕣挴攲㌹〶㍡㙢挰㠷㜰搷㥣搷戱ㄴ捤㉦捣㤹㜳㈱㡢㈷〳㕤搱㠰㠷攷㌵昰㙣ㅢ昰㔹㝡㜲挵㡡㔶㈹慥㕣搱㈳㐴㜱〱㠸㕢戲慥戰㜳㔲戴㉢㕣㙥㔷㍣㌵昵戴慦搶㉣摤㜲昴㉤㝦ㅦ扤晣戶户搳㉦㈸㉥ㄴ㤱㘴搵愳㐵㥤㉣㜵㡤搶㌶㄰㠷ㅥㅢ㕣昳㈱㌹㙡㠴ㄶ㌹攲㥡〹㉢ㄱ㕣挲攱㤹〵慤捤㜰㔸㕤㤴㤷㠸㘶㠶攱ㅡっ换㥣换㌸㍣慤搰ㄵて愵戰㕡㤰㤷㠸㌹昴扣ㄳ昶㙥摤㍤扢㔴㜷晦㘸㔷㉣㕢昷敡㕤摢㝦㝤攱搰㍢㥡㍣㜷㥣昱攸挶愸攲搲〹改敥㝣挴捤㜵㔷搶㐴㜰㐸㥣捣搶㜴㜷戹ち㐲扡㝢ち戴攸㉥搷ㅡ㔸昸戹愸挱㜳ㅡ戴㐵昸〳〹㜵㙡ㅥ晥㌳ㄸ昱㙦㌹㑦慥㜱昰㥣〵㥤㤵㈸㤸㥦〴㜳捤慢搷㌸㥢收㕣㈴攰搶摤㌹愵扡㍢摢慥戸晥〹昳㠵㥦ㄷ愶㙢㤷㥤昶昱㙤换㤶搴㜷㔳敢ㄱ㐹扡㝢〱攲收扡㉢慢〴搸摤ぢ搹㥡敥㉥搷〵㐸㜷ㄷ㐲㡢敥昲戹扡搵㕤㍥收昷㕣っ慤〵㍡ㅣ㔱㑤㜹愰ㄷ㌱っ㥦搳㕢收㝣搴敦戹っ扡愲散挰昳㌸㜸敡㌱敤㌵慥愰攷ㅢ戰㜷敢㙥戶㔴㜷㑤扢攲摦晢㍣㜲敡㙢ㄵ敢㐷㉦摣昹㠲挳㌷晣戰昵㘴挵挷敢搲摤㙢ㄱ㌷搷㕤㜹㙥捥敥㕥挷搶㜴㜷昹愴㕣扡㝢㍤戴攸㉥㥦㐷㕢昸昹攰摢㜳㈳戴㐵昸㈳ㄱ㌵㍤て晦㘲㐶攴㌳㙡换昳〳㝡摥〲㥤㤵㈸㤸㑦㠵㜹ㅢ扢㑢㘸捥〷挹㙥摤㍤戴㔴㜷愷搸ㄵ㈳ㅦ扢收捣㐳㕥戹㜴散㠳㝢摥昱昶㤰ㄱ㔷昴㔴㝣攰㉣摤㕤㠶戸戹敥捡㤳㘴㜶昷㑥戶愶扢换㘷挷搲摤攵搰愲扢㝣㐲㙢㠱收愳㘰捦摤搰ㄶ㜷㌷愸挶攷㜵昷ㅥ㠹㠸攳愵攵挹㈷挳㥥ㄵ搰搹摤つ慡搱㜹摤扤㥦收㝣戴敡搶摤ㄱ愵扡㍢摣慥㜸㙤敡つ㡦摤昰晥㑦㈳敥扣㜴㕣晤昳摥㥢㍤慡㍢慦㡤搹戱㠷㄰㌷搷摤㥥㕡晢戰㠰戳㑣㝣㝣㥡㉡摤㕤〵㉤扡扢㌵捡ㄶ攸摥搸昲慣㠶戶愸扢㘱扦ㅡ㤴搷摤㌵㡣挸攷㤸㤶㈷㥦㤵㝡搶㐱㘷敦〶㝥戵㕦㕥㜷ㅦ愷㌹ㅦ㌶扡㜵㌷㕡慡扢ㄱ扢㘲挵挲攳㔷挵慦㜸㙢挸攲㈹㤷捣摤㜸挴㠶㤷搴慥㠸㈴摤摤㠰戸戹敥捡搳㐶㈶攱㘹戶㠶つ㝥㝣㝣扥㈸摤㝤〶㕡㜴㤷捦攷㉣搰㝣㕣攸㜹づ㕡ぢ㜴㈸慣昶挹〳晤〲挳っ捣㤹て愰昹㑢搰ㄵ㘵〷㥥晤攱搹戶敦扥㐲㑦㍥㝥㜳敢敥敥愵扡扢㥢㕤戱昳扥㈷挴㘶晣㈵㌶昲搶㔷㡥攸ㅤ㐸摦昷㤹摡ㄷ㤱愴扢㙦㈲㙥慥扢晢㙢敤㕢㙣㑤㜷㤷㑦摣愴扢㥢愰㐵㜷㙢㔱戶扡㍢ㄴ㕢㥥㜷愰㉤挶ㅦ㔲㍢攷攱摦捣㠸㝣搶㘵㜹づ愳攷㝢搰搹㠹ち愹敤㘱摥戶敦扥㑦昳㜱㌰㜲敢敥搶愵扡扢㤵㕤㌱慥摦摤㡦散㔲㔷㔵扢㘰户戳搷㥦ㅣ㥥昱慡㡦捦戱愴ぢ㥦㈰慥昱㈹挵㘷㄰㕥ㅦ㥦㘰㐹挵攷㈸攲愱ㄵ㥦㕤戹㍥㠹戰㥥㄰㔸摦㕢㡤扦㐲㘵戶㠸愲ㅡ㌹慡捡昲㜹㑤户㉣晦㌸㤵㈹㕦㥥㡤扦㥣㔵㔷㕦㉦㝦㜴慡㍢扥挲扡昹㌸戳㜹っ扥戴ㅤ㕦㕣㍤愹慥挱晥ㄳ㑡昸㌲㜷㍥㡡搱㕦㤲㙣㐸㠹捦慡㍣搹昱捤昸搶攴㉥搹㠳㕡昰搵昰㤹慥つㄳ㤲慤慤㘶㜳攳晦挲摦㝦挳㥦〱敢捣挷㜲ㄸ㌲㥤㤴慡愸㜴晤ぢ㕣晣搳㕡㠵㕦慡㍣㙣㈸ㅥ㝤㔹㈹㙣换〷扦㌰㥤㑦㔴㉡昹捤搷扦敦慦扦㜹扥〰㙤搵戹㙦㜴㥦挳扦敤搶㔲愹慡㌱づ㘴挵挶挷挱㍦挸〳ㄹ㍥㙢㌵扥㠴慤攷㉢㠸㑥㜸搰挳㉦㈷攱ㄸ昷ㅡ㕦㐳㘳慣㐶㐱㐴㐵搵㘴っ㠱挲㡥昱敦愱㡤愰㐷搵〹㜵㤹搶㤹㥥㤹㘶摤㡣㤹㜸㍦愰㕢㌷昶㜶搲㔵てづ晥㌹㜴搴㤰捥㠷挳戵摣愳㌰敥㘸㕤ㅡ愶㈷㥢㥢㤳昳扡㌶㑣慦㌷ㅢ㘷戴捥散㍡㝤づ㥥晤搵㌵㌵挲戹㙢搷慥挶户挰挳㈱挹收搴㌴㈸ㄹ搵昸づ㕡㙡昸昱愵愰㤱㔱晢㍤戱晦㐰昱㈳㠴搷㤷搶ㄵ晦㐱ㄱ扢㙡〶㘵づ㘹㠳㜹慡㔴㥤㕣昳昲ぢ晤㤹㤷戶㥣㘰㌹㤱㌳㈷㙡㈶㘲〸㡣㑡㔴㘸ㄸ慡㕥㙢㍢㐱慢㈱晢㥡愱ㄵ㜰㥤ㄹ愴㡡挲〳攱昵昱ㄱ㡤㔴㜴㐱ㄱ攰㕡㔱㜶㠰晢敥㕢㌷搲扣昴捦〷搷㥤慡搵挸㠳㐵㤸㥡慢㘱昴㐴㐵づ摣㝣慤慤㠶㌶〷敥っ㡤挱挷㈰㕢㔰昴㠲昰晡捥搴ㄵ㕢愲〸㜰㘷愱散〰昷戱㉢戸慤改㥦て㙥㕢慡ㅣ攰捥搵㌰戶㐳㠵㠶愱㉥搰摡敤愱搵㤰㝤㡢㌴㠶ㅤㄸ㘴㐷㡡㥤㈰扣㍥㍥晥㤰捣敤㡣㈲挰㕤㠶戲〳摣摢慥攰㜶愱㝦㍥戸扥㔴㌹挰㕤愹㘱散㡥ちつ㐳㕤慢戵㝢㐰慢㈱晢ㄶ㙢っ晤ㄸ㘴㑦㡡扤㈰扣扥㥢㜵㐵㝦ㄴ〱敥ㄶ㤴ㅤ攰㕥㜴〵㌷㤰晥昹攰晣㔴㌹挰昱㠹〶昷㐵扤㜷㈹㍥愸㤰㐱ㄸ㠴愵挶愵㤶㙢㙤〸㕡摤〷摦ち㘸㈵㘳㘱㐶㡤㔰㐴㈱扣㍥㍥㔰㤰㡡ㄸ㡡㐰换㐷〹づ戴敢㕤搱敥㑢晦㝣戴晢㔳攵㐰换㈷っ〲敥㐰㔴㘸ㄸ㡡㑦て㐴㍢〸㕡つ搹户㑥㘳ㄸ捣㈰㐳㈸㠶㐲㜸㝤㥣晥ㄷ㜰挳㔰〴㌸㑥晣㍢挰晤捤ㄵ摣〸晡攷㠳ㅢ㐵㤵〳ㅣ㥦ㄱ攴愵㜲〳ㄴ㠲敢㘰㔸收搰㜲㠶㕦戴愳愱捤愱攵晣扣㠰ㅡ挳愸㘳㈹挶㐱㜸㝤㥣愲㤷㡡昱㈸〲敤㙢㈸㍢搰摥攵㡡㜶㈲晤昳搱㑥愶捡㠱㤶昳昸㐴慢㝦ㄴ愷攷〵搷愱戰搴戸搴㘶慤㍤っ㕡摤〷ㅦ㘷捡〵搴攱㡣㝡〴挵㤱㄰㕥ㅦ㈷换愵㘲㉡㡡㐰换㘹㜲〷摡㥢㕤搱ㅥ㑤晦㝣戴挷㔰攵㐰晢㤹㠶㤱㐲㠵㠶愱扥搴摡㌴戴ㅡ戲敦㝢㡤㈱挳㈰㈶㐵ㄶ挲敢攳搴戶㠰㥢㠱㈲挰㜱㔲摢〱敥㑦慥攰㡥愵㝦㍥戸㝡慡ㅣ攰㌸挱㉤㤹㙢㐴㠵㠶愱㉡㜱慣ㄷ㙤ㄳ戴ㅡ戲㡦戳搰㠲㘱ㄶ㠳ㅣ㑦搱っ攱昵㜱㈲㕡㉡㕡㔰〴㌸㑥㐱㍢挰㉤㜰〵㌷㠷晥昹攰收㔲攵〰搷㔳挳㌸ㄱㄵ㌹㜰扤戴昶㈴㘸㜳攰㌸㘷㉣ㄸ收㌳挸挹ㄴ愷㐰㜸㝤㥣㌶㤶㡡㔳㔱〴㌸㑥ㄸ㍢挰㥤敡ち敥っ晡攷㠳㍢㡢㉡〷戸㥤㌴㡣戳㔱㤱〳户㡢搶㥥〳㙤づㅣ㘷㜸〵挳戹っ㜲ㅥ挵昹㄰㕥ㅦ㈷㜹愵㘲〱㡡〰挷改㕤〷戸ㄶ㔷㜰ぢ改㥦て敥㘲慡ㅣ攰〶㈰㑥摥晥散㠷㐲ㄸ㕤〴㑢㡤㑢㠵戵昶㔲㘸㜵ㅦ㝣㥣㠵ㄵ㔰㤷㌱敡攵ㄴ㔷㐰㜸㝤㥣㠸㤵㡡㍦愱〸戴晢愳散㐰㍢挳ㄵ敤搵昴捦㐷㝢㉤㔵づ戴㠳㌵㡣敢㔱愱㘱愸㕡慤扤〱㕡つ搹挷㌹㔳挱㜰㈳㠳摣㐴戱ㄸ挲敢攳戴愹㔴摣㡣㈲挰㡤㐱搹〱㙥慡㉢戸㈵昴捦〷㜷ㅢ㔵づ㜰ㄳ㌴㡣愵愸挸㠱㥢慣戵㜷㐰㥢〳挷ㄹ㑥挱戰㡣㐱敥愴㔸づ攱昵㜱㙥㔳㉡敥㐲ㄱ攰愶愱散〰㌷摥ㄵ摣㍤昴捦〷户㠲㉡〷戸愳ㄱ㈷㡦攷ㄴㄴ挲昳晤戰搴戸㔴㔶㙢㔷㐲慢晢攰慢㠷㔶㐰㍤挰愸㝦愵㜸㄰挲敢㙢搰ㄵ㝦㐳ㄱ㘸ㅢ㔱㜶愰ㅤ收㡡㜶ㄵ晤昳搱慥愶捡㠱戶㔹挳㔸㠳㡡ㅣ戸㌹㕡扢ㄶ摡ㅣ戸昹ㅡ挳㍡〶㜹㡣攲㜱〸慦㡦㜳㠲㠲㝡㍤㡡〰㜷ち捡づ㜰㌱㔷㜰㑦搱㍦ㅦ摣〶慡ㅣ攰捥搰㌰㥥㐱㠵㠶愱捥搶摡㘷愱搵㤰㝤ㄷ㘸っ捦㌱挸昳ㄴ㉦㐰㜸㝤ㄷ敡㡡ㄷ㔱〴戸㠵㈸㍢挰昵㜷〵昷ち晤昳挱扤㐶㤵〳摣㈲つ㘳㈳㉡㌴っ㜵㠵搶扥〱慤㠶散扢㔶㘳㜸㤳㐱摥愲搸〴攱昵㜱扥㑤㌲昷㌶㡡〰㜷㍤捡づ㜰㍢扢㠲摢㑣晦㝣㜰敦㔱攵〰户㔸挳㜸ㅦㄵㅡ㠶㕡愲戵ㅦ㐰慢㈱晢㤶㘹っㅦ㌲挸扦㈸㍥㠲昰晡敥搴ㄵㅦ愳〸㜰换㔱㜶㠰摢搲ㄵ摣㘷昴捦〷昷〵㔵づ㜰昷㘸ㄸ㕦愲㈲〷敥㝥慤晤ち摡ㅣ戸㠷㌴㠶慦ㄹ攴ㅢ㡡㙦㈱扣㍥捥㘵㐹收扥㐳ㄱ攰㔶愱散〰搷挵ㄵ摣㡦昴捦〷昷ㄳ㔵づ㜰㙢㌴㡣㕦㔰㤱〳昷戸搶晥ち㙤づ摣〶㡤㠱㑢㠰つ㐵㔱〹攱昵㍤慤㉢㍡愱〸㜰捦愰散〰昷㥦㙦摣敥㥡㍣昴捦〷搷㤵㉡〷戸ㄷ㌴っ慣搶捥挱㔰慦㘸㙤㌷㘸㌵㘴摦㥢ㅡ㐳㜷〶改㐱搱ㄳ挲敢攳㍣㤱㘴慥ㅡ㐵㠰摢㠴戲〳摣攷慥攰㝡搱㍦ㅦ㕣㙦慡ㅣ攰㌶㙢ㄸ㕢愳㐲挳㔰敦㙢敤㌶搰敡捣愹㑦愰㤵㘷㐷ㅦ愲㌵㍥㍢摡扦〲㌷搲㤵ㅥ昵愹慥昸挰慥㌸㐰㉡㤴晡㑣㔷扣㙦㔷っ㐲㠵戱㍤㠲㔶㜱ㅡ愸昰㡦挹㍢㈶㉦ㅣ㝦搶ㅤ㠶ㄵ㐶挳㈴晣㑤㜱捥㘳㜸ㅢ戸ㄴ㔶㤶㡤㝡ㅡ㈶捤挴摦ㅣ摦挲戶敤㥦戳改㤵搳攴㙣㝢收㔴攲昳㠷㘱㑤つ戳㤲捤挹㔴扤㐹㤳晥㙤㐱户㉡慣ㄱ㝢㘴㠶挹愹搸愵昴㥡㔶つ㤰ㄳ㉤㕤㔵扢つ扢㉡㍡ㄸ㍢㈰㈷㍤戰愱摡戶愴㔸昵㈵扡摦敥㐹ㅥ捥㈴晥捥扦㝥扦㈳〰㈸捥搰挸㘴攵㑥づ摥慢扦戵戵㕤戱ㅢ㔵㔴㜳㝥㠴㌶㕤㌹挷愲㌸㉦㈲㘳攲ㅦ〵㘳㠲㜳㈵㔲昱㑥挱㤸攰晣㠹㔴扣敤ㅣㄳ扢戰㜹捥愵㜰㕣ㄸ扢收戲㤱摢㤲㙣愸㕦㔰换㡣ㄸ㝤㘹㕦〱㐰〲㜷㌷㈷摣㑡㕢㉢〰慢㍢改ㄲ挱慢捥㤰搲昸挶〲戸㥣㍤㤱㡡搷ぢ攰㝡㜴挵㙢㑥戸㝢戲昹㉥愸㉡て搷ぢぢ㠱摢㥦昶摤㔱ㄲ戸〳㥣㜰㝢摡㕡ぢ㙥戵㉥攱㜷㠵昲㐱ち慡ㄷぢ攰㜲㍥㐵㉡㕥㈸㠰摢㑢㔷㍣敦㠴敢㘷昳㕢愲慡㍣摣慤㘱㈱㜰㠳戴摦ㄶ㈵㠱ㅢ㜲挲摤捥搶㕡㠳㘱㝢㕤㤲挱戰〳㑡㠲㙡㐳〱㕣捥戰㐸挵摦ぢ攰敥愴㉢㥥㜲挲㡤戱昹㥤㔱㔵ㅥ敥㉥戰㄰戸〹摡昷㐵㐹攰敥敢㠴扢扢慤戵戲扢㠷㉥攱㜷㠵敡〷㈹愸ㅥ㉢㠰换㌹ㄷ愹㔸㔷〰㜷㉦㕤戱搶〹昷㐰㌶摦ㅦ㔵〲㜷㄰㑡搶㥥㥣摢戲挶敥㐰㔸〸摣挱戴昷愳㈴㜰㠷㌸攱〶㙤慤㤵摤㤰㉥㐹㜶挳㈸〹慡㔵〵㜰㌹改㈲ㄵてㄷ挰㡤敡㡡㠷㥣㜰㠷戳昹ㄸ慡捡㘷㜷㕦㔸〸摣㤱戴摦ㅦ㈵㠱㍢捡〹昷㐰㕢㙢㘵㜷㤰㉥攱㜷㠵ㅡっ㈹愸㔶ㄶ挰攵㌴㡣㔴摣㕦〰㜷愸慥戸捦〹㜷っ㥢ㅦ㠶㉡㠱㍢ㄶ㈵㉢扢戹㉤㉢扢㈳㘰㈱㜰挷搱㝥ㄴ㑡〲㜷扣ㄳ敥挱戶搶㠲㍢㕡㤷昰ㅢ㕦〸ぢ㈹愸敥㉥㠰换㜹ㄸ愹戸慢〰敥㌸㕤戱摣〹㜷ㄲ㥢ㅦ㡦㉡㠱㍢㌹〷㌷户㘵挱㥤〸ぢ㠱㍢㠵昶㤳㔱ㄲ戸㠷㍡攱ㅥ㙡㙢慤挱㜰㤸㉥挹㘰㌸ㅣ㈵㐱㜵㝢〱㕣㑥挴㐸挵㙤〵㜰㡦搴ㄵ㝦㜶挲㍤㤲捤㑦㐵㔵昹挱㜰㌴㉣〴敥㌴摡ㅦ㠳㤲挰㍤捡〹㌷㘵㙢慤散愶㜵〹扦昱慤慥㤰㠲㙡㜱〱㕣㑥捤㐸挵㑤〵㜰戳扡攲㐶㈷摣㈴㥢㥦㠱慡昲㜰㡦㠵㠵挰㑤搳扥ㅥ㈵㠱㥢㜱挲㙤戴戵㔶㜶㥢㜴㐹戲㍢ぢ㈵㐱㜵㑤〱㕣㑥搶㐸挵搵〵㜰㥢㜵挵㔵㑥戸㌳搹㝣ぢ慡捡挳㥤〳ぢ㠱㝢㉣敤攷愲㈴㜰㡦㜳挲㍤搱搶㕡㜰㑦搲㈵㠱㍢ㅦ㈵㐱㜵㔹〱㕣㑥摦㐸挵愵〵㜰㑦搱ㄵ㡢㥣㜰㥢搸晣愹愸㉡て昷っ㔸〸摣攳㘹㝦ㄶ㑡〲户搹〹昷㙣㕢㙢挱㍤㐷㤷〴敥戹㈸〹慡ぢぢ攰㜲㐲㐷㉡㉥㈸㠰㝢扥慥㔸攰㠴㍢㠷捤㉦㐰㤵挰㍤〱㈵敢挸㤰摢戲㜶戵㠵戰㄰戸㜳㘹㝦㌱㑡〲㜷㥥ㄳ敥㈲㕢㙢㡤摤㑢㜵〹扦昱㠵慢㤰㠲敡散〲戸㥣搱㤱㡡㍦ㄶ挰扤㐲㔷㥣攵㠴㝢㌲㥢晦ㄳ慡捡㘷昷㙡㔸〸摣㔳㘹㝦㉤㑡〲昷㌴㈷摣敢㙤慤㤵摤ㅢ㜴㐹戲㝢㈳㑡㠲敡搴〲戸㥣攳㤱㡡㔳ち攰㉥搶ㄵ㈷㍢攱㥥挵收㙦㐶㔵㜹戸㑢㘰㈱㜰捦愶晤㙤㈸〹摣㜳㥣㜰㤷摡㕡ぢ敥ㅤ扡㈴㜰㤷愱㈴愸收ㄶ挰攵慣㡦㔴㥣㔰〰㜷戹慥㤸攳㠴扢㠰捤摦㠵㉡㠱㝢〱㑡搶㘰挸㙤㔹㠳攱ㅥ㔸〸摣ぢ㘹扦〲㈵㠱扢搰〹昷㝥㕢㙢つ㠶㤵扡㠴摦ㄵ敡〱㐸㐱㜵㝣〱㕣㑥晢㐸挵慣〲戸て敡㡡㈶㈷摣㐵㙣晥㙦愸㉡㥦摤㔵戰㄰戸㤷搱㝥㌵㑡〲昷㜲㈷摣㌵戶搶㠲扢㔶㤷昰ㅢ㑢慥㈰〵搵戱〵㜰㌹ㄱ㈴ㄵ㜵〵㜰ㅦ搷ㄵ㌳㥤㜰慦㘲昳敢㔱㔵ㅥ敥㔳戰㄰戸搷搰㝥〳㑡〲昷㕡㈷摣㘷㙣慤㌵ㄸ㥥搵㈵ㄹっ捦愱㈴愸搲〵㜰㌹㌵㈴ㄵ愹〲戸㉦攸㡡愴ㄳ敥㡤㙣晥㐵㔴㤵㠷晢ち㉣〴敥㘲摡扦㠶㤲挰扤搹〹㜷愳慤戵戲晢㠶㉥攱㌷晥㌰㌷愴愰㥡㔶〰㤷㤳㐵㔲㌱戵〰敥㈶㕤㜱愴ㄳ敥㥦搹晣摢愸㉡て㜷㌳㉣〴敥敤戴㝦て㈵㠱扢搴〹昷㝤㕢㙢㘵昷〳㕤㤲散㝥㠸㤲愰㥡㔲〰㤷搳㐷㔲㌱戹〰敥㐷扡㘲㤲ㄳ敥㜲㌶晦㌱慡捡挳晤っㄶ〲昷㙥摡㝦㠱㤲挰晤㡢ㄳ敥㤷戶搶㠲晢㤵㉥〹摣慦㔱ㄲ㔴攳ち攰㜲㐲㐹㉡挶ㄶ挰晤㔶㔷㡣㜱挲扤㡦捤㝦㠷慡昲㜰㝦㠴㠵挰㕤㐹晢㥦㔰ㄲ戸て㌸攱晥㘲㙢㉤戸扦敡㤲挰攵㜴㤲愰ㅡ㔹〰㤷㔳㑣㔲㌱愲〰㉥愷㥤愴㘲戸ㄳ敥㐳搰慡㑥㄰攵攱㜲攲㐹攰慥愲㍤攷㥣〴敥㈳搸搰ㄳ㌶搵㥣㜰愲搶ㅡ扢㥣㘸㤲ㄲ㘰攳㘶ㄴ㈵㘹㝣㜰〱㕣㑥㍡㐹挵愰〲戸㥣㠸㤲㡡〳㥤㜰搷㌲㉡㈷愵捡挳攵㔴㤴挰㝤㡣昶㥣㠵ㄲ戸㡦㘳㈳〷㤷㔳㔰㌹㠰搵摢攸ㄲ戳㕢捤㌹㈳晥㐵敥捡戹㉡㝤㑣收㤸㘳扥慦敥㕣戳㕤攷挳〷㜷扦敡㥤愷㌶㉦㝡㘹摡〱ㅦ晣㜴敤戵㉦扤户㘸挳㑦て愵づ㔸扦㜸昱扡㠳㙦搸戰戹㔷昶挶捡晢扦ㅦ㜳攳晣挰㜱昳㡦捦㑥搹㙢攴晣㈳㡥㍤㈴㌰㘱㡢晥㥤㍡㜵改戲挷㤶㑦㙣摢捦㜷摡昱て愸㐷㕦摦愶戱㡡ㄳ㌰敤㤸戴㈱扥摦㌹挳戲㥥ㅤ㤲㘹ㄶ挴㌰㥥㐰㠹㍦㤸捣愸昰㜱扡㐵㘶昷㥥挴㠶昱ㄴ㐴㡦捡㙡㑥㠹㜴㘴㤷搵慥㘸㠰摤㌶晥づ愱慣ㄹㄵ㤴㌶愰挴ㅦ㐱挶㤹ㄵ㐱昶㌴つ㥦㠱〰㌲捥㝥㜴㈸戲晥㘸㐰挶挷戳搸挸㘱ㄹ㠰㠲㘰㜹づㅢ挶昳㄰挰挲愹㡤づ挵㈲㜳㈱挰㘰扣㠰㤶㜲㔸㌸㈷㈲㔸㕥挴㠶昱ㄲ〴戰挴昰慢㐳戱挸㐴〷戱扣㡣㤶㜲㔸㌸攱㈱㔸㕥挱㠶昱㉡〴戰㜰㔲愲㐳戱㜰㜶㐳㐶捦㙢搸㔰㌲愷㐱㘴慦愳㤴㐳挶戹つ㐱戶ㄱㅢ挶ㅢ㄰㐰挶昹㠷づ㐵㈶ㄳㄶ挴昲㈶㕡捡㘱攱挴㠵㘰㜹ぢㅢ挶㈶〸㘰ㄹ㠳㕦ㅤ㡡㠵戳ㄴ㤲愵户戱愱挶㔱㄰搹㍢搸挸㈱攳ㅣ㠵㈰晢〷㌶㡣捤㄰㐰挶㜹㠴づ㐵挶〹〹㐱昶㉥㌶㤴㑣㐳㄰搹㝢㈸攵㤰㜱㍡㐲㤰晤ㄳㅢ挶晢㄰㐰挶㈹㠳づ㐵㌶つつ㐸㤶㍥挰㐶づぢ攷ㅡ〴换㠷搸㌰晥〵〱㉣㥣て攸㔰㉣㘹㌴㈰㔸㍥挲㐶づぢ㈷ㄲ〴换挷搸㌰㍥㠱〰㤶㤹昸搵愱㔸㡥㐵〳㠲攵㔳㙣攴戰ㅣ㠷㠲㘰昹っㅢ挶攷㄰挰搲㠴㕦ㅤ㡡㐵㙥晤㠱挱昸〲㉤攵戰㌴愳㈰㔸晥㡤つ攳㑢〸㘰攱㙤㝡㠷㘲㌹〱つ挸㐸晥ちㅢ㑡敥昲㠹散㙢㤴㜲挸㜸户㉦挸扥挱㠶昱㉤〴㤰昱㡥扣㐳㤱挹㉤㍣戱㝣㠷㤶㜲㔸㑥㐳㐱戰㝣㡦つ攳〷〸㘰攱敤㜶㠷㘲㤱晢㜳㘲昹ㄱ㉤攵戰㥣㠳㠲㘰昹て㌶㡣㥦㈰㠰㘵〱㝥㜵㈸㤶ぢ搰㠰㌰昶㌳㌶搴㠵ㄴ㐴昶ぢ㌶㜲挸ㄶ愲㈰挸㝥挵㠶㔱搱㑤㤰㉤挲㜶㠷㈲扢っつ〸ㄶ㠵〶㜳㔸㉥搷㔸㉡愱㌵㍡㔹㔸慥敡㘸㉣㜲ㄳつっ㐶㘷㈷㤶㙢㌵㤶㉡㘲昱㔸㔸㙥散㘸㉣㜲㠷㑣㉣㕤㥣㔸㙥搶㔸扡ㄲ㡢㘱㘱昹㜳㐷㘳㤱摢㕦㘲昱㍡戱㉣搵㔸扡ㄱ㑢㜷ぢ换昲㡥挶㈲昷戶挴搲挳㠹㠵昷戸㌲㜶㝢ㄲ㑢戵㠵攵扥㡥挶戲ㄲつ挸搸昵㌹戱昰〶㔶戰㙣㐱㉣扤㉣㉣て㜵㌴㤶㔵ㅡ换㤶㑥㉣㡦㘸㉣扤㠹㘵㉢ぢ换摡㡥挶㈲户㥣攴㘸㙢㈷ㄶ摥㝡㑡㕥戶㈱㤶㙤〵㡢㕡慦㘱晦〱㘵收㤲ㅦㅦ敦搵㘸摡愳戳攲つ㥡摣〴扦晦戵戵〶㘲㈸昴㕤㔵㠵攲㑤㥢㔴晣搳慥昰愱挲搸㠱㘱晥慥㠳敥攸っ扡愱㉤㈸敦慤挴㜷㜳㐱搰㘷㜴挵㍦㥣㐱㙢㄰挶挷㍢㈳ㅢㄳ㙦㠷挴晤敤〲㜷摥㈲㐹挵㈶愷晢慥㜴攷捤㡣敤捥㍢ㄸ戱㝡戳挰㥤㜷㌵㔲昱㠶搳㝤㜷扡扦摣收捥㥢づ戱㝡扤挰㥤㌷㈲㔲昱㥡搳㝤㑦收㐰㙥ㄹ㤸㥦扤㔸挲㠶愴㤹户づ㌶㈶摥㉦㠸敦换〵㐱㜹て㈱ㄵ㉦㌹㠳敥㑤㑣㙦戶戹昳ㄲ㕦慣㕥㈸㜰攷㘵扦㔴㍣敦㜴昷ㄳ㠵㕣愰ㄳ㔳挰㠹㠹ㄷ敡㌶㈶㕥㥤㡢敦㌳〵㐱㜹挵㉥ㄵ㑦㍢㠳㠶ㄹ㐶慥慤ㄹ㌴攲っ捡㙢㙣㍢㈸㉦慣挵昷愹㠲愰扣搸㤶㡡㈷㥤㐱攳〸攳攳㘵戱敤捥㙢㘱戱㕡㕦攰捥敢㘳愹㜸摣改扥ㅦ摤㜹㈵㙢扢昳昲㔵慣搶ㄵ戸昳㤲㔶㉡搶㍡摤て愴㍢㉦㍥㙤㜷㕥㜱㡡搵愳〵敥扣ち㤵㡡搵㑥昷㈱㜴攷昵愲敤捥㡢㐴戱㕡㔵攰捥ぢ㐷愹㜸搸改㕥ぢ㜷㈵㤷㜸㑣攸㜰㤶昴挸攱愵㥥ㅤ㤴搷㜷攲晢㘰㐱㔰㕥昳㐹挵㕦㥤㐱㐷ㄱㄳ慦捥㙣㜷㕥㤲㠹搵捡〲㜷㕥愶㐹挵晤㑥昷搱㜴攷〵㤵敤捥慢㈸戱㕡㔱攰晥㤳慥戸搷改㍥㡥㥤㤰㙢㈰㜶㘹扣戳㑢扣ㄶ戲㠳昲〲㐸㠲摥㕤㄰㤴ㄷ㐵㔲㜱㤷㌳攸㐴㘲攲攵㡢敤捥㙢ㄶ戱扡戳挰㥤搷㌱㔲戱捣改㍥㠵敥扣攲戰摤㜹㤹㈱㔶㑢ぢ摣㜹改㈱ㄵ户㍢摤て愷㍢㉦ㄲ㙣㜷㕥ㄹ㠸搵㥦ぢ摣㜹戵㈰ㄵ㑢㥣敥㔳改捥昳扡敤捥㤳戹㔸摤㔲攰捥ㄳ扣㔴摣散㜴㍦㥡敥㍣ㄵ摢敥㍣晦㡡搵㑤〵敥㍣㈷㑢挵㡤㑥昷㈴摤㜹昶戴摤㜹捡ㄴ慢敢ぢ摣㜹ㅡ㤵㡡敢㥣敥ㄹ扡昳㠴㘷扢昳㉣㈷㔶搷ㄴ戸昳捣㈷ㄵ㔷㍢摤㘷搰㥤攷㈸摢㥤㈷㈶戱扡戲挰㥤㈷㉢愹昸㤳搳晤㔸扡昳扣㐵㜷攳㌸㙣㘰㥤㈰㑦㐰㌲敦㕡捦㕡㥥㠰愴戶挱慡攵㤹㐴㙡ㅢ戱愱㜸㘲㤰㔲ㄳ㑢㍣捥㑢㘹ㄶ㑢㍣㙣㑢改㜸㙣昸㜸搸㜶戶挲攳慦搴戶㘰㐳昱㜰㉡愵㔶㙣昸㜸㌸㜵摡昲戸㈸戵㜳㔸换攳愲搴㥥㠰つ攰攵〱㑥㙡攷㘲㐳昱㜸㈵愵㜹㉣昱昰㈳愵ㄳ㔹攲搱㐴㑡㈷戱挴㠳㠳㤴收㘳挳挷㠳㠳戳㑤敥攵㔲㝢ち㌶ㄴ㜷㕡㈹㥤捡ㄲ昷㐱㈹㥤㠶つㅦ昷㐱昱㍣ㅤㅢ挰挳㥤㐹㙡捦挰㠶攲扥㈱愵㌳㔹攲㔰㤷搲㔹㉣㜱攴㑡改㡦㉣㜱㈰㑡改㙣㤶㌸慥愴㜴づ㑢ㅣ㈶㔲㍡㤷㈵戲㉥愵昳㔸㈲㠹㔲㍡ㅦㅢ㔵㈴戱捣攲扦〹㘶㜳摡㙣㙣慤慢㌷戹昸㄰㐷㠹㡡ㅥつ挳㘶户戴㌶㔹敢㈳㕢慡㘴㐵㘴昱㡡挹㕥㌴敦㥦㘷敡戵㔴㤴搵搶㘶㙥改㘴㌷扢㡡㙢㉤晦慦敢㈶扢㈰㤷晣攰㝤搰㥤捡㉦㥤戴㤶㑤戶捦捡㕥㌳戹〰搹攱ㅦ㠹挲愲挹戶㑤㈹㉢㡥㜶㥥ㅤ㡣㘳昸昴挰晥㔱ㅣ昵㑣愹㜱㘱㥢㘷摢愶攵㈹㝢〲ㅣ昲㍤㘵㡦㈸搲捡㥥㔱愴攵ㅥ㔲摣戶散ㄹ㐵戶摣㐳㡡㙤戹㘷ㄴ㙢戹㠷〸晡㡢戰㘱昷扢㙤搳㐲㉦㝢㑤㔱㉢戲昷ㄴ㘹㘵㉦㉡搲捡摥㔴愴攵㕥㔵㡣㐸昶愶㈲㕢搹慢㡡戴摣扢㡡㈳㜰㉦㤳㍥㕤搲搶愷戶㑤慢㑦戲攷ㄵ挵㤳㍤戰㐸㉢㝢㘲㤱㔶昶挸㈲慤散㤹㐵㕡搹㐳㡢戴戲愷ㄶ㘹㘵㡦㉤搲㜲捦㉤敡㘹㌵㐷㈸挷㈲晢㠴㥦㜷〶㕤㝤ㄵ㝦晥㌵攸改つ晣昹㘴㔰㌵㐷㘲㜹ぢ戲㕤摥㠲戹㉢㙢搱敤晦〱㌵攵搱㤳</t>
  </si>
  <si>
    <t>㜸〱捤㝤〷㜸ㄵ㔵晡㝥㑥㈰㤷捣愵攴㠲㕤㉣㐱ㄱㄱ㄰㙦㉦搸〸愱㠳愲㌴㉢挲慤ㄲ㑤挱㈴㈰挵慥㙢㐱㐵㔴㔴㜴戱㈳㡢㔸搶㠲㡡ㅤ挱扥㤶㜵㜵㉤㔸搶㔵搷扡㜶搷㕥晥敦晢捤㥣挹摣㝢攷㠶晣晣㙦㥥㘷㉦摣㉦㜳扥㌶敦昹摥愹㘷捥㈴㘵慡慣慣散㌷㝣昸㤳㥦慥㕣搸㘱捡㠲㤶搶㙣挳搰摡愶晡晡㙣扡戵慥愹戱㘵㘸㑤㜳㜳㜲挱挴扡㤶搶㉥㜰昰捣慣㠳扤愵㘲㘶㑢摤挲㙣攵捣㜹搹收ㄶ㌸㔵㤴㤵㔵㔶ㅡ攵戰㙦㘷㝤㝤扡㘱㌰捡攸㑡〱慦㌲挳㐳搱㡤愲㤲挲愰昰㔲㜴愷攸㐱搱㤳愲ㄷ㐵ㄵ㠵㡦愲㌷㐵ㅦ㡡㉤㈸戶愴搸㡡㘲㙢㡡㙤㈸戶愵攰晡㡤敤㈹晡㐲昴搸〱㘲㙡敤㠸㐹愹㘳搰㥢㈹慤㑤捤搹㈱搵搳㑤捣晢〶〲㐳〳㐳挳㤱㐰㜰愸㝦㐸㜵敤摣晡搶戹捤搹㝤ㅢ戳㜳㕢㥢㤳昵㐳慡て㥡㥢慡慦㑢㑦挸㉥㤸摡㜴㙣戶㜱摦㙣捡ㅦ㑡㈵挳昱㐰㌸ㄲ挹㈵ㄲ昱ㅥ㍢㈲昳㠱戵㈳づ㙡捥收㕡晥㕢㌹㜷㘲捥㐹戵㈳㠶ㅥ㤸㙤晤㙦攵摣ㄹ㌹㤱㜲㘴㔳㐳戲慥昱扦㤴戴㠲㥣㠶㐶㘶搳㜵㈴㍦㥢㙤慥㙢㍣㝡㈸㘰攷ㄵㅡ慤搸搰搱愸㜸㍡搹搲㕡㥢慤慦㥦㥣捤㤱昷ㅥつ慣㔹戶㌹摢㤸捥戶昴㙡ㄸ㌵㍦㥤慤户捣㉤㤵つ搳㤳捤〷㈶ㅢ戲㕤戹㔰搵㘰昲㌶㉥㤳㙤㙣慤㙢㕤搰戳㘱㕡㑢㜶㜲戲昱攸㉣㕤㉡ㅡ挶捣慤换㜴敤慡扡㜶㉤敢戲扢ㅢㄸ攱㘶攸攸收㜴敤散㘴㜳慢戴挸㕡挰捤搷戱㠵〸昰㍣㔸摣㡡慡ぢ愲㐸搳㤴扡㠶〹搹收挶㙣㍤㔷㐲昲〶ㄷ㌸㐹㑤捣搲摢挵搱扤㈱㌱慡扢戵扦戱㉢㕣㡢㔱㑤搱て挲戳ぢ㠴㙦摦㥡㘹晤〳戱〱扢っ慢摥㘵㐰晦㥡㘰挸搸㤵昶晥㄰慡敢敢搸㜹㥤昱摣㠱捡㘷㈶换㘷愶捡㘷愶换㘷㘶捡㘷㘶换㘷收捡㘷ㅥ㕤㍥㜳㜶昹捣扡昲㤹挷㤴捦㍣ㄶ㍥晡㔳搹慤㕢戹昵㘹㌹攱攵敡收㙢㉡㈶㥣昶换㝦扥㡦㑥㕤搴慣戸扦捡㡥㍢〰ぢ挶敥㄰㥥㠱㄰扥㝤㐷㡣㜰攲㠹ㄹ㝢搰㍥〸㐲愹扦〳て㌱昵㍣㜳捡扡ㅢ挶搴㡣㍢攵晤ㄳ㜷㌵㜶慣㕢慢戸摦㑢戲㈱㜴摥ㄳ挲㌳ㄴ愲愰㜳㠱㠴戱ㄷ敤㝥〸愵㥥户㤲㡤改扤㘸搳搰昲昳㐷㉥搹昸㔵搳㈷挳㐲㈱挵攳㠷㈴ぢ搲㌹〴攱〹㐳ㄴ㈴ぢ㐶㡣〸敤㔱〸愵㥥戲㤲㥤扢㜴昵㌹昱敥㔳挷㕦摡㤸摥昳慤㔷㔶〴ㄴ户㐷㐹ㄶ愷㜳〲挲㌳っ愲愰㥢戱愸戱㌷敤晢㐰㈸戵搱㑡昶摥挰㝢㝡散㍣㉤㌷敡愶ㅥ挳㍥㘸㝥晣㠹〵㡡挷㌳㐹戶ㅦ㥤昷㠷昰っ㠷㈸㐴收㌷㙡㘸ㅦ〱愱搴㠳㔶戲㈷愲㜳㝥㝤攲攲㘷㠶慦昹愵昹㠲㝤ㅥ㘸㤸愳㜸㕣㤴㘴㈳改㍣ち挲㌳ㅡ愲㌰㔹捣ㄸ㐳晢㔸〸愵敥戱㤲㉤㕢戰摢敤昷昵扥㝦攴攵ㄵ㉦㝥扥㑤敡㤲挵㡡挷㔷㐹㌶㥥捥ㄳ㈰㍣ㄳ㈱ち扡ㄹ㠸ㅢ〷搰㝥㈰㠴㔲户㕢挹戶㝦㜶㐳晣愳㤳㈷㑦扣戱攵攴㠷慡敥摢攵㝥挵捤㑣㤲ㅤ㐴攷㠳㈱㍣㤳㈱ち㤲挵㐲挶ㄴ摡愷㐲㈸㜵㤳㤵㙣昱㤷㝢㜴晦攸昵㔱㌵慢㍥㍥晡搸㤵户㍣㌹㑤昱㜸㉦挹愶搳昹㄰〸捦愱㄰〵挹㠲〱攳㌰摡て㠷㔰敡〶㉢㔹扦㝢晢㕤㤰扥㙢昹㠴㍦っ㕦ㄱ晤攴愳愵换ㄵ捦ㅢ㤲散㐸㍡捦㠰昰ㅣ〵㔱㔸戳㠴㌱㤳昶㔹㄰㑡㕤㙤㈵晢㜶摥愲慦ㅦ㕢昹昶愸ㄵ扢㑥ち㐴㑦扥慤愷攲昹㐷㤲愵攸㥣㠶昰㘴㈰ち㤲㠵〲㐶㤶昶ㅣ㠴㔲㤷㕢挹ㄶ㜴㕦昶敡慢㜷ㅥ㔰㝢㘹摤扡㥥㥦㕤㝣攲〷㡡攷㌱㐹㌶㥢捥㜵㄰㥥㘳㈰ち扡㠹㘴摣㍦㡤㝡〸愵㉥戶㤲つ㕡晢捥㕤㍦ㅤ㝣㜰捤敡㥦〷㙣㍡㌶㝢捦㜲挵昳愱㈴㙢愴㜳ㄳ㠴㘷づ㐴㐱戲㘰挲㌸㡥昶㘶〸愵捥户㤲㕤㜲挹搳搳〶ㅣ㍣愸收㤲㤵㤹攵㡢晦㌲㜰ㅢ挵昳慡㈴㙢愵昳㕣〸捦㍣㠸㠲㘴愱㠴㜱㍣敤昳㈱㤴㍡换㑡ㄶ慤晤㙡捣て户㥦㔵㜳昳摦捥㝥散昱㐵挳捥㔲㍣㍦㑢戲㠵㜴㕥〴攱㌹〱愲愰㘶挱愸㜱㈲敤㈷㐱㈸㜵慡㤵散摡つ㔳㠶散昱摡㤳㌵户づ扣㘱捣摤㥦昷敦慥㜸㥥㤷㘴愷搰昹㔴〸捦㘹㄰扤昳て㠹㠱㐰搰㌸㥤づ㘷㐰㈸戵挸捡㌶㙤㐹㙣摢㔹搱挷づ扣㝤搳㜶扦㕣晢搳㤶〳ㄵ㉦ㄸ㈴摢㤹㜴㍥ぢ挲㜳㌶㐴㐱㍦挳〱攳ㅣ摡ㄷ㐳㈸㌵搷㑡㌶㘳户㤶㘳㕡愳㙢㐷摤㜹摥愶㍤扢㙦摡昶〰挵ぢて㐹㜶ㅥ㥤捦㠷昰㉣㠱㈸攸㘷挸㙦㕣㐰晢㔲〸愵㥡慣㘴攷㥥㍢㜷攷㕢㙦ㄸ㍣㘹昵㍤㘵搷㕣㜶挹㙦㔱挵ぢㄸ㐹㜶ㄱ㥤㉦㠶昰㉣㠳㈸㐸㠶㥤昳ㄲ摡㉦㠵㔰慡捥㑡㔶昷㤵㝡㙦敦㐵㝦㍤昰搴㤷㔷晡㙦㝣改㡤挷ㄴ㉦㠴㈴搹㜲㍡㕦づ攱戹〲愲愰㥢搱㤸昱㐷摡㔷㐰㈸㤵戶㤲㍤扥㠵晦㤰搷ㅢ㌷㡤㔸搹㜴敦挲㝢捥㍥愵慢摡ㄶ㘶㐹㜶ㄵ㥤慦㠶昰㕣〳㔱㤸㉣㙣㕣㑢晢㜵㄰㑡捤戰㤲㙤昷摢㔶㥦㕥㥢散㌶攲扣ㄵ换㉦晣㘶㐹㝡㠶攲㠵㤹㈴㕢㐹攷ㅢ㈰㍣慢㈰ち㤲挵㘲挶㥦㘸㕦つ愱搴㈱㔶戲㑤㐷㍣㌰昸攱昵挳挶㍥㍣㉦㜸㔶扦〹㌳ㅥ㔰摢挳㉣挹搶搰昹㈶〸捦捤㄰〵㌵ぢ㠶㡤㕢㘸扦ㄵ㐲愹㠳慤㘴昳摥敤户敢〳挱扥挳慦㕦扥昵昰换愷㥦昱愵攲㠵愲㈴扢㡤捥户㐳㜸敥㠰㈸㐰ㄶ㡡ㅡ㜷搲扥ㄶ㐲愹〹㔶戲ㅤ扥㍥昶晢捦敥㔸㔶晢挷捡收㥥て捣ぢ㝣搴攳㙥㤸て戶㑥敡㈳㥢㤳挷攳捡愸敤愲ぢ㔷㥡晣户昹慢㑤㕣㙣收㈲戹㔸㉥㄰挸㐴晣挹㔰戲愲ㅡ㘹㍢㝡㡤挳㑤扤㐷敥㤰扡挶㑣搳昱㜲搱搳㈳㌷扡慥扥㌵摢㉣㡤慡ㅣ㝥㤸ㄷ㙥搲敥㤹ㅢ㌵ㅦ㔷扣㘹昳晡㘸换㕣㙤戶戹ㄵ㔷㡡慤ぢ摡㉥㥡㜶ㄸ㤱㙣挹戶㌵〷㕢戹㐷㌴捤㙤捣戴昴㜵㌷㑥㘹㑤戶㘶户㉦戴戵㈵㈹ち㥢㠲慢挸㙣㡢㐰摡愹㌰㙣㝡戲㝥㙥戶㘶㝥㥤㘹摥戱挰㡣敢挹愶㔴㘹敢攸收散㜱戶戵〸㔱つ㙥㜲收㐹敥愲㕥㥡㈶ㄳ㔷㜵敤散愶㤶㙣愳挰ㅢ摣㜰㔰㕤晡搸㙣昳㤴㉣㙦㤱戲ㄹ改敡㔶㌴㔹ㄷ戵㠳㈷㌵愲愳戸㑣捤散攲搴戲搰搹挶㑣㌶〳扣㜳㔰攵〵㔳㤳愹晡散搶㜹㉥收㍡㘱搸㉥㑦㍤扡㈹㍤户愵戶愹戱戵戹愹㍥摦㔲㤳㤹㤷挴㠵㜴收㠰愶㑣戶慢㝣捡㑣愹捡扡㜴㔱慡㙣愰摢ㄵ㈹㜳户昰㥡搵戱㤱昰捡戸㝤㘷挷㐶㐴㘷搷㙢㕤㍢㌳ㄶㅣㅢㄹ晤昷㘸ㄷ㠹㜳㈳愴户扦㕤㙦㤷㡤㤴㐱摢收敦㜸㐳㈷㠳ㅦ昰㔰㥦攵㕥㔹摥扦㜴捡戶敤㜲㌳㐸ㅤ慣昰㡥㤸摥敤ㄴ㑤搲摡摢㕥攷㍡㤷㤷㙦㘱昵㝥搴㍣摣㉥㡤㑤㌶㘶敡戳捤敤摥捦㉢㈲㌲敥愱㔸㐷㜱㉦挵㝤ㄴ昷㐳㔴㡣挴㌱慥㘴㐵扢挲㐳捤㔷ぢ㉡㡥慦换戴捥昶捣捥搶ㅤ㍤扢ㄵ㍡㡣〳㔴㔶戲摣㘱敢晢㘸㜹㔹搹㝢ちつ攳㐱㡡㠷㈸ㅥ㠶昰㝡换㍣敢昱戳捣攳㌵ㅥ攱㡦つ㄰㔵晡㝥戱摡摣㌲扤慡愲ㅦ搴晦昷㍢㌶慣戴捣㤰ㅢ㐴摣挱户㔴㌴㈰㙦㑢㤷㉥㙥搵ㄸ㥢㙣㤹摤捡ㅤ戱㝤㈳昳㙤愴㜸ㄴ愲挷㘳㄰〷㡥捤搶㘳㌷晥㙦摤晣㔷散㡡㥣㥢扤挹攴ㄵ搶搶つ㔳ㄶ㌴愶㘷㌷㌷㌵㘲〸㘶㘴戲㌵㔹㤳挶㥤㜴㡢㑡㝡ㅡ㈶㌶搵捥㙤昵㌴㡣慤挳㡦ㅥつ㤳戳㜳戲挹搶㕡ㅣ愶㕢㝢㌶㑣挴㕤戸ㅣ㐷挷㘵收㔷㌴㤸㌷搰㈳戳㉤㘹㠳㜷摡攳㜰㔸㥡敦挱ㄲ㡥戳㍤ㅡ㜸愰挹捥㙦㘵敡㙥つ〷㈵㜱愷摥㙡挰㘹戰㐴㤹㑢㡣散㈹㍡ㅤ敤戵㕡挸攰㤳㐵㐷㤶敥愲㌰㌳㤵㜱换挱ㄹㄴ攷摣慥㤶㉣摣㠳愶戵搶搵户っ戵捡㍢㜴㘴ㄳ㐶㘲戲㌲〸挵戲㝢㍣搸挰㍣敤㤲㔵戸愳昳㔶㝤㔲㍡㘵愶〵㤴㌱捤㑤㜳攷散㠴㕣晦慤㍣捣㔵㘶㍣づ㜱昵㤷㙢昶摥敤捡㍦晦㘶晤㍣ㄹ扢㤰㝣㡣㕤攸戱ㅥ㠲㑤晣㤰㡦昱ㄴ㝥㜸摢戳㔵昴㠷㠷敢㤱戶挴愸㐲〵晣㝢㌴愰户㔳㥢戳㌲㑣㔲㈹㡤〵㜳戲㍤ㅢづ㘹㙡㍥㌶搵搴㜴㉣挹敦㈵慤㤶搹搹㙣㉢挷ㅥ扡㕢㐳㉤㕣㔶㑡㜵改㤲㌷戰攰ㄸ愴搸ㄹ昹㍤捦㐲昴慣愹慦慦搶ㄹ㕢㍣捦㐱搵〵㘷ㄴ捦昳㔸ㄸ㌰㍥搹㔸ㅤ昴〷挳搵戵㔳㈶搷㔴㘳挰㜰㑥㍤㉥〷慡㈷㡦㥡敥摦㜳捦㍤㐷㑥㥣㌲㜴㝥㝤换㝣攵㐷㉤㌸㘲戰愱㘲挱㜵昱㌳换㠶摦晢慦〷晢㜴㝢敡搹㤰摡换㌲ㄴ㡤㑢っ㐰昶㙡㝣㡤扦㔱扣㐸昱ㄲ挵摦㈹㕥㠶㔰㝢㈰㤴㐷㉥㉣攷㝦㡣㔷搱㌶㕥愳搸〴㠱攳㡦昰㠱挳捦ㅢ搴昱昰攳㔵㙡㜷晣攰㈱挷㜸㡢攲ㅦ㄰㙡て〸敥㥣㘵挶摢㄰㈵ㄹㅥ㐸㡦昵㄰㔸戹扤㜶攳㕤㈸扣㐶㍢㌶㌵〸ㅥ㘴搹㘰㔵つ搶搱㘰つ搵搶㐸攳㕡㥣慤㉣㐳搱㌸换㄰㠴㔵㌳晥摦ㄴ㥦㔲㝣㐶昱㌹挵ㄷ㄰慡ち愱㉣づて搰晣戶ㅤ㥣扦愲捦搷ㄴ摦㐰㌸㡡昳㉤㜵㔶㜱昶挴戲ㄴ攷㝢㉡㝦㠰㔰㝢㐱㤸挵昹ㄱ㑢㈵㡢㌳㤴〱敢㈱戰昲戶攲晣〲㠵搷㘸挷愶晣昰㜰㉢捥捦扦㤶㈸捥㑦㤶愱㘸摣㈸㠸㑣搵昸ㅡㅥ〵搱㡤愲㤲挲愰昰㐲愸晦㈰㤴挵㤹つ㉦㝥摢㡡搳㠳㍥㍤㈹㝡㐱㌸㡡攳愳捥㉡㑥〸㈱晤戸㠲㍥㔴㙥〱愱㈲㘸㥡挵搹ㄲ捤㤲挵攱愹戲戸㌸摢㈰挴㙢戴㘳㔳㔱挴戹ㄵ攷㥤㔲挵昹愷㘵㈸ㅡ〷㡢㈳㔳㌵㔱㔴㘳愵㐶㍦㡡㕤㈸㜶愵攸て愱㕥户㡡〳愷晣㡦㌱㠰㍥扢㔳っ㠴㜰ㄴ㘷㄰㜵㔶㜱ㄲ〸敡㠷慦㌱㠴捡㍤㈱搴摥㘸㥡挵ㄹ㡡㘶挹攲っ㘳搴㝡㠸扣㉤㈷㠰㄰慦搱㡥㑤敤㠳㄰户攲㍣㔹慡㌸㑦㔸㠶愲㜱扤晤㤰愹ㅡ㕦㘳ㄸ㔶㙡散㑤戱て挵扥ㄴ晢㐱愸㐷慣攲晣ㄵ㕥晣戶㙤㌹挳改㔳㐳㌱〲挲㔱㥣㤱搴㔹挵搹ㅦ㈱晤戸㠲搱㔴㡥㠱㔰㌵㘸㥡挵ㄹ㡢㘶挹攲っ㘷搴㝡㠸扣攲㑣㐰㠸搷㘸挷愶㐶㈰挴慤㌸户㤶㉡捥㉤㤶愱㘸㥣㜲㈴㌲㔵攳㙢㑣挵㑡㡤㘹ㄴ搳㈹づ愱㌸ㄴ㐲晤挹㉡づ〷ㅢ昸㙤㉢捥攱昴㌹㠲攲㐸〸㐷㜱㡥愲捥㉡捥㈸㠴昴攳ち㘶㔱㤹㠴㔰ㅣ昲㌴㡢㤳㐲戳㘴㜱㐶㌳㙡㍤㐴㕥㜱戲〸昱ㅡ敤搸搴㔸㠴戸ㄵ㘷㔹愹攲㕣㙣ㄹ㡡挶㕤挷㈳㔳㌵扥㐶㈳㔶㙡㌴㔱捣愱㌸㡥愲ㄹ㐲㥤㙦ㄵ〷㑥昹ㅦ愳㤵㍥㜳㈹收㐱㌸㡡㌳㥦㍡慢㌸ㄳ㄰搴て㕦㘳㈱㤵㡢㈰搴〱㘸㥡挵㌹〱捤㤲挵㤹挸愸昵㄰㜹挵㌹ㄹ㈱㕥愳ㅤ㥢㍡㄰㈱㙥挵㔹㔸慡㌸ぢ㉣㐳搱㌸昲㐱挸㔴㡤慦㜱㌶㔶㙡㥣㐳戱㤸攲㕣㡡昳㈰㔴㑢挹攲㉣愱捦〵ㄴ㑢㈱ㅣ挵戹㠸㍡慢㌸ㅣ㥡敥挷ㄵ㉣愳昲ㄲ〸㌵〵㑤戳㌸㤷愲㔹戲㌸㤳ㄹ戵ㅥ㈲慦㌸㤷㈳挴㙢戴㘳㔳㔳ㄱ攲㔶㥣㔹愵㡡㌳搳㌲ㄴ㡤㡢㑦㐷愶㙡㝣㡤敢戰㔲攳㝡㡡㤵ㄴ㌷㔰慣㠲㔰㠷㤵㉣捥㙡晡摣㐸戱〶挲㔱㥣㥢愹戳㡡挳愱昶㝥㕣挱慤㔴晥ㄹ㐲ㅤ㠶愶㔹㥣摢搰㉣㔹㥣㐳ㄹ戵ㅥ㈲慦㌸㜷㈲挴㙢戴㘳㔳㠷㈳挴慤㌸愳㑢ㄵ㘷㤴㘵㈸ㅡ攷㍦ㄲ㤹慡昱㌵ㅥ挰㑡㡤〷㈹ㅥ愲㜸㤸㘲㍤㠴摡摦㉡㑥昱〱㜹〳㝤㌶㔲㍣ち攱㈸捥攳搴㔹挵㤹㠱攴晤戸㠲㈷愹㝣ち㐲捤㐴搳㉣捥搳㘸㤶㉣捥㔱㡣㕡て㤱㔷㥣㘷ㄱ攲㌵摡戱愹㔹〸㜱㉢捥㤰㔲挵ㄹ㙣ㄹ㡡㥥㕢愴㤰愹ㅡ㕦攳㘵慣搴㜸㠵攲㔵㡡搷㈸㌶㐱愸摤慣攲㙣て㉦㝥摢づ挸㙦搰攷㑤㡡户㈰ㅣ挵㜹㥢㍡慢㌸㘹㠴昴攳ち摥愱昲㕤〸㤵㐵搳㉣捥㝢㘸㤶㉣㑥㠶㔱敢㈱昲㡡昳〱㐲扣㐶㍢㌶㤵㐳㠸㕢㜱晡㤴㉡㑥㙦换㔰昴ㅣ㠶㤷㜵搵昸ㅡ㕦㘰愵挶㤷ㄴ㕦㔱㝣㑤昱つ㠴敡㙥ㄵ〷㑥昹ㅦ攳㕢晡㝣㐷昱㍤㠴愳㌸㍦㔲㘷ㄵ㠷㡦㜶晡攱㙢晣㑣攵㉦㄰㡡㡦㜴捣攲晣㡡㘶挹攲ㅣ挳愸昵㄰㜹挵㔱攵㉣㑥㍢㌶㔵㡦㄰户攲㝣晦㑢㠹㉢攴敦㉣㐳搱㜳愵㐶㘴慡挶搷昰㘲愵㐶㜷㡡ㅥㄴ㍤㈹㝡㐱愸㉦ㄱ敡㝥㙦挵改ㅥ㐶㙦㡡㍥㄰㡥攲㙣㐹摤〶㘴挵扤㔵ㄳ㝥昴攳ち戶愶㜲ㅢ〸挵㐷㔴㘶㜱戶㐵戳㘴㜱收㌰㙡㍤㐴㕥㜱晡㈲挴㙢戴㘳㔳捤〸㜱㉢捥㕢愵㡡昳愶㘵㈸㝡㑥搶㡡㑣搵昸ㅡ晤㠹㝤㌷㡡〱ㄴ扢㔳っ㠴㔰慦㤴㉣捥㈰晡っ愶ㄸ〲攱㈸捥㔰敡㌶㈰㉢㡡㌳ㄷ㍦愴㌸㝥㉡〳㄰㡡㡦摣捣攲〴搱㉣㔹㥣㜹㠴戵ㅥ㈲慦㌸ㄱ㠴㜸㡤㜶㙣㙡㍥㐲摣㡡昳㘸愹攲㙣戴っ㐵捦晤ㄶ㈲㔳㌵扥挶㝥挴扥㍦挵㜰㡡ㅡ㡡ㄱ㄰敡㐱慢㌸愷挱㡢摦戶㘳捥㐸晡㡣愲ㄸつ攱㈸捥㔸敡㌶挰ㄷ挵㔹㠴ㅦ㔲㥣昱㔴㑥㠰㔰㈷㐲㘵ㄶ㘷㈲㥡㈵㡢㜳〲摣㡡㡢㌳〹㈱㕥愳ㅤ㥢㍡〹㜱㙥挵㔹㔳慡㌸㌷㕡㠶愲攷㤸愷㈰㔳㌵扥挶愱挴㝥ㄸ挵攱ㄴ㐷㔰ㅣ〹愱慥户㡡〳愷晣㡦㜱ㄴ㝤㘶㔲捣㠲㜰ㄴ㈷㐵摤〶㜸愳㌸愷攲㠷ㄴ㈷㐳㘵ㄶ㐲㥤づ㤵㔹㥣ㅣ㥡㈵㡢㜳ㅡ摣㡡㡢㔳㠷㄰慦搱㡥㑤㥤㠱㌸户攲㉣㉤㔵㥣ぢ㉣㐳搱㘳搹㌳㤱愹㥡㈸㥡戱㔲愳㠵愲㤵㘲㉥挵㍣〸㜵㑥挹攲捣愷捦〲㡡㠵㄰㡥攲㥣㐰摤〶㘴㐵㜱昸愴㔷㡡㜳ㄲ㤵㈷㐳㈸㍥攱㌵㡢㜳ち㥡㈵㡢㜳㌶㘱慤㠷挸摢慤㑥㐷㠸搷㘸挷愶ㄶ㈳挴慤㌸昳㑡ㄵ㘷慥㘵㈸㝡捣㝣ㅥ㌲㔵攳㙢㥣㐷散攷㔳㉣愱戸㠰㘲㈹㠴㙡戲㡡昳㌱扣昸㙤摢慤㉥愲捦挵ㄴ换㈰ㅣ挵戹㤴扡つ昰㐵㜱捥挷て㈹捥㜲㉡㉦㠷㔰ㄷ㐰㘵ㄶ攷ち㌴㑢ㄶ㘷〹摣㡡㡢㜳㈵㐲扣㐶㍢㌶戵ㄴ㜱㙥挵㌹戲㔴㜱㡥戰っ㐵㡦捤㉦㐲愶㙡愲㔸㐵散㝦愲㔸㑤㜱㈳挵ㅡ〸㌵捤㉡づ㙦㍡昹㙤㉢捥捤昴戹㠵攲㔶〸㐷㜱㙥愳㙥〳㝣㔱㥣㡢昱㐳㡡㜳〷㤵㜷㐲㈸㍥㠱㌷㡢戳ㄶ捤㤲挵㔹〶户攲攲摣㠳㄰慦搱㡥㑤㕤㡡㌸户攲㡣㈸㔵㥣ㅡ换㔰㌴つ㘰㌹㌲㔵ぢち㘲㝦㠴㘲〳挵㐶ち搶㐱敤㙤ㄵ〷㑥昹ㅦ攳㜱晡㍣㐱昱㈴㠴愳㌸㑦㔳户〱摥㈸捥攵昸㈱挵㜹㠶捡㘷㈱搴ㅦ愱㌲㡢昳ㅣ㥡㈵㡢㜳〵摣㡡㡢昳〲㐲扣㐶㍢㌶㐵〶摤㡡㌳戰㔴㜱㜶户っ㐵搳ㅡ慥㐲愶㙡愲搸㐴散慦㔳扣㐱昱㈶挵㕢㄰慡㕦挹攲扣㑤㥦㝦㔲扣〳攱㈸捥㝢搴㙤㐰㔶ㄴ攷㙡晣㤰攲扣㑦攵〷㄰敡㕡愸捣攲㝣㠸㘶挹攲㕣〳户攲攲㝣㠲㄰慦搱㡥㑤㕤㠷㌸户攲昴㉡㔵㥣㥥㤶愱㘸㥡挶㑡㘴慡挶搷昸〶㉢㌵晥㐳昱㉤挵㜷ㄴ摦㐳愸㙥㈵㡢昳㈳㝤㝥愲昸ㄹ挲㔱㥣㕦愹摢㠰慣㈸捥つ昸㈱挵攱㥣ぢ㐳㐱㈸捥昸㌰㡢㔳㡥㘶挹攲慣㈲慣昵㄰㜹〷㘴捥㐵昵ㅡ敤搸搴㙡㠴戸ㄵ攷㥢㥦㑢㕣㈱㝦㙤ㄹ㡡愶㥤慣㐱愶㙡㝣㡤㕥㔸愹㔱㐵攱愳攸㑤搱〷㐲㝤㡡㔰㕥㈱㜳㤸㠴摦戶㘳捥㤶昴搹㡡㘲㙢〸㐷㜱戶愵捥㉡づ㘷戲㐸㜱戶愷戲㉦㠴扡〵慡㕤昱㉤㌳㜶㐰戳㘴㜱㙥愶挷㝡㠸扣攲散㡣㄰慦搱㡥㑤摤㡡㄰户攲㙣㉡㔵㥣搷㉣㐳搱㌴㥡摢㤰愹ㅡ㕦㘳㈰㔶㙡散㐱㌱㠸㘲㌰挵㄰〸昵愲㔵ㅣ㌸攵㝦㡣愱昴搹㡢挲て攱㈸㑥㤰㍡慢㌸㥣㤹㈳挵〹㔳ㄹ㠱㔰㜷㐲戵㉢㜳ㄹ㔱㌴㑢ㄶ攷づ㝡慣㠷挸㉢㑥〲㈱㕥愳ㅤ㥢㕡㡢㄰户攲慣㉦㔵㥣㠷㉤㐳攱戴愰ち㍥㘴㉦㝣捣㈹㤳㠳敤〹ㄳ㡥愹ㄸ扤攰散挹㑤㙢慣㙢㙤改㥥慢㤹摢摡㌴扡慥㜵㘴㑢㙢㡦ㅣ〴ㄶ㈵㘴㝢㤹㕢攰〸ㅡ㥣㥢㕥㤷㍤㝥㉡ㅥ昴敤㕣㙣挲扣改摡戹㉤慤㑤昲〴㜷愷㘲晢挸愶〳㥢㕡㐷搶戵攰㌱摤㠲晥㉥㘶搳㜲挸散㙣㈳㈶扢㌴㘳捥换收㥣㥡收捣挹㘶㕣㌰㑥㘹㥡摢㥣捥㡥ㅢ昹扦㌰㕤㐶㤹㡦愲换昰戴㔳㈹っ㡢㤴㥥ㅥ攲愸晢㡥攰愶ㅣ㑦㐸搵敦㥣㙤戱ㅥ昱㘵㐶㉤㌶扤㌲㈴挱愶㙥㡣攴㘶攸㉤慢㔸〷㔵晢㥢㠸㘳〲㑥㜷㌸㝢㜳愰搵搴昵戴㘶㜸㡤㙢㙣愹换㘴扤㔶敢㠰扡挶㕥搶攲愴戹慤㜹㤶攴晣㉤㉣ぢㅥ攳㑥㙡〴昵改㘴㜳收㝦㠱ㄵ㜴っㅦ㤳ㄲ攵挱扦摦㔷㘸㌳㑤㔹搹ㄷ晡晤㤶㉦㑥挶捥㍥捡慡昵扤㌰扢㍥㔵户㜷㐷㉣㌸收㉦㔵挱扦㈷换㙤慢㉢搹㍡㈰㥢㙣ㄴㄶ愶戴㘶㐶㘶攷昵ㄲ㡦㉣㌶㜰扣慥㔰㥦摤㈲扦㈹㤳㉢㡣㕣㑤慡愵愹㝥㙥㙢戶㤷扤㈴㍢扡㤱㥢㥣挵㌳㜲捣㐵敢㘱㉦ㅤ㤴㙥挵㙣㍤㍢ㅦ攷㤹晤敦㌰㠴㡡㜴戵㔸㔲挲㤳愷㥤㡤㌷扦ㄳ摣㠷㝥㈷慢慡慣㉣㈷㥦捦昶㔷㔷㕣捥捦㡤晢㤷改〵㉦㍦㘵ㄵ昷㈱㝤挷㈷㥢㜱㑦摡㐲捦㠱㌴㡦㜰㜲昰敡愱㜵㥣攷搵㌳㈷挷㍤㑣收攴㥢㉡㔵摣㜵敡昱ㅡ㔱㙢㕤㍡㔹㕦扦愰㔷㙥㕣㘳扡㝥㙥㈶㍢㌱㤹捡搶敢㘳㜶㔳㜳挳晦〸㕦㕤㔱㌵㙢㡦㙡愷㉥搶っ扣㜱㤸慤愱愷戶晤敥挳㥣㌲㐶㘳㑦昳㡣㠱愸搸户㘶㝡㤰捦挶扤挶㔸㙢敦攳散戲晦昳晣㍥㉦㠲晡戴捤㑥㤵搷㠰㜰㠰㉢㔲昱挸挶戹㑥昶ㄴ㐱搹敦ㅣ㙥ㄳ㥢㈶㌶㘱晡㘶挶愱ㅡ㕢㘷慡晥㘷昶㉥搹戱㍣ㅥ捦敦㍤捤愰㔶昸㝣㘱捤戴挰愱捦㙣敦捦㌳つ㜷㤱〷搱㉥㥣㈵攵戸ㅣ㤱㉢〰㌹ㄴ晡攰㔸挵攳㤸㜹昹㌰戵慥戵㍥摢㍤㈷㜶㔹慥攴㡥挱㙡㜶换㑤㥤㡤ㄹ㐷㈳㝢收挶㌴搷㘵敡敢ㅡ戳扣ㄴ挱㜴㘲扥㝡㌵㌱㝢㌴㈶扥ㅥ搴搴㔲挷㌷ち㝢收愶㌶㈷ㅢ㕢收㜰㘲㔹㝡㐱㥦扣㤶㤰㔵㤱ㅢ㔱搷㠸摤挸㕣㈷㤷慢㜲㔳㘶㌷ㅤ㡦㤷ㄲ攷㌶㌴㡥㐹捥㘹昹㥦㈰㡡㝢㤵昹㌱㡦㠳攵慡扣㕣㔵㤶㔷晥摥㌳㤶㘷ㅣ昶㡦㥤㙡㥢㕡㕡慢敤㘹㤰挷敦搵㔴㍤戹慥攵搸㙡敥㤶挳慡愳戸㙡㈸㉢ぢ㘲慤攵ㄴㄶ㥢て㘱愹㥤ㅤ㥢㐴㕡㌳㤳戹㘳ㄳ㜶摥㍢㜸慥搳㈲敤㤷㍥㜹戰㌶挶〳㔹㡦〹㄰攳挷㑣ㅢ搷㌶㥦晤晦敢つ捡㡡㠷㤱戹㥤㜳㠶㙣㌹昶攴搹慤攰摣换摣㥡愸攳挶㘵挸㐶挱㔶攱ㄶ敡捤㠹て㌷㔶㥣㘶改捥挵搱㤸搶搸〳挷〶ㅣ愳㔱㕦ㅣ㥣㝢㤹つ㕥昷㌵㈴敢㕢㉣㕢㙤㔳㐳㐳㤲㕢ㅦ户摣㈹㌸挰㘷㉢攵㈲ㅣ〷ㅢ㈳〷㈱㥢愸愵㑡捥㠷㉡㌹㕦㔴㌸㙦㜳㐲扣㉣㌳㔷搳搱挹收扡搶搹つ㜵改㑡㌶㌸㘹晤㝦㘲戳挵㈶搴ㄵ挵搴ㅦ搹㜶㜱㐵㕢㌸昵搴㥣㉤〹扡㠷攲㈶㠳愵㈳晤搸戸换攵㘴慦㝥攷㙣㘳㙣扥㜲㈳㘶ㅣ㠰㙣ㄵㄸㄶ㤰慢㘰挱攲戸㔲挳㈶㉡挷㈹昵〸ㅤ昰㌵づ㠴㍢ㄷ昸敤扡ㄱ愲摤〹愰摤攰攰㥤搸㤴捣㡣挶㝢つ㑤捤摤慣㌷㝥㉢㐱㉤㡦㍡捤㍥㑥晡慤挵㡣㜹捣挴㥦㠷ぢ收收㑡㉡愶㘰㍡㙤㔷㑥ㄷ昶㤸ㅣ昲㥣㔹㔶㔱搱扤搲㙤㕤攳㜴慥晥搶攴㐸攷ㅢ搳攳㡡昲晦晢攰㌸ㅦ㡢愰㕢攸㐸㤹㌱〹搲㌸㠸㝤㝡ㄴ㑤昶愷挰攱㘰㍡㑣㠶愸㜸ㅣ挶挲扤愴攴〴㔹〴㤴㔵㌴㜰攲㙥㘵〳扢㠳敢ㄲて愶昳㘲〲㌰㑡攲改㕥昹ㄸ散挶ㄴ㜸㍤晢捣㌳晢㘲戹㑣㜱〶敡㐶㝣戹㝥敥敡㕥㉦㡢㘷㑣㠵㡦㌱つ㐲晤つ㑤㤹㈲扥ㅥぢ㤸搷〳㥤扥㜳㌹ㄴ换㌸㥢愸ㄷ愱攲摤㡢晥㌸㤸挴㔹晦㌰换敢㈵㤸㜹摤㑤づ㌷㜷つ愷晥づ㍦㕥挷㈹攳㜰㠴㝢㡥㠰愸搸㜷㐴㙤㌰〶㥤搷㌸搲㑡昹㌲㕡扣㤸㌰㍦㈵㑦㜷敡㔵㌸昰㤴㔷㠶㡢〸慣扤攰昸愹㕥㠳㠵挷㔰㘳〶昲慡㑤㔸攲愱〹㥥收愶㍡㤳㉢摦散愶晡㠶㐴㈰挹㉣戸敢㡦㝡ぢ㑢ㅢ昱㉤愰㌷〹ㅦ㈳〵愱晥攱敥㤰愶㐳㠶づ㙦挳㠱摢㠰㤱㐵换愶敤㕤㐷㤸㠱㘵㡢戶ㅣ挳㡥㘶搸扦愱㜴搰㔶〷㥤愶敤ㄸ㉣㤳戶㑦愱㉡㑤摢戱㤶搷㘷昰敡㌰㙤㥦挳搹愴慤ㅥ攱㥥〶〸㕥晦〵ㄲ搰㝢㡤㐶㉢攵ㄷ㘸㜵㠴戶慦攰㈷戴㜹㥡㄰搹晥㤹ㄱ㥣扡㌰晢㌵㌲〸戳㜳㤰㐰㝤㠳㔶ㅥ戳捤挴户㔹㘶扦㐵ㄸ㡦㍢㐶ぢ㤳㔸つ昵㍤ㄶ㌶攲㕢挰㉣㝦㐹㠲㌱㤷㡥㍦戸㍢捣愳挳昱㜴昸ㄱづ挲散㝣戴㙣㘶㝦㜱㠴㌹㜶挸〵っ㕢挸㌰て㈰㌸㤸㍤〱㍡捤散㠹㔸㈶戳摤攰㔲㥡搹㤳㉣慦㑡㜸㜵㤸㔹㑥㤳㌵㤹㍤ㄹ攱㥥㔳㈰攴捡㍥㠲戵㝢㡤㔳慤㤴㕥㜸㜵㠴㔹㑥愸㌵㤹㍤つ㤱敤㌳ㅢ㐷昷㡡昷㔹捥挶ㄵ㘶㑦㐷〲搵ぢ慤㍣㘶晦㐰㝣㥢㘵搶㠷㌰晣㉦㌳捥㘴ㄲ搶㤱㕦捥摦摤㠸㠵〲㘶捦㠲㡦㜱㌶ㅤ㌹户搷挵攱ㅣ㍡㉣愶挳㤶㜰㄰㘶捦㐵换㘶㤶ㄳ㝡㜵㤸㠳搹昳ㄸ㜶㍥挳慡攱攰㘰昶〲攸㌴戳㑢戱㑣㘶晢挱愵㌴戳ㄷ㕡㕥扢挰慢挳捣敥ち㘷㤳搹㡢㄰敥戹ㄸ㠲㠷摡ㄸ慥㌵挱散㌲㉢㘵㝦㜸㜵㠴搹〱昰ㄳ㘶摤て戵扢挳㉣戴㕤㠲扣㙡㈰㕡㜹戴㕤挶㤵㙦㤶戶㐱〸挳晦㠲㐳㉤㘷ㄶ㙦㠴戶㠰戶换㤱搲戸㠲㙢攳慣㘳ㄷ㠷㍦搲㘱〵ㅤ㠶挲㐱㘸扢ㄲ㉤㥢㌶㑥㌵搶㘱㡥㐳敤㔵っ扢㥡㘱挳攰攰愰敤㕡攸㌴㙤搷㘱㤹戴㜱搲㜰㘹摡慥户扣昶㠱㔷㠷㘹攳散㘳㤳戶㤵〸昷摣〰㈱㍢愴㕦㘸㕢㘵愵摣て㕥ㅤ愱㙤㌸晣捣ㅤ昲㑦㠸㙣㝦㠷挴捤㍣扣ぢ㑦愲㌵搰〹戳慢㤱㐰㡤㐰㉢㡦搹㌵挴户㔹㘶㐷㈲っ晦昱㑡㉦㤳戰㡥晣㡥㠶摣㠸㠵〲㘶㙦㠶㡦㜱ぢㅤ挷戸㍢摣㑡㠷㍦搳㘱㉣ㅣ㠴搹摢搰戲㤹攵㍣改㡤㔶㕥挷づ㜹㍢挳敥㘰搸㔴㌸㌸㤸㕤ぢ㥤㘶昶㉥㉣㤳㔹捥㜸㉥捤散摤㤶搷㜴㜸㜵㤸㔹㑥㥤㌶㤹扤〷攱㥥㜵㄰挲㙣っ㙢昷ㅡ昷㕡㈹㌹户扡㈳捣ㅥづ㍦㤳搹晢㄰戹㜳扢户㤷〱㙣㍣㜰㉦愴㤶㔳戴㠵摡晢㤱㐱ㅤ㠹㔶ㅥ戵てㄲ攰㘶愹㍤ち㘱昸㡦愹㥡㑣挲㐲昲㍢ぢ㜲㈳ㄶち愸㝤ㄸ㍥挶㝡㍡㈶摤ㅤㅥ愱挳〶㍡愴攰㈰搴㙥㐴换愶㤶戳扣㌷㕡㜹ㅤ搴㍥捡戰挷ㄸ搶〸〷〷戵㑦㐰愷愹㝤ㄲ换愴㤶昳戵㑢㔳晢㤴攵㌵〷㕥ㅤ愶㤶ㄳ扦㑤㙡㥦㐶戸攷㉦㄰㍣搶〶攲㔸扢搷㜸挶㑡挹㤹攱ㅤ愱㤶户昲㐲慤晢戱㤶㤳挷㠵戶㘷㤱㔷捤㐳㉢㡦戶攷戹昲捤搲挶搹收昸㕦㘶晣ㄵ敥晡愳ㄶ㐲戵ㄱ慤〲摡㕥㠰㡦昱㌷〸挵愹攸㉥づ㉦搲攱㈵㍡㥣〰〷愱敤敦㘸搹戴㜱晥戹づㅢ㠰晣㕥㙦㙦㐸攳㘵㠶扤挲戰戳攱攰愰敤㌵攸㌴㙤㥢戰㑣摡㌸㤳扣㌴㙤慦㕢㕥㡢攱搵㘱摡㌸㈵摤愴敤つ㠴㝢摥㠴㤰㔳愴㌹慣昹㤶㤵㤲㜳搶㍢㐲摢ㄲ昸戵㐳ㅢ愷戵ぢ㙤晦㐰㕥戵ㄴ慤㍣摡晥挹㤵㙦㤶㌶捥㠳挷晦㠲㔳攴㌲愸㌶㐲㕢㐰摢扢㐸㘹扣挷戵㜱㤲扣㡢挳扦攸昰㍥ㅤ㉥㠵㠳搰昶〱㕡㌶㙤㥣ㄹ慦挳ㅣ愷挸てㄹ昶ㄱ挳慥㠳㠳㠳戶㑦愰搳戴晤ㅢ换愴㡤㜳摣㑢搳昶愹攵戵ㄲ㕥ㅤ愶㡤㤳攵㑤摡㍥㐳戸攷㜳〸戹㠹っ㘰敤㕥攳ぢ㉢攵㉡㜸㜵㠴戶搵昰㙢㠷㌶㑥戸ㄷ摡扥㐴㕥戵〶慤㍣摡扥收捡㌷㑢ㅢ㘷攸攳㝦〱㙤户㐲戵戱㤸戶晦㈰愵昱㉤搷挶改晢㉥づ摦搱攱㝢㍡摣〶〷愱敤〷戴㙣摡㌸㘷㕦㠷㌹㘸晢㤱㘱㍦㌱散〱㌸㌸㘸晢〵㍡㑤摢慦㔸㈶㙤㥣㝤㕦㥡戶摦㉣慦㠷攰搵㘱摡㌸㡤摦愴㡤て㘸㍤ㅣ慤㤲昳㕦㐲㘸㉢㐷㤳㉢㕥て慦㡥搰戶〱㝥㐲㥢愷ぢ㈲㌷㜳晥㜳扦㡢攴敢〲㐲㉤㝥搳ㄸ㐶㙣搰捡愳搶㐳㠰㥢愵昶㜱㠴攱㍦㕥㍤㘴ㄲㄶ㤲摦㈷㈱㌷㘲愱㘰㡦慣㠴㡦挱㕦㥡愷昸昲㠱㡢㠳㤷づ摤改昰㌴ㅣ㠴摡ㅥ㘸搹搴昲㡤〳ㅤ戶㈳昲㕢攳〳㍤ㄹ搶㡢㘱㉦挳挱㐱慤て㍡㑤㙤㙦㉣戳挲㝣㜷愰㌴戵㝤㉣㉦扥㕣搰㘱㙡昹ㄲ㠲㐹敤ㄶ〸昷㙣〹㐱㙡㐳收ㅥ戹㤵㤵㜲ㄳ扣㍡㐲敤ㅢ昰㌳愹摤ㅡ㤱㥢愱㌶㡣晥ㄵ㕦摡昰㘵〷愱㜶ㅢ㘴㔰㙦愱㤵㐷敤㜶〴戸㔹㙡摦㐶ㄸ晥攳昷づ㌲〹ぢ挹敦㍢㤰㥡〲愶戰㠶晥晡挲挷搸㠱㡥㝣㜵挲挵㘱㐷㍡散㐴㠷昷攰㈰搴敥㡣㤶㑤敤〷㡥㌰〷戵搵っ敢挷戰㉦攰攰愰㜶㔷攸㌴戵晤戱㑣㙡昹收㐳㘹㙡㜷戳扣昸㙡㐴㠷愹攵㉢ㄴ㈶戵〳㄰敥搹ㅤ㠲〷㕢㡢摡㠱㔶捡㙦攰搵ㄱ㙡扦㠵㥦㔰敢㝥㘹挳搷㌰㠴戶㍤㤰㔷昱㝤㡣㍣摡〶㜳攵㥢愵敤㐷㠴攱㝦挱挱昶㘷愸㕣㔸搹ㄳ㈹㡤愱㕣ㅢ㕦敡㜰㜱搸㡢づ㝥㍡晣ち〷愱㉤㠰㤶㑤ㅢ摦攴搰㘱㡥㠳㙤㤰㘱㈱㠶㜹攱攰愰㉤〲㥤愶㉤㡡㘵搲挶㜷㌲㑡搳ㄶ戳扣㝡挰慢挳戴昵㠴戳㐹㕢ㅣ攱㥥〴㠴㥣㈳捤㠳敤㌰㉢㘵㉦㜸㜵㠴㌶扥〶搲づ㙤㝣㐱㐴㘸摢ㅢ㜹㔵ㅦ戴昲㘸摢㤷㉢㠷㔲扡㡤ㅦ㜹戳㌷㔰㔴昳㤹挰㤶昰㐰愳㠰㌶扥㔲愲换换ㄴ搶摥戶㍦㔲ㅡ挳戹㌶扥㙥攲攲㔰㐳㠷ㄱ㜴搸ㄶづ㐲㕢㉤㕡㌶㙤㝣挷㐴㠷㌹㘸ㅢ挹戰㔱っ敢て〷〷㙤㘳愰搳戴㡤挵㌲㘹摢つ㉥愵㘹ㅢ㘷㜹つ㠰㔷㠷㘹攳㙢㈷㈶㙤攳ㄱ敥㤹〰㈱㝢㥢㐹摢㐴㉢攵㐰㜸㜵㠴戶㐱昰㙢㠷㌶扥扡㈲戴ㅤ㠰扣㙡〸㕡㜹戴㑤攲捡愱㙣㥦戶愱昰㈸愶㡤㉦扢攸昲㌲㠵㐵摢挱㐸㘹㑣收摡昸㈲㡣㡢挳ㄴ㍡㑣愵㐳㄰づ㐲摢㌴戴㙣摡昸昶㡢づ㜳搰㌶㥤㘱㠷㌰㙣㍦㌸㌸㘸㍢っ㍡㑤摢攱㔸㈶㙤㝣㘰㔳㥡戶㈳㉣慦攱昰敡㌰㙤㝣㈱挶愴敤㐸㠴㝢㘶㐰挸愵㡤㌹搶㜶㤴㤵㤲㙦捣㜴㠴戶㤱昰ㄳ摡㍣㌳ㄱ搹晥愰つ㌶っ㔴扦昰捥㝥ㄴ㌲〸戳戳㤰㐰㡤㐶㉢㡦搹ㄴ昱㐱搹㍥戳㘳攱㈱捣愶㤹㠴摥晣㡥㠷㔶㌳挰ㄴㄶ戳ㄹ昸ㄸ㔹㍡昲㉤ㅥㄷ㠷ㅣㅤ㡥愶挳㐴㌸〸戳戳搱戲㤹㥤攴〸摢㔱昲捡〳慢㍡㠶ㅤ挳戰㐳攱攰㘰戶ㅥ㍡捤㙣〳㤶挹㉣㕦挲㈹捤㙣愳攵㜵㌸扣㍡捣㉣摦收㌱㤹㙤㐲戸㘷づ〵㥦㝣〴㔸㜲慦㜱㥣㤵㤳敦晢㜴㠴摡愳攰㘷㔲摢㡣挸昶㉦㙤㠲敥㤷㌶㝣㙤㐸戸㙤㐱〶㌵ぢ慤㍣㙥攷㐲扢㜹㙥昹㥥㤱㜰㍢㡦㐹㔸㐹㝥㌳搰扡㔰㜷㍣㝣㡣昹㜴捣扡㍢㉣愰挳㐲㍡攴攰㈰摣㉥㐲换收㤶㙦ㅥ改扣㡥扤昶〴㠶㥤挸戰㘶㌸㌸戸㍤ㄹ㍡捤敤㈹㔸㈶户㝣㠷愸㌴户愷㕡㕥慤昰敡㌰户㝣ㄹ挹攴昶㌴㠴㝢㑥㠷攰挱㌶㙣㕥戵㥥㘱愵攴摢㑡ㅤ愱㜶㍥晣摡㌹搸昲㠵㈶愱敤て挸慢ㄶ愲㤵㐷摢㔹㕣㌹㤴敤敦㤲㝣〳㑡㘸换㝢ㄸ㜹ㄲ戴扡扣㑣㘱敤㤲攷㈰愵戱㤸㙢攳敢㔱㉥づ攷搲攱㍣㍡㥣〲〷愱敤㝣戴㙣摡昸㑥㤴づ㜳搰戶㠴㘱ㄷ㌰散㍣㌸㌸㘸扢㄰㍡㑤摢㐵㔸㈶㙤㝣扢愹㌴㙤ㄷ㕢㕥㑢攰搵㘱摡㉥㠰戳㐹摢㌲㠴㝢㉥㠱㤰㥢つ㜳㠴晣㔲㉢㈵摦愳敡〸㙤ㄷ挱捦摣㈳㉦㐳㘴晢㝢㘴挰㝤㠸㥣慦㘳〹戵换㤱㐱㉤㐳㉢㡦摡㉢〸㄰捡昶愹攵晢㕢㐲敤ㅦ㤹㠴摥晣㉥㠷㔶㔳挰ㄴㄶ戵㉢攰㘳㕣㐹㐷扥摣攵攲㜰ㄵㅤ慥愶挳ㄵ㜰㄰㙡慦㐱换愶㤶㙦㜴改㌰挷搱昶㕡㠶㕤挷戰㔵㜰㜰㔰扢ㄲ㍡㑤敤つ㔸㈶戵㝣㌷慢㌴戵慢㉣慦搵昰敡㌰戵㝣挹换愴昶㑦〸昷慣㠶㈰戵搶㌸敡㡤㔶捡㌵昰敡〸戵㌷挳捦愴㜶つ㈲摢㍦㡦㘲㥦㐷挱ぢ捦愳㝣㤷㑣㤸扤〹〹搴慤㘸攵㌱㝢ぢ昱㐱搹㍥戳㝣昹㑣㤸扤㤵㐹攸捤敦ㅤ搰㙡〶㤸挲㘲昶捦昰㌱㙥愳㈳摦㑣㜳㜱戸㥤づ㜷搰㘱㉤ㅣ㠴搹㍢搱戲㤹攵敢㘸㍡捣挱散㕡㠶摤挵戰昵㜰㜰㌰㝢て㜴㥡搹㜵㔸㈶戳㝣戱慣㌴戳昷㕡㕥㝣昳慣挳捣昲つ㌵㤳搹晢㄰敥戹ㅦ㠲挷摡㘸㡣㕤㌷ㅥ戰㔲昲戵㥡㡥㌰晢㌸晣㠴㔹昷摢㐸扥攵㈶戴㍤㠸扣敡㐹戴昲㘸㝢㤸㉢㠷戲㝤摡㥥㠶㠷搰㤶㜷慣㝤〶㕡㕤㕥愶戰㘸㝢〴㈹㡤つ㕣ㅢ摦㤹㜳㜱搸㐸㠷㐷改昰ㅣㅣ㠴戶挷搰戲㘹攳㡢㜲㍡捣㜱慣㝤㥣㘱㑦㌰㙣ㄳㅣㅣ戴㍤〵㥤愶敤㘹㉣㤳㌶扥昲㔶㥡戶扦㔸㕥㝣㈷慥挳戴昱摤㌹㤳戶㘷㄰敥㜹ㄶ㐲㘸挳愵〹㘸㝢捥㑡昹ㄶ扣㍡㐲摢摢昰㙢㠷㌶扥㝦㈷戴㍤㡦扣㡡㉦攲攵搱昶〲㔷づ㘵晢戴扤〷㡦㘲摡摥㠷㔶㤷㤷㈹㉣摡㕥㐴㑡攳㈵慥㡤㙦昳戹㌸晣㥤づ㉦搳攱㐳㌸〸㙤慦愰㘵搳挶㔷昸㜴㤸㠳戶㔷ㄹ昶ㅡ挳扥㠱㠳㠳戶搷愱搳戴扤㠱㘵搲挶㤷昱㑡搳昶愶攵挵户昵㍡㑣ㅢ摦敡㌳㘹㝢ぢ攱㥥㝦㐰㤰戶㤸戹户扤㙤愵晣ㅥ㕥ㅤ愱敤㐷昸戵㐳ㅢ摦っㄴ摡晥㠹扣㡡慦〸收搱昶㉥㔷づ㘵晢戴晤ち㡦㘲摡捡扡戴㤵㤷㈹㉣摡晥㠵㤴挶晢㕣㥢㜲㜷昸㠰づㅦ搲愱ㅣづ㐲摢㐷㘸搹戴㔵㌸挲ㅣ戴㝤捣戰㑦ㄸ搶ぢづづ摡㍥㠵㑥搳昶ㄹ㤶㐹㕢ㄵ㕣㑡搳昶戹攵攵㠳㔷㠷㘹敢つ㘷㤳戶㉦㄰敥昹ㄲ㐲㙥㈳捤扤敤㉢㉢㘵ㅦ㜸㜵㠴戶㉤攱㈷戴㜹扥㐶㘴晢愷㍦㙣ㄸ愸㝥攱改㙦㉢㘴㄰㘶扦㐱〲戵㌵㕡㜹捣㝥㑢㝣㥢㘵㜶㕢㠴〹戳摦㌱〹敢挸敦昶搰㙥挴㐲挱〰昹昷昰㌱㝥愰㘳㕦㜷㠷ㅦ改昰ㄳㅤ㜶㠰㠳㌰晢㌳㕡㌶戳㍢㍢挲㜶㐴㝥㙢㠰晣ㄷ㠶晤捡戰㠱㜰㜰㌰㕢㔶㐱㌴收ㅢ㕢晣㠳ㄶ㘴㜶て戸㤴㘶戶摣昲ㅡ〴慦づ㌳㍢ㄸ捥㈶戳㕤㄰敥改ち挱ㅤ㌲㘴づ㄰㔴㔸㈹㠷挰慢㈳捣づ㠵㕦㍢㍢攴㕥㌰ぢ㙤ㅥ攴㔵㝥戴昲㘸慢攴捡㌷㑢㕢㄰㘱㐲㕢摥改㉦っ敤挶㘲摡扣㐸㘹㜴攷摡㈲敥づ㍤攸搰㤳づ㔱㌸〸㙤扤搰戲㘹㑢㌸挲ㅣ㍢㘴ㄵ挳㝣㄰ㄵ戵㜰攸搸㥢㝣ㅣ㌶昰㌹㕥慦攴㤴昲㤶摥戹㠳攷㈶敢昱户㘶㈶攱ㅤ㥦㔶慡晥ㄷ收㙣㜷㌵摦戴㉡晣〵昰昹㝦㠲〶㉦㈹㑡ㄷ㡥㤸戱ㄳ㝡㔶㔸㠳㝣㕦慢㙦㉤昴晣㝤㙦㘲㜹㉢㍥晦昱户摦㍡戶ㄶ㙥ㅥ摤收昱㜷ぢ捦㥣㔹㔶挹㜵㠲㈴㕣ㄶ昴〱㘱摣㡦㐶愲㈹㥢㔰摥ㅣ㠳㔱㙥摡㡡搱搰戶昳慥㐳挱㑢㑣捣扡㐵摢捣㙣捥挱ㅦ㕣捦扦㘴攵㌶愵㍢晦㤵㠷㉤〱㑥㡤㜵挳愰挶㙢敤搶昴挱㉡昸慤㌸〰摡捤㑥愲挷㤱〵敦㙤㜲㍡晤㤴搶〵昵㜸㠵㠱㡢晣㝤扣收ㄲ攷㙣㥢㘶㠰㙥㙡敥㡡㔷㔴ぢ㝦〳户ㅤ㝢㌷㔲㜵摦戲攰㌷㥥㑢ㄸ㉤ㄳ㠰愶攲㈳㔰㔴㌲㥥愰摢㔸㘱っ㍦㥥㙤搱愷㉤て愸㑢㌷㌷戵㌴攵㕡慢愷攰㑤㥤㙡晥づ晣ㅣ摥搹慡愹昸〰ㄹ㕤搷挹㡥㜵㙤攴㥦㘵ㄲ愲扤挷㌶㌶ㅤ摦㈸㘸㉡㕡昸愷〰戸㌶愳㕢㌷慥〶搷攲收㘷㔷ㄴ捥㜷㈰㠰㌲搸搸ㅥ㉢敥搹挵㌷〹㙤ㅥ㜴㍣㝤搱摥慤㜶㐴敤攴㤹攱㘴㍡㤱㑢愷晣改㘴㉥ㄱ㑥〵晤昱㜸㈸㤸㡢㘶㜳㤱㙣㈲ㅢ换挵㤲㥥ㅤ㙣搷㌸㕣晣搱㔸㌸㤷ち㠶挳〹㝦㈶ㄹ㡦〶㘲改㔴㉡ㄳ㠸挶ㄳ㠱㕣搸㜷㤰㤵摥搸ㄱ㌱挶㑥㄰扥㠳戵㙡㘷慡慡愹㥡慣㔵㜴㄰搷慡㈹㔰ㄱ戹挷挴晥摦㤳扥愹挸㡣晦㘵㥥㕤戱戲ㅥ戵㈳㘶捡敢〷㤳昱㉢晡㍤晤愱改つ㑤晥摦挱昲散〶㜵㉦愸ㅤ㙦昶昸愶㔹㔹㡣㝥㐸㘵散㑥摣搵㔸㔲㠷㐰捦㠳愲㔷扤〲敥戸搳㜲㕤㕥㘳㄰㍣戸昳ㅤ㡡愶㤰㤳㜷晣㍥捣㔵㝢㌸戴摣〱㡤㈱〸㔶㐷扡晡捣搰摡愱昴㈱〲㝥㘷㐲换ㅤ㐴扤〰〰摣㉣愱㉣昳昸攱㔲㜲㕢㔳捦挳㡤摢㕢晥昶愲㘱晡㤲㐸㈷ㅢ㑡㄰㔹捣つ㈵㤰〸㘵㌳㐹㝦㌴ㄷ㑦㠷挳攱㙣㌲ㄵ捦〴㤲挹㐴㉥ㅣ㑣㐵㤳㌹㝦挶ㄳ戲㕤挳改㔴㈶ㄹ㡡愶攰ㅦつ㘷㠳愹㔴㌶㄰㡡挴愲攱㘸㌶㥤㐸㠷晣㜱㕦捡㑡㙦㠴ㄱ㘳㐴㈰㝣㘹慤㡡㔲ㄵ愳㉡愳㔵㜴㄰搷慡㉣㔴㥤戳愱攴㤰ㄹ晦昱㌷慡戰戲晣つ㘵㙦㘸㕣㌶㤴㝤愰㉥摣㔰㡥戶戲挸㕦昵㌲昶㈳敥〱愴愸づ㝡㜳㐳㔹㡦愲户㙤㈸㌵昰攰㠶㜲っ散戲愱攴ㅤ愵㡦㜵搵搶㐳㉢ㅢ㑡㉤㠲㔵愳慢捦ㅣ慤ㅤ㐵ㅦ㈲攰户ㄹ㕡搹㔰敥〳〸扤愱ㄸ㍣㈸昱昸愳搶戹㙥ㄳ㉤〸㤲㘳挸㌸昸攱ㄸ搲㡡戶㙣ㅡ攳搱㌶㌷㡤㐴㍡ㄳ㑣㘶戲搸㍥㐲昱㜰㌰㤱㐸㠴㜳㠹㑣㉥㠹扦慥㤲捣㘴戰ㄵ㜸㈶搸慥㤹㜴㍣ㅡ㑡挵㘲愹㐸㈲㄰㑥㘴ㄳ挹㐰㌰敤捦昹〳戹㜸㌰ㅥ㡣㠴愲扥戹㔶㝡㘳㈲㘲㡣〳㈰㝣昳戴慡敤ㄸ㜲扣㔶搹㕥㔵昳愱敡㥣㑤㘳〱㌲攳㍦㝥㘳㌳㈱昱戰㘱昰㈰攱㕢愸昵㝢搲㌸㥤晡㈱㔸㔲㈷㐰㙦㤲扤㍡㡦散挳攰㐱戲㑦㠴扤㤸散㤳㕣戵㈷㐳㉢㘴ㅦ㠱㘰㜵慡慢捦改㕡㍢㠳㍥㐴挰敦ㅦ愰ㄵ戲慦㜳㈵晢ㅡ㔷戲捦㐴㤰㤰㥤㐴㉡㤰㝤ㄶ摡㐲㜶ち㙤㤳㙣㝦㈴ㄳ㑦〵攳搱㔴っっ愶㠳搹㐴㉥ㄶて㈴㐳㌹㝦㍡㥣ち攳攴攰㐹摢慥㤹㙣㉣ㅥぢ晢晤㌱㥣㔶挲攱㜸㈲㤹㡤㐶晣昱㔰㈸㤴㠸挵㈰㈳扥戳慤昴㐶〶㌱㐶ㄶ挲㜷㡥㔶戵㤱扤㔸慢攸㈰慥㔵攷㐲搵㌹㘴㥦㠷捣昸㕦㐴昶昹㕡捦㜹㠹〶晦㈸愷挱㍢㌵㜵〱昴㈶搹㑢昳挸㍥づㅥ㈴㝢㈹散㐲戶㍥戶㈲愸㑣㕤攸慡扤〸㕡㈱扢〵挱㙡㤹慢捦㈵㕡㍢㤷㍥捣挵敦㘵搰ち搹㡢㥤㘴昳ㄴ㈰㝢昶搹慥㘴㕦㡥㈰㈱㜷〱晣㑣㜲㜳搹㠰㍦敥㡦㘵戳戱㘴㈴ㅣ捡㘴攳昱㙣㉡㥡〹㐵㌲㠹㐸㌸㠱ぢ〵捦㐲摢ㄵ扢㝢〸搷つ㘱散昴㤱㌰慥〱㜰㤴捦攲㥡㈰攲攷晥ㅤ昵㐷㝤㔷㔸改㡤㐵㠸㌱㑥㠰昰晤㔱慢摡づ昲㉢戴㡡づ攲㕡㜵㈵㔴㥤㐳敥㔵挸㡣晦昸㙤攳㕣ㄹ㡦敢〶㡦攲扥慢戵㍥㐱攳ㅦ愸㡦㘳㐹㕤ぢ扤㐹敥㠲㍣㜲捦㠶〷挹攵㉢〸㐲㙥摥㘱晢㝡㔷敤㑡㘸㠵摣挵〸㔶慢㕣㝤㔶㙢敤㜹昴㈱〲㝥搷㐰㉢攴戶㌸挹戵て摢挷戹㤲㝢ㄳ㠲㘴㑦㕥㡡㔴搸㤳㙦㐶㕢挸扥㄰㙤㤳散㘴㌶ㄳ㡦㘴挲愹㐴㈴㤲挶㈹㍢㤰㡡昹攳戱㙣㈲ㄴ㑢收〲戸〲っ㜸㉥㙡㜳㡤㈶㘲攱㐴っ㐷昸㕣㍡ㅣ㑢㈵㔳戸㐸っ挶㤳㤱㑣㌰㠴搰㜴搴㜷㡢㤵摥戸ㄸ㌱挶㌲〸摦慤㕡搵戶㈷晦㔹慢㙣慦慡摢愰敡ㅣ戲㙦㐷㘶晣㉦摡㤳敦搰晡晤㘹扣㤲㜸昷㘳㤹搷㐲㙦㤲㥤捣㈳晢ㅡ㜸㤰散扢㘰㉦㈶晢㙥㔷敤㍤搰ち搹搷㈱㔸摤敢敡㜳扦搶慥愴てㄱ昰晢㈰戴㐲昶ㄱ慥㘴ㅦ收㑡昶㐳〸ㄲ戲㔷㈳ㄵ挸㝥ㄸ㙤㈱晢㐶戴㑤戲㐳昱㘸㌲㠶扦戲㥢挸㘴挲攱㕣㌲㤰〸晡〳㤱㔸㈰ㄷ㑡昹〳㌸て㈷㍣㙢㙣搷㔴㈰㤶㑢㘷愲㤹慣㍦㥡づ㈷戳㠹㜸ㄲ㑣〷晤戹㐴㍣㠱㍦攸ㅢ挸昸搶㕢改㡤㥢㄰㘳摣っ攱㝢㐴慢摡挸收ㅢ〴〴搱收㔵戵ㄱ慡捥㈱晢㔱㘴挶晦㈲戲ㅦ搳晡㔱㌴摥㐵扣㈳㔹㘶扥㤳㘰㤲㍤㉥㡦散㜵昰㈰搹㑦挲㕥㑣昶㔳慥摡愷愱ㄵ戲敦㐳戰㝡挶搵攷㔹慤㝤㠰㍥㐴挰敦昳搰ち搹戵㑥戲敤挳㜶㡤㉢搹晡㔸攳㝢〱搱挲昲㝡攴㌴㔹づ㐴㠲改㙣㌰㤲挹㠵㤳㠱戰㍦㤶㑡攵㘲㠱㔸㈴ㄷ㠹㈴愳晥㐸㍡㤸昳㍣㘲扢挶㜲挹㔴㍡㥡㐹㐵攲㐹㝦㌸ㄱ捦㈵㠳搸戵㜳晥㜰㉡㡤㉢晡㜴㉡攸晢㥢㤵摥搸㠰ㄸ㘳㈳㠴㡦慦ㄸ〸愵㡦㔲昵ㄸ㔵㉦㘹㤵敤㔵昵㜷愸㍡㠷攵㤷㤱ㄹ晦慤㡢㌰戹ㅣ摢㡤㈰㕥搱晡扦㄰搷〴㝡㡣㘷㝤㕦㠳摥㘴㌹㤸挷昲昳㜰㈳换㥢㘰ㄷ㤶㘷㌱慢昵㔱慦扢㙡摦㠰㔶㔸㝥〱挱敡㉤㔷㥦㝦㘸敤㡢昴㐱㍥昹晥ㄳ㕡㘱㜹㠸㉢换㠳㕣㔹㝥ㄷ㐱㐲敥㉢㐸㘵㤲ㅢ〵愳㠹㔰〴搷捣攱㘴ㄸ㍢㈶㉥㤸愳昸㜲㌱㤸っ㈵愲㥥㔷㙤搷㐰㌶㥣㠹㠴挲㠹㘰㌴㥡つ㐷㠳戸㐱ぢ㠴㘳挹㘰㉡㠴愸㑣㌶㄰昷扤㘷愵㌷㕥㐳㡣戱〹挲昷㉦慤㙡㍢㌹扦慦㔵戶㔷ㄵ摦㑤攸ㅣ㜲㍦㐴㘶晣㉦㍡㌹㝦愴昵〷搳昸㉥昱ㅥ挴搲㝥〲扤㐹㙥摦㍣㜲摦㠷〷挹晤㌷散挵攴㝥敡慡晤っ㕡㈱昷㐳〴慢㉦㕣㝤扥搴摡㡦改愳挹攵扢〷㐲敥㔶慥攴㙥攱㑡敥㝦㄰㈴攴㝥㠶㔴㈶戹愹㘸㌸㤶攱愰㡢㍦攴て㈷㔳㠱㐴ち昷捤改㐴㈲㤹㑡挶㔲搱㔸捡昳㜹㥢㙢〸搷搹愹㜰㈲ㄷ㑡〷挲昱㑣㈲ㅥ㡡㐵㘳昱㔰㈶㤲っ愷攲戱㘰挰昷慤㤵摥昸〲㌱挶㤷㄰扥敦戴慡㡤㕣扥扣㈰㍢㌳ㅤ挴戵敡〷愸㍡㠷摣ㅦ㤱ㄹ晦㡢挸晤㐹敢て愱昱㐷㈲㤹捥搲晥〲扤㐹㙥搷㍣㜲㝦㠱〷挹晤ㄵ㜶㈱㔷ㅦつㄱ㔴愶㝥㜳搵昲搴㈸攴晥㠶㘰㔵㡥㔶㜱㘴㔷慤攵摦挰戶挹昵㐰㉢攴晥晡㠳摢つ昳捦搰ㄶて愲㜴㐳㄰晥㤷ㄹㄵ㐸㠵㤳㜱㈵ㅡ㐲戶〷㙤㤳散㙣㈲㤶ぢ㠶㜱摥捤愵ㄳ攱㑣㈶㤱挸攲㈸ㅣ㑦挴搳ㅣ㕣〹〶搲㥥㙥戶㙢㌲挷挳㜳㌲ㄱ㡦㈴㠲攱㌸㌶㤰㜸㈲ㄳ㠸㈴㠳愱㘰㈸ㅥ㠸〵㔳㍥挳㑡㙦㔴㈲挶㌰㈰㝣㕥慤㙡㍢ㄹ㜷搷㉡摢慢慡〷㔴㥤㐳㜶㑦㘴〶ㄳ㐵㈷攳㕥㕡㍦㠳挶㍥挴㝢㈴㘹昳㐱㙦㤲晤㙦㔴戴㙤㜴㘴㉢㜸㤰散摥戰ㄷ㔳搶挷㔵扢〵戴㐲昶㌶〸㔶㕢戹晡㙣愳戵摢搱㠷〸昸摤づ㕡㈱晢㝤㔷戲摦㜳㈵㝢㝢〴攱㍦挶㌱㤱ち㘴昷㐵㐳挸摥〹㙤㤳散㕣㉣㡢挱㔱㕣㕥攷㜰攵ㄵ〹〷攲㤱㄰〶挴㘲晥㑣㌸ㅡ〹㘶挳㘱捦捥戶㙢〴愷攴㐸〴㘳㙢搹㔸㈲㥣㡥愴攳愹㔴㌴ㄴ昱攷㤲戹㜴㡣㠷〱摦づ㔶㝡愳ㅡ㌱㐶㍦〸摦㡥㕡搵㐶昶㑥㕡㐵〷㜱慤摡ㄹ慡捥㈱扢ㅡ㤹摤挸敥愷昵㘹㤶㘷㄰㤱愴㔸收㕤愱㌷挹㝥㈹㡦散㍤攱㐱戲晢挳㉥㘴捦㘲㔶敢愳㜶㜳搵づ㠰㔶挸摥ぢ挱㙡愰慢捦ㅥ㕡ㅢ愰て昲挹㜷㌰戴㐲昶㜳㑥戲敤㉢慦㘷㕣挹摥ㄳ㐱㐲㙥〴愹㑣㜲挳㌹㕣㙢昹㔳挹㌴挶㌵挲ㄸて㐹㘵攳戱㜸㈶ㅡ挶㘰㐸㈴ㄴ㑦㐷㍣㔱摢㌵㤵づ愶㔳㔰㘷㈳㘹㕣㥥攱ㅡ㍣㡣ぢ慤㘰㈸㤱挰敥ㅣ㐸㐶㘳扥愱㔶㝡㈳㠶ㄸ㈳づ攱摢㑢慢摡づ摢㝥慤戲扤慡〲㔰㜵づ戹㐱㘴ㄶ㜲ぢ㙥㤸㐳㕡㕦㠷㠲ㅡ㌵挴㍢㥢愵㡤㐰㙦㤲晢㘰ㅥ戹㈳攱㐱㜲愳戰ㄷ㤳ㅢ㜳搵挶愱ㄵ㜲㐷㈳㔸つ㜳昵搹㕢㙢挷搲㐷㤳扢㉦戴㐲敥㍤慥攴摥攵㑡敥晥〸ㄲ㜲㈷㈲㤵㐹㙥㈸㡣搱㡣㐴㈲〵㤲ㄳ戸㝣㑡㈶㠲戸㘵㡡攲㕡㍡㤴挳摥㥣っ㜸づ戰㕤搳㤹㙣㍡ㅥっ挷〲挹㌸捥挹ㄸ㉣攱㘸㐸㌶攲捦㐴攳㤱〸〶扢㝣挳慤昴挶㠱㠸㌱㈶㐱昸㙡戴慡㡤摣ㄱ㕡㘵㝢㔵搵㐲搵㌹攴㡥㐴㘶㌷㜲㐷㘹㝤ㄳ挹㍤㤴㜸ㅢ㔹摡㌱搰㥢攴慥捡㈳昷〸㜸㤰摣戱戰ㄷ㤳㍢捥㔵㍢ㅥ㕡㈱㜷〶㠲搵㐴㔷㥦〳戴㜶㈶㝤㌴戹㤳愰ㄵ㜲慦㜱㈵昷㉡㔷㜲て㐶㤰㤰㥢㐶㉡敢戰㥣㠸㘴愳昱㈴㤸つ㐴挲㌱㍦ㅥ㙡〵㜳㘱昰㥡昶㘷ㄲ戱㠸㍦攰挹搸慥㠹㑣搸㥦昰晢ㄳㄹ㡣㠶㠵挳愱㔸㉡㥢㑡攴㌲挱㐴㈴ㄶ㡥愷戰㌳晢㈶㕢改㡤㉣㘲㡣ㅣ㠴㙦㡡㔶戵㤱㍢㔵慢㙣慦慡㘹㔰㜵づ戹搳㤱搹㡤摣㐳戴㝥㉥挹㙤㈲摥㔶㤶昶㌰攸㑤㜲㉦挸㈳户ㄹㅥ㈴昷㜰搸㠵摣扣ぢ慥㈳㕣戵㐷㐲㉢攴戶㈲㔸ㅤ攵敡㌳㑢㙢攷搱㐷㤳㥢㠲㔶挸㍤挷㐹慥㍤搴㜵㤶㉢戹㘹〴攱㍦㘶扦㈳ㄵ捥挱ㄹ㌴㠴散㐵㘸㕢㝢㜲㈰㤷收㠰〷㥥㔳愶挲㠱愸㍦㤹挵〰㔶㉥ㅥ㡡攲ㄹ㘶㈸ㄶ㡣㝢㑥戰㕤戳晥㜰㍡ㅥ挳㙤㌳敦㠴〳〸㠹㘴晣戹〸㌶㡥㑣㉣㥡㡣㐴〲扥慣㤵摥㌸ㄱ㌱挶㐹㄰扥㥣㔶戵㥤㠳㡦搶㉡摢慢㙡㌶㔴㥤㐳㜶ㅤ㌲ぢ搹㜲㑢摣昶㠴攲ㄸ慤㕦挴昲㥣㐵扣ぢ㔹敡㝡攸㑤戲㡦捦㈳㝢㌱㍣㐸㜶〳散挵㝢㜲愳慢戶〹㕡㈱晢㍣〴慢攳㕣㝤㕡戴㜶〹㝤㌴搹㜳愱ㄵ戲㡦㜳㤰敤㔹ち㤷搲捦㉤㥢㕣户㠰㜹挸㠴晦㘵挶㐵〸挶ㄶ㜰㍣ㅡ戲〵㕣㡣戶戹〵愴㤲戹㐸〸挷敤㉣捥搶攱㔸㈸㠷〷㔰㌸昷收搲改㜰㍣㤰挳㔸㠸㘷㔹㥢㙢㌰㤶つ㠱晤㘰㌶ㄶ挶ㄳづ散敥戸捤㡥㘲攷て㘰戸㉣ㄷ㑥晢收㕢改㡤㑢㄰㘳㕣ち攱㕢愰㔵㤷㔱戵㥣慡㠵㕡㐵〷㜱慤㕡〴㔵攷㙣〱㈷㈰戳摢敥㝥愲搶㥦捡昲㕣㑤㈴愷戰晥㈷㐳㙦㙥〱㌳昳戶㠰敢攰挱㉤攰ㄴ搸㡢户㠰㔳㕤戵愷㐱㉢㕢挰㑡〴慢㌳㕣㝤晥愰戵慢攸㐳〴晣㥥〵慤㙣〱㠷㌹戶〰挳扥ち㍢挴㤵散㜳㄰㈴攴慥㐱㉡㤳摣㐴ㄸ捦ㅣㄲ㐱摣㐱㐵㜱敡挵搳挵㘴㌰㤰挸愴㜰攱㡤晢㉣㡣㙡㝢㙥戲㕤㈳ㄸ攵づ㘳扥㐲っ㐷㜲㡣㥣〴㤲ㄸ〳㡤㐵ㄲ㤹㔸㈲ㄷ〸㠱㙣摦㘲㉢扤㜱㌳㘲㡣㕢㈰㝣攷㙡㔵摢戱晣㍣慤愲㠳戸㔶㥤て㔵攷㤰扢〴㤹摤挸扤㐰敢捦㐲㌱㡤扢㠹攴㑣㤶昵㐲攸㑤㜲挷收㤱㝢㉦㍣㐸敥㐵戰ぢ戹㜹挷昲㡢㕤戵换愰ㄵ㜲敦㐷戰扡搴搵㘷戹搶㍥㐸ㅦ㑤敥ㄵ搰ち戹㈳㥣攴摡挷昲攱慥攴晥ㄱ㐱昸㡦扦慢㠲㔴搸㤳㔷愰㈱㘴㙦㐰摢㈴㍢ㅥ挱〹㍢ㄳ㡦㐶挳㜱摣㔶挵戲愹㕣摡て〶㜱挹㤵挸㐵㐳㠹㡣㘷愳敤㡡㘷㡥㘹っ㤰昰㕥㉡ㄲ挶㕤㔸㉡敡挷慤㜶㉣ㄳて挷挳㈱㕣捤昹慥戴搲ㅢ㡦㈲挶㜸っ挲㜷㤵㔶戵ㅤ换慦搶㉡摢慢敡ㅡ愸㍡㠷散㙢㤱搹敤㔸㝥㥤搶㥦捦昲㍣㐷扣攷戱搴㉢愱㌷挹昶攷㤱晤〲㍣㐸昶つ戰ㄷ㤳扤捡㔵晢㈷㘸㠵散ㄷㄱ慣㙥㜴昵戹㐹㙢晦㑥ㅦ㑤昶㉤搰ち搹㠳㕣挹ㅥ攸㑡昶慤〸挲㝦捣搲㐶㉡㤰晤㘷㌴㠴散㑤㘸㥢㘴㐷㘳㜸ㄲ㠱㘷㤱㜸㤴㡣搱改愴㍦㤹捥挶晣戸㘳ち攲㌴㥤昰挷搲㥥搷㙤搷っづ搴〹㝦㌶㠸㕢㉣㕥愵挵ㄳ㌸㔶挷㈲ㄱ捥㐱昱㘷㌲晥㤸㡦㙦㜴㌰扤昱〶㘲㡣㌷㈱㝣户㙢㔵ㅢ搹㜷㘸㤵敤㔵㜵㈷㔴㥤㐳昶㕡㘴㜶㈳晢㉥慤扦㤸㜸摦㈷摥㡢㔸敡㝢愰㌷挹摥㌶㡦散㡦攰㐱戲搷挱㉥㘴捦㘲㔶敢愳敥㜵搵摥〷慤㤰晤〹㠲搵〳慥㍥て㙡敤愷昴㐱㍥昹㍥っ慤㤰摤挷㐹戶㝤搸昶戹㤲晤〸㠲㠴摣㉦㤱捡㈴㌷敢昷㠷㤲愱㐰㍣㤱挲搰㘵〲挳ㅣ㠱ㄴ愶㠱攴㌲改㔰㌲㠵㈷㔵㈹捦㔷戶㙢㈸ㅡ㡣㠷㜲搹㜴㈴ㄶ挷摥ㅣぢ攰㌶㍡㤵㠹〷㜰㜰㑦〷㌲㜸㡥攱摢㘰愵㌷扥㐶㡣昱つ㠴㙦愳㔶戵ㅤ戶ㅦ搵㉡㍡㠸㙢搵㘳㔰㜵づ戹㡦㈳戳摢㘱晢〹慤扦ㅣ〵㌵㝥㈱㤲攵㉣敤㔳搰㥢攴慡㍣㜲换㌰㥢㤶攴㍥つ㝢㌱戹㝦㜱搵㍥〳慤㤰㕢㡥㘰昵㥣慢捦昳㕡摢㤵㍥㥡摣ㄷ愰ㄵ㜲㝦晡摥㌱收㘹㤳晢〳戴挵㘳㥥㉦㈲㐸挸慤㐴㉡敢㥣㥣挱攵㔶㌶㡣㥢愶ㄸㅥ㐶挴㌰搸㤹挶㈵㜴っ搳扦晣㌸敢㘶晤ㅥ挳㜶㡤攳扥㍡挲㠹㠵㘰㌶㥣〴挵㤸㌳㤶昱晢㈳愹㕣〴户㕡戱戴敦㈵㉢扤挱㕦愰㙢㜴㠷昰晤㕤慢摡挸㝤㔹慢㙣慦慡㔷愰敡ㅣ㜲㕦㐵㘶㌷㜲㕦搳晡慢㐹敥㤶挴㝢ㄵ㑢晢㍡昴㈶戹ㅦ愳㠲㙤㘳㥣摢挰㠳攴扥〱㝢㌱戹㙦扡㙡摦㠲㔶挸摤づ挱敡㙤㔷㥦㝦㙡㙤㕦晡㘸㜲摦㠵㔶挸㝤捦㤵摣㜷㕣挹晤ㄷ㠲㠴摣㥤㤱捡㈴ㄷ㑦ㅥ㘲改ㄸ〶㈸㘳挹っ〶慣㔳㜸慡ㅣっ〶挲戸戸挶戳㐶捣㈰昵㔴摢慥戸散づ㈷攳晥㜴㉥ㄶ挵㘹㌷㠳㕢㌰㡣愴〴㜲ㄸ挸挶㍤ㄵ敥扢㝤敦㕢改㡤㝥㠸㌱㜶㠱昰㝤愰㔵㙤攴㝥愸㔵戶㔷搵㐷㔰㜵づ戹ㅦ㈳戳ㅢ戹㥦㘸晤つ㈴㜷㌰昱慥㘴㘹㍦㠵摥㈴昷挵㍣㜲㠷挲㠳攴㝥〶扢㤰㥢㜷挱昵戹慢㤶㙦㥤〸戹㝥〴慢慦㕣㝤扥搱摡㈰㝤㌴戹摦㐲㉢攴㍥敢㈴搷扥攰晡㡢㉢戹摦㈱〸晦昱㐷㥥㤰ち攷攰敦搱㄰戲㘳㘸㥢㘴㘷挲挹っ㠶㌲搳ㄹㅣ㤸㜱攱ㄵ㑥挶ㄲ㜸〶〱戲㌱昶ㄱ㑡㈷挳㥥戸敤ㅡて㈶㜲愹㘴㈰㥢㑥㘷晣攱㜸㍡㤶㠸〶攲㤸㑥㄰㐹〵昱㘴ㄹ㠱扥ㅦ慣昴㐶〲㌱挶㌰〸摦㡦㕡搵㜶づ晥㐹慢㙣慦慡㥦愱敡ㅣ戲㝦㐱㘶㈱扢攰收昹㔷慤攷ㅦづ㌳㙡㠹㜷㡤㤴ㅡ㑦㤱㑣戲敦捦㈳㝢㌴㍣㐸㌶摦㘰㈹摥㤳换㕤戵㕤愰ㄵ戲挷㈲㔸㔵戸晡挸ぢ㈴㠴㌰㥥㍥㠲〰㍦昹〲㠹㤰㝤㤷㤳㙣晢㌰㝤愷㉢搹㕥〴〹戹〷㈲㤵㐹㙥㌲㠶㈹〰改㘰㍣㤵㡣㠳搹㙣㉥㡥ㄳ㌲㙥㠹攳㐱㡣㝣㠶搳晥慣㘷㤲敤㡡改㥣㘱㕣㜵〷攳㔹㑥ㄵて㘳愴㍢ㄲ㡢攱敡㍡㥤㡡攰㄰㥦㑣晢昸昲〹搳ㅢ〷㈱挶㌸ㄸ挲搷㐳慢摡昶㘴扥㠱㤲敦㔵挵搷㔰㍡㠷㕣扥扣攲戶㈷晢戴晥㜶攲㍤㥣㜸㙦㘳㘹昹摡㠴㤰㜷㈴㔴っ攴㔷挹晢ち㜴㥣〱㉤捤搴晡戶㠶㉦戶㤱㌲攳㈸㘸㝢㜶愹搸ㅥ敤扤㑢晦愱㉢挷㠴昲挱㜸㤵〲㝦戴㈳㥢挱敦挸㥦㠳㍦㜵戳㘰㔴㘳㙢㌳㝦㌹㐱㔹ㄷ晣㡥晣ち㤹愳摥戵㝣搸敦换挵ㄷ㔵昸搶ㄵ扦ㄵ搷㘲㍢昸晦挸挳扥戶扤挷挰㡣㍢攳㙢捣㐲㠷㉢㌸挹摦昵㉦捤㤸ㄳ敡愷攰㡦〳㘴㠷搶㡥㠸つㅤ㌵㍦㥤慤攷摦昶挱戴㝢㕣散㤴㙤搵㌰慥〵㡢搹收㤶愹㑤㌵昲户㘶昸㤲㐶㙦㍤㌳㝦㜰挳㤸戹㜵ㄹ搴㘱户㌶㡤晥挳㑥㍡㙣㔲戳ㅤ搷戳捤ぢ㝦㜹㘲慢戶㔶㉤摥晥挸捥㙦攵㉦散敦摢愶挵㕦昱㐲挱戳ㄹ㥤戱〵㍢㙣搷昲㉥㙡捦搲挵ㅥ摤㥣戶㕥㝤搱㘹㕡㔸㠹扥㉥㝦㥣㘰㐴㕤慢扣改戲〳散捡攸㡢ち㜹㔲愸㔵户㝤晢搷㑣敦ㅦっ㔵㕣〹㍡晥㙦㙢㉡㘶〰愹昱㡡㐱㠶㕢㈲摦愰㈰つ捡搸㠱慢捡㐱搷〷慢㥡搶㍦㄰ㅢ戰换戰敡㕤〶昴慦攱㕡㉦挷㕡〷戹昵㙦㘴㔳㐳戲慥㜱㈸㍡愸㝢㌶慡㜱㙥㐳晥㉡㐹㌸㍦㕥㘳㌶㔷挹㠳㌴昳㔱愵昸㍥〷扢㈴つ扥ㄶ搱ㅦ㑢挶戳ㄴ捦㔱㍣て愱㤶挱攱㜵晣㜱挰つㄵぢ慥㡢㥦㔹㌶晣摥㝦㍤搸愷摢㔳捦㠶搴挵㤶愱攵㠴㤷慢㥢慦愹㤸㜰摡㉦晦昹㍥㍡㜵㔱戳ㅡ㠴㑣〴㘱㌴㘲㡤昶㑥㌸㐴㙢㥢㠸㠳㤹昱昵昱㑤〸搹〹攷㐰摢戳㡢攲ㅢ〵㘶㐹昸敡㠲愷ㄹ㕡㤴㘴挴㠸扣㤲挴搴昹㔸户敥㠶搷攰㕦㜰㔰㝣换挰㡣っ㌱㜲ㅥ㜴攰㙤㐴㙤晦㘰㑣㥤〳㜷摤㔱慦㌱㥦敥㍣愰㘹㤵攲晢ち㍡㥤攲戴㝦户㐲㥣㔱慡㄰愷㕢㠶㥥㘷㑥㔹㜷挳㤸㥡㜱愷扣㝦攲慥挶㡥㜵㙢ㄵ㕦て㤰㐲㥣㠴㌵摡㠵愸搵摡㤳㠹〳㐵㤰愳搱㈸㘸愵㄰愷㐰㡢㐲㜰扡㍥㡦㐸敡㘴㘴攷㘱㐰昶摣搳ㄸ㌲ㄱ㙡戳愷攳戱攴㌹〳扡愲捤㈶㤰㔰㡢㄰愴㍢攵㌵捥㘴㈴攷攳㥢㤱㥣搲敦㌹ㅢ㍡㜳摢㠶晢昱㜰搷〵昱ㅡ㡢改㍥ㅤ㑥㙥㤵㘸㠶慢敢㈶㜱㥣㘵ㄸ搳㝢搱愶愱攵攷㡦㕣戲昱慢愶㑦㠶㠵㐲㡡㜳攷愵ㄲ㑢㤱搷慥㠴㑣㡡攷㠶㜲㈱搷愶㉢㌱〳扥㔲㠹㡢愰㐵㈵㌸㤷㕤㉡搱㠰散㜶㈵㤶㌱㠴昳捥捤晥愴戰攴戹ㄴ㍡㙢㕦㡤愸扡扣晥㉣愷㝢搶㜶㑦搳晤ち攸㡡ちㄷ㡣愸㉣㈲摢ち户㠲㤱㥣㌰敥㔶㠹㔹㔶㠷㡢㜶㡥㤹㤶攱摣愵慢捦㠹㜷㥦㍡晥搲挶昴㥥㙦扤戲㈲愰㡥㐳㈶愹挴㜵挸㙢㔷愲㐵㙢慦攷摡㔰〹㝥㝤㥣㈳㉥㤵㔸〹㉤㉡挱㤹搸㘶㜷㌹攵摢戳ち摡愲㥤㈳ㄶ㔵㠷攵攱㕦捤㡣㥣㥤㙤㐶㉥㘴攴ㅡ攸捣㥤〳敥搳攰摥㐶晣捤㜴晦〳㥣摣扡㝢㔰愹敥㑥戲っ敦つ扣愷挷捥搳㜲愳㙥敡㌱散㠳收挷㥦㔸愰㌸搵㕡扡㝢〷昲摡摤㕤慣戵㜷㜲㙤㥡昸昳愰㤵敥慥㠵ㄶ摤㕤㡡戶㄰㍦〱搹㙤攲敦㘶〸㈷㈰㥢晤戹㄰㑢㥥㜵搰ㄵ㌳改㔷㘳㄰搸挶攴㝤㡣攴摣㘶㌳㤲搳愳㍤て㐰㘷㙤㌲㝥㔵ぢ昷戶㑡㍣㐴昷㉢攱攴㔶㠹晤慣づㄷㄱ扦慦㘵㜸㈲㍡攷搷㈷㉥㝥㘶昸㥡㕦㥡㉦搸攷㠱㠶㌹㡡昳㤰愵ㄲ㡦㈲慦㕤㠹敢戴昶㌱慥つ㤵㐰扢捣挷㈹挵㔲㠹挷愱㐵㈵㌸㉦㔸㉡㤱㐰㜶扢ㄲ㑦㌲㠴㜳㜸捤晥㜰戲戰攷㘹攸㡡㉢ㄱ㔳ㄱ〴戶㔵攲ㄹ㐶摥㙣㐷慥㘱攴㜳搰㔹㤵㠸愹〰摣摢㉡昱㔷扡㜳昲慤㕢㈵㠶㔸ㅤ㉥慡挴㘰换戰㙣挱㙥户摦搷晢晥㤱㤷㔷扣昸昹㌶愹㑢ㄶ慢㜵挸㈴㤵㜸ㄹ㜹敤㑡摣愷戵慦㜰㙤㝡㥢攰㝣㕢愹挴慢搰愲ㄲ㥣愶㙡㜶㜷㍤㤶㍣㥢愰㉤摡〵〲㜱戵㕢㕥㜷摦㘰挶㡤㜶㈴㈷搱㝡摥㠲捥摣〵攰摥㉦慦扢㙦搳㥤㔳㘴㜵挱搴㘳㘸攸㜲㈸㑥㔲㜵㉢挴づ愵ち搱搷㌲㙣晦散㠶昸㐷㈷㑦㥥㜸㘳换挹て㔵摤户换晤㡡昳㔸愵㄰敦㘳㡤㜶㈱㕥搰摡て㠸〳㠵攰搷挷㈹愹㔲㠸て愱㐵㈱㌸愵搳㉣〴㘷㤸㝡㍥㠶搶摡愳㐳㙡慢扣敥晣㥢㘹㌶搹敥慦搲晤㌳攸㡡敡ㄶぢ愹摥㠸搴扤挶慦㠱㘶攴扢昰㜷敢㙥㡦㔲摤敤㙥ㄹㄶ㝦戹㐷昷㡦㕥ㅦ㔵戳敡攳愳㡦㕤㜹换㤳搳ㄴ㘷㜶㑡㜷扦㐵㕥扢扢㌲㘵ㄳ㍤㌴扥攳摡㜴㜷㍦㠶慦㜴昷㝢㘸搱摤㉦搰㌶扢换㌹㤷㥥ㅦ愱㉤挲ㅦっ愸㡡㍣晣㍦㌳㈳愷㐷㥡㤱㥣㠲改昹ㄵ㍡戳㔰㜰㔷㜰搷扣㝡㡤戲㑡戸晦〸㈷户敥晥晣㕤㠹㜳摥㑦㤶愱摦扤晤㉥㐸摦戵㝣挲ㅦ㠶慦㠸㝥昲搱搲攵敡ㄷ㘴㤲敥㝡㤰搷敥敥㙦㕡摢㡤㙢㐳㜷㘹昱㈹㕣㔸㑢㜷㉢愱㐵㜷㌹昷㔰㜶昸敦㤰摤摥攱扤っ攱っ㐰戳㍦ㅥ㉣㜹㝡㐰㔷扣挳㈷搴搷〸㙣㘳戲ㄷ㈳㌹戹搰㡣攴晣㐴㡦て㍡㙢㠷㑦愸捦攱摥㔶㠹㍥㜴攷〴㍦户㑡㝣㙣㜵戸㘸㠷晦挸㌲㝣㍢㙦搱搷㡦慤㝣㝢搴㡡㕤㈷〵愲㈷摦搶㔳㜱㈲愰㔴㘲㕢攴戵㉢㈱㌳晣㐸晣㜶㕣㥢慥〴攷昴㐹㈵戶㠷ㄶ㤵搸ㄱ㙤愹挴扦㤰摤慥挴づっ攱㈴㍡戳㍦㥣慤攷搹〹㍡戳㍦愱㠰晡㘷㕥㝦慡改捥搹㜴愶㍢㘷散㜹㜶㠱慥愸㜰㠸㝣ㄳ㤱㙤㠵敢捦㐸捥㝥㜳慢挴慢㔶㠷㡢㉡昱㡡㘵㔸搰㝤搹慢慦摥㜹㐰敤愵㜵敢㝡㝥㜶昱㠹ㅦ愸㍤㤱㐹㉡㌱〸㜹敤㑡挸昴㌷㔶㘲㌰搷㠶〵㝥㝤㥣昰㈶㤵ㄸ〲㉤㉡挱〹㘳㈶㝥捥㕦昳っ㠵搶摣㤰〱晡㠵扣敥晡㤹㠶ㄳ搰㑣昷㈸摤㠳搰ㄵ敤㌱㠸㝣㌶慦扢㘱㐶㜲㍥㤸㕢㜷㥦㉣搵摤㈷㉣挳愰戵敦摣昵搳挱〷搷慣晥㜹挰愶㘳戳昷㉣㔷㈳㤱㐹扡㍢っ㜹敤敥㡥搶摡扤戹㌶摤㕤㑥〱㤳敥敥〳㉤扡换㈹㔴㈶㝥捥攸昲散〷慤戵摦㈶搴㈳㜹摤ㅤ捥㌴㥣㤲㘵扡ㅦ㐰昷ㄱ搰ㄵ㜵㌷㤸㔰て收㜵㜷㈴㈳㌹㐳捡慤扢敢㑡㜵昷ㅥ换㜰挹㈵㑦㑦ㅢ㜰昰愰㥡㑢㔶㘶㤶㉦晥换挰㙤ㄴ㘷㔲㐹㜷挷㈳慦摤摤ㄹ㕡㍢㠱㙢搳摤攵愴㈸改敥㐴㘸搱㕤㑥㉡㌲昱㜳㡥㤳攷㐰㘸㉤㜶ㄳ敡昶扣敥ㅥ挴㌴扣ㄳ㌷摤㌳㜴㥦っ㕤㔱㜷㐳〹㜵㑢㕥㜷愷㌲㤲㜳㠶摣扡扢扡㔴㜷晦㘴ㄹ愲戵㕦㡤昹攱昶戳㙡㙥晥摢搹㡦㍤扥㘸搸㔹㡡㜳㡢愴扢㠷㈳慦摤㕤㤹㌴㠴㕥ㅡ㐷㜰㙤㔸愰挵㌷て扥搲摤㈳愱㐵㜷㌹搷㐷㜶敢敢㤱摤摥慤㡦㘲挸㠹㌰㤹㕤攳〴㈰捦㉣攸㡡昶搳㘰㔴㕤㥤搷戵ㄴ㈳㌹㤹挷㡣攴㝣㈰㑦〶㍡昳㠰〰昷㍦挲扤敤〰㤷愳㍢㈷搴戸㔵攲㔲慢挳㐵扢昵㈵㤶攱摡つ㔳㠶散昱摡㤳㌵户づ扣㘱捣摤㥦昷敦慥㌸昱㐶㉡㔱㡦扣㜶㈵㘴㐶つ㉢搱挰戵㘱㠱㕦ㅦ攷搰㐸㈵ㅡ愱㐵㈵㌸攷㐵㉡㜱㈱戲摢㤵㤸挳㄰捥㑦㌱晢挳㠹㌰㥥㘶攸戶㈸ㅣㅦ挰㙦㔱㔵攷㈳戲敤㤰搵捡㔰㑥㕡㌱㐳㌹㌱挶㌳て扡㑡ㄹ挵愰晦㌹昰㙦慢挵㝣晡㜳摥㡢㔶㈹捥㝦搱昹ㄴ㈷㥤戸㔵改っ慢ㄸ㐵㔵㍡摤㌲㑣㕢ㄲ摢㜶㔶昴戱〳㙦摦戴摤㉦搷晥戴攵㐰挵挹㈹㔲愵㤳戰㐶扢㑡㉢戵昶㘴攲搰㔵㕡〵慤㔴改ㄴ㘸㔱㈵捥收㌰晢挳㘹㈳㥥搳愰㉤摡摥挳〱㜵㘲㕥㈵捥㘰挶㕢散㐸捥㈲昱㥣〹㥤戹㘳挱㝤㐱㕥㈱捥愶㍢愷㘱戸㜵户戵㔴㜷㕢㉣挳㡣摤㕡㡥㘹㡤慥ㅤ㜵攷㜹㥢昶散扥㘹摢〳ㄴ愷㙢㐸㜷㤷㈰慦摤㕤㤹㠷挱㡤攲〲慥つぢ戲㝢㍣〸㕦改敥㔲㘸搱㕤㑥㥦㤰㡤愲〹搹敤㡤攲㈲㠶㜰ㄲ㠳㔹〹捥愹昰㉣㠳慥㘸昷〸昹搵戱〸搴ㅣ㝡㡤㑢ㄹ挹昹ㄱ㘶㈴愷㔸㜸㤶㐳㘷敥ㅥ㜰㍦ㅡ敥㥡㝦慦㜱〵摤㌹㐷挱慤ㄲ㈹慢挳㐵挴㈷㉤挳戹攷捥摤昹搶ㅢ〶㑦㕡㝤㑦搹㌵㤷㕤昲㕢㔴㜱㉥㠳㔴攲ㅡ攴戵㉢㈱㤳ㄴ㔸㠹㙢戹㌶㕤〹㑥㑢㤰㑡㕣〷㉤㉡挱戹〵㔲㠹ㄹ挸㙥㔷㘲㈵㐳昸㠴摦散て㈷ㅣ㜸㔶㐱㔷㔴〹㕣摣ㅦ㠶挰戶㑡慣㘶攴㥢㜶㈴攷ㅦ㜸搶㐰㘷㔶〲敥搳攰摥㔶㠹㥢改晥㍥㥣摣㉡㜱㤰搵攱愲㑡㑣戲っ㜵㕦愹昷昶㕥昴搷〳㑦㝤㜹愵晦挶㤷摥㜸㑣昱㐱扦㔴攲づ攴戵㉢㈱㑦昰㔹㠹㍢戹㌶㉣昰敢攳㌳㝢愹挴㕡㘸㔱〹㍥ㄹ㌷扢换㐷昰㥥扢愱㉤摡〵愲㌱㌵㉥慦扢敢㤸㤱㑦换捤㐸㍥㤱昷摣〷㥤戹ぢ挰㝤㔴㕥㜷ㅦ愰晢㉦㜰㜲敢敥昰㔲摤摤摦㌲㍣扥㠵晦㤰搷ㅢ㌷㡤㔸搹㜴敦挲㝢捥㍥〵扦愲㠷ㄷ攰散搸〶攴戵扢㕢慥戵ㅢ戹㌶摤摤慥搰㑡㜷ㅦ㠵ㄶ摤昵愲㙤㠲慥挴㤲攷㜱㘸㉤搰㘱㤵挸〳晤㈴搳昰愹戲改捥〷搳㥥愷愱㉢慥㑥㔸㐵㄰搹戶㌱㍣挳㐸㍥攴㜵敢慥扦㔴㜷昷戲っ摢晤戶搵愷搷㈶扢㡤㌸㙦挵昲ぢ扦㔹㤲㥥愱昸㌰㔸扡晢㌷攴戵扢㉢㑦㜹㔹㠴ㄷ戹㌶摤㕤㍥搷㤵敥扥〴㉤扡换攷愲㈶㝥㍥愶昵扣っ慤搹摤㔸㑣敤㤱搷摤㔷㤹㘶ㄷ摢扤㥡敥㥢愰㉢敡㉥㈲㜷换敢敥ㅢ㡣攴㘳㑦户敥㔶㤷敡敥捥㤶㘱搳ㄱてっ㝥㜸晤戰戱て捦ぢ㥥搵㙦挲㡣〷搴㔰㘴㤲敥扥㠳扣㜶㜷晤㕡晢㉥搷㠶敥搲攲攳㤳㑥改敥㝢搰愲扢㔱戴㘵户敥㡢散昶㙥晤㍥㐳昸搰搰慣〴㥦㘱㝡㍥㠴慥㘸户づ㠶搵㌶㜹㕤晢㤸㤱挳散挸㌸㈳晦つ㥤戹㕢挳㝤ぢ戸户敤搶㥦搱㥤捦〴摤㉡搱换敡㜰搱㙥摤搳㌲捣㝢户摦慥て〴晢づ扦㝥昹搶挳㉦㥦㝥挶㤷㙡㌴㌲㐹㈵扥㐱㕥扢ㄲ㘳戵昶㍦㕣㥢㈶㝥㍣戴㔲㠹㙦愱㐵㈵づ㐲摢散敥㠱㔸昲㝣て慤㐹㝣㈸慡扡攵㠱晥㤱㘹昸㔸捥㜴攷㤳㍤捦捦搰ㄵㄱ㡦挸㉥㠸㙣摢捥㝦㘵攴攱昰㜷敢敥慦摦㤶戸戳晤挵㌲散昰昵戱摦㝦㜶挷戲摡㍦㔶㌶昷㝣㘰㕥攰㈳摦㤱挸㈴㕤攸㡡摦㌳㘷㔴㔰㜸㈰扣㍥㍥㕦ㄳ㐳㌷㌴昱㐸敤㈸戴㕤㥦㕣昰㘱㕡换㔰昳捦㠸攳ㄷ㘸㘵㕢㐴㔱㠵ㅡ㔵攴昸㌴愹㝢㡥扦㔷㉢㉢㝦换ㅣ扦昴慢慥扥㕥㝥㕦㔶て晣㐵昱收㘳戳捤ㄳ敢ㅡ戳昸㍢攲㔳敡ㅡ慣摦晥㌴戲㘷㡥て㡡昴摦慣㌶愴挵㈷㘹㥥摣愴㘶晣ㄱ敢㙥戹㜱㉤搳㕡戲㤹捡㠶㠳㤲慤慤搹收挶晦㠵㕦㕤㠷摦㘰搶㤵てつ戱挹㜴挱㙦㑦㉣㜷晤攵㘱晣慤㘰㠵㝦攳扡㜶〴ㅥ捣㤹㈵㙣慢〷晦㝥㍤㥦㙢㤵昳て㤱晦扥㕦㕣攷愹〴㙤㔵㜸っ㤷㑤㈷㕢㕡慢攷昱搷搲戵㤴慢敦戰ㅤ挸㥣愱㑦㠲摢挹戳㈲㍥〰㌶㌰㕥㠲㍦㥢つ搱〵捦㥦昸ㄷ㕣戸㡤㝢㡤ㅥ搰ㄸ敢搱㄰㔱㔶㌱ぢ㥢㐰㘱挷昸慢摣㐶㌳愲攲昸扡㑣敢㙣捦散㙣摤搱戳昱ㅡ㐳昷敥散敤㤴换敦ㅢ晥㑢㘸㐶㑤搷っ㐲摢㝢㑡挷ㅤ慤㕢挳捣㘴㜳㜳㜲㐱㘵挳捣晡㙣攳搱慤戳㉢㘷捥挳㤳挹扡愶㐶〴㔷㔶㔶ㅡ扤㠰㠷慢攲㔷捤㠶㤲㔹㡤㉡㘸戹愱㔲敢愳慢㙣戵㍥㘲敦㑤搱〷挲敢攳㤳㉡㌱㙣㠱㈶㜶搵㌹㘸㜳㤳㌶㔸愷㜲昵㠹㙢㕤戶㘶㍣敢搲㔶㤳㙤愹㕡㡦㔵㤹㌵㔱㝣㕥㈵㌰戶㠷㐱挳㔰昳戵戶㉦戴ㅡ戲敦㈴㘸〵挳づ㑣戲㈳挵㑥㄰㕥ㅦ㥦ㅥ㠹㘱㘷㌴〱敥ㄴ戴ㅤ攰晥攱ち㙥ㄷ挶攷㠳敢㑦㤵〳ㅣㅦ㌱㤱㌴㑤㠳㍡ㄳつ㐱㍢〰㥥㌶摡挵㕡扢㍢戴㌶摡愵搰ち愸㠱捣扡〷挵㈰〸慦㡦㑦㜸挴㌰ㄸ㑤愰攵戳ㅤ〷摡ㄷ㕤搱づ㘵㝣㍥㕡㍦㔵づ戴㝣っ㤴㠷㜶㌹ㄴ㠲㌶〸㑦㡤㑢慤搰摡㄰戴扡て㍥㍥㠲ㄱ㔰㘱㘶㡤㔰㐴㈱扣㍥㍥㠵ㄱ㐳っ㑤愰㕤㠹戶〳敤ㄳ慥㘸㠷㌱㍥ㅦ敤㍥㔴㌹搰慥搶㌰昶㠳㐱挳㔰㝣攴㈲㤰昷㠷㔶㐳昶昱㠱㠹㘰ㄸ捥㈴㌵ㄴ㈳㈰扣㍥㍥㌳ㄱ㐳㉤㥡〰挷愷㈵づ㜰昷扢㠲ㅢ捤昸㝣㜰㘳愹㜲㠰攳㠳㤵扣㔲摥〷㠵攰ㅡて㑦ㅢ敤㐳㕡㍢〱㕡ㅢ敤愳搰ち愸㠹捣㝡〰挵㠱㄰㕥ㅦ㥦㙢㠸㘱ㄲ㥡㐰换㈷ㅡづ戴㝦㜶㐵㍢㤹昱昹㘸愷㔲攵㐰晢㈴昲攴愱攵㌳つ㐱㍢ㅤ㥥㌶摡扦㙡敤㈱搰摡㘸昹攰㐱㐰ㅤ捡慣㠷㔱ㅣづ攱昵昱搹㠳ㄸ㡥㐰ㄳ㘸㕦㐵摢㠱昶㝡㔷戴㐷㌱㍥ㅦ敤㉣慡ㅣ㘸昹〴㐲挰愵㘰戰挱扤慤戵㘹㘸㙤㜰㝣ㄸ㈰ㄸ㌲㑣㤲愵挸㐱㜸㝤㝣ㅥ㈰㠶愳搱〴戸て搱㜶㠰扢捣ㄵ摣㌱㡣捦〷㔷㑦㤵〳ㅣㅦ㄰〸戸㐶ㄸ㌴っ昵㠵搶㌶㐱慢㈱晢㌸㜴㉦ㄸ收㌰挹㜱ㄴ捤㄰㕥ㅦ㐷敦挵搰㠲㈶挰㝤㡦戶〳摣戹慥攰收㌱㍥ㅦ摣㝣慡ㅣ攰㌸㠶㉦攰ㄶ挲愰㘱愸㌲㕣搰㠸㜶ㄱ戴ㅡ戲捦〳慤㘰㌸㠱㐹㑥愴㌸〹挲敢攳㔸扢ㄸ㑥㐶ㄳ攰㉡搱㜶㠰㍢搹ㄵ摣㘹㡣捦〷㜷〶㔵づ㜰㕥攴挹摢〸㝢㐱㈱戸捥㠴愷㡤戶㡦搶㥥〵慤㡤㜶㕢㘸〵搴搹捣㝡づ挵㘲〸慦㡦攳攱㘲㌸ㄷ㑤愰摤ㅥ㙤〷摡ㄶ㔷戴㑢ㄸ㥦㡦㜶㈹㔵づ戴㍢㈰㑦ㅥ摡㙡㈸〴敤㐵昰搴戸㔴㝦慤扤ㄸ㕡摤〷摦㈰㘸〵搴㌲㘶扤㠴攲㔲〸慦㡦㘳搶㘲戸っ㑤愰ㅤ㠲戶〳敤搱慥㘸慦㘰㝣㍥摡ㄵ㔴㌹搰㜲㄰㕢挰㕤〵㠳つ㉥慣戵㔷㐳㙢㠳ㅢ愶㌱㕣挳㈴搷㔲㕣〷攱昵㜱㠴㔹挰㕤㡦㈶挰敤㠳戶〳摣ㄱ慥攰㔶㌱㍥ㅦ摣㙡慡ㅣ攰㠶㙢ㄸ㙢㘰戰挱㡤搴摡㥢愰戵挱㡤搷ㄸ㙥㘶㤲㕢㈸㙥㠵昰晡㌸ㅥ㉣攰晥㡣㈶挰㑤㐴摢〱㙥㤲㉢戸㍢ㄸ㥦て㙥㉤㔵づ㜰ㅣ㈰㤶捡摤つ㠳つ㙥慡搶摥〳慤つ敥㜰㡤㘱ㅤ㤳摣㑢㜱ㅦ㠴搷挷搱㕢〱㜷㍦㥡〰㜷㈴摡づ㜰戵慥攰ㅥ㘲㝣㍥戸昵㔴㌹挰㜱㠸㌷㙦㈳㑣㐱㈱㘸㌷挰㔳攳㔲㌹慤摤〸慤敥㠳慦ㅥ㕡〱昵㈸戳㍥㐶昱㌸㠴搷挷ㄱ㔶㌱㍣㠱㈶搰㜲㙣搵㠱㌶收㡡昶㘹挶攷愳㝤㠶㉡〷㕡づ挳ㄲ慤晥愸㔶㈸〴敤㜳昰戴搱捥搷摡攷愱戵搱㜲㤸㔳㐰晤㤵㔹㕦愰昸ㅢ〴㉥摤戴攱㐵㌴㠱昶ㄴ戴ㅤ㘸〷扢愲㝤㤹昱昹㘸㕦愵捡㠱昶っつ㘳ㄳっ㌶戸戳戵昶㜵㘸㙤㜰ㅣ㤴ㄴ㜰㙦㌰挹㥢ㄴ㙦㐱㜸㝤ㅣ㤷ㄴ挳㍦搰〴㌸㡥㐸㍡挰敤散ち敥ㅤ挶攷㠳㝢㡦㉡〷㌸づ㕥收ㄱ捦㌱㐹㈹攵晢昰戴搱㕥愱戵ㅦ㐰㙢愳扤〶㕡〱昵㈱戳㝥㐴昱㌱㠴搷挷戱㐳㌱㝣㠲㈶搰㜲搴搰㠱㜶ぢ㔷戴㥦㌱㍥ㅦ敤ㄷ㔴㌹搰慥㐴㥥㍣戴慢愱㄰戴㕦挱搳㐶㝢戳搶㝥つ慤㡤㤶㠳㝢〲敡ㅢ㘶晤て挵户㄰戸㜴搳㠶敦搰〴摡戵㘸㍢搰㜶㜳㐵晢㈳攳昳搱晥㑣㤵〳敤㍡つ攳㔷ㄸ㙣㜰て㘸敤㙦搰摡攰㌸ㄴ㈷攰㌸㘵搷㔰ㄴ攵㄰㕥ㅦ㐷攳挴搰〵㑤㠰㝢ㄴ㙤〷戸㥦晥攳㜶ㄷ攸㘱㝣㍥戸㑡慡ㅣ攰㥥搴㌰㌰扢摡㠶愱㥥搱摡敥搰㙡挸㍥づ㥣〹㠶ㅥ㑣搲㤳愲ㄷ㠴搷挷戱㌳㌱㔴愱〹㜰㉦愱敤〰昷戹㉢戸㍥㡣捦〷户㈵㔵づ㜰慦㙡ㄸ㕢挳愰㙢愴摥搰摡㙤愰戵挱㜱㤸㑢㌰㙣换㈴摢㔱㙣て攱昵㜱愴㑢っ㝤搱〴戸昷搰㜶㠰㝢搷ㄵ摣㑥㡣捦〷㔷㑤㤵〳ㅣ㠷挳昲㌶㐲㡥㜲挹㐶戸ぢ㍣㌵㉥挵挱㉣搱敥ち慤敥㠳敦ㅢ㘸〵㔴㝦㘶摤㡤㘲〰㠴搷挷搱㈸㌱散㡥㈶搰㜲ㅣ捡㠱昶ㄵ㔷戴㠳ㄸ㥦㡦㜶〸㔵づ戴㍦㙡ㄸ㐳㘱搰㌰ㄴ㠷㥥〴摣㕥搰摡㤰扢㘲㡢㤴攱扦扦㘲㙤ㅣ晥摢愷っ户敢攵ㅥ挵挱㈴㌱㍣㙦ㄹ昶ㄵ㠳㔲ㅥ㙤㜸捥㌲散て㠳ㄱ㐲搲㡡㙥㌰ㄵ晥戶㝤挷㄰㠹㌵昹㜷㕣㙢㤶㘷〹㍣㡤㥢㠲㕦扡捥搱ㄲ㙦〳愷换捡搴㔹㑦挳㤴搹昸愵散扤㉤摦挱戶㑦ㅦ㕢㘳晢昶戲㔵ㄲ戳㕤㙤㔳挳㥣㘴㜳㌲㔵㥦愵换攰戶愴㕢ㄵ㕡挴ㅦ㌵㘰ㄹ捡㜶㜱㥢搱㙢づ敡㘸㠰ㅣ捥愹㔴ㅤ㜶慣㔴っ㌰挲愸㐹㑦㉣愸戶㈵㘹㔶㜸㔱愷づて㈵㜱扣昲㜷晥㜹㠰〸〰愸ㅥ㔸㤹っ㠹㐶搱搲㕢㐳㔵㉦㑢㕢挹戱㥢慡㉡摤挲㑦晣ㅡ㈹㐸愱晥愹㠲㙤㠲㈳㌲㘲㜸戲㘰㥢攸愳つ㑦㌸户㠹㘱㕣晤ㄶ㌰㜱扢㌰昶戶慢㘱㉦㐹㌵搴搶戰戲㈲挶㍥昴摦ㄶ㑢〲㜷㕦㈷摣敤㉤㙤㈵㝥㤶㔵昵搵㉤㠲㔷㍢愰㈵愸㌶ㄴ挰攵ㄸ㡤ㄸㅥ㈹㠰扢㤳㌶慣㜷挲慤攱敡㜷㠶㐹攰㡥戰攱摡㑢㈶摣㕤攰㈱㜰㙢改摦ㅦ㉤㠱㍢搲〹㜷㠰愵㌵攱敥慥㕢〲㜷㈰㕡㠲敡晥〲戸ㅣ愴ㄱ挳㝤〵㜰〷㘹挳扤㑥戸㘳戹晡挱㌰〹摣㜱㌶㕣㝢挹㠴㍢ㄴㅥ〲㜷㍣晤晤㘸〹摣〹㑥戸㐱㑢㙢㙥っ㈱摤挲捦㌲ㄵ㠶ㄴ㔴㙢ぢ攰㜲㤴㐶っ㜷ㄶ挰㡤㙡挳ㅤ㑥戸㤳戸晡ㄸ㑣敤㙦っ挳攰㈱㜰て愶晦㍥㘸〹摣挹㑥戸晢㔹㕡戳扡晢敢㤶㔴㤷㘳㌴㠲敡㤶〲戸ㅣ户ㄱ挳捤〵㜰㐷㘸挳㑤㑥戸搳戹㝡㡥敢〸摣㐳搰㤲㜲ㅡ昶㤲㔹摤搱昰㄰戸㠷搲㝦㉣㕡〲昷㌰㈷摣昱㤶搶㠴㍢㐱户〴敥㐴戴〴搵慡〲戸ㅣ戸ㄱ挳つ〵㜰て搴㠶㤵㑥戸㌳戸晡㐹㌰〹摣愳㙣戸昶㤲〹㜷㌲㍣〴敥㑣晡㑦㐵㑢攰捥㜲挲㥤㙥㘹㑤戸㠷攸㤶挰㍤ㄴ㉤㐱㜵㜵〱㕣㡥摣㠸攱慡〲戸㠷㙢挳㤵㑥戸ㄹ慥晥〸㤸摡摦ㄸ㡥㠲㠷挰捤搱㥦㐳㌹〲昷㘸㈷摣㤴愵㌵攱㜲晣㠶㍥戲㈵慢っ㕡㠲㙡㜹〱㕣㡥攵㠸攱戲〲戸㌹㙤戸搴〹昷㔸慥晥㘸㤸摡㠷㝢っ㍣〴㙥〳晤敢搱ㄲ戸㡤㑥戸㡤㤶搶摣搵㥡㜴ぢ㍦换搴ㅣ㐸㐱㜵㘱〱㕣㡥敥㠸㘱㘹〱摣㘶㙤戸挰〹户㤹慢㙦㠱愹㝤戸昳攰㈱㜰㕢改㍦ㅦ㉤㠱㍢搷〹㜷愱愵㌵慢扢㐸户㘴㘳㌸〱㉤㐱戵戸〰㉥挷㝢挴㜰㑥〱摣㤳戴攱㙣㈷摣〵㕣晤挹㌰〹摣㠵㘸㤹扢㥡扤㘴㙥扢愷挱㐳攰㉥愲晦ㄹ㘸〹摣ㄳ㥣㜰捦戴戴㈶摣戳㜴㑢攰㥥㡤㤶愰㍡扤〰㉥〷㝣挴㜰㕡〱摣挵摡㜰慡ㄳ敥㈹㕣晤戹㌰〹摣㔳㙤戸昶㤲〹㜷〹㍣〴敥㘹昴㕦㡡㤶挰㍤摤〹昷㈲㑢㙢㙥っㄷ敢ㄶ㝥㘲㝡㍣愴愰㍡愱〰㉥㐷㝣挴戰愸〰敥愵摡戰搰〹昷㉣慥晥㌲㤸摡摦ㄸ慥㠰㠷挰㍤㠷晥㉢搰ㄲ戸㡢㥤㜰慦戲戴㈶摣慢㜵ぢ㍦换ㄴ挷㝢〴搵摣〲戸ㅣ〳ㄲ㐳㙢〱摣敢戴愱挵〹㜷〹㔷捦㌱愲昶攱慥㠲㠷挰㕤㑡晦搵㘸〹摣ぢ㥤㜰搷㔸㕡ㄳ敥㑤扡㠵㥦㤸㜲て㈹愸ㅡぢ攰㜲㔴㐸っつ〵㜰㙦搵㠶㝡㈷摣㑢戸晡㍦挳搴㍥摣㍢攰㈱㜰㉦愳晦㕡戴〴敥㜲㈷摣扢㉤慤〹昷ㅥ摤挲㑦晣㍡ち㐸㐱㜵㜴〱㕣㡥ㄳ㠹㈱㔷〰昷㍥㙤挸㍡攱慥攰敡敦㠷㐹攰㕥㠹㤶戹慢搹㑢收戶晢㄰㍣〴敥㔵昴攷挰㤱挰扤摡〹㜷㠳愵㌵㜷㌵づづ搱㐷挰慢㐷搱ㄲ㔴戳ち攰㜲愰㐸っ㌳ぢ攰㍥慥つ㐷㌹攱㕥捦搵㍦〱㤳挰㕤㘹挳戵㤷㑣戸㑦挳㐳攰摥㐰晦㘷搰ㄲ戸慢㥣㜰㥦戳戴㈶摣攷㜵㑢㡥っ㝦㐵㑢㔰ㅤ㔶〰㤷㈳㐵㘲㌸戴〰敥摦戴攱㄰㈷摣㌵㕣晤㡢㌰戵扦㌱扣って㠱㝢㌳晤㕦㐵㑢攰摥攲㠴扢挹搲㥡㜰㕦搷㉤㠱晢〶㕡㠲㙡㜲〱㕣㡥ㅤ㠹攱攰〲戸㙦㘹挳㐱㑥戸户㜳昵晦㠰㐹攰摥㠱㤶戹㌱搸㑢㘶㜵摦㠱㠷挰扤㤳晥敦愱㈵㜰搷㍡攱扥㙦㘹㑤戸ㅦ攸㤶挰晤㄰㉤㐱㌵愱〰㉥〷㡦挴㌰扥〰敥挷摡㌰捥〹㜷ㅤ㔷晦〹㑣〲昷㕥ㅢ慥扤㘴挲晤っㅥ〲昷㍥晡㝦㠱㤶挰扤摦〹昷㉢㑢㙢挲晤㕡户〴敥㌷㘸〹慡㤱〵㜰㌹㝡㈴㠶摡〲戸摦㙡挳〸㈷摣㠷戹晡敦㘰㙡㝦㘳昸ㄱㅥ〲昷ㄱ晡晦㡣㤶挰摤攰㠴晢慢愵㌵攱晥愶㕢〲㤷㘳㐷㠲㙡摦〲戸㑡ㅢ昶㈹㠰㕢慥つ㝢㍢攱㍥づ慤敡〲搱㍥㕣て㍣〴敥㤳昴攷〰㤳挰㝤ちぢ昶慤愵搷搲㥡〷㌲㡥㉡搱㐷挰㉢㡥㈶〹摣㘸〱㕣㡥㌰㠹㈱㔲〰㤷愳㑥㘲〸㍢攱㍥换慣ㅣ㠱㙡ㅦ㙥ㅦ㜸〸摣攷改捦㈱㈷㠱晢㔷㉣搸㜰㌹摥㈴〰㔹捦㉡㡥㌳戵挱攵昸㤲慣㝣慦〲戸摢㘹挳搰〲戸摢㙢挳㥥㑥戸㉦㌱㙢㕦〸㠱晢㜷㉣㤸扢㥡扤㘴㙥扢ㅣ㠹ㄲ戸㉦搳㥦㠳㔰〲昷ㄵ㉣搸㜰㜷戱戴收挶戰慢㙥挹挶搰ㅦ㉤㠱㍢戰〰㉥〷㥤挴戰㝢〱摣〱摡㌰挰〹昷㜵㘶攵愰㔴晢搵ㅤ〴て㠱晢㈶晤㌹ち㈵㜰摦挲㠲つ㤷㐳㔰㙤搵攵搰㤳㕤摤㉡㡥ㄹ昱搷㤵㤷捦㔷改㔹㤹㔹戳扥慦敡㕡扤㝤搷㐳㠷昷戸晣敤愷摦戹攸愵㈳昷晤攰攷ㄵ㉢㕥㝡敦愲㘷㝥㝥㈰戵敦ㄳ搷㕤昷攸昸慢㥦㜹愷㑦敥㥡昲扢扦㥦㜸捤〹㠱㘳㑦㌸㉥㌷㙤搰㤸ㄳづ㍢收攰挰㐱扤〷㜷改搲慤摢敥㕢㍣戹敤㐰摦㈹挷慤㔳㡦扣戶㑤㘳㐵ㄸ㉢攸挰愰つㄱ晤捥ㄱ㤶㝦戰㐳ㄱ慢㔷挶摢㔸攰㠷愳㕢㍥づ户挸攸摥㍦戱㘰扣〳搱戳扣㙡ㄸ㝥㜴㘶㤷搵摥㔸〱扢㙤扣ぢ愱㘴㐴〵㘰㡣昷搰攲㐷㤰敤㡢㠶㈰晢ㄷㅤ摦㠷〰戲ㅡ晣攸㔴㘴㈳戰〲㐱昶〱ㄶ㔴㉤〵〰ㄹㅦ㘲㠱ㅦ㐱㌶ㄲつ㐱昶ㄱㄶ㡣㡦㈱㠰㡣〳ㅤ㥤㡡㡣㈳㈶㠲散ㄳ㉣愸昱ㄴ〰㘴晣ㅢぢ晣〸㌲㡥㤷〸戲㑦戱㘰㝣〶〱㘴ㅣ搳攸㔴㘴㌲〸〲〸挶攷㔸ㄳ㍦㠲㘵㌲ㅡ㠲攵ぢ㉣ㄸ㕦㐲〰ぢ〷㉣㍡ㄵぢ㐷㍥愴㑡㕦㘱㐱挹㜸〷〰ㄹ㕦愳挵㡦㈰㍢っつ㐱昶つㄶ㡣晦㐰〰搹っ晣攸㔴㘴ㅣ攴㄰㘴摦㘲㐱挹搰〶〰ㄹ摦愱挵㡦㈰㥢㠵㠶㈰晢ㅥぢ挶て㄰㐰㤶挱㡦㑥㐵㤶挳ち㘴㕢晡ㄱぢ㌶ㄶ㡥㕦〸㤶㥦戰㘰晣っ〱㉣ㅣ㘳攸㔴㉣つ㔸㠱㘰昹〵ぢ㌶㤶㐶㌴〴换慦㔸㌰㝥㠳〰㤶㘶晣攸㔴㉣慤㔸㠱㘰㈹敢敥挰㌲ㄷ㕡挱愲愰㌵捡㈱㠰㘵㐱㘷㘳㔹㠸ㄵ挸搶搳〵㉢㔴㡢㌴戲慥㑥㘴ㅣ㘴㄰㘴ㄵ㐴收㌱㤱㥤搲搹挸㑥搵挸扡ㄱ搹㘹ㅡ㔹愵ㄳ搹改ㅡ㤹㐱㘴㕥ㄳㄹ敦昹㍢㤵㍦ㄹ㈴〰㜳㐶㜷㈷㤶挵ㅡ㑢て㘲改㘹㘲㔹搲搹㔸㘴〴㠰㔸㝡㌹戱㜰㈴㐰ㄸ慢㈲ㄶ㥦㠹攵㤲捥挶㜲ㄹ㔶㈰摢㜵㙦㈷㤶攵ㅡ㑢ㅦ㘲搹挲挴挲㕢昱㑥攵攸㑡慣㐰戶敢㉤戱㐲㜵㤵㐶戶㤵ㄳ搹搵ㅡ搹搶㐴戶㡤㠹散晡捥㐶戶㔲㈳摢㤶挸攴愶㥤晣㙤攷㐴戶㑡㈳摢㥥挸晡㥡挸搶㜴㌶㌲戹㈳㈷㤶ㅤ㥣㔸㙥搱㔸㜶㈴㤶㥤㑣㉣扣㝢敥㔴晥敥挰ち㠴扦㥤戱㐲㈵㌷摦㐴㔶敤㐴戶㔶㈳敢㐷㘴扢㤸挸搶㜵㌶戲㝢㌵戲㕤㠹散㍥戴㘴㥢敦敦㐴㜶扦㐶戶ㅢ㤱つ㌰㤱㍤摣搹挸ㅥ搱㔸㜶㜷㘲搹愰戱っ㈴㤶㍤㑣㉣㡦㜷㌶ㄶ戹㐳㈶㘳㠳㥣㔸㜸愷㉣挷愵挱挴㌲挴挴挲扢搹㑥摤㤶攴昶㤷㔸昶㜴㘲攱㙤戰㘰ㄹ㑡㉣㝢㤹㔸㕥敡㙣㉣㝦挷ち㘴扢昶㘳㠵㑡敥㜴㠹㉣攰㐴挶㍢㕥㐱ㄶ㈴戲㤰㠹散昵捥㐶昶㈶㔶㈰㕢㜲搸㠹㠵户戳㠲㈵㐲㉣㔱挱愲晥愱㕤㘳㘸㌳㠶㕦ㅦ敦晦攸摡戳慢攲㑤㥦摣㜱㍦昹㡤㌹慦㘲〴昴㤵慡㑣昱㐶㔰っ㑦㔸〶ㅦっ挶㌰愶㤱㕢㌶戶昶㜶㈶攵慤㥢㤵㤴昷㙢ㄲ晢㘸㐱㔲摥挳㠹㘱愳㌳改㝥㑣㈳㜷㕢㑣扡扦㌳㈹敦扡慣愴扣搵㤲搸昵〵㐹㜹晢㈵㠶㠷㥤㐹㐷㌰㡤摣㈸㌱㘹慤㌳㈹㙦㤸慣愴扣㑢㤲搸〷ち㤲昲捥㐹っ昷㍢㤳㡥㐶ㅡㅦ敦㜱慣㜰摥搸㠸搷扤〵攱扣搹ㄱ挳㍡㘷昸㌸愲㤰摢ㄲ㘲ㅡ敦挴挴摢ㄳ㉢改㌷㍡昶慥㠲愴扣㑦㤱愴㙢㥤㐹て㘰ㅡ戹愳㘰搲〳㥤㐹㜹㘷㘱㈵攵敤㠴挴摥㕥㤰㤴户ㄸ㘲戸捤㤹昴㘰愴昱昱㘶挰ち攷ㅤ㠰㜸摤㕡㄰捥扢〲㌱摣攲っ㥦捡㜰㕥扦㕢攱扣㘸ㄷ慦㥢ち挲㜹㈱㉦㠶㌵捥昰㐳ㄸ捥㑢㙥㉢㥣搷搹攲戵扡㈰㥣搷摥㘲昸㤳㌳晣㜰㘸㤵㕣㈵戳㈲㐷戰㠵〵搹昲㜹戵㙣㈵攵㈵戲挴慥㉣㐸捡换㘶㌱㕣敦㑣㝡ㄴ搳挸〵㉥㤳捥㘴㑢㈷攵㠵慥㤵㤴㔷户ㄲ㝢㑤㐱㔲㕥昱㡡攱㙡㘷搲ㄴ戴㍥㕥㥢㕡攱扣㈰ㄵ慦㉢ぢ挲㜹㤱㉡㠶ㄵ捥昰㉣挳㜹㌹㘹㠵昳ㅡ㔲扣慥㈸〸攷㜵愵ㄸ㉥㜷㠶捦㘶㌸慦〰慤㜰㕥昶㠹搷㘵〵攱扣ㄴㄴ挳愵捥昰㘳愱㔵㜲搱挶㡡搴戳愵㉢挲㡢㌷㉢㈹慦搸㈴昶攲㠲愴扣㡡ㄳ挳㐵捥愴㑤㑣㈳搷㕢㑣㍡㠷㉤㥤㤴搷㕤㔶㔲㕥㙣㐹散〵〵㐹㜹〱㈶㠶㈵捥愴㉤搰晡㜸愹㘴㠵昳晡㐸扣捥㉢〸攷㌵㤳ㄸ捥㜵㠶捦㠳㔶挹搵つ㌱ㅤ捦㤶挶挴慢ㅣ㉢㈹㉦㙤㈴昶散㠲愴扣摣ㄱ挳㔹捥愴ぢ㤹㐶㉥㑣㤸㜴ㄱ㕢㍡㈹㉦㔰慣愴扣㉡㤱搸㌳ち㤲昲㑡㐵っ愷㍢㤳㥥〴慤㡦搷ㄴ㔶㌸㉦㈴挴敢搴㠲㜰㕥㕣㠸攱ㄴ㘷昸愹っ攷㘵㠰ㄵ捥㜳扦㜸㥤㔴㄰捥敢〱㌱㥣攸っ㍦㠳攱㍣㜳㕢攱㍣㕤㡢搷愲㠲㜰㥥挲挵戰搰ㄹ㝥ㄶ戴㑡㑥戶慣挸搹㙣改㡡昰愴㙢㈵攵㤹㔶㘲㡦㉦㐸捡戳慦ㄸ收㌹㤳㥥ぢ慤㡦攷㐹㉢㥣㈷㐷昱㙡㉤〸攷〹㔳っ㉤捥昰㈵っ攷戹㤳攱挶〵㔸挰晣㐷㥥〴㘵㍣㜹㈹慤㍣〹㡡昵㐲搳捡戳㤹㔸㉦愲㤵㘷㌳㘷㉣㑦㑢㘲㕤㐶㉢㑦㑢㑥㉢捦㉦㘲扤ㄴぢ㡡愷ぢ㘹㕤㠶〵ㅦ㑦ㄷ㑥㕦ㅥ昷挵㝡㌹慤㍣敥㍢慤㍣㠰㡢昵㡦㔸㔰㍣ㅥ㑢㙢〵㕢㠷攸搶㤵㙣昱㘸㈹戶慢戰攰㍢〲挲㤹攷㈸㙤扤㠶㔶ㅥ昶㥣㔶ㅥ扦㈴昶㍡㉣㈸ㅥ㡥愴㜵㍤㕢㍣扡㐸㙢㈵㕢㍣㔸㐸敢〶㉣昸㜸戰㜰收攱㕥㉦搶㍦搱捡扤㕥慣慢戱㠰㝡㜳昷ㄵ敢㡤㔸㔰摣ㅢ愵戵〶ぢ㍥敥㡤捥㑣摣慤挴㝡㌳慤摣慤㥣㔶敥ㅦ㘲扤ㄵぢ㡡㥢扢戴晥捣ㄶ户㕥㘹摤挶ㄶ㌷㐶㘹摤㡥〵ㅦ㌷㐶㘷ㅥ㙥㔵㘲扤ㄳぢ㡡ㅢ㠹戴搶㘲愱㠲ㅢ㐹㍢㤳㈶て捡㌶愷戳㡤慤㜵昵㔹㑥摡挴改慦慣㘷㐳敤摣㤶搶㈶㜳㕥㘹㑢㠵捣㈴㉤㥥㘹摡㠷敥㠳昳㕣扤愶㡡戲捡㕣戴愷㥣㜶户㑣㥣愳晡㝦㥤㙦摡つ㍤攵ㄷ㙦敢敥搴晥㤴㔳㜳扡㘹挷扣慣戹愶㜷戱㔶昸㜵ㄱ㤸㙣摡戶㈸㙤挵扤㠹㝢扣㌱㡢て㠹慣㡦攲㕥挵㤲ㅡ昷戴㐵戶㉤㥡㤱摣搳㡡㈳戹㠷ㄵ㙢㘵捦㐲昲晣戵㕣收敡换㍤慢㌸㠳散㔱㐵ㄹ㘴捦㉡搲捡ㅥ㔶愴攵㥥㔶㥣㤷㝢㔸戱㔶昶慣愲っ戲㠷ㄵ㘹㘵㑦㉢搲㜲㡦㉢捥换㍤慤㔸换㍤㑥慡㝤㉦ㄶ㉣㥥摡ㄶ捤㙡换㕥㔸戴ㄶ敥㡤挵昹戸ㄷㄶ㙢㘵敦㉢捡㈰㝢㘱㤱㔶昶挶㈲㉤昷捡攲扣戲㌷ㄶ昹㜲慦㉣昲慤攲搶挷敤㡣㝤挲攷敤晤慦戸㥣㥦㡦昶㝦昶ㄹ㝥晥扤㝦ㄵ户戲昶㍤㔸㤹㜶㍤扡晦㍦挰㕤昱〷</t>
  </si>
  <si>
    <t>㜸〱捤㝤〷㤸ㄴ㔵昶晤扣㠱㈹愶㥡㌰㉤ㄸ挱㌰㈸㡢〸㠸摤搳㜱㑣攴㈸ㄲ〴㔱ㄱ㠵㡥㌰㌲㠱㥤㐰㔰㔷㌱㘱㔸㐴搷㉣〶ㄴ㌳㉡挶㌵㘰㥡〵㡣㡢㌹慣㘲㕣搷㥣搶㌵戲㉥敡晦㥣㕢昵㝡慡扢慢㥢昹昹摦昹扥ㅤ攸摢昵㙥慡昳敥愹慡慥㝡昵慡扢㐴㤵㤴㤴晣㡡㍦扥昳慦㌳ㄷ㜶㥤戶愴愹㌹㔵㌷㘴㘴㐳㙤㙤㉡搱㕣搳㔰摦㌴㘴㜸㘳㘳㙣挹挴㥡愶收㑥㜰㌰㘶搷挰摥㔴㌶扢愹收昸㔴昹散㠵愹挶㈶㌸㤵㤵㤴㤴㤷㥢愵戰敦㘲扦扣扡㘱㌲捡散㑣〱慦ㄲ搳愰攸㐲㔱㑥㘱㔲㜸㈸扡㔲㜴愳攸㑥搱㠳愲㠲挲㑢戱ㅤ㐵㑦㡡㕥ㄴ摢㔳散㐰戱㈳挵㑥ㄴ㍢㔳㜰晤㘶㙦㡡㍥㄰摤㜶㠵㤸㍥㜲挴攴昸㜱攸捤戴收㠶挶搴攰捡ㄹㄶ收㠳晣晥㈱晥㈱挱㤰扦㙡㠸㙦㜰攵挸㤶摡收㤶挶搴㐱昵愹㤶收挶㔸敤攰捡㈹㉤昱摡㥡挴㈱愹㈵搳ㅢ收愷敡て㑡挵㝤㠱㜸㉣ㄸ昵〷㐳愱㜴㜵㜵戴摢㙥挸㍣㘹攴㠸㈹㡤愹㜴搳㝦㉢攷敥捣㌹㜹攴㠸㈱㤳㔲捤晦慤㥣㝢㈰㈷㔲㡥㙡愸㡢搵搴晦㤷㤲㤶㤱搳挰愸㔴愲㠶攴愷㔲㡤㌵昵㜳㠷〰㜶㔶愱搱㡡っㄹ㠳㡡㈷㘲㑤捤㈳㔳戵戵㠷愵搲攴扤㕢ㅤ㙢㤶㙡㑣搵㈷㔲㑤㍤敡㐶㉦㑥愴㙡㙤㜳㔳㜹摤㡣㔸攳愴㔸㕤慡㌳ㄷ㉡敡㉣摥挶㈷㔳昵捤㌵捤㑢扡搷ㅤ摥㤴㍡㉣㔶㍦㌷㐵㤷戲扡戱㉤㌵挹捥㥤㔵攷捥㈵㥤昶㜶〳㈳摣っㄹ搳㤸ㄸ㌹㉦搶搸㉣㉤戲收㜷昳㜵㙣㈱〲㍣ぢㄶ户愲捡㥣㈸搲㌴慤愶敥㤰㔴㘳㝤慡㤶㉢㈱㜹㠳㜲㥣愴㈶㔶改㌳挵搱扤㈱㌱慡慢扤扦戱㉢㕣㡢㔹㐹搱ㄷ挲搸ㄳ挲㝢搰㠸ㄱ晤晣㤱晥㝢敥㕦戹㘷晦㝥挳愳㍥㜳㉦摡晢㐱愸捥㙦㘲攷㜵挶㜳〷㉡㥤ㅤ㉢㥤ㅤ㉦㥤㥤㈸㥤㥤㉣㥤㥤㉡㥤㥤㉥㥤㍤户㜴昶扣搲搹㌵愵戳㡦㉢㥤㍤ㅦ㍥晡慦扣㑢㤷㔲晢敦扢㍢㤶㥤㔲㍢挹㍣㜴搵愳㡦扤㜸㝦扦慤ぢㄴ昷㔷搹㜱晢㘳挱摣ㅢ挲ㄸ〰㤱㠳㈷㕣㙤敥㐳晢㐰〸愵㕥〵ㅥ㘲㍡扦挷戸㐹㑤㥢ㄷ㡥扢戵敦戰㝦摤扦攰搲㠵㡡晢扤㈴ㅢ㑣攷㝤㈱㡣㈱㄰戹挹愲收㝥戴晢㈰㤴㝡摥㑥㌶搷ㅣ昵攵挷㝦㥤㍤㘹㕤㥦晥慦㕣㌴攴慡搹㡡挷て㐹㔶㐵攷〰㠴ㄱ㠴挸㐹ㄶ〹㤹㈱摡挳㄰㑡㍤㙤㈷㑢晦昵㑦㜷愴㉡〷て扢攲戹扢ㅦ搸㌴敦攵敦ㄵ户㐷㐹ㄶ愵㜳㌵㠴戱㍦挴㜶〷つ㍦摣㔱㜶扦㍦㘰ㅥ㐰㠷〳㈱㤴摡㘰㘷㝢昷慢㍤扢摥慡㕡挶慦搹搸㙤散㍤挷慣㝤㐱昱㠰㈶搹づ愶昳㔰〸㘳ㄸ㐴㉥㌴扦㌹㥣昶ㄱ㄰㑡㍤㘲㈷敢晢敥搴敤敦㉢敦㌵攱扡㜳ㅦ㍤㈴昵昸昸㌷ㄵて㡣㤲㙣ㄴ㥤㐷㐳ㄸ㘳㈰㜲愱昹㐲收㔸㍡㡣㠳㔰敡㝥㍢摢晤㠷捥晡攴㤷ㄵ㑤愳㔷㜴敢㌲㝣戰ㄹ㤸慢㜸㠴㤵㙣ㄳ攸㝣〸㠴㌱ㄱ㈲㉦㕢搴㍣㤴づ㤳㈰㤴扡换捥㤶㌸㙢昳摢昷ㅣ㕥㍦㝣搹㤳㕢㘶敥戴㘸挴㐳㡡㕢㥡㘴㥢㐲攷愹㄰挶㘱㄰㌹ㅤつ〷捣㘹戴㑦㠷㔰敡㔶㍢搹戲ㄷ敥㕢戵昲㡡ㅢ㈷慥㍥攰捣扢㥡〶㤵戴㈸ㅥ昲㈵搹っ㍡ㅦ〱㘱ㅣ〹㤱㤳㉣ㄲ㌴㡦愲㝤㈶㠴㔲㌷搸挹扥㕤㌷敥搹戳㈷㠴挶慤㝤㜱搶敤㉤攱挳㉦㔵晣攸㤰㘴戳攸㝣っ㠴㜱㉣㐴㑥戲㜰搸㥣㑤晢ㅣ〸愵㔶搹挹摥ㅦ㥢扡㌹扡㘴搵攴㥢挷㝦昹攷敦㔲ㄷ㙦㔰晣〸㤲㘴㜱㍡㈷㈰㡣㈴㐴㑥戲㠸捦㑣搱㥥㠶㔰敡㜲㍢搹㤴摥㍦慦㥢㔴㜶敡挸慢㜶㝣昷㠶㥤搶敦昰㥣攲㐷㤹㈴㥢㐷攷ㅡ〸攳㌸㠸摣㘴搵㈶㜷㔱戳ㄶ㐲愹ぢ敤㘴㘷敥㘰づ㔸户戹㘶昸敡挶㠱收敡ㅥ㕦捦㔷晣㐸㤴㘴昵㜴㙥㠰㌰ㄶ㐰㜸戳户摢敡愰昹㝢摡ㅢ㈱㤴㍡搷㑥㜶晢慤㈷敤ㅢㄹ㌸㝦挲㕤搷敦戴挷攴㌳晡敤慡昸搱㉡挹㥡改摣〲㘱㉣㠴挸㐵ㄶ㌵ㄷ搱扥ㄸ㐲愹㌳敤㘴ㄷ㑦慡晢㜴搷㝤昷㥢㜰摦㠳㌳摦㝢收挲㐸㐰昱㈳㕡㤲ㅤ㑦攷ㄳ㈰㡣ㄳ㈱㜲㤲㠵㐳收ㅦ㘸㍦〹㐲愹㔳散㘴捦敦㘶㕥昵挶㔹换㐶㕤昴敡攰敡㤳㍦㕥搱㔹昱愳㕥㤲㉤愵昳㈹㄰挶愹㄰㌹挹愲〱昳㌴摡㑦㠷㔰敡〴㍢搹㍤扥㠵扦晣攷慥搴㠴㙢㕥扤㌱㜲攵戹㝤摥㔵㍣㘵㤰㘴换攸㝣㈶㠴㜱ㄶ㐴㑥戲㐸㤵㜹㌶敤攷㐰㈸搵㘲㈷㕢㝥攱敥换㕥㔸攵ㅦ戵㜴收㔷愷ㅦ㘱扣㔴愶㜸敡㈱挹㤶搳昹㕣〸㘳〵㐴㑥戲㘸㤵㜹ㅥ敤攷㐳㈸搵㘰㈷扢㜱扢挵户捤ㄹ㜶摡㠴㙢搶㥤㌰愹扥昲㠰扢ㄵ㑦㘱㈴搹〵㜴扥㄰挲戸〸㈲㙦攷っ㤸ㄷ搳攱ㄲ〸愵㙡散㙣㌳昶搹扢㘹㙥攸㤴㘱㤷㝦扤敡㥡㌱晦摡昷㈹挵㜳㈱挹㜶ㄹ㥤㉦㠷㌰㔶㐲攴㘵㡢㤸㔷搰攱㑡〸愵ㄲ㜶戶㈹㈳㘶ㅣ㌷改愹㕢㈷㍥昰昱敤㡦て㍢晢愵愴摡ㄹ㘶挹㜶㌵㥤㔷㐱ㄸ搷㐰攴㜶搴㙦㕥㑢晢㙡〸愵㡥戱㤳㌵㙣㝣㝥㤷㑥摦㙣ㅤ㜱攷ㅦ〳昵㜵扦慣㑡㉢㥥㥣㐹戲敢改㝣〳㠴㜱㈳㐴㉥㌴扦摦扣㠹づ㌷㐳㈸㜵㠴㥤㙤攱晣昹㠱慦慦扤㘹搴㠳㙦㕥晣敡搴愷㍥㉣㔵扤㘱㤶㙣㙢攸㝣㉢㠴㜱ㅢ㐴㕥戶戰㜹㍢ㅤ搶㐲㈸㌵搵捥收㥦㥢攸㍡㌵㍥㝣昲㌹摤㈷敤㜳攷ぢ㠷昴㔳㍣㕤㤴㙣㜷搲昹㉥〸攳㙥㠸摣㕤慡摡扣㠷昶㝢㈱㤴㍡挴㑥昶敤㔱㑦㙦㔸㝤搴㈷㤳㤶㙦㕡扣愲搳㔵㝦㙡散㜶ㅦ捣㔳敤㡦昶㔱㡤戱㐵㌸㍦㙡㍢昵挲昹㈶晦㙤晢㥣ㄳ愷㥣改㔰㍡㤲昶晢㤳㈱㕦㉣㄰㉢慢㐴摡昶㥥改㜰㜳敦㤶㍥愲愶㍥搹戰㐸㑥㝤扡愵挷搴搴㌶愷ㅡ愵㔱㤱挶㥢㜵晡㈶敤敥改搱㡢㜱摥㥢戰捥㤲戶㑦㡦㑣㌵㌶攳㝣戱㜹㐹摢愹搳慥㈳㘲㑤愹戶收㈰㍢昷㠸㠶㤶晡㘴㔳ㅦ㜷攳戴收㔸㜳慡㜷慥慤㉤㐹㕥搸㌴㥣㑢愶㥡〴搲敥戹㘱㌳㘲戵㉤愹攱㡢㙢㉣昳㙥㌹㘶㥣㔵㌶挴ぢ㕢挷㌴愶㝥㥦戱收㈱ㅡ㡥㑢㥤㠵㤲㍢慦㤷㤶挹挲㔵㌹㜲㕥㐳㔳慡㕥攰つ慡㥢㔲㤳㤸㥦㙡㥣㤶攲㠵㔲㉡㈹㕤摤㠱㈶晢搴㜶搰攴㝡㜴ㄴ㈷慢挹㍤㥤㕡ㄶ㍡㔵㥦㑣㈵㠱㜷〱慡扣㘴㝡㉣㕥㥢摡㌱换挵㕡㈷っ扢㘴愹挷㌴㈴㕡㥡㐶㌶搴㌷㌷㌶搴㘶㕢㠶㈷ㄷ挶㜰㍡㥤㍣戴㈱㤹敡㉣㝦㈵㤶㔴㈵㥤㍡㈹㔵㌲挰敤扣㤴戹㥢㜸收敡搸㐸㜸㝥㕣摣搹戱ㄱ搱搹昵㡣㌷㤳ㄹぢ㡥㡤㡣晥晢ㄴ㐵攲摣〸改敤㉢敡敤戲㤱㌲㘸攷散ㅤ㙦挸㘱攰〷㍣搴愶戸㔷㤶昶㉢㥣戲㙤扢摣〶㔲〷㉢扣㉥愶㜷㤱愲㐹摡捣戶搷戱捥愵愵扤散摥㡦㕥㠸㡢愶㜱戱晡㘴㙤慡戱攸㔵扤㈲㈲昳㝥㡡〷㈸ㅥ愴㔸㐷昱㄰㐴搹㈸ㅣ攳ち㔶戴㌳㍣搴㘲戵愴㙣㔱㑤戲㜹㥥㌱㉦㔵㌳㜷㕥㌳㜴ㄸつ㈸㉦㘷戹昳晥捣㐷愰㌲ㅦ愵㜸っ挲攳㈹㌱㕡昱㕥㘲㜸捣扦昰㙤㍤㐴㠵扥㙡慣戴戶㑣㡦㉡敢ぢ昵晦晤扡慤ㄴ㔱愶㕣㈶攲㍡扥愹慣づ㜹㥢㍡㜵㜲慢挶戸㔸搳扣㘶敥㠸挵㡤捣户㠱㘲㈳㐴户挷㈱㈶㡤㑢搵㘲㌷晥㙦つ〱㤴敤㠵㥣摢扣搴攴㐹搶㡥㜵搳㤶搴㈷收㌵㌶搴㘳㈰㘶㔴慣㌹㌶㍣㠱敢改㈶ㄵ㌳敡㈶㌶㡣㙣㘹㌶敡挶搵攰慤㕢摤㘱愹〵愹㔸昳㐸ㅣ愶㥢扢搷㑤挴戵戸ㅣ㐷挷㈷ㄷ㤷搵㔹㤷搱愳㔲㑤〹㤳搷摢攳㜱㔸㕡㙣㘰〹挷搹㙥㜵㍣搰愴ㄶ㌷㌳㜵㤷扡㈹㌱㕣慦㌷㥢㜰ㅡ㈴㔱搶ㄲ㈳扢㡢㑥㐷㝢散ㄶ㌲㜸㘵搱㤱愵慢㈸慣㑣㈵摣㜲昰〹㡡捦摣捥戶捣摤㠳づ㙦慥愹㙤ㅡ㘲㤷㜷挸愸〶㡣挷愴㘴㈸㡡㘵㌷っ㙣㘰㐶㔱戲㜲㜷㜴㕥戰㑦㑥挴慤戴㠰㌲戶戱愱㘵挱敥挸昵摦捡挳㕣㈵收ㄳ㄰慢晥戵收㠰摦㕤㜵挷慦昶晢挹搸㠵攴捦摣㤳ㅥ慤㄰㙣攲㑤晥捣愷昱收㈹㘶㉢敢〷て搷㈳㙤㠱戱㠵㌲昸㜷慢㐳㙦愷㌷愶㘴戰愴㕣ㅡ㑢ㄶ愴扡搷ㅤ搱搰㌸㍦摥搰㌰㥦攴昷㤰㔶搳扣㔴慡㤹㈳㄰㕤敤〱ㄷ㉥㉢愵㍡㜵捡ㅡ㕥㜰っ㔵散㠱晣挶戳㄰摤㠷搷搶㔶敡㡣㑤挶㜳㔰㜵挲㈷㡡昱㍣ㄶ晡㑦㠸搵㔷㔶昹慡㠲㤵㈳愷ㅤ㌶扣ㄲ挳㠶ぢ㙡㜱㍡㔰㜹搸攸ㄹ扥㝤昷摤㜷搴挴㘹㐳ㄶ搷㌶㉤㔶㍥搴㠲攳〶敢换㤶慣㡥㉥㉢ㄹ昶攰㠷㡦昴散昲昴戳〱戵㥦㙤挸ㅢ㥤攸㡦散㤵㜸㤹㉦㔱扣㑣昱ち挵慢ㄴ慦㐱愸㝤㄰捡㈳ㄷ㤶戳晦捣搷搱㌶摦愰搸っ㠱攳㡦昰㠱挳捦㕢搴昱昰攳㔱㙡㙦扣昱㤰㘳扥㐳昱㉥㠴摡〷㠲㍢㘷㠹昹ㅥ㐴㐱㠶〷搰愳ㄵ〲㉢捦慣摤晣〷ㄴㅥ戳㠸㑤つ㠴〷㔹㌶㔹㔵㤳㜵㌴㔹㐳戵㈳搲戸ㄶ㘷〷摢㤰㌷摡㌲ㄸ㘱㤵㡣晦㠲攲㑢㡡慦㈸晥㐹昱㌵㠴慡㐰愸㝢㜱扥愱捦户ㄴ摦㐱㌸㡡昳〳㜵㜶㜱昶挵戲ㄴ㘷ぢ㤵晦㠶㔰晢㐱㔸挵昹〹㑢〵㡢㌳㠴〱慤㄰〰搰㔶㥣㥦愱昰㤸㐵㙣捡〷て户攲㙣晤愵㐰㜱晥㘳ㅢ昲㐶㡦慡㤰愹ㄲ㉦搳㔰㄰㕤㈸捡㈹㑣ちて㠴晡ㅥ愱敥挵改㐶㥦敥ㄴ㍤㈰ㅣ挵昱㔲㘷ㄷ㈷㠰攴㝤戹㠲㥥㔴昶㠲㔰㈱㌴慤攲㙣㡦㘶挱攲〴ㄹ搵ち㤱㔵㥣㥤㄰攲㌱㡢搸㔴ㄸ㈱㙥挵㜹扦㔰㜱晥㙥ㅢ昲㐶挳愲挸㔴㠹㤷㔹㠹㤵㥡㝤㈹昶愴搸㡢愲ㅦ㠴㝡戳㘰㜱晡搳㘷㙦㡡〱㄰㡥攲っ愴捥㉥㑥㌵㤲昷攵ち〶㔳戹㉦㠴㍡〰㑤慢㌸㐳搰㉣㔸㥣晤ㄹ搵ち㤱㔵ㅣ㍦㐲㍣㘶ㄱ㥢㍡㄰㈱㙥挵㜹慡㔰㜱㥥戴つ㜹㠳㝢〷㈳㔳㈵㕥收晥㔸愹㜹〰挵㠱ㄴ〷㔱ㅣっ愱晥㔲戰㌸挳攸㌳㥣㘲〴㠴愳㌸愳愸戳㡢㌳ㄴ挹晢㜲〵㘳愸ㅣぢ愱㠶愳㘹ㄵ㘷ㅣ㥡〵㡢㌳㡣㔱慤㄰㔹挵㌹〴㈱ㅥ戳㠸㑤㡤㐰㠸㕢㜱搶ㄶ㉡捥敤戶㈱㙦戰㜲ㄴ㌲㔵攲㘵㑥挷㑡捤挳㈹㘶㔰ㅣ㐱㜱㈴㠴扡愹㘰㜱㘶搲攷㘸㡡㔹㄰㡥攲ㅣ㑢㥤㕤㥣搱㐸摥㤷㉢㤸㐳㘵っ㐲㜱搸搳㉡㑥ㅣ捤㠲挵ㄹ挳愸㔶㠸慣攲愴㄰攲㌱㡢搸搴㌸㠴戸ㄵ攷愲㐲挵戹搰㌶攴㡤扤㑥㐰愶㑡扣捣㝡慣搴㙣愰㔸㐰昱㝢㡡㐶〸㜵㙥挱攲㌴搳愷㠵㘲㈱㠴愳㌸㡢愹戳㡢㜳〸㤲昷攵ち㡥愷昲〴〸㜵㈸㥡㔶㜱㑥㐴戳㘰㜱㈶㌲慡ㄵ㈲慢㌸㈷㈳挴㘳ㄶ戱愹㐹〸㜱㉢捥昱㠵㡡戳挴㌶攴つ㈵㑦㐱愶㑡扣捣戳戰㔲昳㙣㡡㜳㈸晥㐸戱ㅣ㐲㌵ㄵ㉣捥ち晡㥣㐷㜱㍥㠴愳㌸ㄷ㔰㘷ㄷ㠷愳搳㝤戹㠲㡢愸扣ㄸ㐲㑤㐳搳㉡捥㈵㘸ㄶ㉣捥㘱㡣㙡㠵挸㉡捥攵〸昱㤸㐵㙣㙡㍡㐲摣㡡㌳愷㔰㜱㘶摢㠶扣愱昱ㄹ挸㔴㠹㤷戹ㅡ㉢㌵慦愳戸㥥攲〶㡡ㅢ㈱搴㔱〵㡢㜳㌳㝤㙥愱㔸〳攱㈸捥㙤搴搹挵攱㘸㝢㕦慥㘰㉤㤵㜷㐰愸愳搰戴㡡㜳㈷㥡〵㡢㜳㈴愳㕡㈱戲㡡㜳て㐲㍣㘶ㄱ㥢㥡㠹㄰户攲㡣㈹㔴㥣搱戶㈱㙦愸㝦ㄶ㌲㔵攲㘵㍥㡣㤵㥡㡦㔰㍣㑡昱ㄸ㐵㉢㠴ㅡ㕡戰㌸敢改戳㠱㘲㈳㠴愳㌸㑦㔰㘷ㄷ攷ㄸ㈴敦换ㄵ㍣㐵攵搳㄰㙡㌶㥡㔶㜱㥥㐱戳㘰㜱㡥㘵㔴㉢㐴㔶㜱㥥㐵㠸挷㉣㘲㔳㜳㄰攲㔶㥣挱㠵㡡㌳挸㌶攴摤扡㠸㈳㔳㈵㕥收㙢㔸愹昹㌷㡡搷㈹摥愰搸っ愱㝥㔷戰㌸㙦搱攷㙤㡡㜷㈰ㅣ挵㜹㡦㍡扢㌸〹㈴敦换ㄵ扣㑦攵㍦㈰㔴ち㑤慢㌸ㅦ愰㔹戰㌸㐹㐶戵㐲㘴ㄵ攷㘳㠴㜸捣㈲㌶㤵㐶㠸㕢㜱㝡ㄶ㉡捥㜶戶㈱敦㔶捣㍣㘴慡挴换晣ㅡ㉢㌵晦㐵昱つ挵户ㄴ摦㐱愸慥〵㡢昳〳㝤㝥愴搸〲攱㈸捥㑦搴搹挵攱摤㥤扥㕣挱㔶㉡㝦㠶㔰扣慢㘳ㄵ攷ㄷ㌴ぢㄶ攷㌸㐶戵㐲㘴ㄵ㐷㤵戲㌸㐵㙣慡ㄶ㈱㙥挵搹昲㜳㠱㌳攴ㅦ㙤㐳摥慤愵㝡㘴慡挴换昴㘰愵㘶㔷㡡㙥ㄴ摤㈹㝡㐰愸㝦㈱搴晤っ㤹㤳㍥捣敤㈸㝡㐲㌸㡡戳㍤㜵敢㤱ㄵ搷㔶つ㜸敢换ㄵ散㐸攵㑥㄰㡡㜷愹慣攲散㡣㘶挱攲㉣㘰㔴㉢㐴㔶㜱晡㈰挴㘳ㄶ戱愹㐶㠴戸ㄵ攷㥤㐲挵㜹摢㌶攴摤㉡㙢㐶愶㑡扣捣㝥挴晥㍢㡡晥ㄴ㝢㔳っ㠰㔰㝦㉢㔸㥣㠱昴ㄹ㐴㌱ㄸ挲㔱㥣㈱搴慤㐷㔶ㄴ愷〵㙦㔲ㅣㅦ㤵㝥〸挵扢㙥㔶㜱慡搰㉣㔸㥣㠵㠴搵ち㤱㔵㥣㄰㐲㍣㘶ㄱ㥢㕡㡣㄰户攲㙣㉣㔴㥣つ戶㈱敦搶摦昱挸㔴㠹㤷㜹㌰戱て愵ㄸ㐶㌱㥣㘲〴㠴㝡愴㘰㜱㐶搱㘷㌴挵ㄸ〸㐷㜱挶㔱户ㅥ㔹㔱㥣ㄳ昰㈶挵㤹㐰攵㈱㄰敡て㔰㔹挵㤹㠸㘶挱攲㥣㐸㔸慤㄰㔹挵㤹㡣㄰㡦㔹挴愶㑥㐲㠸㕢㜱搶ㄴ㉡捥㉤戶㈱敦㔶收㔲㘴慡挴换㍣㤲搸㡦愲㤸㐹㜱㌴挵㉣〸㜵㕤挱攲ㅣ㑢㥦搹ㄴ㜳㈰ㅣ挵㠹㔳户ㅥ㔹㔱㥣㔳昰㈶挵㐹㔲㤹㠲㔰愷㐱㘵ㄵ㈷㡤㘶挱攲㥣㑡㔸慤㄰㔹挵愹㐱㠸挷㉣㘲㔳愷㈳挴慤㌸攷ㄷ㉡捥㜹戶㈱敦搶散㌲㘴慡挴换㙣挴㑡捤㈶㡡㘶㡡ㄶ㡡㠵㄰敡散㠲挵㔹㑣㥦㈵ㄴ挷㐳㌸㡡㜳㈲㜵敢㤱ㄵ挵攱摤㕥㈹捥㐹㔴㥥っ愱㜸㤷搷㉡捥㔲㌴ぢㄶ攷㉣挲㙡㠵挸㉡捥㘹〸昱㤸㐵㙣敡ㅣ㠴戸ㄵ㘷㘱愱攲戴搸㠶扣㕢捤换㤱愹ㄲ㉦㜳㌹戱㥦㑢戱㠲攲㍣㡡昳㈱㔴㐳挱攲㕣㐰㥦ぢ㈹㉥㠲㜰ㄴ攷ㄲ敡搶㈳㉢㡡㜳㉥摥愴㌸㤷㔱㜹㌹㠴㍡て㉡慢㌸㉢搱㉣㔸㥣ㄵ㠴搵ち㤱㔵㥣慢㄰攲㌱㡢搸搴昹〸㜱㉢捥慣㐲挵㌹摡㌶攴摤㍡扦〰㤹㉡昱㌲㙦㈴昶㥢㈸㙥愶戸㠵㘲つ㠴㍡扣㘰㜱㙥愳捦敤ㄴ㙢㈱ㅣ挵戹㤳扡昵挸㡡攲㕣㠸㌷㈹捥摤㔴摥〳愱㜸ㄳ摥㉡捥扤㘸ㄶ㉣捥㐵㠴搵ち㤱㔵㥣晢ㄱ攲㌱㡢搸搴㈵〸㜱㉢捥㠸㐲挵ㄹ㙥ㅢ昲㘶〲㕣㠶㑣㤵㜸㤹慤挴晥ㄷ㡡昵ㄴㅢ㈸㌶㐲愸〳ちㄶ攷〹晡㍣㐹昱ㄴ㠴愳㌸捦㔰户ㅥ㔹㔱㥣换昱㈶挵搹㐴攵戳㄰敡ち愸慣攲㍣㠷㘶挱攲慣ㄴ㔸㄰㔹挵㜹ㄱ㈱ㅥ戳㠸㑤㕤㠹㄰户攲っ㈸㔴㥣扤㙤㐳摥挴㠶慢㤱愹ㄲ㉦㜳㌳戱扦㐹昱ㄶ挵摢ㄴ敦㐰愸扥〵㡢昳ㅥ㝤晥㑥昱㍥㠴愳㌸ㅦ㔰户ㅥ㔹㔱㥣㔵㜸㤳攲㝣㐴攵挷㄰敡㕡愸慣攲㝣㠲㘶挱攲㕣〳户晣㉤攷㜳㠴㜸捣㈲㌶戵ㅡ㜱㙥挵改㔱愸㌸摤㙤㐳摥㐴㡤敢㤱愹ㄲ㉦昳㍢慣搴晣㥥攲〷㡡ㅦ㈹戶㐰愸㉥〵㡢昳ㄳ㝤晥㐳戱ㄵ挲㔱㥣㕦愸㕢㡦慣㈸捥つ㜸㤳攲㜰捥㠵愹㈰ㄴ愷㝣㔸挵㈹㐵戳㘰㜱㙥㈴慣㔶㠸慣㉤㠷㌳㔲㍤㘶ㄱ㥢扡ㄹ㈱㙥挵昹㙥㙢㠱㌳攴㙦㙤㐳摥扣㤳㌵挸㔴㠹㤷搹〳㉢㌵㉢㈸扣ㄴ摢㔱昴㠴㔰㕦㈲搴晤っ㜹㝢晡散㐰戱㈳㠴愳㌸㍢㔳㘷ㄷ㠷㔳㔹愴㌸扤愹散〳愱㙥㠷㙡㉦扣㑡捣㕤搱㉣㔸㥣摢攸搱ち㤱㔵㥣㍤㄰攲㌱㡢搸搴㕡㠴戸ㄵ㘷㜳愱攲扣㘱ㅢ昲愶搱摣㠹㑣㤵㜸㤹〳戰㔲㜳ㅦ㡡㠱ㄴ㠳㈸〶㐳愸㤷ぢㄶ㘷〸㝤昶愳昰㐱㌸㡡㔳㐵㥤㕤ㅣ捥捣㤱攲〴愹っ㐱愸㝢愰摡ぢ㉦㑣昷㐴戳㘰㜱敥愶㐷㉢㐴㔶㜱慡ㄱ攲㌱㡢搸搴扤〸㜱㉢㑥㙢愱攲㍣㘶ㅢ㜲愷〵㤵昱㈶㝢敥㙤㑥㤹㈲㥣㤹㌰攱㤸㡡搱〳捥㐶晡昰晡㥡收愶慥改攱㉤捤つ㘳㙡㥡㐷㌵㌵㜷㑢㐳㘰㔱㐲㝡换摣〲㐷搰愰昴㡣㥡搴愲改戸搱户㐷扥〹戳愷㐷戶㌴㌵㌷挸ㅤ摣摤昳敤愳ㅡ㈶㌵㌴㡦慡㘹挲㙤扡㈵晤㕣捣㤶攵㠸㜹愹㝡㑣㜶㘹挴㥣㤷㙤㌹㌵㉣㔸㤰㑡扡㘰㥣搶搰搲㤸㐸㡤ㅦ昵扦㌰㕤㐶㔹户愲㑢㜰户㔳㈹っ㡢ㄴ㥥ㅥ攲愸晢㙥攰愶ㄴ㜷㐸搵㙦㥣㙤搱㡡昸ㄲ㜳㈴㌶扤ㄲ㈴挱愶㙥㡥攲㘶攸㈹㈹㝢〰慡攲㥢㠸㘳〲㑥㔷㌸㝢搲愰搵搲㜵户㘷㜸㡤慦㙦慡㐹愶㍣㜶敢搰㥡晡ㅥ昶攲攴㤶收㉣㑢㙣㜱㉦摢㠲摢戸㤳敢㐱㝤㈲搶㤸晣㕦㘰〵ㅤ挳㥦㐵㠹㌲昰敦户ㄵ摡㑡㔳㔲昲戵㝥捡攵敢㤳戱戳㡦戶㙢晤㈰捣慥㜷搵㌳扢㈳ㄶㅣ昳㤷㉡攰摦㥤攵捥愸换搹㍡㌴ㄵ慢ㄷㄶ愶㌵㈷㐷愵ㄶ昶㄰㡦ㄴ㌶㜰㍣戴㔰㥢敡㤵摤㤴挹ㄵ㘶㝡㜸扣愹愱戶愵㌹搵㈳戳㈴㍢扡㤹㍥㉣㠵㝢攴㤸㡢搶㉤戳㌴㈵搱㡣搹㝡㤹㝣㥣㘷昶扦挳㄰㉡搲搹㘶㐹〹㑦㐶㤱㡤㌷扢ㄳ摣㠷㝥㈳慢慡愴㈴㉤㝦㕦つ㔵㉢㉦攷摦㉤㐳㑢昴㠲㠷㝦㈵㘵敢㤰扥晤㤳捤戸㈷昵搲㜳㈰慤㈳㥣ㅣ扣扡㘹ㅤ攷㜹㜵㑦换㜱て㤳㌹昹扣㑡〵㜷㥤㕡㍣㑣搴㕣㤳㠸搵搶㉥改㤱ㅥ㕦㥦愸㙤㐹愶㈶挶攲愹㕡㝤捣㙥㘸慣晢ㅦ攱慢㌳慡㘶敦㔱㐵敡㘲捦挰ㅢ㡦搹ㅡ㝡㙡摢㙦㍥捣㈹㜳っ昶㌴㘳㉣㐴搹㐱㈳㐶㐶㝤〰攰㌱挷搹㝢ㅦ㘷㤷晤㥦攷昷㜹㄰搴戳㙤㜶慡㍣っ㠴〳㕣㥥㡡㐷㌶捥㜵捡㑣ㄱ㤴晤捥攱㌶戱㘱㘲〳愶㙦㈶ㅤ慡㜱㌵㤶敡㝦㘶敦㤲ㅤ换㌰㡣摦晡㌱㠳㕡攱敦㙢㝢愶〵づ㝤㔶㝢㈸㍦㘹戸㡢㍣㠲㜶敥㉣㈹挷改㠸㥣〱挸愱搰ぢ挷ちㅥ挷慣搳㠷改㌵捤戵愹慥㘹戱换㜲㌹㜷っ㔶戳㑢㝡晡㍣捣㌸ㅡ搵㍤㍤戶戱㈶㔹㕢㔳㥦攲愹〸愶ㄳ昳〱慣㠹愹戹㤸昸㍡愵愱愹㠶捦ㄵ㜶㑦㑦㙦㡣搵㌷㉤攰挴戲挴㤲㥥㔹㉤㈱慢㉣㍤愲愶ㅥ扢㤱戵㑥㉥㔷愴愷捤㙢㔸㠴㐷ㄳ㕢敡敡挷挶ㄶ㌴晤㑦㄰挵扤捡晡戳㡥㠳愵慡戴㔴㤵㤷㤶晦搶㑦㉣㙣攱㐸㔹㠵㤴愵ㄴ㌶㔵㡦㘲愹挸㕥㑢㤶散㘹挷摣㙢㠹㈹敢㌱㍢搷㌹㡦㤹攷㍡㜹㈴㌶挷㘳户散㌶〱㘲挲搸挳挷户㑤㔶晦晦㝡㐸戲散㌱㘴㉥昲㠱㈰㥢㐵㘶㘶散づ㜰敥㘱㙤㉡搴㜱换㌱㠵㜱戶㜲㌷㍦㑦㕡㝣戸㈵攲㌳㤴敥㕣ㅣ㠳㌹㡢摤戰攳攳〰㡣戹㥥㌸昲昶戰ㅡ㍣愹慢㡢搵㌶搹戶㤱つ㜵㜵㌱㙥㕡摣㉣愷攱攸㥤㉡㤷㌳㙣ㅣ㐹捣㌴㠴㙣㝦戶㉡戶ㄸ慡搸㘲㔱攱㐳㤹戳摤㘵㤹戹ㅡ收挶ㅡ㙢㥡攷搵搵㈴捡搹攰㡣昴晦㠹㙤ㄲ㥢㔰㘷ㄴ㔳晦挹㠶㠹搳搵摣㜹愵搶㔴㐸搰㍤〴㔷㄰㉣ㅤ改挷㤶㕢㉡㥦攴敡㌷㑥㈵挶收㉢㔷㔹收㐴㘴㉢挳㌵扦㥣攲ちㄶ挷㘹ㄸ㌶㔱㌹〸愹扦搰〱㉦昳㔰戸敢扦捥ㅢ戰㔴㜴㜶㘷ㄷ㌸㜸㈶㌶挴㤲㘳昰搰㐲㐳㘳ㄷ晢愱摥㜲㔰换㐳㑡愳㤷㌳㝡㐷㘲㍡㍣愶搹㉦挴搹㜰㘳㌹ㄵ搳㌰㔷戶㌳攷〲ㅢㄶ㠷晣㐰㉣㈹㉢敢㕡敥戶慥昱㍡㔷㍦㝢收愳昳愱攸昱㜹昹扦㤸ㅡ攵㍤て㜴㡢ㅤ㌱㈷㐱㥡㤳㈱搴㐶㌴搹㥦ㅣ㠷㈹㜴㤸ち㔱昶〴㡣戹㝢㐹挱搹慦〸㈸㈹慢攳慣摣昲㍡㜶〷㈷ㅤ〶收敡㘲㜶㉦㑡㘲㜴㉤㝦ㅣ㜶昳㌰㜸㍤扢㘹搳㐱㔸㉥㔱㥣㕥扡〱㉦慥摦挴扢挷挳攲㤹搳攰㘳㑥㠷㔰㉦愱㈹昳扦㕢戱㠰㤹㍢搰改换㤲㈳戰㡣㡦ち昵㌲㔴扣㌴搱㝦づ㈶昱㤱㝥愴敤昵ち捣㍣愹㈶愱摢㍡㐱㔳慦挲㡦㈷㘹捡㍣ち攱挶㑣〸㥥㈵㠴慢愱昳㤸㐷摢㈹㕦㐳㡢㘷ち搶㕦挱捦㌲昵㍡ㅣ昸㜹㔶攲㝡晣㔴㙦挰挲㘳愸㌹ぢ㜹搵㘶㉣昱搰㤴搹㔴㡦攵捡户戹愹扥㈵ㄱ㐸攲摣㔴搵㍢搰㙥挰㉢㠷摥㌹㐸㘹挶戸戶㜷摤ㅤ攲㜴㐸搰攱㍤㌸㜰ㅢ㌰㤳㘸㘵㘸晢㠷㈳捣㐱㕢㡡㘱㘹㠶㝤〱〷〷㙤昳愰搳戴搵㘰㤹戴㝤〹㔵㘱摡㡥戳扤扥㠲㔷扢㘹晢㈷㥣㉤摡收㈳摣愸㠵㄰摡愲搰㝢捣㍡㍢攵搷㘸戵㠷戶㙦攰㔷㠴戶㙦㘱ㄶ摡敡㤱㔷㝤㠷㔶ㄶ㙤ぢ戸昲㙤搲昶〳挲昲㡥㌰㙡ぢ戴ㅢ昰捡愱慤ㄱ㈹捤㈶慥敤摦敥づ晣ㄶ〴戳㠵づ㍦挱㐱㘸㕢㠸㔶㠶戶㥦ㅤ㘱づ摡ㄶ㌱㙣㌱挳っ㘰㜱搰㜶㍣㜴㥡戶ㄳ戰㑣摡扡挰愵㌰㙤㈷摡㕥攵昰㙡㌷㙤㥣攰㙡搱昶〷㠴ㅢ㈷㐱㤰戶㐸〸㙢昷㤸㈷摢㈹㍤昰㙡て㙤㥣ち㕢㠴㌶㑥㤲ㄵ摡㤶㈲慦敡㠱㔶ㄶ㙤愷㜲攵摢愴捤㡢㌰晣捦搹摢㌸慤㜶〳戴㌹戴㥤㡥㤴收ㄹ㕣ㅢ愷摣扡㌸㉣愳挳㤹㜴搸ㅥづ㐲摢㔹㘸㘵㘸攳㍣㕢ㅤ收愰敤㙣㠶㥤挳戰㑡㌸㌸㘸㕢づ㥤愶敤㕣㉣㤳戶扥㜰㈹㑣摢ち摢㙢㑦㜸戵㥢戶扤攰㙣搱㜶ㅥ挲㡤昳㈹づㅡ㍥〳㑦愴㘳昵ㅥ昳㑦㜶捥㝥㜰㙢て㙦晤攱㈷扣ㄹㄷ㈰㜲㡦㤱つ㑤捤㤵㤹㠷㙤ㄶ敤搷㔰㜹㔸㑤搳晣㑡㕥晣敤㕦㔹ㄵ㐴〷昳捥㐴搵摥搰〹户ㄷ㈲㠳ㅡ㠰㔶ㄶ户ㄷ㐳扢㙤㙥〷㈲っ晦昱㉣㉢㤳戰㤲㝣㜱㔶昰〶㉣攴㜰㝢㈹㝣捣换攸挸ㄹ挳㉥づ㤷搳㘱㈵ㅤ㠶挰㐱戸扤〲慤っ户㥣㈶慣挳ㅣ摣㕥挹戰慢ㄸ戶㍦ㅣㅣ摣慥㠲㑥㜳㝢つ㤶挹㉤㈷晣ㄶ收昶㕡摢敢㐰㜸戵㥢㕢捥ㅣ戶戸㕤㡤㜰攳㍡〸搹㈵晤㔸扢挷扣摥㑥㜹㌰扣摡㐳敤㌰昸ㄵ搹㈵㠷挳㉣戴摤㠰扣㙡〴㕡㔹戴摤挴㤵㙦㜳㤷ㅣ㠵㌰晣捦搹㈵挷㐰戵㈱㥦戶㕢㤰搲㕣挳戵㡤㜵㜷戸㤵づ户搱㘱ㅣㅣ㠴戶摢搱捡搰挶〹捣ㅢ散扣づ摡搶㌲散づ㠶㑤㠷㠳㠳戶扢愰搳戴摤㡤㘵搲挶愹挸㠵㘹扢挷昶㥡〱慦㜶搳挶㌹捤ㄶ㙤昷㈲摣昸㌳〵㜷㐹㥦㜵㈸扤捦捥挹㔹捦敤攱㙤㈶晣㠴㌷㤳扢㈴㍡㤰扦换㜱㜲戴㜰昷〰㍣搴㉣戴戲戸㕢〷敤戶戹㍢ㄶ㘱昸㡦愷晡㤸挴㕡㔱㠹㥡㠳愵つ㘸攴散㜲て挳挷㝣㠴㡥㌱㜷㠷㐷改昰ㄸㅤ攲㜰㄰敥㕡搱捡㜰挷昹搵ㅢ散扣づ敥晥挲戰昵っ慢㠷㠳㠳扢㡤搰㘹敥ㅥ挷㌲戹攳㑣改挲摣㍤㘱㝢㉤㠰㔷扢戹攳㤴㙢㡢扢㈷ㄱ㙥㍣㐵㈱摣㐵戱㝡㡦昹戴㥤㤳㤳戲摢挳ㅤ㉦戴户挱ㅤ攷㙥ぢ㜷㝦㐵㙥戵㄰慤㉣敥㥥㠵㜶摢摣㜱戲㌷晥攳戹㈰㈶㘱愵昸㍡ㅥ㜲〳ㄶ㜲戸㝢ㅥ㍥收ぢ㜴攴㑣㜰ㄷ㠷ㄷ改昰ㄲㅤ㑥㠴㠳㜰昷㌲㕡ㄹ敥㌸晤㕢㠷㌹戸㝢㠵㘱慦㌲散㉣㌸㌸戸晢ㅢ㜴㥡扢搷戱㑣敥㌸㤱扢㌰㜷㙦搸㕥攷挰慢摤摣㜱㐶戸挵摤㘶㠴ㅢ㙦㐲挸㠹愷昵㐹昸㤶㥤㤲㔳挶摢㐳摤ち昸ㄵ㌹㕣㜲㔶戹搰昶㌶昲慡昳搱捡愲敤㕤慥㝣㥢㠷㑢㑥㐳挷晦㥣挳攵㐵㔰㙤挸愷敤敦㐸㘹扥捦戵㜱㡥扡㡢挳㍦攸昰〱ㅤ㉥㠱㠳搰昶㈱㕡ㄹ摡㌸㌱㕤㠷㌹㘸晢㠸㘱ㅦ㌳㙣㌵ㅣㅣ戴㝤ち㥤愶敤㌳㉣㤳㌶㑥㌱㉦㑣摢攷戶搷昵昰㙡㌷㙤㥣慢㙥搱昶〵挲㡤㉦㈱攴㔳づ㘷ㄷ搸攳扥戲㔳摥〸慦昶搰㜶㌳晣㡡搰挶昹敥㐲摢㍦㤱㔷慤㐱㉢㡢戶㝦㜱攵摢愴㡤ㄳ攴昱㍦㠷戶戵㔰㙤挸愷敤㕢愴㌴扦攳摡㌸㝢摥挵攱㝢㍡晣㐰㠷㍢攱㈰戴晤㠸㔶㠶㌶㑥㤹搷㘱づ摡戶㌰散摦っ㝢ㄸづづ摡晥〳㥤愶㙤㉢㤶㐹ㅢ㈷扦ㄷ愶敤㘷摢敢㔱㜸戵㥢㌶捥愲户㘸晢〵攱挶慦㄰戲户㠵㠵㌶摥㌳攵㡡㕢攱搵ㅥ摡搶挳慦〸㙤㥣㠹㉦戴㜱搸㑡㙤㐴㉢㡢戶㑥搰㙥㥢戶㈷㄰㠶晦㌹戴㍤〵搵㠶㝣摡捡㤰搲㌴戸㌶捥敢㜷㜱攸㐲㠷㜲㍡㍣〳〷愱㡤㕦㘲㤷愱㡤㤳昹㜵㤸㠳㌶て挳扡㌲散㌵㌸㌸㘸敢づ㥤愶慤〷㤶㔹㍤㑥换㉦㑣㕢㠵敤挵㜹晢敤愶㡤昳晢㉤摡扣〸㌷戶㠳㤰扤捤扡昵搲搳㑥戹ㄹ㕥敤愱敤㉤昸ㄵ愱㡤捦〸〸㙤扤㤰㔷扤㠳㔶ㄶ㙤㍢㜰攵摢摣摢摥㐳ㄸ晥攷搰昶㍥㔴扡扣㑣㘱て慡敤㠴㤴收捥㕣ㅢ㥦㌸㜰㜱搸㠵づ扤改昰〱ㅣ㠴戶㍥㘸㘵㘸晢搸ㄱ收愰㙤㔷㠶敤挶戰慦攱攰愰㙤て攸㌴㙤㤵㔸㈶㙤㝣㘰愰㌰㙤㝤㙤㉦㍥㔱搰㙥摡昸攴㠱㐵摢㥥〸㌷昶㠲㄰摡慡搹㜵戳㥦㥤昲㍢㜸戵㠷戶ㅦ攰㔷㠴㌶㍥扤㈰戴晤づ㜹ㄵㅦ㘳挸愲㙤㙦慥㝣㥢戴晤㠴㌰晣捦愱㙤㉢㔴㉥慣散㠳㤴收㐰慥㡤捦㐲戸㌸っ愲挳㘰㍡晣〲〷愱㙤㕦戴㌲戴昱〱〸ㅤ收愰㙤〸挳昶㘳㤸〷づづ摡晣搰㘹摡慡戰㑣摡昸㈸㐳㘱摡〲戶㔷㌷㜸戵㥢戶敥㜰戶㘸ぢ㈲摣〸㐱㤴攱㜴戲摡晡㙣ぢ摢㈹㝢挰慢㍤戴昱改〹愱慤昰㤵〰㥦慤㄰敡愲挸慤㝡愲㤵㐵摤晥〴〰愵㜴ㅤ㙦㔹ㄳㅦ㔰㔸㙢挴㝤㝢㜸愰㠱㠷㔸㤹〴ぢ昲攲搳ㄸ扡挴㑣㘱敦㜱〷挲挷㍣㠸㡥㝣㔲挳挵攱㘰㍡っ愵挳捥㜰㄰敡㠶愱㤵愱㡥㡦㘷攸㌰〷㜵挳ㄹ㌶㠲㘱晤攰攰愰㙥ㄴ㜴㥡扡搱㔸㈶㜵扦㠳㑢㘱敡挶搸㕥晤攱搵㙥敡昸挴㠶㐵摤㔸㠴ㅢ攳㈰㘴㡦㡢戲敢收㜸㍢攵〰㜸戵㠷扡㠱昰㉢戲挷昱愹て愱㙤〲昲慡挱㘸㘵搱㌶㤱㉢㠷戲㌸㙤㐳攰㈱戴ㅤ摡〹慥昶㥦攲㜳㈲扡扣㑣愱敦㍥㈰愵㌹㤹㙢攳㌳㈴㉥づ㔳攸㌰㤵づ㔵㜰㄰摡づ㐳㉢㐳ㅢㅦㅣ搱㘱づ摡愶㌱㙣㍡挳づ㠶㠳㠳戶ㄹ搰㘹摡㡥挰㌲㘹攳敤㤰挲戴ㅤ㘹㝢つ㠳㔷扢㘹攳戳㈴ㄶ㙤㐷㈱摣㤸〹㈱愷㈵搶戵昷搱㜶㑡㍥㙣搲ㅥ摡㐶挱慦〸㙤愳㘱ㄶ摡㘶㈱慦ㅡ㠳㔶ㄶ㙤挷㜲攵㔰ㄶ愷㙤ㅣ㍣昲㘹㥢〰慤㉥㉦㔳搸戴捤㐱㑡㌳挶戵昱改ㄶㄷ㠷㌸ㅤㄲ㜴㤸〸〷愱㉤㠹㔶㠶戶挹㡥㌰〷㙤㈹㠶愵ㄹ㜶㈴ㅣㅣ戴捤㠳㑥搳㔶㠳㘵搲挶㠷㔳ち搳㜶㥣敤㌵ㄳ㕥敤愶㡤㑦戹㔸戴捤㐷戸㔱ぢ㐱摡愲搶戵㕢㥤㥤㤲㡦挱戴㠷戶㘳攱㔷㠴㌶㍥㈹㈳戴搵㈳慦㥡㠳㔶ㄶ㙤ぢ戸㜲㈸㡢搳挶㐷㙢昲㘹㑢㐲敢挲㑡㈳㔲㥡㑤㕣㕢捡摤愱㤹づ㉤㜴㐸挳㐱㘸㕢㠸㔶㠶㌶㍥㙣愳昳㍡㘸㕢挴戰挵っ㙢㠴㠳㠳戶攳愱搳戴㥤㠰㘵搲挶挷㘶ち搳㜶愲敤搵っ慦㜶搳挶攷㙦㉣摡晥㠰㜰攳㈴〸㌹㐸㜲㘲〲㙥ㅡ搸㈹昹㠰㑥㝢㘸㕢っ扦㈲戴昱ㄹㅥ愱㙤㈹昲慡攳搱捡愲敤㔴慥ㅣ捡攲戴昱愱㥦㝣摡㑥㠲㔶㤷㤷㈹散扤敤㜴愴㌴捦攰摡昸㐴㤰㡢挳㌲㍡㥣㐹㠷愵㜰㄰摡捥㐲㉢㐳ㅢㅦ〳搲㘱づ摡捥㘶搸㌹っ㕢づ〷〷㙤换愱搳戴㥤㡢㘵搲挶〷㝡ち搳戶挲昶㕡〱慦㜶搳㜶ㅥ㥣㉤摡捥㐳戸㜱㍥㠴散㙤ㄶ㙤㝦戲㔳昲搱愱昶搰㜶〱晣㡡搰挶愷㡢㠴戶ぢ㤰㔷㕤㠴㔶ㄶ㙤ㄷ㜱攵㔰ㄶ愷㡤㡦㈳攵搳㜶ㄹ戴扡扣㑣㘱搳㜶〹㔲㥡㤷㜲㙤㝣㔶挹挵攱㌲㍡㕣㑥㠷㤵㜰㄰摡㔶愲㤵愱㡤て㈸改㌰〷㙤㔷㌰散㑡㠶摤〸〷〷㙤㔷㐳愷㘹㕢㠵㘵搲挶㐷㡤ち搳㜶㡤敤㜵㌳扣摡㑤ㅢ㥦㔹戲㘸扢ㄶ攱挶㙡ちㄹ㥣戴㡥㤲搷搹㌹搷挰慤㍤扣摤〶㍦攱慤昰改㈴ㅦ㝥ㄲ敥㙥㐰㙥戵ㄶ慤㉣敥㙥㠲㜶摢摣昱㘹㈹攱敥㘶㈶㘱愵昸扡ㅢ㕡㕤㘳㉣㙡敥㙥㠱㡦戹㠶㡥㝣㤴捡挵攱㔶㍡摣㐶㠷㝢攱㈰摣摤㡥㔶㠶㍢㍥㍦愵挳ㅣ摣慤㘵搸ㅤっ㙢㠵㠳㠳扢扢愰搳摣摤㡤㘵㜲挷㈷愱ち㜳㜷㡦敤挵㐷愵摡捤ㅤㅦ愹戲戸扢ㄷ攱挶㥦㈹㠴扢〸晢㙥摥㘷攷摣〸户昶㜰昷〴晣戶挱ㅤ㥦捤ㄲ敥ㅥ㐰㙥昵ㄴ㕡㔹摣慤㠳㜶摢摣㍤㠳㌰攱敥㈱㈶㘱愵昸摡〴慤慥㌱ㄶ㌵㜷て挳挷㝣㠴㡥㝣搲换挵攱㔱㍡㍣㐶㠷攷攰㈰摣戵愲㤵攱㡥㡦㜷改㌰〷㜷㝦㘱搸㝡㠶㙤㠶㠳㠳扢㡤搰㘹敥ㅥ挷㌲戹攳㠳㕡㠵戹㝢挲昶攲㤳㕣敤收㡥㑦㝣㔹摣㍤㠹㜰攳㈹〸㌹㕣㕡昷攱㥥戶㔳扥〳慦昶㔰昷ㅥ晣㡡ㅣ㉥昹搴㤸搰昶っ昲㉡㍥㍥㤶㐵摢㈶慥ㅣ捡攲㠷换て攰㈱戴㘵㕤ち㝣〴慤㉥㉦㔳搸㠷换攷㤰搲㝣㥥㙢攳㌳㘸㉥づ㉦搰攱㐵㍡㝣〲〷愱敤㈵戴㌲戴昱挱㌳ㅤ收愰敤㘵㠶扤挲戰敦攰攰愰敤㌵攸㌴㙤㝦挳㌲㘹攳㈳㘴㠵㘹㝢摤昶攲㌳㘶敤愶㡤捦愲㔹戴扤㠱㜰㘳㌳〵㜷㌹扦挵摢㥢㜶捥㉤㜰㙢て㙦㍦挱㙦ㅢ扢ㅣㅦ㙡ㄳ敥摥㐶㙥挵愷摢戲戸㝢ㄷ摡㙤㜳昷ぢ挲㠴扢昷㤸㠴㤵㤲㔷愷戶ㅡ挳㐱㜳昷㜷昸㤸敦搳㔱戹㍢晣㠳づㅦ搰愱ㄴづ挲摤㠷㘸㘵戸㉢㜳㠴㌹戸晢㠸㘱ㅦ㌳慣〷ㅣㅣ摣㝤ち㥤收敥㌳㉣㤳扢ち戸ㄴ收敥㜳摢换ぢ慦㜶㜳户ㅤ㥣㉤敥扥㐰戸昱㈵㠵㜰㘷つ㉦㝦㘵攷散〹户昶㜰户㍤晣戶挱摤づ㜰ㄱ敥扥㐶㙥戵㈳㕡㔹摣㝤〳敤戶戹摢ㄹ㘱挲摤户㑣愲戹敢つ敤〶㌴㜲敥挳㝤〷ㅦ昳㝢㍡昶㜱㜷昸㠱づ㍦搲㘱㔷㌸〸㜷㕢搰捡㜰户㠷㈳捣挱摤扦ㄹ昶ㄳ挳〶挰挱挱摤㔶攸㌴㜷㍦㘳㤹摣敤〳㤷挲摣晤㘲㝢つ㠴㔷扢戹ㅢ〴㘷㡢扢㕦ㄱ㙥㤴㤴昱㜰㠹㐱慦㙡慣摤㘳昲挷ㅥ戸攲挱昰㙡て㜵㐳攰户つ敡昶㠳㡢㔰搷〹戹㤵て慤㉣敡捡〸㠰晢っ㥦愴㤲㍦挷攴㐴㘸慣㐱慦㉡㠴〹㜵〶㤳搰㥢慦㈰戴ㅢ戰㤰㐳㕤ㄷ昸㤸攵㜴っ戹㍢昰愷㙣㑣てㅤ挲㜰㄰敡扡愲㤵愱慥摡ㄱ收愰慥ㅢ挳扡㐳㤴㡤㠴㐳晢ㅥ㌵攳㕣㑤慦攳昹㍦㑥㡢㙥摡㉥㍤戵㈵㔶㡢㥦㐴㤹㡣㠷㔰㥡愹晡㕦㤸㜷摣搹㝡ㄴ㈸昷ㅢ捡戳㝦㈹〵㑦搱㐹ㄷ㡥㍥㘶㜷昴㉣户〶搹扥㜶摦㥡攸昹摢ㅥㄵ昲㤴㝤昳搳慦扦戶㙦㉤摣㈲扡㉣攴㤷摦捥㥥㕤㔲捥㜵㠲㈴㙣搲ㄵ㈰㡣㥢昴㈸㌴㘵ㄳ捡晡搴ㅤ敤愶㉤ㅢ〳㙤㤱昹晡㌹㑦搹㌰㙢慦戶搹挵㥣㐷㍥愸㤶㍦戸攴㌶㉤㌹㝢摡晥㜶〰愷挶戹㘱㔰攳戵戶ㄷ㝤戰ち扥捡㈶㐲扢捤㠹攰㍣㤲攰昹㐱㑣〹㥦搶扣愴ㄶ搳昰戹挸㉦㡣戵㤶㌸敦搸㌲〳㜴㐳㘳㘷㍣㐳㤹晢ㄵ搱㤹搸晢㤰慡敢昶㌹㕦挹㉤㘱戴㑣〰㥡戲㉦㐰㔱挱㜸㠲㙥㘳㠵㌱晣㌳㜶㐰㥦戶㍦戴㈶搱搸搰搴㤰㙥慥㥣㠶㐷㐹㉡昹㈵敤㘹㍣㔴㌴扣散㌳㘴㜴㕤㈷㍢搶戹㥥扦ㅥ㈴㐴㝢收搷㌷㉣慡ㄷ㌴㘵㑤晣慥㝡慥捤散搲㠵慢攱愳㐶昲户ㄷち攷搵㥣㝢㈷〱㌱㡦㌶挶㑥㐰昰扢㤱㈳㐶ㅥ㌶㍢攸㡦㔵㈷愲搵㐱㝦戸㉡ㅤ㡣㔶㔷㔷晢㈲改㐴㌸ㅤ㐸㈷晣愱㠸㍦㤶㌰㜶捥戸㐶挲㐱㕦㈰ㄱっ挷㈲改敡㘰戰㉡㕣敤て㈵㝣搵攱㘸㌸㤰ち〵㝣㠹㉡敦㘴㍢扤戹ぢ㘲捣摥㄰摥㈹㕡搵㠷慡㕤愹㥡慡㔵㜴㄰搷㡡挳愰㈲㘴挳〲晤摦㤳摥㘹挸㡣晦㈵挶ㅥ㔸㔹户㤱㈳㘶换摣昹挳昰攵昱㐶㈵㌴摢㐱㤳晤㍢㑤㐶㕦愸㝢㐰敤㜸㉣挵㍢摤捥㘲昶㐵㉡㜳㉦攲慥挴㤲㥡〱㍤㡦㠶ㅥ昵㈶㐸攳摥捡㜵㜹捣晥昰攰㕥㜷〴㥡挲㡡㘶〰㔶っ㘳扡㙡㡦㠲㤶㝢㥥㌹〰挱敡㘸㔷㥦㔹㕡㍢㤰㍥捣挵ㄷ㈷㠰㜳捦㔰慦〲〰户㐷慥挵攴㐶挶敤㐹扤っつ户愹散㙤㘲づ〲㘴㔳ㄸ〲㍦㙢㔳㐸㈵㐳搵挱㐸愰捡〷㐲㠳㤱㜰扣摡敦㑢㠳昱㔸㌸ㄴ㑦愷㔳改戴戱㕦挶戵㉡㤹㑣挶㐳㤱慡㜸㜵㍣㄰㡣㐴ㄲ搵㌱㙣ㄱ攱敡㔸㔵㈰㤴㡥㔷㐵㝤摥㤸㥤摥昴㈱挶昴㐳㜸攳㕡搵戶㈹㈴戴㉡攳㔵㤱㠴慡㘳㌶㠵ㄴ㌲攳㝦㠹挹㑤挱㈴晢㈶戹昶愶戵㝥㙦ㅡ昷愷扥㍦㤶搴㍣攸㉤㜲㌷愲㝡㙤攴ㅥ〴て㤲㕢〳㝢㍥戹挷戹㙡攷㐳㉢攴づ㐵戰慡㜳昵愹搷摡攱昴㈱〲扥ㄶ㐰㉢攴㍥ち㄰昹攴㍥散㑡㙥㈳㠲㠴摣搱㐸㘵㤱ㅢ㡤㐷慢戰扢㐶攲愹㐸㌲ㄸ㑣愷攳挱㔰㌲ㅣ〸挷㘳愱㤸㉦ㄶ昵㠵㡤㌱ㄹ搷㤸㍦㔹ㄵ昲〵攳挱㠰㍦㄰㑣㐴搲㔱晣㝥㐷㍣ㅤ㑥㈵㈳愱㔴㌴攰㡦㝡㥢散昴收㔸挴㤸攳㈰扣捤㕡搵㐶㙥㡢㔶搱㐱㕣㉢ㄶ㐲搵㌱攴㉥㐲㘶晣捦㈳㜷戱搶敦㑢攳㔴㈲ㄹ捣戲ㅥて扤㐵敥敤㔹攴㑥㠷〷挹㍤〱昶㝣㜲㑦㜴搵晥〱㕡㈱㜷〶㠲搵挹慥㍥㑢戵昶㐸晡㄰〱㕦愷㐲㉢攴摥攴㑡敥つ慥攴㥥㡥㈰㈱㜷ㄶ㔲㔹攴㠶〳愱㘰扡㉡㠹扤㌵ㅤち㔶愵昱ㅢ㝦戱㐴愰捡ㅦぢ愷愲㌱㕦㈸㔰㘵ㅣ㤳㜱昵㈵愲挱㘸㉡㤵㠸㔶㈵㤲挱㜰㉡㔸ㅤ慤㡡〶㠲昱敡㜰㉡ㄲ慤㑥〵㘳摥㌳散昴收戱㠸㌱㘷㐳㜸㤷㘹㔵ㅢ戹㥣㡤㑥㄰㙤㕥ㄵ㘷㐱搵㌱攴㥥㡤捣昸㥦㐷敥㌹㕡捦㐱㐶㜳ㅥ昱㜲㤸㔸㉤㠷摥㈲昷㤲㉣㜲攷挳㠳攴㥥ぢ㝢㍥戹㉢㕣戵攷㐱㉢攴搶㈱㔸晤挹搵攷㐲慤㙤愰てㄱ昰㜵㌱戴㐲敥昹づ㜲㡤摦挳愵攰㘷扦㕡攱捡昸㈵挸挴て㝦戳〹挱摤㍢㜹㉦㐵㕢戶㠰㘶戴慤㉤挰㔷ㄵ昵晢搳攱㙡搰㕦ㅤ㡣㐵㐳搱㔴愲㍡㥤㑣晡挲㠹慡㔸㔵㌸ㅥ㌴㕡㌲慥愹㠴㉦㤸っ㔷㐵ㄲ昱㜸㈲㤸㡥挶昰㤹ㅦ㡡愷㠲昸㘵挸㐴㉡㠶愳扡昷㌲㍢扤戹㄰㌱收㈲〸敦攵㕡戵㤸慡㈵㔴慤搴㉡㍡㠸㙢挵ㄵ㔰㜵捣ㄶ㜰㈵㌲攳㝦摥ㄶ㜰㤵搶昳〲捥㕣㑡㈴㔱搶㝥ㄵ昴搶ㄶ㜰㔲搶ㄶ㜰ㅡ㍣戸〵㕣〳㝢晥ㄶ㜰慤慢㜶㌵戴戲〵㥣㠱㘰㜵扤慢捦つ㕡㝢㈶㝤㠸㠰㉦㑥㑣㤷㉤㘰戱㘳ぢ㘸晢㘰㕥攸㑡昶㉤〸ㄲ㜲晦㠸㔴㌶戹挱敡㠸㍦㤴ち〵晤晥㘰㌰ㄵ㑤㔴晢㠳挹㔸㈴㤸愸㡡〶㈱慡愲挶昲㡣慢㍦ㄹ㠸晢㈳㤱㤸慦摡㠷愳㝣㔵㍡ㅥ㑥㠵㠳㌱㕦㈰ㅣ㑡㔵愵挲攱㤰㜷㡤㥤摥㍣ㄷ㌱收ち〸敦慤㕡搵戶㝢摦愶㔵ㄹ慦㡡摢愱敡ㄸ㜲搷㈲㌳晥攷㤱㝢㠷搶て愵昱㔲攲㍤㤸㘵扤ぢ㝡㡢摣戹㔹攴慥㠴〷挹扤ㅢ昶㝣㜲敦㜱搵摥ぢ慤㤰㝢㈵㠲搵㝤慥㍥て㘸敤搵昴㈱〲扥搶㐱㉢攴挶㥣攴㜲昷㤶戳慥搹慥攴㍥㠴㈰搹㤳㔷挳て㝢昲挳㘸ぢ搹搷愱㙤㤱ㅤ㡣愴㔳挱㜰ㄵ㜶㘶晣㘴㙢㌲ㄹ慤昶㐵〳攱㜴㍣㤰昴昹挲昱㘴㍡㘶㕣㥦㜱㑤〶㐲㤱㘸ㅡ昶㐴㔵㌰㔸ㅤ慣㡡〷㘳攱㜴〴㐷㠲㔸㈸ㄱ㐸㈷ㄳ摥㐷散昴收つ㠸㌱㙦㠴昰㜲昲扢ㅣ戸摢昶攴挷戴㉡攳㔵搱ち㔵挷㤰晤ㄷ㘴挶晦㍣戲搷㙢晤㘸ㅡ敦㈰摥㔱㔸㔲ㅢ愱户挸㥥㥣㐵昶摤昰㈰搹㡦挳㥥㑦昶ㄳ慥㕡捥㥢ㄷ戲敦㐵戰㝡摡搵攷慦㕡㝢ㅦ㝤㠸㠰慦㘷愱ㄵ戲挷扢㤲㍤搶㤵散攷㄰㈴㘴慦㐳㉡㤰晤㍣摡㐲昶㐳㘸㕢㘴㐷㘲㐹㝣㔲㐷〳㔵搱㔰㌰ㄸ慢ち㔶㈷〳戸挸昲〵慢㠲扥㄰㑥挱㐲挶挳ㄹ搷㌰㑥换㜰愹㔶㡤㔳昱㐸㌰㕡㔵ㅤ㑢攲捣㍣㠱㐳㝤摣て搷㔰摣晢㠲㥤摥㝣〴㌱收愳㄰摥ㄷ戵慡㡤散㤷戴㉡攳㔵昱㌲㔴ㅤ㐳昶㉢挸㡣晦㜹㘴扦慡昵㠷搰昸㈴昱㑥㘰㤹晦〶扤㐵㜶㈴㡢散㘷攰㐱戲㕦㠷㍤㥦散㌷㕣戵㥢愱ㄵ戲㌷㈱㔸扤攵敡昳戶搶㍥㐷ㅦ㈲攰敢㕤㘸㠵㙣扦㤳散捣昵搴㝥慥㘴晦ㅤ㐱㐲敥㑢㐸㘵㤱ㅢ㡢㐷〳搸㡢㝤㝥㝦㌴ㄵ㑣㠴ㄲ搵攱㜴㈲ㄸっ㐴㐲攱㠰捦ㅦ㑥晡㡣㤷㌳慥㠹㐴㍣ㅤ㠸㐷㜰㙣挷㘱㍢ㄴ㠸㔵愷愳㈱㥣㤵㐷㔲㝥㕣㙢愷愲㐱敦晢㜶㝡昳ㄵ挴㤸慦㐲㜸晦愱㔵㙤㠷敤て戴㡡づ攲㕡昱㈱㔴ㅤ㐳敥㐷挸㡣晦㜹攴㜲扥扥攸愷搲昸づ㤱㑣㘱㔹㍦㠵搲㈲户㌲㡢摣扦挳㠳攴㝥〶㝢㍥戹㥦扢㙡扦㠰㔶挸晤〷㠲搵㔷慥㍥晦搴摡て改㐳〴㝣晤ぢ㕡㈱户户㉢戹㍢扢㤲晢㉤㠲㠴摣㑦㤱捡㈲㌷改昳晢ㄲ昱㜰㌰攱挷ㅥ㥢昴晢攲㘹㥦扦㍡ㄹ㡣〶㝣愱㐸㍡㤰慡㌶㍥换戸挶㔳愱㜰㔵㈲㠸晤㌴㥥づ㔶㈷晣搵㠱㘴㌰㄰㡤晢㠳㠱戴㍦ㄴ㑤㐶扣摦搹改捤捦ㄱ㘳㝥〱攱晤㕥慢摡挸晤㐱慢攸㈰慥ㄵ㍦㐲搵㌱攴㙥㐱㘶晣捦㈳昷摦㕡㝦〴㡤摦ㄳ挹っ㤶昵㍦搰㕢攴㥡㔹攴㙥㠱〷挹摤ち㝢㍥戹㍦扢㙡㌹㘹㕦挸晤〹挱昲ㄵ㘷昹㤱ち〷㔶搱㙥ㄵㅦ慢愱㍡㐱㉢攴㜶㜲㈵㔷戹㤲㕢㠶㈰㈱㤷挳㑦ㄶ戹㍥㕣㐲昹晣㠱㔴㈰ㅥ〴㘳㔵挱戸㉦㡡㤳攵㜰ㅡ㉣攲愸㥢昰攱㑢扤戴慢ㅦ愷捣㠱㈸挶㍦愲愱㐴戰捡敦㡦㈷㌱㜰ㄲ㡦挵〳昱㘴㍣ㅡ㑢㔵㝢つ㍢扤㔹㡡ㄸ戳ㄳ㠴户㡢㔶戵㤱㕢慥㔵ㄹ慦ちㄳ慡㡥㈱搷㠳捣愸㜱ㅥ戹㕤戵晥ㄸㅡ扢ㄱ敦㉣㤲摢ㅤ㝡㡢摣㙦晥敤ㅣ〹愹㠰〷挹敤〱㝢㍥㐵ㄵ慥㕡㉦戴㐲敥㜶〸㔶㍤㕤㝤㝡㘹㙤㉦晡㄰〱㕦㍢㐰㉢攴㝥〱㄰昹㈳㈱㥦㐱㥢㍦捣戵ㄳ㠲㠴摣㥤㤰捡晥捣㑤㠵㈳搵㔵㌱㥣ㅤ㐷愲戸晣㡤㐶挳〹㕦㍡ㄲ慣㑥攱㌴㌹㥤づ㘱挴㌳攳㡡㑢愵㜸㈴㡡〳㌳捦愲ㄳ愱㔰㜵㈴ㄱ㠹㈶搲愱㘴㍣㔹㥤っ㈷〳摥㥤敤昴收㉥㠸㌱㝢㐳㜸㜷搱慡㌶㜲㝢㙢ㄵㅤ挴戵愲て㔴ㅤ㐳敥慥挸散㐶敥㙥㕡㥦㈰戹㝢ㄱ㐹㥣㘵摤〳㝡㡢摣㌷戳挸敤てて㤲㕢〹㝢㍥戹㝤㕤戵㝢㐲㉢攴づ㐰戰敡攷敡昳㍢慤ㅤ㐸ㅦ㈲攰㙢㙦㘸㠵摣㔷㕤挹㝤搹㤵摣㝤㄰㈴攴づ㐱㉡㡢摣戰㉦ㄲ㡤〷慡愳ㄸ攷㡡〵ㄳ攱㜸㌴ㄹぢ㘳㉣㌳㤵昰㐷㠳㠱㐰㌲㘲散㤷㜱挵㔰㜷扡㍡㔹㤵〸挷愲晥㈰捥愶慡㐳愹㐸〴㔱攱㘸〸搷挱攱㤸㜷愰㥤摥昴㈱挶昴㐳㜸〷㘹㔵ㅢ戹㠳戵㉡攳㔵戱㉦㔴ㅤ㐳敥㄰㘴㜶㈳㜷㍦慤慦㐱㌱捤晤㠹㜷ㅥ换敡㠷摥㈲㜷㘳ㄶ戹〷挱㠳攴㔶挱㥥㑦㙥挰㔵ㅢ㠴㔶挸ㅤ㡡㘰ㄵ㜶昵㠹㙡敤㜰晡㘸㜲昷㠷㔶挸㝤搴㐹㙥收㔲改㘱㔷㜲て㐰㄰晥攳㥢昵㤱ち㘷捦〷愲㈱㘴㡦㐱摢㈶ㅢ挷摣ㄴ㠶㉤㜰㥥ㄵて〶晤扥㈸慥㤱慡挲㌸㤹挶搰㔶㌰㄰㑥ㄹ㘳㌳慥改㔰挰㥦㑥㠴㈲昱㄰挶扣晣戸㘹ㄱ〸攱㜲㉡ㅥ慦づ愵挳戸〵㤲昰ㅥ㘴愷㌷挷㈱挶ㅣて攱㍤㔸慢摡捥㥥㠷㙡㔵挶慢㘲ㄸ㔴ㅤ㐳昶㜰㘴㜶㈳㝢㠴搶㌷戰㍣㠷ㄱ㙦㍤㑢㍤ち㝡㡢散摢戲挸㍥ㅣㅥ㈴㝢㌴散昹㘴㡦㜱搵㡥㠵㔶挸㍥〲挱㙡扣慢捦〴慤㍤㡡㍥㥡散㠹搰ち搹㌷㍡挹捥㥣㍤㕦敦㑡昶㈴〴〹戹挷㈰㤵㐵㙥㉡㠵㤱㑣㝦㔵㈲㠶攱㡢㘰㈲㤵㠸〵愲戸扡㡤攲戶㔳愲㉡㕥ㄵ㡣ㄸ挷㘶㕣挳㔱晣挰㜴㈰㠹ㅢ㔸ㄸㄱ挱㈵㔲ㅣ挳㔹攱㐴㌰ㄱ慢挲〰㔸㉡ㄸ昷㑥戶搳㥢戳ㄱ㘳捥㠱昰㑥搱慡戶㍤㜹慡㔶搱㐱㕣㉢づ㠳慡㘳挸㥤㠶捣㙥攴㑥搷晡ㄶ㤲㕢㐳㈴捤㉣敤っ攸㉤㜲㉦捥㈲户ㄶㅥ㈴昷〸搸昳挹㍤搲㔵㝢ㄴ戴㐲㙥㍤㠲搵搱慥㍥戳戴㜶〱㝤㌴戹挷㐲㉢攴㥥攷㑡敥戹慥攴捥㐱㤰㤰摢㡣㔴昶㥥㡢〳㙤㍡敤㡦挶㤳搱㘸㄰攷挰戱㜴㈴收て㘲挸㈲ㄲ昰㈷㤳〱扦搱搲收敡㑦晢慡㜰㉤㔴㡤㥢㑤㐱㌰㡢㑢㘴㥣㜰㐵搲㜱摣㤴慡挶愵㤲㌷㘶愷㌷ㄷ㈲挶㕣〴攱㡤㙢㔵ㅢ戹㝣敥㠰㈰摡扣㉡㤲㔰㜵っ戹㈹㘴㜶㈳㌷慤昵㈷㄰挹㔲攲㍤㥥愵㥤〷扤㐵敥㐹㔹攴㥥〶て㤲㕢〳㝢㍥戹挷戹㙡攷㐳㉢攴㥥㠱㘰㔵攷敡㔳慦戵㘷搲㐷㤳扢〰㕡㈱㜷戱㉢戹ぢ㕤挹㙤㐴㤰㤰晢㐷愴戲挸挵㝤愲㈸㜶㍢散㠲愱㐸㌰㤹昲㘳愸㌲散㡢㈵ㄲ㠱㠴㍦ㄹづ㐵㝣挶昲㡣㙢㉣ㅣ挵㠹㜳㌰ㄲ攷慤㠸㘸㈴ㅡ昵㜱挰㌲㤰づ㘰っ摢㤷㐸㔷㜹㥢散昴收戹㠸㌱㔷㐰㜸㥢戵慡㡤㕣㍥㥤㈰攴㘶扣㉡ㄶ㐲搵㌱攴㉥㐲㘶㌷㜲ㄷ㙢晤㈹㈴昷㔲攲㕤捡搲ㅥて扤㐵敥摣㉣㜲㔷挲㠳攴㥥〰㝢㍥戹㈷扡㙡晦〰慤㤰㝢㈵㠲搵挹慥㍥㑢戵昶㙡晡㘸㜲㑦㠵㔶挸㡤戹㤲㍢摢㤵摣搳ㄱ㈴攴慥㐶㉡㝢捦挵摤攰愰ㅦ〷攴慡㄰㍥㌸攳戸敥〹㈷㐳㠹ㄸ敥ㅥ挴㘱㠹㠴㡣敢㌲慥挱㐴㜵ち㈷搹㠱㐰ㄸ户ㅣ㜱户㌱ㅥ㑥㠶慢搳㜲㤵ㅣ㡥㐷ㄲ㈹敦ㄹ㜶㝡昳㝡挴㤸㌷㐰㜸㤷㘹㔵ㅢ戹㘷㙡ㄵㅤ挴戵攲㉣愸㍡㠶摣戳㤱搹㡤摣㜳戴晥㑣㤲扢㤶㐸㤶戱戴换愱户挸㥤㤲㐵敥㕤昰㈰戹攷挲㥥㑦敥ち㔷敤㜹搰ち戹昷㈰㔸晤挹搵攷〲慤晤㌳㝤㌴戹ㄷ㐱㉢攴㑥㜰㈵㜷㥣㉢戹㤷㈰㐸挸㝤㄰愹㉣㜲搳愱㙡捣〱〸昰ㄳㄴ㐷㘳㤰㕢ㅤ㑡㐶㌱㌰攵慦㡥挴ㄳ戸㡤㘴慣换戸挶戱〱挴搲㔱㑣〲〸昹㠳ㄱ㝣昰㘲挰㌹ㄹ慦㡡挴慡〳昱㐴㈲㤶昲㕥㙡愷㌷ㅦ㐲㡣昹㌰㠴昷㌲慤㙡㈳昷㜲慤愲㠳戸㔶慣㠴慡㘳挸扤〲㤹摤挸扤㔲敢捦㈵戹㡦ㄳ挹㜲㤶昶㙡攸㉤㜲慢戳挸㝤ちㅥ㈴㜷ㄵ散昹攴㕥攳慡扤ㄶ㕡㈱昷ㄹ〴㉢㍥て㤱ㅦ㜹㠳搶㙥愲㡦㈶昷㈶㘸㠵摣㠰㤳摣捣搹戳摦㤵摣㥢ㄱ㠴晦昸㌲ㄵ愴挲搹昳㉤㘸〸搹㉦愲㙤敦挹㘹㝦㈲㠹晢㠵昱㉡㝦㈸ㄸ挶㉤㘰㕦㌴ㄱ㐸〶㝣扥㄰㙥ㅥ㈵〲㍥攳愵㡣㙢〰挳㈰愹㌴愶〳攱㘲ち㌳㠵㝣昸㈰づ攰㝣㍡㄰㠹㔴㔵㠱晥愴㜷㡤㥤摥㝣ㄹ㌱收㉢㄰摥㕢戵慡敤散昹㌶慤捡㜸㔵摣づ㔵挷㤰扤ㄶ㤹摤挸扥㐳敢㉦㘴㜹摥㈶摥ぢ㔸敡扢愰户挸敥㥢㐵昶㝢昰㈰搹㜷挳㥥㑦搹㍤慥摡㝢愱ㄵ戲摦㐷戰扡捦搵攷〱慤晤㠰㍥㥡散㜵搰ち搹㝤㕣挹摥挵㤵散㠷㄰㠴晦㈵收㈷㐸挵扢㑡㘸〸搹㥦愲㙤㤱㡤摢㐳戱〸㑥慥㈲戸㤳ㄸ挴㍥ㅥつ㔵攱敡搷敦挷㕣㥤㐴㜵愰㉡㘰㝣㤶㜱㑤挷㌱ㄱ㈸攵ぢ㔷攳敥㔲㌰ㄲ挲㉤ち㝦㔵㌲㡣㝢㑡㠱㘰㈸㤲㡡挴扤㡦搸改捤捦ㄱ㘳㝥〱攱㝤㔴慢摡挸㝥㑣慢攸㈰慥ㄵ慤㔰㜵っ搹㝦㐱㘶㌷戲搷㙢晤攵㉣捦昷㐴㜲ㄹ㑢扤ㄱ㝡㡢㙣㌳㡢散㉤昰㈰搹㡦挳㥥㑦昶ㄳ慥摡㈷愱ㄵ戲㝦㐲戰㝡摡搵攷ㄹ慤摤㑡ㅦ㑤昶㈶㘸㠵散㑥㑥戲㌳㤷㑡捡㤵散攷㄰㈴攴㤶㘰㜶慤㝤搸㡥㈷慡ㄳ㌱㝦㤵㉦㠸㍤ㄹㄳ㝤攲㝥㕦ㄵ收㙢㘱㌶㥦慦㍡㠲㔱㑣㐳㘵㕣㌱搳㈷攵㡢㐵㝣㜱㔰㡣㝢挹㐱摣㈹挴っ愰㈰敥㉥晡愳㘹㡣㠲㜹㥦户搳㥢愵㠸㌱㍢㐱㜸㕦搰慡戶挳昶㡢㕡㐵〷㜱慤㜸〹慡㡥㈱昷㘵㘴㜶㈳昷ㄵ慤㕦㐵㜲扢ㄱ挹搵㉣敤㙢搰㕢攴㝥戳㈵㙢戸ㄲㅥ㈴昷㙦戰攷㤳晢扡慢昶つ㘸㠵摣敤㄰慣摥㜴昵㜹㕢㙢㝢搱㐷㤳晢㉥戴㐲敥ㄷ〰㤱ㄹ慥捣ㅣ戶㍦㠳㌶㝦戸昲㍤〴攱㍦㝥㕡ㄲ愹戰㈷晦ㅤつ㈱㝢㘷戴㉤戲攳㥣㜴攷ぢ㘲㔰㌲㤸っ㘲ㅣ㌲敡㑢攱ㅣㅢ㥣攲攳㌷ㅣ㡢㔷ㅢ扢㘴㕣㠳搵ㄸ〳慢昲〵〲ㄸ戴挴㕤愵㜴ㄴ昳㠳〲㈹㕣ㅣ攳昶㈲㉥戶㔲摥昷敤昴㘶㙦挴㤸㝤㈰扣㝣㈸㠳㙢㌴摢昶攴て戴㡡づ攲㕡昱㈱㔴ㅤ㐳昶㐷挸散㐶昶挷㕡㝦〳挱昵㈳㤲敢㔹敡㑦愱户挸摥㥣㐵昶摥昰㈰搹㥦挱㥥㑦昶攷慥摡㉦愰ㄵ戲昷㐱戰晡捡搵攷㙢慤ㅤ㐴ㅦ㈲攰敢ㅢ㘸㠵散㔷㕣挹㝥挹㤵散㙦ㄱ㠴晦昸ㄶ㄰愴〲搹摦愱㈱㘴晢搰戶挸づ攱㑥〲㉥㡡㜰ちㅤ㡣〵㝤㘱㥣㘴挷㘲㤸㘲ㄹ㑢愶㈲㠹㐴挲ㅦ㌶晣ㄹ搷㐰㈴ㅤち㈷ㄳ㈱㍦㍦捥㈳戸戴㡥㘱㈲㘷ㅣ户㤵㐳愹㜴っ〷〴㉦ㅦ攷㄰㘶慢㄰㘳〶㈰扣㍦㘸㔵ㅢ搹㍦㙡㔵挶慢㘲ぢ㔴ㅤ㐳昶扦㤱搹㡤散㥦戴㥥扦㈶㘵ㅥ㐸扣㙢㔸收慤搰㕢㘴慦捦㈲㝢㈸㍣㐸昶捦戰攷㤳晤㡢慢昶㔷㘸㠵散攱〸㔶捡扥㡤㤴晤昵挸㥤戴㜶㈴㝤㠸㠰慦㌲㘸㠵散㠷㕤挹㕥攷㑡㌶ㅦ摤挰ㅡ㌱ㄱㄲ愹㐰㌶ㅦ搳㄰戲挷愱㙤㤱㥤昴〷愳挹㜴〰㜷〸㤳搸㐵㌱攸㠱㍤㍤㠶㑦攷㘴㈴㔵㥤昰㐵㐳挶昸㡣㙢ㄸ㔳㐱挲ㄱ捣搴慥ち挷㜰ㄵ㠶㜱㙥㝦㈴ㄱ挰㈱摤㔷㤵㐸愴㝣〹㙦戹㥤摥㥣㠰ㄸ昳㄰〸㉦㥦晢挸搹戳昹ㄴ㠸愸攸㈰慥ㄵ㝣ㄴ愴㘳挸敥㠶捣㙥㘴昳㤹ㄲ搱摦挵昲㑣㈷㤲㍢㔹㘶㍥扡㈰㘴捥㠰㡡づ㝣愹敤戴昶〸㘸㌵㈵㕥㍥㈵㈰搵㍤ㄲ摡敥㥤捡㌸〱摤昵昷㌹慣挹摥搳昰慤敢愹㈱㈳㐷㐴㠶㡣㕥㥣㐸搵昲ㄷ㔱㌰㈵ㅣㅦ捤㈵㍢搴㡤㙦挲㘲慡戱㘹㝡挳㜰昹㠵づ㍥㌹戰㥤㥥㌵㍥愸㙥㙣㑢㑤ㄲ㕦挲晥扢㌶㡤晥㌹ㅣㅤ㌶戹㌱ㄳ搷扤捤ぢ摦㔴扢㐳㕢㙢㈴ㅥ㐹㐸㉤㙥收㌷愱昷㘹搳攲户㡦昰㡢㉣愹愴捥搸㠴敤戲㜳㘹㈷㌵搰敤㜷㥤㐶㌵搴挵㙡敡㠷㡣㘹㑣攸〴愳敢㕢敡昶㐰ㅦ晡戸㝣攵晢㠸㥡㘶㜹昶㘲㔷搶搰攴昴㝦㘳㈶㑡搵昳愰㝥㈳㐶昴昳㐷晡敦戹㝦攵㥥晤晢つ敦ㄷ昵㤵摤㠰敤昷晦戰㐶㜲搰昶㡣〳搷捦㍦㡦㌹㡢晣昴挶㡡挸㠵㌲㜷收㉡㡦㠵慥ぢ㔶㌹㤲敢戹ㄶ敢搹搷慤㘷昲戳ㅤ散㤸晤愴㠹敥㕦㔳昶慡㜶戳搶㠴㔵捤攱慡㜸㜲挲㤴搴慡㕤搱㘰㍦愴戱ㄷㅡ晤戰㘴㍥㑢昱ㅣ挵昳㄰敡㑡㌸扣㠹摦㔳㕢㕦戶㘴㜵㜴㔹挹戰〷㍦㝣愴㘷㤷愷㥦つ愸㉢㙣挳㜷㜷㉣㍢愵㜶㤲㜹攸慡㐷ㅦ㝢昱晥㝥㕢ㄷ㈸捥敢㤷㑤㌲㡤㌵㘶㌶挹〱㕡㍢㤷㌸㤸ㄹ㉦㉦愷攸换㈶㌹て摡敥㥤ㄴ愷戸㕢愵攰㡣㝢攳㌸㘸慤㔲㠴慢搵挵㔸愱挶敥㌱㙢㤹挶㥦㜱攷慣㝢愳ㅥ扡㍣戲㄰昹㈷㐴敡㡥攲㠷愴ㄹ戹㍦晣摤扡扢扣㔰㜷晦㘸ㅢ捥敦㌱㙥㔲搳收㠵攳㙥敤㍢散㕦昷㉦戸㜴愱攲㑣㜷改敥㐲攴捤㜴㔷愶戰戳㠸㡢戸㌶摤㕤㑥㕡㤷敥㉥㠶ㄶ摤攵搴㜰慢扢愳戱㘴ㅣて㙤㍥晥愸㍡㈳ぢ晦㠹捣挸改攲㔶㈴愷愴ㅢ㈷㐱㘷ㄷ㉡慡㑥㠱㝢㕢愱㤶搲㝤㉡㥣摣扡㝢㘲愱敥㥥㘰ㅢ收㥡愳扥晣昸慦戳㈷慤敢搳晦㤵㡢㠶㕣㌵㕢㜱敥户㜴㜷ㄹ昲㘶扡㉢㤳扡搹摤㌳戹㌶摤摤㈳攱㉢摤㍤ぢ㕡㜴㤷㤳愵㉤搰戳戰㘴㥣〳慤〵㍡ㄲ㔲㉤㔹愰㤷㌳つ愷㔵㕢敥㥣㤹㙤慣㠰㉥慦㍡㠸晣㍤㈲摢搸㍤㥦㤱㥣攵散搶摤摡㐲摤㥤㙦ㅢ搲㝦晤搳ㅤ愹捡挱挳慥㜸敥敥〷㌶捤㝢昹㝢挵搹搰搲摤㑢㤰㌷搳㕤㤹收捣敥㕥捡戵改敥㜲㘲戳㜴昷㌲㘸㜱㝣攵㐴攴〳ち敦扢㡥㘷㘷〶㘱㈷挶㉦攷愴㤲昸㉤㡢〵㌸扡㉤ㄹ㕤摦摣挸慦㑢㈹改㠴挳㘸㤹散摢㥤㑢昷晦㙤戹昸㌰ㅥて〳㝣㤵捤㐵㐷晦㍦昲戰慦㙤挷㌱㘶攴戱捣㕣挹㌲㜰㈲戴㐵ㄷ㘷㕣ㅢ㔷㐲搷敢愰㝥挳て㜷ㅥ㌹昱戵收㉡㤱挵搷搵っ攵散㘸㉢戴㠵愱搷㐰㔷㡥搰ㄹ晤攸㍦ㅢ晥㙤㥢昳㙡晡昳㑣㑣慢搴ㄲ㌴㌴晦㡡戳㥢摤㤸㥦㘹ㄳ㥣㜷ㄸ㍢捡㌶扣晢搵㥥㕤㙦㔵㉤攳搷㙣散㌶昶㥥㘳搶扥愰㑥㐳㈶㘱晥㘶慣㌱挳晣ㄹ㕡㝢ぢ㜱愰敦㝣㜹㌹愱㔹㤸㕦〳㉤㌶㜴㑥〸戶晡挳昹挹挶㙤搰摡ㅢ扡㕦㑤换敡捥㕡愶攱〴㘳换㝤㌹摤敦㠴㉥㝦㐳昷慢挹㠸搴ㅤ挵て㕡㌲㤲昳㝤摤扡㍢愱㔰㜷挷摢㠶扥敦㑥摤晥扥昲㕥ㄳ慥㍢昷搱㐳㔲㡦㡦㝦㔳慤㐴㈶改敥〳挸㥢改敥㤵㕡晢㈰搷愶扢换㈹扥搲摤㜵搰愲扢㥣愷换㡤㕤㡤㐶㜶㙥㘱戲㔱㍣捣㤰ㅢ愰戶扡㜶ㅤ㤶㡣㐷愱戳㤹昵㠵搴㜰戸㙡ㅡ㍤㘶㉢晤㌹晤搶昲攷っ㕥㘳㍤㜴昹ㅢㄱ㐲て㐲㘸㕢㉤㌶㌲㤴搳㘱摤㙡ㄱ㠵慢敢㈷㔸挴㌶摣㝦攸慣㑦㝥㔹搱㌴㝡㐵户㉥挳〷㥢㠱戹㡡搳㘶愵ㄶ捦㈰㙦愶ㄶ㌲ㅦ㤶㕢晢㕦戹㌶㕤ぢ捥㠰㤵㕡㙣㠲ㄶ戵㔸㠷戶搴㈲㠰散㤹㕡㍣挷㄰㑥㈶戵晡昶㄰㤶㡣ㄷ愰搳戵㠸慡晤攰摥㔶㡢㤷攸捦搹愹㤶晦挳昴㝦〵㍡㤷㕡㐴搵㈰㠴戶搵攲㌵㠶㜲戶愸㕢㉤晡摢㕤捥摢つ㝥㘷ㅢㄲ㘷㙤㝥晢㥥挳敢㠷㉦㝢㜲换捣㥤ㄶ㡤㜸㐸㜱㔶愹搴攲㉤攴捤搴㘲㤳搶扥捤戵改㕡㜰㠲愸搴攲ㅤ㘸㔱ぢ㑥挳戴㍡挰昹㥥挶㝢搰收㙤搷攱㠰摡㈳ぢ晦晢捣昸㙡㈶昲㘵㐶㝥〰㥤晤昱ㄶ㔰㝤攰摥㔶愹㡦攸捥昹㤳㙥摤摤戱㔰㜷㜷戰つ换㕥戸㙦搵捡㉢㙥㥣戸晡㠰㌳敦㙡ㅡ㔴搲愲㌸捦㔲扡晢〵昲㘶扡晢て慤晤㤲㙢搳摤晤㄰㕡改敥㔷搰愲扢㥣㤸㘸㜵㤷㌳㈰㡤慦愱捤敢㙥㈴愸㉡戲扡晢つ㌳㜲戲愲ㄵ挹〹㤱挶㜷搰搹挷㡢愰敡㥡搵摤ㅦ攸晥㍤㥣摣扡㙢ㄴ敡㙥㤹㙤昸㜶摤戸㘷捦㥥㄰ㅡ户昶挵㔹户户㠴て扦㔴㙤㐱㈶改敥㔶攴捤㜴昷㈷慤晤㤹㙢搳摤摤ち慤㜴昷ㄷ㘸搱㕤㑥挲戳㐰㤷㘰挹㈸㈹搷愰挳㘱昵敢㡦㑥㡥㑡㘱㔲㥣搴㘷戹㜳㕥愰搱ㄹ扡扣敡㈰昲㍦㠸㙣摢㤸つ㐶㜶㠳扦㕢㜷㝦㠰慢敢㡥晤扤㙤㜸㝦㙣敡收攸㤲㔵㤳㙦ㅥ晦攵㥦扦㑢㕤扣㐱㜱㉥㥥㜴户ㅢ昲㘶扡㉢㤳散搰㑢戳㍢搷愶扢换㘹㜵搲摤ㅥ搰愲扢㥣扣㘶攱攷㉣㌹挳ぢ㙤ㅥ晥㠸㑦晤㌳ぢ㝦㑦㘶散㥤㠹攴愴㌹㘳㝢攸㙣㜶㝤敡㜳戸户㙤捣㍢搲㥤戳捥摣扡晢㔱愱敥㝥㘸ㅢ愶昴晥㜹摤愴戲㔳㐷㕥戵攳扢㌷散戴㝥㠷攷ㄴ㘷愷㐹㜷㜷㐵摥㑣㜷〷㘸敤㙥㕣㥢敥㉥㈷㥡㐹㜷㜷㠷ㄶ摤攵㐴㉤慢扢㥣㌷㘶㔴㐲㙢㠳慥㔶敦㘶㠱摥㤳㘹㌸昱换㜲攷摣㌱愳ㅦ㜴昹搵愹㔶㙦㈲戲㡤摤晥㡣摣ㅦ晥㙥摤㝤慤㔰㜷㕦戵つ㘷敥㘰づ㔸户戹㘶昸敡挶㠱收敡ㅥ㕦捦㔷㥣慦㈵摤ㅤ㡣扣㤹敥捡㐴㉣戲扢㉦搷愶扢换愹㔷搲摤㈱搰愲扢愳搱㤶挳昶㡢挸㥥㌹㙣晢ㄸ挲㔹㑣㔶搷㌸愹捡愸㠲づ㤵挰挹㐹㜵㔰㍤ぢ敦㌶晡㠲㜴攷慣㈸换㥤ㄳ慢㡣㌰㜴愸㐴昶㘹㄰㈲㥦㐶㘴㕢㈵愲㡣攴㈴㈵户㑡㙣戴㍢㥣㜷搰摥㘰ㅢ㙥扦昵愴㝤㈳〳攷㑦戸敢晡㥤昶㤸㝣㐶扦㕤ㄵ㈷㌳㐹㈵づ㐶摥㑣㈵㘴㤶ㄲ㉢㌱㤴㙢搳㤵攰扣㈴愹挴㌰㘸㔱〹捥晥戱昰㜳㥡㤱㌱〲摡㝣㈶愳敡㤱㉣晣愳㤸㜱㑥㈶㤲戳㡥㡣㌱搰搹㥢㑣㔴㍤〸昷戶㐲㡤愳㍢愷敤戸㜵昷摥㐲摤扤挷㌶㕣㍣愹敥搳㕤昷摤㙦挲㝤て捥㝣敦㤹ぢ㈳〱㔵㡢㑣搲摤㐹挸㥢改慥捣摢㘱㜷㈷㜳㙤扡扢㥣愹㈳摤㥤〲㉤扡换昹㌰㔶㜷㌹昱挶㌸っ㕡ぢ㜴㌸愴㙥捦〲㍤㥤㘹㌸㜳挶㜲攷攴ㅢ㘳〶㜴㜹搵㐱攴㉤㠸㙣㘳昷㐸㐶㉥㠵扦㕢㜷慦㉦搴摤敢㙣挳昳扢㤹㔷扤㜱搶戲㔱ㄷ扤㍡戸晡攴㡦㔷㜴㔶㥣昰㈲摤㍤ㄶ㜹㌳摤㍤㐳㙢㘷㜳㙤扡扢㥣扢㈲摤㥤〳㉤扡换戹ㅦㄶ㝥㑥㐵㌱攲搰㕡摤㡤〶搴㔵㔹摤㑤㌲つ攷㤲㔸敥换改㥥㠶㉥慦扢㠸扣㍣慢扢昳ㄸ挹愹ㅤ㙥摤扤愸㔰㜷㉦戴つ昷昸ㄶ晥昲㥦扢㔲ㄳ慥㜹昵挶挸㤵攷昶㜹㔷慤㐴㈶改㙥㍤昲㘶扡㝢愵搶㌶㜰㙤扡扢㥣捤㈱摤㕤〰㉤扡换㌹ㄳㄶ㝥㑥捥㌰ㅡ愱捤挳ㅦ愹㔲攷㘶攱㙦㘶㐶捥愳戰㈲㌹㔷挳㔸〸㥤扤㌱㔷愹戳攱摥戶㌱㉦愶㍢㈷㍢戸㜵昷昴㐲摤㍤捤㌶㉣扦㜰昷㘵㉦慣昲㡦㕡㍡昳慢搳㡦㌰㕥㉡㔳㥣ㄴ㈱摤㍤〹㜹㌳摤㤵搹づ摣㤸㑦收摡㜴㜷㌹扦㐱扡扢ㄴ㕡㜴㤷戳〸㉣搰㥣慥㘰㥣ち㙤㕥㜷愳㔵敡て㔹摤㍤㥤ㄹ㌹戳挰㡡㕣挷挸㘵搰搹摢㐵㤵㕡㤲搵摤戳攸捥摢晦㙥摤㙤㉥搴摤㈶摢㜰攳㜶㡢㙦㥢㌳散戴〹搷慣㍢㘱㔲㝤攵〱㜷㉢㑥ㄳ㤰敥慥㐰摥㑣㜷攵晥㍦扢㝢ㅥ搷愶扢扢〹扥搲摤昳愱㐵㜷㜹摢㕥づ摡つ挸㥥㌹㘸㕦挰㄰摥㍣户晡挳㝢昹挶㐵搰改㜳敤㠰㥡㥦搵愱㑢攸捦扢昱㤶㍦㙦攸ㅢ㤷㐱攷㜲慥ㅤ㔰㜳ㄱ摡戶㘳慦㘴㈸敦㡥扢搵㈲㙥㜷㌹敦戰ㅤ戳つ㌳昶搹扢㘹㙥攸㤴㘱㤷㝦扤敡㥡㌱晦摡昷㈹昵ㅥ㌲㐹㉤慥㐱摥㑣㉤攴昶㌸㙢㜱㉤搷愶㙢挱ㅢ攲㔲㡢搵搰愲ㄶ㥦愰㉤戵㌸〶搹㌳戵戸㥥㈱扣〳㙤昵㡤户扡㡤ㅢ愱㜳改㕢㐴ㅤ㤵搵户㥢ㄹ晡㐵㈶㤴户扥㡤㌵搰改㌲㐶搴攱昰㙦摢つ㙥愳㍦㙦ㅥ扢搵㘲㡡摤攵扣㕡㑣戶つ㔳㐶捣㌸㙥搲㔳户㑥㝣攰攳摢ㅦㅦ㜶昶㑢㐹挵㥢捣㔲㡢扢㤱㌷㔳㡢㥦戴昶ㅥ慥㑤搷㠲昷㡢愵ㄶ昷㐲㡢㕡昰慥慣搵攱ㄲ㉣ㄹ昷㐱㥢扦ㅢ昸搵昸慣晥㍥挰㡣扣㔳㙢㐵昲㙥戰戱づ㍡㝢㌷昰慢搱㔹摤㝤㤸敥摤攰攴搶摤㘱㠵扡㍢搴㌶㌴㙣㝣㝥㤷㑥摦㙣ㅤ㜱攷ㅦ〳昵㜵扦慣㑡慢ち㘴㤲敥慥㐷摥㑣㜷攵㝥㉡愹摦挰戵改敥昲づ慡㜴㜷㈳戴攸㉥㙦㠳ち昵〷㈰㝢㠶晡㈷ㄸ搲ㅢ㈶慢㍦㍢㘳挹㜸ち扡㝣敡晤㝥ㄵ㐱㘴摢㘶晤っ㐳㜹ㅦ搳ち攵扤㔲㘳ㄳ㜴㌶昵昰て挰扦㡤晡攷攸捦扢㡤㙥戵ㄸ㘲㜷㌹㡦晡㝤㙤挳挲昹昳〳㕦㕦㝢搳愸〷摦扣昸搵愹㑦㝤㔸慡㜸㔷㔲㙡昱ち昲㘶㙡㈱户ㅢ㔹㡢㔷戹㌶㕤㡢㐱昰㤵㕡扣〶㉤㙡挱扢㠴㔲㡢㝤㤰㍤㔳㡢搷ㄹ挲㝢㜵㔶㠷㝣㔸㌲㌶㐳愷㍢ㄴ㔶扦换敡搰㕢昴攷捤㍦换㥦昷て㡤㜷愰㜳愹㕤㔸昵㐵㘸㕢敤摥㘳攸㠱〸㜰慢挵慥㜶㤷昳㙡搱挷㌶昸攷㈶扡㑥㡤て㥦㝣㑥昷㐹晢摣昹挲㈱晤ㄴ㙦摡㐹㉤㍥㐲摥㑣㉤攴㙥ㅣ㙢昱㌱搷愶㙢挱晢㙦㔲㡢㑦愰㐵㉤㜸ㄳ㑤㙡戱ㄳ戲㘷㙡昱ㄹ㐳㈶挰㘴昵㡤㜷搶㡣㉦愰挳ㅥ㤲㜳㤲㕡慤㝡㘵㜵敤㉢㐶昲㈶㤸ㄵ挹ㅢ㙤挶搷搰㘱て攱搹㜰戵慡㠰㝢摢㔶昱つ摤㜹愷捡慤ㄲㅥ扢挳㜹㤵㌰㙤挳户㐷㍤扤㘱昵㔱㥦㑣㕡扥㘹昱㡡㑥㔷晤愹搱㍢〳㤹愴㜷㕢㤰搷晣㌷挵㑦㄰ㅥ㉦敦㜱㠹攱㍦㘸㘲搸昵㐸戴㕤㙦捤㔸户㑣慣㥦㠴挶ㄷ㐹愵㥡㐴㔱㠱昲㤵愵㜹〳慢㙢㥡摦㉦㤵㤲摦愵挶㤷㕦搵搴搶捡昷㐶㜵挳慦㐳㌷捥㑦㌵㑥挴㡦㥤攳㌷愱愷搵搴搹㕦㠶㠴ㅦ㐱攷扤㈹晤晢挳愶戴㌸摡㙡愴㈷㌷攲〷㠹扢愴挷㌷攱㈷搵㤳攵㜵㔳㘲捤捤愹挶晡晦㠵慦㜰挳愳㠲㥤㌹戰㡣慤愹ㄳ扥㑥慦搴昵㑢戴昸敤㔸戹扦㔷散昸摤昸戶㝡昰户挸㌹ち㕣捡ㅦ㤵晥㙤㕦攰㘶㙣〵㙤ㄵ㤹摦愸㕣挸慦㘷㙢㉡㔵㥤戰ㅤ挸搴㡦捦慢㜶㤱㍢㔴扣〹㙢晥〲㕦攳㔷㠸㑥戸昳挵摦っ攱收敦㌱㑢昰ㄵ㝣㘶㉢ㅡ㈲㑡㍡捦挲㈶㔰散〶ㅦ㜷愴㉥㜵戳㘳㡤㡤戱㈵攵㜵戳㙢㔳昵㜳㥢攷㤵捦㕥㠸㍢㥡昸攱㝡〴㤷㤷㤷㥢愵㐸捡敤㡡㙢㔱㜳愰㘴㔶戳ㄳ戴搴昰攵攵ㅤ㉥搹昴㍡ㄳ㐰ㄹ㠵〱攱昱昲㈶㤷ㄸ扡愰㠹㕤㤱户户戸㕤㥡散㙣愹晡昱〷户捥愱ㅦ㈵㈶㍢搷搶戱㙥㔴戵㘲㔵㔶挷㔴㉤㜲〸㡣ㅥ㌰㘸ㄸ㙡㠱搶㔶㐰慢㈱㝢ㄷ㐲㉢ㄸ扣㑣戲ㅤ㐵㑦〸㡦㤷户愴挴搰ぢ㑤㠰㕢㡣戶〳摣攷慥攰㜶㘴㝣㌶戸㥤愹㜲㠰㍢㔱挳攸つ㠳㠶愱㤶㙡㙤ㅦ㘸㌵㘴㉦敦ㅥ〹㠶㕤㤹㘴㌷㡡摤㈱㍣㕥摥㐰ㄲ挳ㅥ㘸〲ㅣ㙦ㅤ㌹挰扤敢ち㙥㑦挶㘷㠳敢㐷㤵〳摣㜲つ愳㍦っㅡ㠶㍡㕦㙢昷㠶㔶㐳昶㕥愲㌱っ㘰㤲㝤㈸〶㐲㜸扣扣摤㈳攰〶愱〹㜰㤷愱敤〰昷戲㉢戸㈱㡣捦〶攷愳慡つ㕣ㄹ敦㥦攴敥㠸晣ち扥㌱〴㕡戶愸㈶搹㍣捦㤸㤷慡㤹㍢て㑦戹㜴敤慡扦㈲て㌶㑣扦㐵愸㙣ㄱ㔵挸愹㝢愰㜸㤷㐴戴〱㘸㜵㙦扤扣㤳㈱昰㠳㕣㝦㠸㈲っ攱昱昲㘶㠶ㄸ㈲㘸愲㕦扣㡤攱攸搷㤳慥晤摡㥦昱搹晤㍡㤰慡戶㝥㈹摥摤㄰ㄸ〷挳愰㘱㈸摥戹㄰㉤㝦慣㕣㐳昶㍥愰㌱っ㘳㤲攱ㄴ㈳㈰㍣㕥摥㝡㄰㜰㈳搱〴㌸摥㜴㜰㠰㝢挸ㄵ摣ㄸ挶㘷㠳ㅢ㐷㤵〳摣挳挸挳挲敢㍦搵㡡㠶攰㥡〰捦っ㕡摥㕢㄰敤㈱搰㘶搰昲捥㠰㠰㥡挸慣㠷㔲㑣㠲昰㜸㜹㜳㐰っ㤳搱〴摡㑤㘸㍢搰摥攱㡡昶㌰挶㘷愳㥤㑥㤵〳㉤敦㈰㘴愱攵㉤〲挱㌵〳㥥ㄹ戴慦㘹敤ㄱ搰㘶搰扥〵慤㠰㍡㤲㔹㡦愲㤸〹攱昱㜲昸㕥っ㐷愳〹戴ㅣ戸㜷愰扤捥ㄵ敤戱㡣捦㐶㍢㠷㉡〷㕡づ攲ぢ戸㌸っㅡ㠶攲㔸扤㘸ㄳ搰㙡挸摥㉦㌴㠶㈴㤳愴㈸搲㄰ㅥ㉦〷摢〵摣㕣㌴〱㡥挳散づ㜰㤷扡㠲㍢㡥昱搹攰㙡愹㜲㠰攳㤰扢挰愸㠷㈱〳敥〷慤㙤㠰㌶〳㙥慢挶戰㠰㐹㝥㑦搱〸攱昱㜲㘸㕣挰㌵愱〹㜰ㅣㄴ㜷㠰晢愳㉢戸㠵㡣捦〶户㤸㉡〷戸㔲ㅣ晦〵摣昱㌰㘸ㄸ捡搰摡ㄳ愰搵㤰扤摤愰ㄵっ㈷㌲挹ㅦ㈸㑥㠲昰㜸㌹㤰㉤㠶㤳搱〴戸ㅥ㘸㍢挰㥤散ち敥㔴挶㘷㠳㍢㥤㉡〷戸㥥ㅡ挶㌲ㄸ㌴っ戵愳搶㥥〹慤㠶散摤㔵㘳㌸㡢㐹捥愶㌸〷挲攳攵戰戳㠰晢㈳㥡〰户㍢摡づ㜰㑤慥攰㔶㌰㍥ㅢ摣昹㔴㌹挰敤愹㘱㕣〰㠳㠶愱晡㙢敤㠵搰㙡挸摥挱ㅡ挳㐵㑣㜲㌱挵㈵㄰ㅥ㉦〷㠹〵摣愵㘸〲摣㄰戴ㅤ攰收扡㠲㕢挹昸㙣㜰㔷㔲攵〰攷㐳㥥慣摤㌷〸㠵昰㝣㌵㍣㌳㘸愳㕡扢ち摡っ摡㠳愱ㄵ㔰搷㌰敢戵ㄴ慢㈱㍣摥愱摡㜰ㅤ㥡㐰㍢っ㙤〷摡愳㕤搱摥挸昸㙣戴㌷㔳攵㐰㍢㑡挳㔸〳㠳㠶愱挶㘹敤慤搰㙡挸摥㐹ㅡ挳㙤㑣㜲㍢挵㕡〸㡦㤷挳慥㠲晡づ㌴〱㙥ち摡づ㜰㤳㕤挱摤捤昸㙣㜰昷㔲攵〰㌷㕤挳戸て〶つ㐳ㅤ愹戵昷㐳慢㈱㝢㡦搵ㄸㅥ㘰㤲〷㈹搶㐱㜸扣戳戵攱㈱㌴〱㙥づ摡づ㜰㈳㕤挱㍤捡昸㙣㜰慤㔴㌹挰㈵㌵㡣昵㌰㘴挰捤搳摡つ搰㘶挰搵㙢っㅢ㤹攴㜱㡡㈷㈰㍣㕥づ㘹㑡攵㥥㐴ㄳ攰ㄶ愰敤〰ㄷ㜱〵昷っ攳戳挱㙤愲捡〱慥㔹挳㜸づ〶つ㐳㉤搶摡攷愱搵㤰扤㈷㘹っ㉦㌰挹㡢ㄴ㉦㐱㜸扣㈷㙢挳换㘸〲摣㔲戴ㅤ攰〶戹㠲㝢㡤昱搹攰㕥愷捡〱敥㜴つ㘳㌳っㄹ㜰㘷㘹敤㥢搰㘶挰慤搰ㄸ摥㘲㤲户㈹摥㠱昰㜸㌹㕣㈸㤵㝢ㄷ㑤㠰㍢ㅦ㙤〷戸㍤㕣挱扤捦昸㙣㜰ㅦ㔰攵〰挷㌱挵慣摤㤷㠳㠶戲晢㝥〴㑦㡤㑢㜱㍣㔰戴ㅦ㐳慢晢攰扤〶㕡〱昵〹戳㝥㑡昱ㄹ㠴挷换〱㍤㌱㝣㡥㈶搰㜲㈸捦㠱戶㤷㉢摡慦ㄸ㥦㡤昶㙢慡ㅣ㘸慦㐷㥥㉣戴㌷㐳㈱戸扥㠱愷挶愵㙥搳摡㙦愱搵㝤昰㜲扣㑤㐰㝤挷慣摦㔳晣〰攱昱㜲挸㑤っ㍦愲〹戴昷愲敤㐰摢挵ㄵ敤㑦㡣捦㐶扢㤵㉡〷摡〷㌴㡣㕦㘰挸㠰㝢㔸㙢㝦㠵㌶〳㡥愳㘳㠲㠱搳㙦㑤㐵㔱ち攱昱㜲㠰㑣っ㥤搰〴戸㡤㘸㍢挰晤攷㝢户ぢ㉥㠳昱搹攰捡愹㜲㠰攳㈸㕡㔶㈹㌹㌶㈶愵挴㔴敡㌶戴捦㘹㙤㔷㘸㌳㘸㕦㠱㔶㐰㜵㘳搶敥ㄴ㍤㈰㍣㕥づ㘱㠹愱〲㑤愰攵攰㤵〳敤㍦㕤搱昶㘴㝣㌶摡敤愹㜲愰㝤ㅤ㜹戲搰扥〵㠵愰摤ㄱ㥥ㅡ㤷㝡㑦㙢㜷㠲㤶㌸㘸昱㜲㠴㐹㐰敤捣慣扢㔰昴㠶昰㜸㌹挸㈴㠶㍥㘸〲敤㈷㘸㍢搰晥挳ㄵ敤敥㡣捦㐶㕢㐹㤵〳㉤㐷愲戲搰㝥〵㠵愰摤ㄳ㥥ㅡ㤷攲㌸㤲㘸昷㠲㌶搳㠷㉤搰捡攰搶㕢㔸㍤〷户づ㐴ㅦ捡㑢つ挵㤱㈱㌱扣㘹ㅢづㄲ㠳㔲ㅣ㉤ㄲ挳㘶摢㌰ㄴ〶㜳㙦㈴㉤攳挸㔱敥㔷挸㍢挶㍢ㅣ㕦收づ挷ㄲ戳㙥ㅡ扥㐹㥣㐳ㅦ㥥㍡㑥㈷㤶改㜹㐶摤戴㜹昸愶昱敤㙣摦㐱ㄹ㥦㥥ㄹ㑤挶户㐷㐶㈵㌱扢㡣㙣愸㕢㄰㙢㡣挵㙢㔳㜴ㄹ搴㤶㜴㠷㕣㡢昸愳㌲㉣㑥挹㥥㠵攷〳㙡㠰ㅣ㥢㈹㔷敤㜶㉣㔷っ㌰〷愰㈶摤戱愰摡㤶愴㔹昶ぢ扡摦敥㜱㈱㡥㑢晥挶敦扣摦〷〰㔴〹㜶㝣ㄹ晡ㅣ攸攰扤愲搴搶㤶攳扤愴愲㤳㙥㜱㐴㐷㜵㐶㑢ㄸ㝥㌵㘷㥢攰挸㡣ㄸ㕥挹搹㈶っ㙤㜸搹戹㑤っ攱敡扢挰挴敤愲慤〶㙤㑢㔲つ攵㠱〷㉢㘲晡攸摦つ㉤㠱敢㜷挲敤㘱㙢换〹戰愲㐲户昰㕥愲扣㤰㠲敡戹ㅣ戸ㅣ慢ㄱ挳戳㌹㜰㝢㙡挳㈶㈷摣㄰㔷摦ぢ愶攲㜰㜷㠴㠷挰㡤搰㝦㘷戴〴㙥搴〹户户慤戵慡摢㐷户愴扡扢愲㈵愸㥥捣㠱换搱ㅢ㌱㍣㤱〳㜷㜷㙤㜸摣〹昷㐰慥㝥て㤸㡡挳摤ㄳㅥ〲昷㘰晡昷㐳㑢攰づ㜵挲敤㙦㙢慤敡敥慤㕢㜸㉦㔱〳㈰〵㔵㙢づ㕣㡥攷㠸攱戱ㅣ戸〳戵攱㔱㈷摣㤱㕣晤㈰㤸〴敥㈸戴慣㕤㈳戳㘴㙤っ㐳攰㈱㜰㐷搳摦㠷㤶挰ㅤ攳㠴㕢㘵㙢慤敡〶㜴㑢慡ㅢ㐴㑢㔰㍤㤸〳㤷挳㌴㘲㜸㈰〷㙥㔸ㅢ敥㜷挲㥤挰搵㐷㘰㉡㕥摤晤攱㈱㜰㈷搲晦㐰戴〴敥愱㑥戸〷摢㕡慢扡㐳㜵ぢ敦㈵㙡ㄸ愴愰扡㍢〷㉥〷㙥挴㜰㔷づ摣ㄱ摡㜰愷ㄳ敥㔴慥㝥㈴㑣挵慢㍢〶ㅥ〲㜷ㅡ晤挷愱㈵㜰愷㍢攱㑥戰戵ㄶ摣㐳㜴ぢ敦昸㉤㔵㐸㐱㜵㙢づ㕣㡥摣㠸㘱㑤づ摣㐹摡㜰㡢ㄳ敥㤱㕣晤㘴㤸㡡挳㍤っㅥ〲㜷㈶晤愷愳㈵㜰㡦㜶挲㥤㘱㙢㉤戸㐷攸ㄶ摥昱攳〷㤰㠲敡晡ㅣ戸ㅣ扡ㄱ挳㜵㌹㜰㘷㙡挳㙡㈷摣搹㕣晤搱㌰ㄵ摦ㄸ㡥㠵㠷挰㡤搱㝦づ㕡〲㌷敥㠴ㅢ户戵搶戶㥢搰㉤搹㜶㤳㘸〹慡慢㜲攰㜲㌰㐷っ㔷收挰㑤㙢挳ㄵ㑥戸㘹慥㝥㉥㑣挵攱ㅥ〷て㠱㍢㡦晥戵㘸〹摣ㅡ㈷摣㝡㕢㙢挱㙤搰㉤㠱扢〰㉤㐱㜵㐹づ㕣づ敦㠸攱攲ㅣ戸㡤摡㜰㤱ㄳ㙥ㅤ㔷摦〴㔳㜱戸ぢ攱㈱㜰ㅢ攸扦ㄸ㉤㠱扢挰〹昷㜸㕢㙢㙤っ㈷攸ㄶ摥㑢搴㠹㤰㠲敡扣ㅣ戸ㅣ昰ㄱ挳㡡ㅣ戸㈷㘹挳戹㑥戸捤㕣晤挹㌰ㄵ㠷㝢㉡㍣〴敥㐲晡㥦㡥㤶挰㕤攴㠴扢捣搶㕡搵㍤㔳户愴扡㘷愱㈵愸捥捡㠱换㈱㈰㌱㥣㤹〳昷ㅣ㙤㔸收㠴㝢〲㔷晦㐷㤸㡡挳㕤〱て㠱晢〷晡㥦㡦㤶挰㍤挹〹昷〲㕢㙢㔵昷㐲摤挲㍢㝥捦ㄴ㔲㔰㥤㤲〳㤷㠳㐲㘲㔸㥡〳昷ㄲ㙤㌸搹〹昷㔴慥晥㔲㤸〴㙥收挳挱捣㉣㔹ㅦㄳ㉢攱㈱㜰㑦愷晦㤵㘸〹摣㌳㥣㜰慦戶戵ㄶ摣㔵扡㠵昷ㄲ㜵つ愴愰㍡㍥〷㉥㐷㠵挴戰㈴〷敥㙡㙤㔸散㠴㝢㌶㔷㝦ㅤ㑣挵慢㝢㈳㍣〴敥ㅦ改㝦㌳㕡〲㜷戹ㄳ敥ㅡ㕢㙢㙤っ户敡㤶㙣っ户愱㈵愸㥡㜲攰㜲㥣㐸っ㡤㌹㜰搷㙡挳敦㥤㜰捦攷敡敦㠰愹㌸摣扢攱㈱㜰㉦愰晦扤㘸〹摣ぢ㥤㜰敦戳戵㔶㜵敦搷㉤扣㤷愸〷㈰〵㔵㙤づ㕣㡥ㅣ㠹㘱㝥づ摣㜵摡㜰㥣ㄳ敥愵㕣晤㐳㌰ㄵ㠷晢㈸㍣〴敥攵昴㙦㐵㑢攰慥㜴挲㕤㙦㙢㉤戸ㅢ㜴ぢ敦昸㠲〶㐸㐱㤵捡㠱换戱㈴㌱㈴㜳攰㍥愱つ〹㈷摣慢戹晡㈷㘱㉡づ昷ㄹ㜸〸摣㙢攸扦〹㉤㠱㝢慤ㄳ敥㜳戶搶摡ㄸ㥥搷㉤搹ㄸ㕥㐰㑢㔰ㅤ㥢〳㤷愳㑢㘲㌸㈶〷敥㑢摡㌰换〹昷〶慥晥㘵㤸㡡挳㝤つㅥ〲昷㈶晡扦㡥㤶挰扤搹〹㜷戳慤戵攰扥愹㕢〲昷㉤戴〴搵ㄱ㌹㜰㌹摥㈴㠶ㄹ㌹㜰摦搱㠶挳㥤㜰㙦攳敡摦㠵㐹攰㘶㡥〷戹㐷㠶昷攱㈱㜰搷搲晦〳戴〴敥ㅤ㑥戸ㅦ搹㕡㙢㘳昸㔸户昰㡥㥦昶㠴ㄴ㔴㔳㜲攰㜲挰㐹っ㤳㜳攰㝥愶つ㤳㥣㜰敦攱敡㍦㠷愹㌸摣慦攰㈱㜰晦㑣晦慦搱ㄲ戸昷㌹攱㝥㘳㙢慤敡㝥慢㕢㔲摤敦搰ㄲ㔴攳㜳攰㜲挴㐹っ攳㜲攰晥愰つ㘳㥤㜰搷㜱昵㍦挲㔴㝣㘳昸〹ㅥ〲昷㘱晡㙦㐵㑢攰㍥攲㠴晢㡢慤戵攰晥慡㕢〲㤷攳㑤㠲㙡㐴づ㕣㡥㐱㠹㘱㜸づ㕣㡥㑢㠹㘱㤸ㄳ敥㕦愰㔵ㅣ愳㉡㕥㕤㡥㑣〹摣つ昴攷愰㤴挰摤㠸〵㍤〲㔲挱〱㈸㙡㉤戸ㅣ㜸㤲㤶挰攵㠰㤳慣晣㠰ㅣ戸ㅣ㠴ㄲ挳晥㌹㜰㌹㌰㈵㠶㙡㈷摣愷㤸㤵㠳㔴挵攱㜲㘸㑡攰㍥㐳㝦㡥㑡〹摣扦㘲㈱〳㤷㈳㔰ㄹ㠰ㄵㅣ㜹捡㠰㔷ㅣ㜱㤲㤵〷㜳攰㜲ㄴ㑡っ㠱ㅣ戸ㅣ㤹ㄲ㐳㤵ㄳ敥昳捣捡㔱慡攲㜰㌹㌶㈵㜰㕦愴㍦㠷愵〴敥㑢㔸挸挰攵㄰㔴〶㘰〵㠷㥥摡挰㜳捣㠸㕦敤㕤扡㔸㈵收㈴攷捣搹㔲搱戹戲㜷攷㈳㠷㜵扢晣扤㘷摥扦攰㤵㔹〷㝤扣昵捡㉢㕦昹攰㠲㑤㕢ㅦ㡥ㅦ昴攴敡搵ㅢ㈷慣摡昴㝥捦昴㌵愵昷㙤㤹㜸捤㠹晥昹㈷晥㍥㝤昸挰戱㈷ㅥ㜵摣㔴晦㤴敤〶㜵敡搴愵换摥扤㥥摡㜹㠰㜷改敦ㅦ㔰㝦㜹㘳愷晡戲〱㔸㐱㍢〶㙤㠸攸㌷㡥戰扣捣づ㔹挳㉣ㄸ挰㜸〵㉤晥㜱㜴换换攱ㄶㄹ敥㝢ㄵぢ收㙢㄰摤㑢㉢㌸㈴搲㤱㕤㔶㌲㠶㠲搵㥢㝦挳㥡昸㈷㔸㌸㤶㈲㔸㕥挷㠲昹〶〴戰㜰扣愳㐳戱㐴戰〲搹㈲㌶㘳㈱㠳㠵〳㈵㠲攵㑤㉣㤸㙦㐱〰ぢ〷㌳㍡ㄴ㡢㡣㝥〰㠳昹㌶搶㤴挱挲㔱㄰挱昲づㄶ捣㜷㈱㠰㠵㈳ㄵㅤ㡡㠵㥦㕤摣㌴捤昷㈰㤴っ㜴㄰搹摦搱捡㈰攳㠰㠷㈰㝢㥦㡥晦㠰〰㌲づ㑡㜴㈸㌲ㄹ挵㈰㤶て戰愶っㄶ㡥㘶〸㤶て戱㘰㝥〴〱㉣ㅣ㜱攸㔰㉣㌲㐴㐱㉣ㅦ㘳㑤ㄹ㉣ㅣ慡㄰㉣㥦㘰挱晣ㄴ〲㔸㌸㥣搰愱㔸㘶㘲〵戲㈵㝦㠶㠵っㄶ㡥㐳〸㤶捦戱㘰㝥〱〱㉣ㅣ㉢攸㔰㉣㌱慣㐰戰㝣㠹㠵っ㤶㌸ㅡ㠲攵㉢㉣㤸晦㠴〰ㄶづ〴㜴㈸㤶㜹㔸㠱㘰昹ㅡぢㄹ㉣ㅣ㐱㄰㉣晦挲㠲昹つ〴戰昰㉡扦㐳戱㌴㘰〵㠲攵㕢㉣㘴戰㜰㜸㐰戰㝣㠷〵昳㝢〸㘰㘹挶㕢㠷㘲㤱㙢㝥㘰㌰㝦挰㥡㌲㔸ㄶ愱㈱㔸㝥挴㠲戹〵〲㔸㜸㝤摥愱㔸攴㠲㥥㔸晥㡤㌵㘵戰㥣㠴㠶㘰昹〹ぢ收㝦㈰㠰攵㔴扣㜵㈸㤶搳戱〲攱㘸㉢ㄶ㌲㔸㜸搵㉥㔸㝥挶㠲昹ぢ〴戰昰捡扡㐳戱挸愵㌸㌰㤸扦㘲㑤ㄹ㉣换搱㄰㉣㈵㕤㘱㔲㄰挰挲换收づ挵㈲搷搹挴㔲㡡ㄵ㘶戰㕣愸戱㜴㈲㤶捥ㄶ㤶㑢㍢ㅡ㡢㕣㐴ㄳ㑢㤹ㄳ换㑡㡤挵㈰㤶㉥ㄶ㤶慢㍢ㅡ㡢㕣㈱ㄳ㑢戹ㄳ换戵ㅡ㡢㐹㉣ㅥぢぢ慦㘶㍢㤴㈳戹晣㈵㤶慥㑥㉣㌷㙢㉣摤㠸愵扢㠵攵戶㡥挶㈲搷戶挴搲挳㠹攵づ㡤愵㠲㔸扣ㄶ㤶㝢㍡ㅡ㡢㕣戸ㄲ换㜶㑥㉣昷㘹㉣㍤㠹愵㤷㠵㘵㕤㐷㘳㤱慢㔲㘲搹摥㠹㠵㔷愷戲㑦敦㐰㉣㍢㕡㔸㜸〵搹愱摢㡢㕣㜲ㄲ换㑥㑥㉣扣昴ㄴ㉣㍢ㄳ换㉥ㄶ㤶愷㍡ㅡ㡢㕣㑦ㄲ㑢㙦㈷ㄶ㕥㔷ち㤶㍥挴戲慢㠵㠵搷㝥ㅤ㕡ㄷ戹㔸㈴㤶摤㥣㔸㜸搱㈸㔸㜶㈷㤶㍤〴㡢㝡ㄹ㑡昹戸愸㐴㥢ぢ㝣㜹㜹㤵㐵搷敥㥤ㄵ㉦慤攴昲昵摤敦慣搹ぢ㈳愰㉦㔷昸㕡㑥㙤㜸挷㌶㜸㘱㌰昷㐲ㅡ敦摦摡挲㜹㌵㈴攱㙦攵㠴昳ち㐹っ㙦㍡挳晢㌳㝣㜳㕢㌸㉦㘰挴敢㡤㥣㜰㕥搴㠸攱㜵㘷昸㍥っ攷攵㠷つ㥥搷ㅣ攲昵㕡㑥㌸慦㐳挴昰慡㌳㝣㌰㙢㈰㔷っ散捡扥㙣㘱㐱㉡挲㉢〷㍢㈹㉦ㄷ㈴昶愵㥣愴扣㠴㄰挳㡢捥愴㍥㘲攲挹扥ㅤ捥㌳㝣昱㝡㍥㈷㥣㘷晤㘲㜸捥ㄹㅥ㘰㌸捦捦敤㜰㥥㤴㡢搷愶㥣㜰㥥愸㡢攱慦捥昰㌰挳㜹㑡㙤㠷昳㍣㕡扣㥥捥〹攷戹戵ㄸ㥥㜲㠶㔷㌳㥣㘷挱㜶㌸㑦㝤挵敢㠹㥣㜰㥥づ㡢攱㜱㘷昸㠱っ攷㠹慢ㅤ捥戳㔵昱摡㤰ㄳ捥㌳㔸㌱慣㜷㠶て㘵㌸捦㌵敤㜰㥥㘰㡡㔷㙢㑥㌸㑦㍡挵昰㤸㌳㝣〴挳㜹㝡㘸㠷昳㥣㔰扣ㅥ挹〹攷㜹愲ㄸㅥ㜶㠶㡦㘶㌸捦攸散㜰㥥挶㠹搷扡㥣㜰㥥摡㠹攱㐱㘷昸㌸㠶昳㈴捣づ攷㤹㤷㜸摤㥦ㄳ捥戳㌱㌱摣攷っ㍦㠴攱㍣㙦戲挳㜹戲㈴㕥昷收㠴昳〴㑡っ昷㌸挳㈷㌱㥣愷㍡㜶㌸捦㙦挴敢慥㥣㜰㥥昳㠸攱㑥㘷昸㔴㠶昳散挴づ攷㈹㠹㜸慤捤〹攷㘹㡡ㄸ㙥㜷㠶㑦㘷㌸㑦㈸散㜰㥥㐵㠸搷慤㌹攱㍣戳㄰挳ㅡ㘷昸ㄱっ攷㌹㠰ㅤ捥て㝥昱扡㌹㈷㥣㈷〳㘲戸挹ㄹ㍥㤳攱晣搸戶挳昹㔹㉤㕥㌷攴㠴昳昳㕢っ搷㍢挳㡦㘱㌸㍦㘹敤㜰㝥扣㡡搷敡㥣㜰㝥攴㡡攱㕡㘷昸ㅣ㠶昳挳搱づ攷㈷愲㜸慤捡〹攷愷愴ㄸ慥㜶㠶㈷ㄸ捥捦㌳㍢㥣ㅦ㘲攲㜵㘵㑥㌸㍦搸挴㜰㠵㌳㍣捤㜰㝥〴搹攱晣摣ㄱ慦换㜳挲昹㔹㈴㠶换㥣攱㌵っ攷愷㠶ㅤ捥㡦ち昱扡㈴㈷㥣ㅦㅦ㘲戸搸ㄹ㕥换㜰㝥㤲㌰摣慣挳〲㈶攱昱㈳㐱挶㌰敢戱愰㜸㠴㤷㔶〳㕢㍣㘰㑢㙢〱㕢㍣晥㑡敢昷㔸昰昲昸㉢㜹ㅡ戱㠰㍣㍣㤰㡡戵〹ぢ㡡挷㐵㘹㌵戳挵挳㥣戴㕡搸攲㔱㑢㕡ぢ搹攲㐱㐸㕡㡢搸攲㌱㐵㕡㡢搹攲㈱㐲㕡㑢搸攲ㅥ㉦慤攳搹攲づ㉣慤ㄳ搸攲晥㈸慤ㄳ搹攲敥㈵慤㍦戰挵扤㐵㕡㈷戱挵㡤㕦㕡㈷戳挵㙤㔹㕡㑢搹攲愶㈹慤㔳搸攲㤶㈶慤㔳搹攲㠶㈳慤搳搸攲㜶㈰慤搳搹㈲慤搲㍡㠳㉤戲㈴慤㘵㙣戱攸搲㍡ㄳぢ㘵㉣㝡㤱㠹㙦㔳㔲㡤㠹㔴㝤㜳㑤㙤㡡ㄳ敦㜰㜸㈹改㕥㌷戲愵愹戹挱㥡ㅢ搸㔴㈶戳〱昳㘷ぢ昶愴晢愰㉣㔷㡦愵愲慣戰ㄶ㌳搳〶扢摡㈶捥㌳晣扦捥ㄹ散〲捥昹挲攳㤳扢ㄷ㥦㌶㘸㑤ㄹ㙣㥦㤷㍤㕦昰㉣㔴挷㠳㘷昰㌱㘱戰㙤㔱摡㑡戶㑥㔸戲扦㌲㔸戶搲㍣慤㙣慤㜹㕡㙥戵㍣㔹挸捥挰慤㤷愴㤸攷戴慤扢㙤搱㕡户㙣搱㜹㤱戲㘵攷㘹㘵ぢ捦搳捡㤶㥥愷㤵㉤㍥㑦㉢㕢㝥㥥㔶昶㠰㍣慤散〹㜹㕡搹㈳昲戴戲㘷攴㘹㘵て挹搳捡㥥㤲愷㤵㍤㈶㑦㉢㝢㑥㥥㔶昶愰㍣慤散㐹㜹㕡搹愳昲戴戲㘷攵㘹㘵て换搳捡㥥㤶愷攵ㅥ㤷挷㜸〵户㉣摥摢㈲户昸㝢㙦攸捡换昹昷改搰㘷㌷昱敦㡢愱ㄵ攴扦愸㐷搷晦〷㡥户ㅡ㜴</t>
  </si>
  <si>
    <t>㜸〱捤㝤〷㤸ㄴ㔵昶晤扣㠱㘹愶㥡㌰つ挶㌵づ㠸㘴戱㜳㄰㤱㡣㈴挹㈰扡ち昶㜴㔷挳挸〴㥣ㄹ㄰㄰戳㘲㐶挵㠴㤸ㄵ㕣㐵㌰慦㔹ㄷ㠱㜵ㄱ攳慥ㄹㄱ攳扡敥敡㉡收戸昲㍦攷㔶攸敡敥敡㘱㝥晥㜷扥㙦㠷改㑢扦晢捥扤㜵敡㥥慡敡慡㔷慦愶㑢㔴㐹㐹挹㑥晣昰㝦晥戴攵㥢晤愶㉣㙡㙣搲㙢晢て慢慦愹搱㔳㑤搵昵㜵㡤晤㠷㌴㌴㈴ㄷ㡤慢㙥㙣㙡〳㠰㘷㔶㌵晡ㅢ换㘶㌵㔶㉦搶换㘷㉤搰ㅢㅡ〱㉡㉢㈹㈹㉦搷㑡搱晦㍢昳攵戳ㅡㅡ愳戴戶㌴㐰㤵㘸ㅥ㥡㜶㌴攵㌴ㅡ㡤㤷愶㍤㑤〷㥡㡥㌴㥤㘸㉡㘸㝣㌴㥤㘹扡搰散㐶戳㍢捤ㅥ㌴㝢搲散㐵戳㌷つ㤷慦敤㐳戳㉦㑣㠷晤㘰愶づㅢ㍡愱敡㐴慣捤㤴愶晡〶扤㕦攵㜴㠳昳挰㐰愰㝦愰㝦㌸ㄲ〸昶昷昷慢ㅣ㌶扦愶㘹㝥㠳㍥戰㑥㥦摦搴㤰慣改㔷㌹㜱㝥㔵㑤㜵㙡慣扥㘸㙡晤㕣扤㙥愰㕥攵て㔵㈵挳昱㐰㌸ㄲ挹㈴ㄲ昱づ晢㈳昳昸㘱㐳㈷㌶攸㤹挶晦㔶捥〳㤸㜳挲戰愱晤挷敢㑤晦慤㥣〷㈲㈷㔲づ慦慦㑤㔶搷晤㤷㤲㤶㔱搳搰㜰㍤㔵㑤昱㜵扤愱扡㙥㜶㝦搰捥㈹㌴㕡戱晥㈳㔱昱㔴戲戱㘹㤸㕥㔳㌳㔹捦㔰昷づ戵慣㤹摥愰搷愵昴挶㑥戵㈳ㄶ愶昴ㅡ戳扢戱扣㜶㝡戲㘱㝣戲㔶㙦换㌷ㄵ戵㠶㙥愳搳㝡㕤㔳㜵搳愲㡥戵搳ㅡ昵挹挹扡搹㍡㈱㘵戵㐷捥慦㑥户㙤慢摡戶㉤㘹搳搳㡤㡣㘸搳㝦㘴㐳㙡搸㥣㘴㐳㤳戴愸㕡挰つ敢搸㐲㠴㜸づ㉤㙥㐵㤵㜹㔱㤴㘹㑡㜵敤㔸扤愱㑥慦攱㐲㈸㕥摦㍣㤰搴挴㈸扤㕤ㅣ㙢㙤㈸㡣㙡㙦敥㙦㕣ㄵ㉥㐵慢愴改ち攳改〶搳㜹攰㤰㘹摤〳戱ㅥ摤づ慢散搶愳晢㤰㐰挰慦ㅤ㐴㐰㜷ㄸ搵昶㙤散扤捥〴摣㠳㑡㘷㈵㑢㘷㔵㤵捥㑡㤵捥㑡㤷捥搲㑢㘷㘵㑡㘷捤㉥㥤㌵愷㜴㔶㜵改慣ㄳ㑢㘷捤〵挶晡㈹㙦搷慥搴晣㜹昳戴愵愷搶㡣㝢㜹攸㔵昳敦搱㝤㥦搵晥愲戸挳捡㥥摢〳㙦戴㥥㌰㥥㕥㌰昹㠴晣㝥慤㌷〱㝤㘰㤴㝡つ㠴㐸㙡挹敢㌷㑣㌸愹攷㡥〹敢扥昸㜰敥晥㕤慦搸㕦㜱捦㤷㙣晤〸㍥〴挶搳ㅦ挶㤷扢㝡㠹愸㜶㈸晢晤㌰㑡扤㘴㈶搳捥㔹㌱愹慡攲㥡㔱攷㍦戶敤攸㘵㡦㍥扣㔴昱〸㈲挹㠲〴㠷㘰㍣㘱㤸扣㘴昱㠴ㄶ㘱㝦ㄴ㐶愹㘷捤㘴㔷摣户攷愴扡昸㔵㐷摥ㄷ〸ㅤ㌲攷昲慢㝡㉡㙥㤱㤲㉣㑥㜰〲挶㜳ㄸ㑣攷㠱㐳㠷收ㄵ㝥〰〱㠷挳㈸戵搱捣㌶㘸敢㔵㥢㥥㥣戹㙤挸㘳敤㝡㝦昲摥㡥㥤㙤ㄵて㘹㤲敤〸㠲〷挱㜸〶挳攴㔳㡢㙢㐳搸㍦ㄴ㐶愹㈷捤㘴㑢㔳晢扤搹㝢挰昴㔱搷て㍡愶挹㍦㕡慤㔶㍣㌴㑡戲攱〴㡦㠰昱㡣㠴㈹㤰㈰慣ㅤ㐹挰㈸ㄸ愵ㅥ㌶戳㠵挶㑦㝣攵㤸ㅢ摥ㅥ㝦挷㑢晤昷㝡散㠲扢昷㔳㍣挶㑡戶㌱〴㡦㠵昱㡣㠳㈹㔸搱㠰㜶ㄴ〱攳㘱㤴扡捦捣搶㘵㑥昷㡦㝦㙥晣㜵挲捡㉦㘶扤ㅤ晡戰愴戳攲愶㈶搹㈶ㄲ㍣〹挶㌳ㄹ愶㠰㕢㐰㥢㐲挰㔴ㄸ愵敥㌲戳敤戶晡㥤愶昷摦摣㙤攸攳㉢㝦散昸挶㠰㤳㍦㔳㍣敡㑢戶改〴ㅦつ攳㤹〱㤳捦捤㥦搰㡥㈱攰㔸ㄸ愵㔶㥢搹敡㙢㡦摦昹攱捡捤㈳㙥㔸㜲改攰㘱敤慦㙡㔴晣昸㤰㙣挷ㄱ㝣㍣㡣㘷㈶㑣㝥戶㐰㔴㥢㐵挰〹㌰㑡摤㘴㘶敢摤挷摢㙢摡昷㕢㐶㍣晥攸户㠳慡㝢摥戳㔶昱㜳㐸戲㔵ㄱ㥣㠲昱愴㘱昲㈵㡤㙡㍡晢㌳㌰㑡㕤㙢㈶扢敢戰〱捦搵㜴㥡㍥昲戶㙢㑥戹㘸晢㑢㑦敤㔴晣㍣㤳㘴㜳〸慥㠶昱㥣〸㔳㐰㉤愴㜱㍦搵㙡㘰㤴扡挲捣昶敤愶㜹换㔲㝦搶㠶㕦㌶昰昴晢搶晣㜴㐰愳攲〷愳㘴慢㈳戸ㅥ挶㌳て愶㐰㠴愸㜶ㄲ〱つ㌰㑡㕤㘲㘶㝢㜱挷㉤昳㙥㍥敤愶㤱户㡥㔸㌷㈰㜲挹㐵ㅤㄴ㍦㘱㈵㕢ㄳ挱昳㘱㍣ぢ㘰昲㔶㌴ㄱ搲㑥㘶晦㐲ㄸ愵捥㌳㤳晤㜳㘳捤㐱㙦晤㌸㜸摣㘵㐷扤扥慥搷愳㐳㥥㔶晣愴㤶㘴㡢〹㍥〵挶戳〴㈶㍦㔹㐴㍢㤵晤愷挱㈸㜵愶㤹慣昷搹㕦㤴摥晦㑣㠷挱搷㝣㍣㙢晥戹㙡晡ㅣ挵㑦㝣㐹㜶〶挱㘷挲㜸捥㠲㈹㔸捦愰㜶㌶〱攷挰㈸㜵㡡㤹㙤换㠲搹㥦捥㍣㘰挳戸㜳搳㍤㥦晢戲愴捤扤㡡愷づ㤲㙤㈹挱攷挱㜸捥㠷挹愷ㄶ搳㉥㘰晦㠵㌰㑡捤㌷㤳敤晣昹㤱㔱㔷っ㝥㜶晣昲挵扦㉣昸敡愰昷㠷㉡㥥㠲㐸戲㡢〹扥〴挶戳っ㈶㍦㔹㔰扢㤴晤㤷挱㈸㔵㙦㈶敢㔶㜹㑦慦搳㕦㍣㘰昴㜵㤳㈳㘷ㅥ㜰敢戶㜷ㄴ㑦㘵㈴搹㜲㠲慦㠰昱㕣〹㤳㤷㉣ㅥ搳慥㘲晦搵㌰㑡㔵㥢挹ㄶ㠵户㡦㘹㍢昷愵㘱㑢捦扢㜱攳㍥扥ㄹ攷㈸㥥ㄲ㐹戲ㄵ〴㕦ぢ攳㔹〹㔳㔰戴㠴㜶ㅤ〱搷挳㈸㤵㌲戳㜹㐷㕤㜸攰㜵㕢敥ㄸ㜱晥〳敤㌶摦昹㤰昷㘳戵㌷扡㈵摢㡤〴摦〴攳戹ㄹ㈶㡦㕡挲慦摤挲晥㕢㘱㤴㍡摥㑣㜶捣㝤㍦晦攳㘸晦扢挳㉦㝥愸摤摣㘵搷慦㝡㔷昱ㅣ㑤㤲慤㈲㜸㌵㡣攷㜶㤸晣㘴㜱敤て散扦〳㐶愹愳捤㘴ㅦ慣摢晦愰扦づ㠸㡤扤㜶摢㘹㜷㤶昶摢敢㐲戵て扡㈵搹ㅡ㠲敦㠲昱慣㠵挹㑦ㄶ搰搶戱晦㙥ㄸ愵㈶㤹挹摥摣戰㝤昳㔷て愸〹攷晣㝤收㍦扦搸㕡慢㉢㥥㌳㑡戲㝢〹扥て挶㜳㍦㑣挱晥ㄹ搴ㅥ㈰攰㐱ㄸ愵挶㥡搹㕥摥搹㜸㐷户㙦晥㌵㘶搵敥换敦摣扢慣敡戹づて愱㝢㤲昹〱㍦扣㈱㜹㌲捥㤲戲㈷㘰㌸敢攴扦㕤㥦㜹攲挴㌳ㄳ挹挴㌲㠱㐰㍡攲㑦㠶㤲㘵㤵㐸摢搲昳ㅤ㙥散ㅤ㌲㐷㔷搷愵敢㑦㤶ㄳ愰づ㤹㤱搵㌵㑤㝡㠳㌴㉡㌲昸捦㌸㠹㤳㜶挷捣㠸㠵㌸晢㑤ㄹ攷㑡扢㘷㠶改つ㑤㌸㙢㙣㕡㤴㍤㠱摡㙦㘸戲㔱捦㌶晢㥡戹㠷搶捦慦㑢㌷敥敢摥㌹愵㈹搹愴敦㤳摦㤷㑤㔲㄰㌶〵㘷㤴㝡愳㔰㍡㈰㍦㙣㝡戲㘶扥㍥㘴㘱戵搱扤㝦㕥㌷捥㉤敢慢㡡昷㡥㙣搰㑦戲㝢ぢㄸつ挱〵捦〲挹㕤戰㤶㐶㤷挱慢㜲搸㥣晡㐶扤㑥攸昵慤㥤㔸㥤㥡慢㌷㑣搱㜹戹愴愷㘵㔵昷㘰㤷㜹㠲摢㜷㐲ㅤ㔶ㄴ愷慣改㙥㑥㉦ぢ慤搷愵昵㌴昸捥㐳㤵ㄷ㑤㑤㔶搵攸㝢收㐰㡣㘵愲攳㜷㌹敥㤱昵愹昹㡤挳敡敢㥡ㅡ敡㙢㜲㝢㠶愴ㄷ㈴㜱㔲㥤㍥慡㍥慤户㤵㥦ㄲ挳慡㤲㌶㙤㤴㉡改攵㜶㜶捡摣㡤㍣㝦㜵㙣㈴㍣㑢㙥ㅥ散搸㠸〸㜶㍤敦戵㌳攳㡤㘳㈳㈳扥㜷戳㑣㥣ㅢ㈱搱晥㘶搱㉥ㅢ㈹㠳昶捥摤昱晡㑦㠶㍥搰愱㐶攷㕥㔹摡扤㜸捡散㜶戹ぢ愶づ㔵㜸㜵㑣㜴㌳㐵㤳戴昶戶搷扡攰搲搲摤捣戵ㅦ戱〰㤷㑥愳㤲㜵改ㅡ扤愱搹㙢㝢㐵㐶摡挳㌴㡦搰㍣㑡昳ㄸ捤攳㌰㘵挳㜱㡣㉢㕡搱戶㐰愸㠵㙡㔱搹挹搵改愶㌹㥥㌹㝡昵散㌹㑤昰㘱㑣愰扣㥣攵㉥昸搱㥥㠴㑢㝢㡡收㑦㌰㕥㙦㠹㘷㍤晥㉦昱㜸戵愷昹摦〶㤸ち敢摡戱搲搸㌲扤慡慣㉢摣晦昷慢户㔲㐴㘹㜲戱㠸慢昹挶戲㕡攴㙤㙣搳挶慤ㅡ愳㤲㡤㜳㥡戸㈳㌶摦挹㝣ㅢ㘹㌶挱㜴昸㌳捣昸㔱㝡つ㜶攳晦搶㐰㐰搹㐱挸戹换ぢ㑥㥥㘳敤㔹㍢㘵㔱㕤㙡㑥㐳㝤ㅤ㠶㘳㠶㈷㥢㤲㐳㔲戸慡㙥㔴㐹㑦敤戸晡㘱昳㥢㍣戵愳慡昱㕦㠷摡挹晡㍣㍤搹㌴っ㠷改愶㡥戵攳㜰㐵㉥挷搱搱改㠵㘵戵挶挵昴㜰扤㌱愵昱慡㝢㌴づ㑢ぢ㍤㜸㠷攳㙣㠷㕡ㅥ㘸昴㠵㑤㑣摤慥㜶㘲ㄲ㔷敤㑤ㅡ㐰㝤㈵捡㜸挷挸㡥攲戳愲扤㘶ぢㄹ㝣昲搶㤱愵扤㌸㡣㑣㈵摣㜲昰〹㡡て摤戶愶捤摦㠳愶㌵㔵搷㌴昶㌷换摢㝦㜸㍤㐶㘵㜴ㄹ㤰㘲搹㍤ㅥ㙣㘰㥥㘶挵捡摦搱㜹搹㍥㈱㔵㘵愴〵㤵㈳ㅢ敡攷捦㍢〰戹晥㕢㜹㤸慢㐴㝢〶收愶㉦搷っ㌸昸㠶㝢㜶㥡晦㥦㡥㕤㐸㝥戴㙥㐴慣㠷㘱ㄳ晦挹㡦昶㉣晥昳㌶搷㔷搶ㅤ〸搷㈳㙤㤱ㄱ㠶㌲攰㍢搴㘲㙤愷㌶攸㌲㘴㔲㉥㡤㐵昳昴㡥戵㐷搷㌷捣慤慡慦㥦㑢昱㍢㐹慢㜱㡥慥㌷㜱ㅣ愲扤㌹散挲昷㑡愹㌶㙤㜲挶ㄸㅣ〳ㄶ〷㈲扦攷〵㤸㡥㐳㙡㙡㉡慤㡣㡤㥥ㄷ攱㙡㠳㑦ㄴ捦㑢㜸搳㘳㑣戲慥㌲攸て㠶㉢㠷㑤㤹㍣愴ㄲ㠳㠷昳㙡㜰㍡㔰㌹㜹挴㜴晦㈱㠷ㅣ㌲㝣摣㤴晥ぢ㙢ㅡㄷ㉡㍦㙡挱戱㠳つ㘵㡢㙥㡤㉦㉤ㄹ晣攸摦㥦散搲敥搹ㄷ㐲敡㔰戳愳㘰㠸愲〷戲㔷攲愵晤㡤收ㄵ㥡㔷㘹㕥愳㜹ㅤ㐶昵㐶㈸㡦㕣㜸㥦晢愳扤㠹戶昶ㄶ捤㔶ㄸㅣ㝦㐴てㅣ㝥戶搱挷挳㡦㔷愹㥥昸㡦㠷ㅣ㙤㍢捤扢㌰慡㌷っ㜷捥ㄲ敤㍤㤸愲ち昷㈲㘲㍤っㄶ㙥㉦㕤晢㄰づ慦搶㑣㥦敡〳〴㔵搶㔸㔵㡤㜵搴㔸㐳戵㈷搲戸ㄶ㘷て戳愳㘰挴愵ㅦ挲㉡ㄹ晦ㄹ捤扦㘹㍥愷昹㠲㘶〷㡣慡㐰愸㝢㜱扥㈲收㙢㥡㙦㘰ㅣ挵昹㡥㍥戳㌸㠷攰扤ㄴ攷〷㍡㝦㠴㔱㠷挲ㄸ挵昹〹敦㡡ㄶ愷㍦〳搶挳㠰㐰戶㌸晦㠱挳慢㌵搳愷晣㐰戸ㄵ攷㤷㕦㡢ㄴ攷㘷戳愳㘰〴㈹㠸㑣㤵㜸㘹ㅥ〵搳㡥愶㥣㐶愳昱挲愸㙦ㄱ敡㕥㥣づ挴㜴愴改〴攳㈸㡥㡦㍥戳㌸㈱㈴敦捡〵㜴愱㜳㌷ㄸㄵ㐱搳㈸捥敥㘸ㄶ㉤㑥㤸㔱敢㘱㜲㡡戳ㄷ㐲扣㕡㌳㝤㉡㡡㄰户攲㝣㔰慣㌸敦㥢ㅤ〵㈳㘲㜱㘴慡挴㑢慢挴㐲戵慥㌴摤㘸づ愲改づ愳摥㉥㕡㥣ㅥ挴昴愴改〵攳㈸㑥ㅦ晡捣攲㈴㤰扣㉢ㄷ搰㡦捥㐳㘰搴〰㌴㡤攲昴㐷戳㘸㜱づ㘳搴㝡㤸㥣攲〴㄰攲搵㥡改㔳㠷㈳挴慤㌸㥢㡢ㄵ攷㉦㘶㐷挱〰摦ㄱ挸㔴㠹㤷㜶ㄸㄶ慡つ愰㌹㥣㘶㈰捤ㄱ㌰敡改愲挵ㄹ㑣捣㄰㥡愱㌰㡥攲っ愷捦㉣捥㈰㈴敦捡〵㡣愴昳㐸ㄸ㌵〴㑤愳㌸愳搰㉣㕡㥣挱㡣㕡て㤳㔳㥣戱〸昱㙡捤昴愹愱〸㜱㉢捥摤挵㡡戳捥散㈸ㄸ戰ㅣ㡥㑣㤵㜸㘹㔳戱㔰㙤ㅡ捤㜴㥡愳㘹㘶挰愸㍦ㄴ㉤捥戱挴晣㥥收㌸ㄸ㐷㜱㘶搲㘷ㄶ㘷〴㤲㜷攵〲㑥愰㌳〹愳㌸昴㘹ㄴ愷ち捤愲挵ㄹ挹愸昵㌰㌹挵搱ㄱ攲搵㥡改㔳愳㄰攲㔶㥣㉢㡢ㄵ攷ち戳愳㘰晣㜵っ㌲㔵攲愵搵㘱愱㕡㍤捤㍣㥡㤳㘸ㅡ㘰搴㈵㐵㡢搳㐴捣㝣㥡〵㌰㡥攲㉣愴捦㉣捥㔸㈴敦捡〵㉣愶昳ㄴㄸ㜵ㄴ㥡㐶㜱㤶愰㔹戴㌸攳ㄸ戵ㅥ㈶愷㌸愷㈳挴慢㌵搳愷挶㈳挴慤㌸㡢㡢ㄵ㘷㤱搹㔱㌰㥣㍣ㄱ㤹㉡昱搲捥挷㐲戵ぢ㘸㉥愴戹㠸收㘲ㄸ搵㔸戴㌸换㠸戹㤴收㌲ㄸ㐷㜱㤶搳㘷ㄶ㠷㈳搴㕤戹㠰㉢改扣ち㐶㑤㐱搳㈸捥搵㘸ㄶ㉤捥㘴㐶慤㠷挹㈹捥戵〸昱㙡捤昴愹愹〸㜱㉢捥〹挵㡡㌳换散㈸ㄸㅤ㥦㡥㑣㤵㜸㘹户㘲愱摡㙤㌴慢㘸㔶搳摣づ愳㡥㈹㕡㥣㍢㠸戹㤳㘶つ㡣愳㌸㙢改㌳㡢挳〱昷慥㕣挰摤㜴摥〳愳㡥㐱搳㈸捥扤㘸ㄶ㉤捥っ㐶慤㠷挹㈹捥〳〸昱㙡捤昴愹㘳ㄱ攲㔶㥣㤱挵㡡㌳挲散㈸ㄸ散㍦づ㤹㉡昱搲㥥挰㐲戵㈷㘹㥥愲昹ㄳ捤㝡ㄸ㌵愸㘸㜱㌶㄰戳㤱㘶ㄳ㡣愳㌸捦搰㘷ㄶ攷㜸㈴敦捡〵㙣愶昳㔹ㄸ㌵ぢ㑤愳㌸㕢搰㉣㕡㥣㤹㡣㕡て㤳㔳㥣ㄷ㄰攲搵㥡改㔳㈷㈰挴慤㌸晤㡡ㄵ愷慦搹㔱㜰敦愲ち㤹㉡昱搲㕥挷㐲戵㌷㘸摥愴㜹㡢㘶㉢㡣㍡戸㘸㜱戶ㄱ昳づ捤㜶ㄸ㐷㜱摥愳捦㉣㑥ち挹扢㜲〱ㅦ搰昹㈱㡣搲搱㌴㡡昳ㄱ㥡㐵㡢㤳㘶搴㝡㤸㥣攲晣〳㈱㕥慤㤹㍥㤵㐱㠸㕢㜱扡ㄴ㉢㑥㘷戳愳攰㕥捣ㅣ㘴慡挴㑢摢㠱㠵㙡㕦搲㝣㐵昳㌵捤㌷㌰慡㝤搱攲㝣㐷捣昷㌴㍦挰㌸㡡昳ㄳ㝤㘶㜱㜸㝢愷㉢ㄷ昰ぢ㥤晦㠱㔱扣慢㘳ㄴ攷㔷㌴㡢ㄶ攷㐴㐶慤㠷挹㈹㡥㉡㘵㜱㥡改㔳㌵〸㜱㉢捥て晦㈹㜲㠶晣扤搹㔱㜰㙢愹づ㤹㉡昱搲扣㔸愸搶㥥愶〳㑤㐷㥡㑥㌰敡㑢㠴扡㥦㈱㜳敡㠷搶㤹愶ぢ㡣愳㌸扢搳户〱㔹㜱㙤㔵㡦晦扡㜲〱㝢搲戹ㄷ㡣攲㑤㉡愳㌸㝢愳㔹戴㌸昳ㄸ戵ㅥ㈶愷㌸晢㈲挴慢㌵搳愷ㅡ㄰攲㔶㥣敤挵㡡昳㡥搹㔱㜰愷慣〹㤹㉡昱搲扡㤳晢挱㌴㍤㘸㝡搲昴㠲㔱㙦ㄴ㉤㑥ㅦ㘲晡搲昴㠳㜱ㄴ愷㍦㝤ㅢ㤰ㄵ挵㤹㡦晦愴㌸㝥㍡〳㌰㡡㌷摤㡣攲〴搱㉣㕡㥣〵愴戵ㅥ㈶愷㌸ㄱ㠴㜸戵㘶晡搴㐲㠴戸ㄵ㘷㔳戱攲㙣㌴㍢ち敥晣㉤㐶愶㑡扣戴㈳挸㝤㄰捤㘰㥡㈱㌴㐳㘱搴㤳㐵㡢㌳㥣㤸ㄱ㌴㈳㘱ㅣ挵ㄹ㐵摦〶㘴㐵㜱㑥挱㝦㔲㥣㌱㜴㡥㠵㔱愷挲㘵ㄴ㘷ㅣ㥡㐵㡢戳㠴戴搶挳攴ㄴ㘷〲㐲扣㕡㌳㝤敡㌴㠴戸ㄵ㘷㑤戱攲摣㘹㜶ㄴ摣挹㍣〳㤹㉡昱搲㘶㤰晢㌱㌴挷搲晣㥥收㌸ㄸ㜵㕢搱攲捣㈴㘶ㄶ捤〹㌰㡥攲㔴搱户〱㔹㔱㥣㌳昱㥦ㄴ㈷㑤愷づ愳捥㠶换㈸㑥〶捤愲挵㌹㡢戴搶挳攴ㄴ愷ㅡ㈱㕥慤㤹㍥㜵づ㐲摣㡡㜳㔹戱攲㕣㙡㜶ㄴ摣㤸㕤㡡㑣㤵㜸㘹つ㔸愸搶㐸搳㐴㌳㥦㘶〱㡣扡愰㘸㜱ㄶㄲ戳㠸㘶㌱㡣愳㌸㑢攸摢㠰慣㈸づ敦昵㑡㜱㑥愳昳㜴ㄸ挵㝢扣㐶㜱捥㐰戳㘸㜱捥㈷慤昵㌰㌹挵㌹ㅢ㈱㕥慤㤹㍥㜵㈱㐲摣㡡戳愰㔸㜱收㥢ㅤ〵㌷㥡㉦㐶愶㑡扣戴㡢挹晤ㄲ㥡㘵㌴㤷搲㕣〶愳敡㡢ㄶ㘷㌹㌱㔷搰㕣〹攳㈸捥搵昴㙤㐰㔶ㄴ攷ㄲ晣㈷挵㔹㐱攷戵㌰敡㔲戸㡣攲慣㐴戳㘸㜱㤶㤱搶㝡㤸㥣攲摣㠰㄰慦搶㑣㥦扡っ㈱㙥挵㌹慥㔸㜱㝥㙦㜶ㄴ摣㌸㕦㡥㑣㤵㜸㘹户㤳晢ㅦ㘸敥愰戹㤳㘶つ㡣㥡㔶戴㌸㙢㠹㔹㐷㜳㌷㡣愳㌸昷搲户〱㔹㔱㥣㉢昰㥦ㄴ攷㝥㍡ㅦ㠰㔱扣〷㙦ㄴ攷㐱㌴㡢ㄶ攷㑡搲㕡て㤳㔳㥣㠷ㄱ攲搵㥡改㔳㔷㈳挴慤㌸㐳㡢ㄵ㘷㠸搹㔱㌰ㄱ㘰〵㌲㔵攲愵慤㈷昷愷㘹㌶搰㙣愴搹〴愳〶ㄴ㉤捥㌳挴晣㠵㘶㌳㡣愳㌸㕢攸摢㠰慣㈸捥戵昸㑦㡡昳㍣㥤㉦挰愸敢攰㌲㡡昳㈲㥡㐵㡢戳㔲㘸挱攴ㄴ攷慦〸昱㙡捤昴愹敢ㄱ攲㔶㥣㕥挵㡡搳搳散㈸㤸搷㜰㈳㌲㔵攲愵㙤㈵昷户㘹戶搱扣㐳戳ㅤ㐶㜵㉤㕡㥣昷㠸㜹㥦收〳ㄸ㐷㜱㍥愲㙦〳戲愲㌸㌷攱㍦㈹捥挷㜴晥〳㐶摤〲㤷㔱㥣㑦搰㉣㕡㥣㥢〱㉢摣㜲㍥㐵㠸㔷㙢愶㑦摤㡡㌸户攲㜴㉡㔶㥣㡥㘶㐷挱㍣㡤㔵挸㔴㠹㤷昶つㄶ慡㝤㑢昳ㅤ捤昷㌴㍦挰愸㜶㐵㡢昳ㄳ㌱㍦搳晣〲攳㈸捥慦昴㙤㐰㔶ㄴ㘷㌵晥㤳攲㜰搲㠵愶㘰ㄴ愷㝣ㄸ挵㈹㐵戳㘸㜱㙥㈷慤昵㌰㌹㕢づ攷愵㝡戵㘶晡搴ㅤ〸㜱㉢捥㌷扦ㄴ㌹㐳晥摡散㈸㤸㜷戲〶㤹㉡昱搲㍡㘱愱㕡〵㡤㡦愶㌳㑤ㄷㄸ昵㙦㠴扡㥦㈱敦㑥捣ㅥ㌴㝢挲㌸㡡戳㌷㝤㘶㜱㌸㤵㐵㡡戳て㥤晢挲愸㜵㜰ㅤ㠴㔷㠹戶ㅦ㥡㐵㡢戳㤶㠸昵㌰㌹挵㌹㄰㈱㕥慤㤹㍥㜵㌷㐲摣㡡戳戵㔸㜱摥㌲㍢ち收搱摣㡢㑣㤵㜸㘹扤戰㔰慤㌷㑤ㅦ㥡扥㌴晤㘰搴㉢㐵㡢搳㥦㤸㐳㘹晣㌰㡥攲〴改㌳㡢挳愹㌹㔲㥣㌰㥤ㄱㄸ昵〰㕣〷攱㠵㈹㥦㘸ㄶ㉤捥晤㐴慣㠷挹㈹㑥〲㈱㕥慤㤹㍥昵㈰㐲摣㡡戳扥㔸㜱晥㘴㜶攴㑦ぢ㉡攳㑤昶晣摢㥣㌲㔱搸㥥㌰攱㤸㡡搱〹㘰㑦㘶㕡㕤㜵㔳㘳晢捣㤰昹㑤昵㈳慢㥢㠶㌷㌶㜵挸挰攰慤㠴散㈳㜳ぢㅣ㐱㝤㌳搳慢昵㤳愷攲㐶摦㠱㠵㕤㤸㐳㍤㙣㝥㘳㔳扤摣挱㍤愰戰㝦㜸晤昸晡愶攱搵㡤戸㑤户愸扢㑢户搱㜳昴ㅣ扤づ㤳㕤ㅡ㌰攷㘵㔷愰晡㜹昳昴戴ぢ挷㈹昵昳ㅢ㔲晡攸攱晦ぢ搳㘵㤴㜱㉢扡〴㜷㍢㤵挲戰㐸昱改㈱㡥扡敦て㙤㑡㜱㠷㔴晤挶搹ㄶ敢ㄱ㕦愲つ挳愶㔷㠲㈴搸搴戵攱摣っ扤㈵㘵㡦挰搵晣㈶攲㤸㠰搳ㅥ㘰㙦〶戲ㅡ扥㡥收っ慦搱㜵㡤搵㘹摤㙢戶㡥慡慥敢㘴扥㥤㌰扦㈹愷㈷戹㜰㌷戳〷户㜱㈷搴㐱晡㔴戲㈱晤扦愰ち㔶っ㍦㠶㈴捡㠳㝦扦慤搰㐶㥡㤲㤲ㅤ搶戳㉥㍢㑥挷捥㍥挲慣昵愳攸㜶扤慢㙥敦㡥㜸攳㤸扦㔴〱㝣㐷㤶摢㜶㤷戳㜵㤴㥥慣ㄳㄵ愶㌴愵㠷敢ぢ㍡〹㐲挷〶㡥㐷ㄷ㙡昴摤㜲㥢㌲戹㐲换っ愹㙡慣慦㤹摦愴㜷戲摦挹㡥慥㘵㈶敢戸㐷㡥戹㘸ㅤ散㜷ㄳ㔳㑤㤸慤㘷攷攳㍣戳晦ㅤ㠵㔰㤱戶愶㑡㑡㜴昲㌴戳昱收慥〴昷愱摦愸慡㉡㈹挹挸捦攷㠳搴捡㙢昹㜳攷愰ㄲ敢㡤㤷㍦㈵㘵㡦㈱㝤换㈷㥢㜱㑦摡捤㥡〳㘹ㅣ攱攴攰搵挱昲㜱㥥㔷挷㡣ㅣ昷㌰㤹㤳㑦慤㔴㜰搷愹挱㈳㐵㑤搵愹㘴㑤捤愲㑥㤹搱㜵愹㥡昹㘹㝤㕣戲㑡慦戱㡥搹昵つ戵晦㈳㝡戵㐵搵捣㍤慡㤹扡㤸㌳昰㐶㘳戶㠶㌵戵敤㌷ㅦ收㤴㌶ㄲ㝢㥡攷㐸㥡㠱㐳愶攳ㄹㄶ㌰昰㙡愳捣摤㡦搳换晥捦ㄳ晣扣〸敡㤲㥤㥥㉡捦〴攱〸㔷攰攲愱㡤㤳㥤散㌹㠲戲攳㌹㘰攳敡挷搵㘳晥㘶摡攱ㅡ㔵㙤戸晥㘷㜶㉦搹戳㍣ㅥ捦㙦晤㥣㐱慤昰戳挳㥣㙡㠱㘳㥦搱ㅥ挴㡦ㅡ敥㈳㑦愲㥤㍦㑤捡㜱㍥㈲愷〰㜲㉣昴〱㔸挱〳㤹㜱晥㌰戵扡愹㐶㙦㥦㤱㝥㜹㕦捥㍤㠳搵㙣㤷㤹㍡〷㔳㡥㠶㜷捣ㅣ搹㔰㥤慥愹慥搳㜹㉥㠲昹挴㝣づ㙢㥣㍥ㅢ㌳㕦㈷搶㌷㔶昳昱挲㡥㤹愹つ挹扡挶㜹㥣㔹㤶㕡搴㈵愷㈵㘲㤵㘵㠶㔶搷㘱㍦㌲㤶挹昷ㄵ㤹㈹㜳敡㑦挶ㄳ㡡昳㙢敢㡥㑣捥㙢晣㥦㄰㡡扢㤵昱㘳ㅣ〸㑢㔵㘹愹㉡㉦㉤晦慤ㅦ㔹㥥搱搸㍦づㅣ㔶摦搸㔴㘹捦㠳㍣昹搰晡捡挹搵㡤㜳㉢戹㕦ㅥ㔶ㄹっ攳扣愱愴㈴㠸挵㤶搲㤸㜲㍥㠵㜷捤散摡㔴搲㥣㥢捣㕤㥢扣㜳㥥挸㜳㥤ㄸ㘹㍦〲捡挳戵㌶〶搴㍡㡣㠵ㄹ㜳攴戴搱搹ㄹ敤晦㕦捦㔳㤶晤〹㤹㥢昹搴㤰㑤挷㥥㍥扢〷挰㥤㡣捤㠹㍥㙥㕤㥡㙣ㄵ㙣攵㙦愲摥㡣㘰戸戵攲㠳㤶㜰扥ㅤ㠹㠹㡤ㅤ㜰㜰挰㔱ㅡ〵挶攱戹㤳搱攰㤹㕦㙤戲愶搱散ㅢ㔶㕦㕢㥢攴收挷㑤㜷ちづ昱㝡戹㥣㠶攳㘸愳㘵㘰㘴ㅢ㌵㕤挹㠵㜰㈵ㄷ㡡ぢ㥦摣㥣ㄲ㉦敦㤹慢㝥㜶戲愱扡㘹㑥㙤㜵慡㥣つ㑥㕢晦㥦搸㙥戱〹戵㐵㌱慤ㅦ搹㜸㜱㑥㥢㍦昹搴㤸㉦〹戹晢攳㌲㠳愵愳晣搸扡㑢攵攳㕥晤挶昹挶搸㝣攵㔲㑣㍢ち搹捡㌰㌰㈰攷挱挲挵㜱慥㠶㑤㔴づ㔴敡㘹〲昰搲挶〳捥㌷㝣戵摤〸搳散ㄴ搰㜶〰㜸挷搵㈷搳㈳昱㘴㐳㝤㐳㍢昳昹摦㜲㐸换挳㑥㠳㡦搳㝥㠷㘱捥㍣收攲㉦挰㈹㜳㐳㌹ㅤ㔳㌰愱戶㉤㈷っ㝢っつ昹愹㔹㔲㔶搶扥摣㙤㔹愳慤㕣摤捤改㤱捥攷愷㐷ㄷ攴晦㙣㔲㥣㌷㐶戰㕡㔸㤱ㄲ㙤〲慣㌶㤱敢戴〹㑤慥㑦ㅥ㘰ㄲ〱㤳㘱捡㥥㐱㘷晥㕥㔲㜴㡡㉣〲㑡捡㙡㌹㜵户扣㤶慢㠳㌳ㄳて㈶昴㘲ち㌰㑡攲㘹㕦晥㘷昴㙢㔳㠰㝡攱昹攷〷攲㝤㠹攲ㅣ搴㡤㜸㜱昹ㅡ晥昷㝡㔹㍣㙤㉡㌰摡㌴ㄸ昵㌷㌴㘵㤲昸㝡扣挱捣ㅥ昸慣㙢㤷ㄹ㜸㡦㡦ㄳ昵ち㕣扣㝥戱㝥ㅣ㑡攲㘳晦ㄸㄳ昵㉡扡㜹收㑤つ㜷㜵ㄶ愷㕥〳㡥㘷㜲㑡㍢ㄶ攱㥥摦搳昰㔴挲㙦㥣㑡ㅣ㘷收㝣ㅤ㄰㥥㑥ㄸ㍦㐵㍦昰搴㥢〰昰㐳慦㐴攳㐱㔶㈸攴ㅤ㐴搵㕢㜰昳㐰慡捤〴㐲㙤挵㍢ㅥ㥦㐰搶搸㕥㑦㠰㜷搷摢敢㌶㠹㐰㤲㈴㤳㤸つ戵ㅤ㙦㌶攲㤵愷㜱ㄵ㌰㕡㡡挰㜷摤〱㘹〲㜴〲摥〳㠰ㅢ㠲㤶㐱换搶敥㐳㐷㤸㐳扢搹っ㥢挳戰捦〰㜰㘸㜷㈲㝣㤶㜶㜳昱㥥摡晤ㅢ慥攲摡搵㤸愸捦㠱㙡戱㜶㕦〰㙣㘸㔷㡢㜰㑦ㅤ㑣ㄹ戴㑢㐴攱昷㙡昵㘶捡ㅤ㘸戵㐴扡慦㠰摢㠵㜴㕦〳㈲搲㥤㠴摣敡ㅢ戴㜲愴㙢㈴㠱㕤ㅥ㙡扥㐳ㄸㄵ搳㥡㤸挴㙣愸ㅦ昰㘶㈳㕥㜹搲捤〷㐶㕢㐰攰㡦敥㠰㤳〹㔸㐸挰㑦〰㠸㜴㡢搰戲愵晢㡦㈳捣㈱摤㘲㠶㥤挲㌰て㈸㌸愴㍢ㄵ㍥㑢扡搳昰㥥搲戵〳愴戸㜴愷㥢愸㜲愰㕡㉣ㅤ愷挳ㅡ搲㥤㠱㜰捦㤹㌰㤴㉥㥥挰搲㜱㔳搰㑣改〵慡㈵搲㜱攲散㉥愴攳戴㕡㤱敥ㅣ攴㔶㥤搰捡㤱㙥㈹〹散㔲㍡ㅦ挲昰㡢㐷㍢㤹㠴㠵攲㡢ㄳ㜱㌷攲㑤㥥㜴攷〳愳㕤㐰㈰㈷改扡〰㉥㈴攰㈲〲㜶〷㐰愴扢ㄸ㉤㕢㍡捥捣戵挲ㅣ搲㕤挲戰㘵っ慢〴挰㈱摤㘵昰㔹搲㕤㡥昷㤴慥㉢㈰挵愵㕢㙥愲扡〱搵㘲改づ〲搸㤰敥ち㠴㝢慥愴ㄹ㌸㜴㤸㜵昱㜵㤵㤹戳㍢㘰㉤搱慥〷㜰愲ㅤ㉥扣昰㌶晦㘸搹ㄳ㍥搱敤㙡攴㔵扤搰捡搱㙤〵扣扢搶慤て挲昰㡢㝢㡦㠰㕢㍦㡡㜳㠴㌷愲㤵愷摢㑡㘰戴敢㘰ㄴ攷て扢〰慥㈷攰〶〲晡〳㈰扡摤㠸㤶慤ㅢ㈷つ㕢㘱づ摤㙥㘲搸捤っ㍢っ〰㠷㙥户挲㘷改㜶ㅢ摥㔳㌷㑥晦㉤慥摢㉡ㄳ㜵㌸㔰㉤搶㡤昳㠸つ摤㔶㈳摣㜳㍢㡣散㜲㜱㉣摤慢晤挱㑣㜹〴㔰㉤㤱㙤㌰㜰扢搸攵㠶〰㈲搲摤㠹摣㙡㈸㕡㌹搲摤㐵〲扢摣攵㠶㈳っ扦㈵摡㕡㈶㘱愱昸ㅡ〹扢ㄱ㙦昲愴㕢〷㡣㜶㌷㠱㐷扡〳敥㈱攰㕥〲㐶〱㈰搲摤㠷㤶㉤ㅤ愷㌴㙦㌴昳㍡愴扢㥦㘱て㌰㙣㉡〰づ改晥〸㥦㈵摤㐳㜸㑦改㌸㌹戹戸㜴て㥢愸改㐰戵㔸㍡捥㜲㌶愴㝢〴攱㥥㐷㘹攴㈴〵㤷㘹搰敥㌱㌳㈷攷㐱户㐴扢㘳㠱摢㠵㜶㥣㉥㉤摡㍤㠱摣敡㌸戴㜲戴㝢ち摥㕤㙢㌷ㄳ㘱昸挵㡣㐹㈶㘱愵昸㍡〱㜶㈳摥攴㘹户ㅥㄸ敤㘹〲㤳敥㠰つ〴㙣㈴愰ち〰搱㙥ㄳ㕡戶㜶㥣㜱扤搱捣敢搰敥捦っ㝢㠶㘱㜵〰㌸戴摢っ㥦愵摤戳㜸㑦敤㌸㜷扡戸㜶㕢㑣搴㍣愰㕡慣ㅤ㈷㘱ㅢ摡㍤㠷㜰捦昳㌴㜲戸っ㘰昱㕥敤〵㌳㈷愷㘹户㐴㍢㕥㔵㌷㜳戸攴㑣㙥搱敤㐵攴㔵ぢ搰捡搱敤㘵㜸㜷慤ㅢ愷㝥攳㌷敦㜰戹ㄸ慥㡤㘶㝤ㅤ㔷ㄸ㝦㐳㑡敤ㄵ㉥㡤昳挲㕤〰慦ㄲ昰ㅡ〱㑢〰㄰摤㕥㐷换搶㡤㤳挱慤㌰㠷㙥㙦㌰散㑤㠶㥤て㠰㐳户慤昰㔹扡扤㡤昷搴㡤搳扡㡢敢戶捤㐴㕤〸㔴㡢㜵攳晣㜰㐳户㜷㄰敥搹㑥㈳晢㥣愱摢扢㘶㑥捥㈰㙦㠹㙥换㠰摢挵㍥挷㠹收愲摤晢挸慤㉥㐳㉢㐷扢て攱摤戵㜶㥣㤹㡥摦ㄲ敤㈳㈶㘱愵昸扡ㄲ㜶㈳摥攴敤㜳㝦〷㐶晢㤸㐰㑥㕢㜷〱晣㠳㠰㑦〸戸ㅡ〰搱敥㥦㘸搹摡㜱慥扡ㄵ收搰敥㕦っ晢㤴㘱户〲攰搰敥摦昰㔹摡㝤㡥昷搴㡥戳捥㡢㙢昷㠵㠹㕡〵㔴㡢戵攳昴㜵㐳扢ㅤ〸昷㝣㐹挳㝤捥㥦挰攲扤摡㔷㘶捥摢〱㙢㠹㜶㜷〰搷捣㍥挷㌹昰愲摢搷挸慢搶愰㤵愳摢户昰敥㕡㌷㑥㥡挷㙦摥㍥㜷㌷㕣ㅢぢ㜵晢ㅥ㈹戵ㅦ戸㌴捥愸㜷〱晣㐸挰㑦〴摣ぢ㠰攸昶㌳㕡戶㙥㥣㐶㙦㠵㌹㜴晢㠵㘱晦㘱搸ㄳ〰㌸㜴摢〹㥦愵ㅢ㙦㘷㔲㌷㑥㠸㉦慥ㅢ㠷㝥㠸㝡ち愸ㄶ敢挶㤹昵㠶㙥愵〸昷戴愱㤱㘳愵㜱㐵㠷扦挶㈵㌹搷〳搶ㄲ摤㌶〰搷㡣㙥㥣㥥㉦扡㤵㈱慦摡㠴㔶㡥㙥敤攰摤戵㙥捦㈰っ扦㜹扡㙤㠶换慡慦攳㔸挹扦㔵愷㜹戹㌴㑥昶㜷〱戴㈷愰〳〱㕢〰㄰摤㍡愲㘵敢挶ㄹ晥㔶㤸㐳户㑥っ慢㘰搸敢〰㌸㜴敢っ㥦愵㕢ㄷ扣愷㈲㥣慢㕦㕣户摤㑣ㄴ㈷昳户㔸㌷㑥晡㌷㜴摢ㅤ攱㥥㍤㘰攴搴搲㤰㙤㑦㌳攵㔶愰㕡㈲摢㌶攰㜶㜱愸攴挳〳㈲摤摥挸慤戶愳㤵㈳摤㍥㈴戰换㔳换昷㄰㠶㕦㑣㠰㘱ㄲㄶ㡡慦て㘰慤ㄲ㍢愴摢てㄸ㙤㝦〲昹㈸㠲ぢ攰〰〲づ㈴攰㈳〰㐴扡㑡戴㙣改晥攱〸㜳㐸搷㤵㘱摤ㄸ戶〳〰㠷㜴摤攱戳愴㍢ㄸ敦㈹ㅤ㥦㈴㈸㉥㕤てㄳ挵㐷つ㕡㉣ㅤㅦ㐹㌰愴敢㠹㜰㑦㉦ㅡ搹攵㐲㔸扣㔷敢㙤收晣〶戰㤶㘸昷ㅤ㜰捤散㜲㝣慥㐱㜴敢㠳扣㡡て㌸攴攸搶て摥㕤敢昶ㄳ挲昰㥢户换晤〲㤷㡢㉣晤㤱㔲㍢㤴㑢攳㔳ㄲ㉥〰㍦〱〱〲㝥〵㐰㜴ぢ愲㘵敢挶㐷㈳慣㌰㠷㙥㈱㠶㠵ㄹ收〵挰愱㕢ㄴ㍥㑢户ㄸ摥㔳㌷㍥攴㔰㕣户戸㠹敡〰㔴㡢㜵敢〸戰愱㕢〲攱㥥挳㘸攴昴挴搸攷〶㤸㌹㍢〱搶ㄲ摤昸㘰挵㉥昶㌹㍥㜶㈱摡つ㐴㙥搵〵慤ㅣ敤〶挱扢㙢敤㜶㐷㤸㘸㌷㤸㐹㔸㈹扥昸愰㠶㔵㘳扣㐵捤摡挰㙡㐳㠰搱㠶ㄲ挸㠷㌸㕣〰挳〸ㄸ㑥挰摥〰㠸㜶㈳搰戲戵攳㤳ㅢ㔶㤸㐳扢㤱っ㍢㤲㘱摤〱㜰㘸㌷ㅡ㍥㑢扢㌱㜸㑦敤づ〶愴戸㜶㘳㑤㔴て愰㕡慣ㅤㅦ收㌰戴ㅢ㠷㜰捦㔱㌰㌲㙥㘹散㜲攳捤㤴扤㠰㙡㠹㜴㝤㠰摢㠵㜴㝣㈸㐴愴㥢㠸摣慡ㅦ㕡㌹搲㑤㈶〱㌸㘵搵昱㕦捥㜴ㄶ〸㘴摣㈲改て㠴㐸㌷㠵㐹㠸收㡢㡦㤱㔸㈵㘶ち㔳扡愹挰㘸搳〸攴㈳㈶㉥㠰改〴ㅣ㑤㐰㄰〰㤱㙥〶㕡戶㜴㝣慥挴ち㜳㐸㜷っ挳㡥㘵搸ㄱ〰㌸愴㍢づ㍥㑢扡攳昱㥥搲昱㐶㐸㜱改㘶㥡愸挱㐰戵㔸㍡㍥㙡㘲㐸㌷ぢ攱㥥ㄳ㘰㐴扡〸㔷㕤㑢㥡㈹昹㉣㑡㑢愴ㅢづ摣㉥愴ㅢ〱㠸㐸㤷㐲㙥㌵ㄲ慤ㅣ改㜴ㄲ㠰戳㜹改㐶〱㈱搲㘵㤸㠴㘸扥挶挰㙢㤵㤸㈹㑣改㘶〳愳捤㈱㤰て挰戸〰慡〹㌸㤱㠰㜱〰㠸㜴㜳搱戲愵㥢攰〸㜳㐸㔷挳戰㕡㠶捤〰挰㈱㕤㍤㝣㤶㜴昳昰㥥搲昱昹㤵攲搲㥤㘴愲㡥〵慡挵搲昱㐱ㄸ㐳扡〶㠴㝢ㅡ㘹攴㠸挹㈱㐷慦搶㘴收攴愳㌲㉤搱㙥㈶㜰扢搰㡥㑦搴㠸㜶ぢ㤰㕢㥤㠰㔶㡥㜶ぢ攱摤戵㜶㝣〴㐷戴㕢挴㈴慣ㄴ㕦㘹㜸㕤愴㔹っ㡣㜶ち㠱扡㍢㘰〹〱愷ㄲ㤰〱㐰戴㍢つ㉤㕢㍢㍥㤴㘳攵㜵㘸㜷㍡挳捥㘰㔸〳〰づ敤捥㠲捦搲敥㙣扣愷㜶㝣扣愶戸㜶攷㤸愸㈶愰㕡慣ㅤ㥦搳㌱戴㍢ㄷ攱㥥愵㌰戲摢挵㐴扡昳捣㤴㝣㤰愷㈵搲㉤〴㙥ㄷ搲昱㜹ㅦ㤱敥〲攴㔶㡢搱捡㤱敥㈲ㄲ㠰戳昹摤㡥て〸㠹㜴ㄷ㌳〹搱㝣㥤〶慦㔵㘲愶㌰㜷扢㑢㠰搱㤶ㄱ挸愷㠷㕣〰㤷ㄲ㜰ㄹ〱㘷〰㈰搲㕤㡥㤶㉤ㅤㅦㄹ戲挲ㅣ搲㉤㘷搸ㄵっ扢ㄸ〰㠷㜴㔷挱㘷㐹㜷㌵摥㔳㍡㍥晣㔳㕣扡㙢㑣搴㌲愰㕡㉣摤愵〰ㅢ搲慤㐰戸攷㕡ㄸ㤱捥搸敢㔶㥡㈹昹㤸㔱㑢愴㕢づ摣㉥愴攳搳㐸㈲摤昵挸慤慥㐴㉢㐷扡ㅢ㐹〰捥收愵攳攳㑢㈲摤㑤㑣㐲㌴㕦㉢攰戵㑡捣ㄴ愶㜴㌷〳愳摤㐲㈰㥦㙤㜲〱摣㑡挰㙤〴慣〴㐰愴㕢㠵㤶㉤ㅤㅦ㘸戲挲ㅣ搲慤㘶搸敤っ扢ㅤ〰㠷㜴㜷挰㘷㐹㜷㈷摥㔳㍡㍥㥡㔴㕣扡㌵㈶敡づ愰㕡㉣ㅤ㥦㜱㌲愴扢ぢ攱㥥戵㌰㤴㉥㙥散㜵敢捣㤴㙢㠰㙡㠹㜴㙢㠱摢㠵㜴㝣㔶㑡愴扢〷戹搵摤㘸攵㐸㜷ㅦ〹挰搹扣㜴㝣戸㑡愴扢㥦㐹㠸收敢㝥㜸慤ㄲ㌳㠵㈹摤〳挰㘸てㄲ挸㈷慦㕣〰㝦㈴攰㈱〲ㅥ〴㐰愴㝢ㄸ㉤㕢㍡㍥㙥㘵㠵㌹愴㝢㠴㘱㡦㌲㙣㍤〰づ改ㅥ㠷捦㤲敥〹扣愷㜴㝣㜰慡戸㜴㑦㥡㈸㍥㔹搵㘲改昸〴㤶㈱摤㔳〸昷晣㠹㐶㍥散ㄲ㕣㜷㙤扤㤹㜳ㄳ㘰㉤搱敥ㄹ攰㜶愱ㅤㅦ攵ㄲ敤㌶㈰户摡㡣㔶㡥㜶㥢攰摤戵㜶㕢㄰㈶摡晤㤹㐹㔸㈹扥㥥㠷搷慡㌱摥㕡摡㍤〳㡣昶ㄷ〲昹㘰㤸ぢ㘰㌳〱捦ㄲ昰㈲〰愲摤ㄶ戴㙣敤昸㌴㤸ㄵ收搰敥㌹㠶㍤捦戰慤〰㌸戴㝢ㄱ㍥㑢扢㤷昰㥥摡昱戹慥攲摡扤㙣愲昸攰㔷㡢戵攳〳㘲㠶㜶㝦㐵戸攷㙦㌰㜲挴㌴㘶愴扣㘲愶摣づ㔴㑢愴㝢て戸㕤㐸挷〷捤㐴扡搷㤰㕢昱㠹戳ㅣ改摥㈰〱㌸㥢摦敤㍥〲㐲愴㝢㤳㐹㠸收敢㘳㜸慤ㄲ㌳㠵戹摢扤〵㡣戶㤵㐰㍥戶收〲㜸㥢㠰㙤〴㝣〲㠰㐸昷づ㕡戶㜴㝣㔶捤ち㜳㐸户㥤㘱敦㌲散ㅢ〰ㅣ搲扤て㥦㈵摤〷㜸㑦改昸搴㔹㜱改㍥㌴㔱㝣㉣慤挵搲昱昱㌵㐳扡㡦㄰敥昹㍢㡣㐸ㄷ攷慡㙢ㅦ㥢㈹㝦〰慡㈵搲晤〴摣㉥愴攳㘳㜰㈲摤㈷挸慤昸㍣㕣㡥㜴晦㈲〱㌸㥢㤷敥㔷㈰㐴扡㑦㤹㠴㘸㜹戵挹㤶㤸㈹㑣改㍥〳㐶晢㌷㠱捡ㅤ昰㌹〱㕦㄰㔰ち㠰㐸户〳㉤㕢扡㌲㐷㤸㐳扡㉦ㄹ昶ㄵ挳㍡〱攰㤰敥ㅢ昸㉣改扥挵㝢㑡㔷〱㐸㜱改扥㌳㔱㍥愰㕡㉣㕤㘷㠰つ改扥㐷戸攷〷ㄸ㤱捥戸摤昳愳㤹戲ぢ㔰㉤㤱㙥㜷攰㜶㈱摤ㅥ㠰㠸㜴㍦㈳户摡ㄳ慤ㅣ改晥㐳〲扢㤴㙥㙦㠴㠹㜴扦㌲㠹㈵摤㍥昰㙥㐴㈳敦㜶捦㑥㘰戴㤲㌲〰昷㜵〷昰换ㄴ戴㔲〲昶〳㐰愴㙢㠳㤶㉤摤㠱㡥㌰㠷㜴㙤ㄹ㔶挶戰㕥〰㌸愴㙢〷㥦㈵㕤㌹摥㔳扡摥㠰ㄴ㤷㡥㕦攴㐲㔴ㅦ愰㕡㉣㕤㕦㠰つ改扣〸昷戴愷㤱㌱㑣攳ㅣ戳㠳㤹戳ㅦ㘰㉤搱慥㍦㜰愲㥤晢㡣㤴㐳搱㉤扡㜵㐴㕥攵㐷㉢㐷户ち㜸㜷慤㕢㄰㘱愲㕢捥㡣㤴㌰扣ㅢぢ㜵敢㡣㤴㕡ㄷ㉥㉤攲づ搸㡤㠰摤〹㠸〲㈰扡敤㠱㤶慤㕢挲ㄱ收搰㙤㑦㠶敤〵㔳㌶っ㠰㤶㍤㤸挶㐹㥢㍥挷搳㠲㥣ㅦ摤搸㌹㌳㘹㝥戲〶㕦愳㌲〱㡦慣㌴搱昵扦㌰〱戹慤昱攰㔰晥摦㌳捦晤㜶ㄵ㍣㜳㈷慢昰晢攳て挰㥡攵搷㈰ㄷ㙢慥㕢㈳㤱扦敤挱㈲㙦搹㈷㍦敤摣搹戲愵㜰昳㘸户㠰㝦㉡㜷搶慣㤲㜲㉥ㄳ㈲攱㔳攴㜷㄰㡣扢挸㜰㌴ぢ㌷愱ㄱ㙥摥戲㤱昰㌶㌳㜱㍦敦㤹ㅣ㘶摤㉤㍢捤㤸ㄳ捡晢搶昰㑢㥡摣收㈷攷捥摦摦ㄷ攴搴㈸㌷づ㙡㡣攵摤㥦ㄸ㉣㠲慦戲愳攰摤攵㡣㜰ㅣ户昰ㄸ㈲攷㠶㑦㘹㕡㔴㠳昹昸㝣换㍦㉦㙢扣攳〴㘴愳ㅢ愴敢ㅢ摡攲㠹换晣㍦㈸㙤挷㍥㠴㔴敤㜷捦晢〳摥ㄲ挶㥥戱㘰㔳昶〱㈴㉡ㅡ㑦搲㔹㔵ㄸ挳ㅦ捦㠱㔸愷摤㡦慡㑥㌵搴㌷搶㘷㥡㉡愷攰戹㤳㑡晥㐹昷っ㥥㐰ㅡ㔲昶ㅥ㌲扡㉥㤳㉢搶戶㡥摦㌸㈴㐲㝢攷搶搵㥦㕣㈷㙣捡ㅡ昹㤷敤戹㌴慤㕤㍢㉥㠶捦㈵挹捦㐱㈸㥣㙦㍣㠸㌲㔸敢㡡〵㜷㙣攳㥢㠰㌶㍦㉣㍣摤搰㍥㜸搸搰㘱㤳㘷㔵㠵㔲㠹㘸㈰㤶㡥㠵㐲攱㜰㌴愲㈷慢挲㔵昱㜰㈴ㅥ㐸挷㌲㠹㘸㍡攲㌹挸㠶〶昵㔸㈶ㄴ慢ち晡晤戱㜸㔸㡦㔷㈵㠳攱㠴ㅥ挴㔷㔱㐵愳〱㍤㤶㐸晡㈶㥡改戵敥㠸搱づ㠶昱㑤戲㕣㍤攸敡㐹搷㘴换㐵㠰㐰㉢愶挰㐵收ㅥ愱晥㕦㌴扥愹挸㡣摦ㄲ㑦ㅦ㉣慣挳戰愱戳㘴㉥晤㘴晣挵㜹㑦㕦㜸㍡挳㤳晢ㄵ㑦㥥㝥㜰㜷㠲摢昱㤸㡡㙦㥡㤹㐵敢㡡㔴㕡㝦昲慥挴㍢㜵㌴晣㍣㈸㝡搵换搰㡥㍢㉤㤷攵搵〲㐰㜰攷㥢㠱愶㠸㤳㜳晣㍥挶搵㝢㉣扣摣〱戵㄰㠲搵㜱慥㤸㤹㤶㌷㐲っㄹ昰㜵〲扣摣㐱搴ㄶ㄰攰㘶〹㈷㙥㌲〲挲捤㑡㙤㠶㠷㥢㔶敥愶㤱㐴㠰㙣ㅡ〹攰戰㘹㔴愱㉤㥢挶㘱㘸ㅢ㥢㐶㌴㥥ち攸愹慡㔸㍣㤸挸㠴挳愱㑣㌲㤰㡡昸攳㐹㘸㥦っ㈶晣挹戴㘷㠰つつ敢㠹㔰㈰㤳づ㘰〳㐹㠶挳㌱㝦㈲㕥ㄵ㡣㔵㐵㔳㠹㔰㔵㌸㤳搶晤扥㤴㤹㕥㍢ㅣ㌱摡㐰ㄸ㕦摡㜲㘵㌷つ摤㜲搹愸㡡っ㕣慤戳㘹㜰㕥㍡㝥昱㠷〱㐸㠹㕢㠳㐶敤㝤㜳㉣㝦㑦㜶㡥愴扦〷摥愹ㄳ攱㌷挴㝥〴搵捣㡡㍤ㅡ〸㡡㍤ㄷ晤㠵㘲搷戸㝡㙢攱ㄵ戱挷㈲㔸搵扢㘲㑥戲扣㐷ㄱ㐳〶㝣㌵挲㉢㘲摦てㄲ㠵㘲摦敢㉡㜶ㄳ㠲㐴散㐹㐸〵戱攷愳㉤㘲㑦㐶摢㄰㍢ㄳ㐸㔵㔵愵㠳愹㜰挲㡦摤ㅦ㝢㜵㈴ㅥ㡡㐶昵㐰㈸ㄵ㑡㐴㜱㜰昰㑣戱愱㔵ㄱ㍦㌶〷扦㍦㤹㡣愴挳愹㔰扣㉡㤵㑣愷㤲㤱㐰㔲捦㈴㔲攱㜸挲户挰㑣慦㑤㐵㡣㌶つ挶㜷戲攵捡㡡扤搰㜲搹愸㡡㐵㜰戵㡥搸㡢㤱ㄹ扦〵㘲㥦㘲昹て㘱攷㑣昲敤挷㌲㜳㠲扢㈱昶捤㌹㘲㈷㠱愰搸愷愱扦㔰散搳㕤扤㘷挰㉢㘲愷㄰慣捥㜲挵㥣㘳㜹㜵㘲挸㠰慦愵昰㡡搸㉢㕤挵㕥攱㉡㌶㘷㥤㡢搸搵㐸〵戱捦㐷㕢挴㍥ㄱ㙤㐳散㜸っ戲愶㜱晣慥慡昲㠷ㄳ愹㘴㕣㡦㐵晤ㄱ㍤ㄵ愸ち挶㘳㜰㝢收摡搰㉡㍤㤵㐹㐴㈲ㄱ摤㥦㑡㠷搳㠹㔸㕣捦〴慢慡慡㠲㤱㔸搲ㅦ昰㈷㜵摦〵㘶㝡慤〶㌱㕡㉤㡣敦㐲换㤵ㄵ晢㈲换㐵㠰㐰㉢㉥㠶慢㜵挴扥〴㤹昱㕢㈰昶㌲换捦㕢愸摡〲㌲攱戹扦扡っ㝥㐳散昳㜳挴㕥〴〴挵扥ㅣ晤㠵㘲㉦㜷昵㕥〱慦㠸㝤ち㠲搵㔵慥㤸慢㉤敦愹挴㤰〱㕦㉢攰ㄵ戱捦㜲㠸敤㌹ㅤ㤰愲愷っ敡っ搷㉤挰晡戴昱慤㐴㑡㤱晥㑣㘴㌱愴て昸㌳挱㐸㔵捡㡦㑦昱㘴㌸ㄶ挱挷戶慥〷愱㘵㈲ㄲ搶〳㠱㜰摣㜳㤶つつ㘳㤳㐸挴㐲㝥㍤ㄸ搵挳㤱㔸㉡㡥ㅤㅣ㐱挹㌸づ敡㔵攱㐰搰㜷㥤㤹㕥㍢ㅢ㌱摡㌹㌰扥敢㉤搷戹㜴㉤愵㡢㜳攰㐹㈲㡢慡戸ㄱ慥搶㤱晥㈶㘴挶㙦㠱昴㌷㕢晥〴㍢㉦㈱㌹㡥戶愸㕢攱㌷愴㍦㈹㐷晡换㠰愰昴户愱扦㔰晡㔵慥摥搵昰㡡昴换ㄱ慣㌸㔵扥㌰昲㑥换㝢㈵㌱㘴挰搷㕤昰㡡昴㜳ㅤ搲㘷㍦挱慢㕤㔵㕥㡢㈰搹捦㔷㈰ㄵ昶昳㜵㘸㡢搸搷愲㙤㠸ㅤ换㈴㘳昸〸㠶㜲挹ㄴ㍥愲搳挹㜸㉣㤳ち㠴ㄲ晥㑣㌲ㄹ捥挴㘳㥥㤵㌶㌴ㅤ㑡㈵ㄳ攱㈴㐰搱㘸㌸㤹〹㈴昴㄰㤰㤹㐰㌰㠲愳㐴㈲㤸昰摤㙤愶搷慥㐳㡣㜶㍤㡣敦ㅥ换㤵摤捦敦戵㕣㌶慡攲㍥戸㕡㐷散晢㤱ㄹ扦〵㘲㍦㘰昹〷戱㜳㌵昹ㅥ挱㌲晦ㄱ㝥㐳散㘳㜲挴扥〳〸㡡晤㄰晡ぢ㈵㝢搸搵晢〸扣㈲昶ㅡ〴慢挷㕣㌱㑦㔸摥戵挴㤰〱㕦㑦挱㉢㘲㑦㜱ㄵ㝢㤲慢搸㝦㐲㤰㠸㝤㉦㔲㐱散昵㘸㡢搸昷愱㙤㠸㥤搴晤㔵改㘴㑣㑦㘱㤷づ㠷挳改㘴㈴㥥㡡〵挲愹㈴㠴㑥〶ㄲ㌱捦晤㌶㌴ㅣ㡡愵昰㄰㜶㤵ㅥ挰挱㍥ㄸ〸㈶愳ㄱ㥣挵㘷㐲㠱㔰㌰攴㑦愵晣㍥捥戰㤷㝤昶〱挴㘸て挲昸㌶㔸慥慣搸ㅢ㉤㤷㡤慡搸〴㔷敢㠸晤㘷㘴挶㙦㠱搸捦㔸晥ㄱ散㝣㤲㝣㠷戳捣㥢攱㌷挴ㅥ㤲㈳昶㝡㈰㈸昶戳攸㉦ㄴ㝢㡢慢昷㌹㜸㐵散つ〸㔶㉦戸㘲㕥戴扣㥢㠸㈱〳扥㕥㠶㔷挴ㅥ攰ㄴ㥢〷㜵㌹㌷㑦戸㡡晤㌷〴㠹戸㥢㠱㌳挴㑤〷㠳㝡ㅣ扢㘲㌲㥥㡣㠶搳㤱㔰㍣㤴㡡㘲㜷挵㉥ㅢ㐸㔶㈵㌳㈱捦戳㔹㘸㍡㕤ㄵ慤ち愵㘳挱㔰㈴ㅣ挵㈱㈰㤹㡣㠵㘲㐹ㅤ愷㙤㝥㜴〵㝤慦㤸改戵㉤㠸搱㥥㠳昱扤㙡戹戲㠷敤搷㉣ㄷ〱〲慤㜸ㅤ慥搶ㄱ昷つ㘴挶㙦㠱戸㙦㕡晥戱散㝣㤵㑣挶攰㥤摡ち扦㈱㙥㥦ㅣ㜱摦〰㠲攲扥㡤晥㐲㜱户戹㝡㌹㜱㕦挴㝤ぢ挱敡㕤㔷㡣捣戵㈷㠵户㠹㈱〳扥㍥〴㔶挴敤敥ㄴ搷扥昰敡收㉡敥㐷〸㤲㍤昹㕤愴挲㥥晣㜷戴㐵散昷搰㌶挴㡥㈶晣愱㔸㈸㤸挴㤹㌵慥挹㔳昱㐴㈸㡤换愸㐴㉣ㄱ㡦昹晤㠹㘸挶昳扥つ慤㑡攱㝡㍣ㄹ㠹愶㔲戱㜰㌸ㄸつ挶㤳㔰㌹㄰搵㈳㠱㔸㈰㤰㠹㠷㝣ㅦ㥢改戵て㄰愳㝤〸攳攳㜴㝤搹戹戳㝢昲㈷㤶换㐶㔵晣ㄳ慥搶ㄱ晢㕦挸㡣摦〲戱㍦戵晣㤳搸昹ㄹ昹㑥㘴㤹晦つ扦㈱㜶㤷ㅣ戱扦〰㠲㘲㝦㡥晥㐲戱扦㜰昵敥㠰㔷挴晥ㄲ挱敡㉢㔷捣搷㤶昷㙢㘲挸㠰慦㙦攱ㄵ戱㍢㌸挵戶昷㘴慦慢搸摦㈳㐸挴晤ㅥ愹捣挳㌴づ捡晥㘴㄰㈷摥戱㐴㌸ㅤ慦㡡㐷㜰㉥挶㤳慣㐴㌰ㄳ挵㤱摡昳㠳つつ㠷昴愸㥥〹〷慢挲扡ㅥ㑥挵〱挶愷㜸㌲㥡挰㜷㌱㐶挳愱㔴搰昷㠳㤹㕥晢ㄱ㌱摡㑦㌰扥ㅦ㉤㔷㜶㑦晥挹㜲ㄱ㈰搰㡡㥦攱㙡ㅤ㜱㝦㐱㘶晣ㄶ㠸换攷〵挴㝦㌴㍢摢㘰愴㐷㥢捥戲敥㠴搳㄰昷攷ㅦ㥤㔷搵ㅥ㈰㈸㉥昷㤵㐲㜱㤵慢户ㄴ㕥ㄱ户ㅣ挱晣㔶㙥㤷挸㌲换敢㈵㠶っ昸㙡〷慦㠸晢㉤㐸搸㔷搵戶戸㕦挳㕢㌸㠴愲㈱㐸挴敤㠴㔴㠶戸㈱㥣㔶㠷㤲搸㝢昵㐸ㄲ㈳㈶㌸收敡戱㐸㌸㑤戱㘳ㄱ㝦㈴改愹戰愱㐱㝣㐸〷㠲㔱㥣㜷〷挳攱㑣㈶㤸〸〷㌳㌱㝦㉡敡て攰㐴㉣ㄴ捣昸扣㘶㝡捤㠷ㄸ慤㌳㡣慦扤攵捡㡡摢挱㜲ㄱ㈰搰㡡㡥㜰戵㡥戸㥤㤰搹㑤摣ち换㝦㍣挵摤㠷㑣㡥㘳㔹㍢挳㙦㠸晢㔱㡥戸晢〳㐱㜱扢愰扦㔰摣摤㕣扤扢挳㉢攲ㅥ㠸㘰戵愷㉢㘶㙦换摢㤵ㄸ㑢摣㝤攰ㄵ㜱户㍢挵戵て搳摢㕣挵摤ㄷ㐱昸挵㌰㈶㔲攱㌰扤ㅦㅡ㈲㜶て戴慤㍤搹ㅦ㑣㔵㐵㜰扥㠴换㈱㍤㥤挱挵㜳㈶㤹搱愱㜵㍣攸㡦〷㠳㥥㥥㌶ㄴ攷㔹㔵㠹㈴㜶摤㔴㈲ㅥ慥㡡挶ㄳ㠹㐴㌸ㄱ㑤〴㔲㌱〶㐴慡㝣晢㥢改戵㕥㠸搱㝡挳昸づ戰㕣搹挳昴㠱㤶㡢〰㠱㔶㔴挲搵㍡㘲㜷㐵㘶㌷戱扢㔹晥ㄴ换ㄳ㈴㤳㉡㤶扡㍢晣㠶搸捦攷㠸ㅤ〱㠲㘲ㅦ㡣晥㐲戱㝢戸㝡㝢挲㉢㘲挷㄰慣㝡扢㘲晡㔸摥〴㌱㤶搸晤攰ㄵ戱㥦㜱㡡㙤敦挹㥢㕣挵敥㡦㈰ㄱ㜷㈰㔲ㄹ攲昲ㅣ换㥦㑡挴昴㑣㉡ㄵづ昸㐳㔵戱㈴㐶㐱搳㘹㝦挴㡦㑢愳㜰挴㜳㠴つつ㐴㘲㝡㌰ㄳ昲愷攳〱㈰㈲㠹㐴㈰ㄸ昷㔷改昱㐰戰㉡愳愷ㄳ㝥摦愱㘶㝡㙤㄰㘲戴挱㌰㍥扦攵捡敥挹〱换㐵㠰㐰㉢㠲㜰戵㡥戸㈱㘴㜶ㄳ㌷㙣昹慢㈹敥㘸㌲㤹挳搲㐶攱㌷挴晤㘳㡥戸攳㠰愰戸㌱昴ㄷ㡡ㅢ㜷昵㈶攰ㄵ㜱挷㈳㔸つ㜰挵っ戴扣ㄳ㠹戱挴ㅤ〴慦㠸㝢㡦㔳㕣㝢㑦㕥攷㉡敥㘰〴攱ㄷ㝦㐴〶愹戰㈷て㐱㐳挴㥥㠶戶㈱㜶㐰㑦㘳摣㌲ㅡ㡣〵㠳挹㜰㈴ㅡ㑢攰散㈹攳昷㐷㤳ㄸ晥㡥㠷㠳ㄱ捦㜴ㅢㅡ挳ㄷ㈰晢㈳㤱㔴㈸㥡っ㠴㌳戸つㄲ㑡挷攳愹㘰㔵㔴㑦〷愲㠹㘸㤵㙦愸㤹㕥㍢ㅡ㌱摡っㄸ摦㌰换㤵摤㤳㠷㕢㉥ㅢ㔵㌱〲慥搶ㄱ㝢㈴㌲扢㠹㝤愴攵慦㘷㜹㤲攴㕢挷㔲㡦㠶摦㄰晢㠶ㅣ戱搳㐰㔰散㌱攸㉦ㄴ㝢慣慢㜷ㅣ扣㈲㜶〶挱㙡扣㉢㘶愲攵㥤㐳㡣㈵昶㘴㜸㐵散㙢㕣挵扥捡㔵散㈹〸挲㉦㠶ㄸ㤱ち㘲㑦㐵㐳挴慥㐵摢㄰ㅢ户戵㠲㤱㐰㉡攴捦㘰㜷搵㘳晥㉡っ㙥〶㜴摣〷慢挲㘵㜱ㄴ户㌵敡㙣㘸㔵ㄲ晢㌲㑥愷㘳㠹㘸㈸ㅣ搴㤳㐹㝣㐲挷㜰慤ㅣ㑢㠷〳㌱㕣㠸昹愶㤹改戵㝡挴㘸昳㘰㝣搳㉤㔷㔶散愳㉤㤷㡤慡㤸〱㔷敢㠸㝤っ㌲扢㠹㝤慣攵㥦捦昲㉣㈲摦㈶㤶晡㌸昸つ戱捦捤ㄱ㝢〹㄰ㄴ晢㜸昴ㄷ㡡㍤搳搵㍢ぢ㕥ㄱ晢㌴〴慢愴㉢㈶㘵㜹捦㈰挶ㄲ㕢㠷㔷挴㍥摤㔵散㔳㕤挵捥㈰〸扦ㄸ㝡㐴㉡㠸㍤ㅢつㄱ晢㕣戴つ戱ㄳ〱㕣㌳〵㌲搱㐴㈸愵㠷愳㐹㝣㐶愷挳㝥㡣㘷攲㔳㌷ㄴ挲㘰㤷㘷愹つ㡤㠵㌲昸晣づ挶愲昱㘸㍣ㅣ㡡愴攲昸㥣慥㑡㐶昵㈰户㠲〸㠶㍢昹戴〳搳㙢攷㈱㐶㍢ㅦ挶㔷㙤戹戲㘲㥦㘸戹〸㄰㘸挵㕣戸㕡㐷散ㅡ㘴㜶ㄳ扢搶昲㥦㐲扥㤷㤳挹㘲㤶扡ㅥ㝥㐳散摡ㅣ戱慦〴㠲㘲捦㐳㝦愱搸㈷戹㝡ㅢ攰ㄵ戱慦㐶戰㙡㜲挵㉣戰扣㉢㠸㈱〳扥ㄶ挲㉢㘲捦㜶ㄵ㕢㜷ㄵ㝢ㄱ㠲昰㡢愱㐷愴㠲搸㡢搱㄰戱㙦㐰摢㄰ㅢ㠳搹ㄸ敥搴〳ㄸ改㐸㠵㐳㠹㌰敥㔵攰收㔵㈴愱愷㜰敡ㄵ搴㌳㥥ㅢ㙤㈸戶〱㡥愵攰㑥㜶㈶㄰づ㠶〲挹㜴㈸ㅥ㡤愴㌳挱㄰攵㡦㐴㝣愷㤸改戵㥢㄰愳摤っ攳㕢㘲戹戲㘲㥦㙡戹〸㄰㘸挵㘹㜰戵㡥搸愷㈳戳㥢搸㘷㔸晥㌳㔹㥥㍢挹攴っ㤶昹㉣昸つ戱愷攵㠸扤ㄶ〸㡡㝤㌶晡ぢ挵㍥挷搵㝢㉥扣㈲昶摤〸㔶攷戹㘲㉥戰扣昷ㄲ㐳〶㝣㕤〴慦㠸㍤挱㔵散愳㕣挵扥ㄸ㐱昸挵搰㈳㔲㐱散㑢搰㄰戱晦㠸戶㈱㜶㌴ㅣ挱㠱㌹㤳っ昱ㄲ㉡ㄱ挳㔰㔸㍣㤱挱ㄹ㔸ㄲ㥦摤昸㐴昶㝢ㅥ戲愱攱っ㈶㈸㐴㠲㈹ㅣ〲㔲攱㈴㜶昳㔰〰㉡〷㠲㠱㐰㐴㡦愷㈳扡㙦㤹㤹㕥㝢ㄸ㌱摡㈳㌰扥㑢㉤㔷㔶散换㉣ㄷ〱〲慤戸ㅣ慥搶ㄱ㝢㌹㌲扢㠹㝤㠵攵㍦㡦攵㜹㥡㑣㤶戲捣㔷挱㙦㠸㍤㌰㐷散㑤㐰㔰散慢搱㕦㈸昶㌵慥摥ㄵ昰㡡搸捦㈰㔸慤㜴挵㕣㙦㜹㌷ㄳ㐳〶㝣摤〸慦㠸ㅤ㜳ㄵ㍢攲㉡昶㑤〸挲㉦㘶㔳㈳ㄵ挴扥ㄹつㄱ晢〵戴つ戱慢㜰ㄳ㈲㡤㠹㉡㐹摣扣挰〹㥡㥥㑣昹㜵ㅤ〷㜰〸㥥挰昰㐸搲昳愲つ捤〴攳㤸㜲㠰㈱ㄲㅣ昴挳搱㐰㌴㤹っ挴㤳改戴㥥っ愷㌰㥤㈵㥡昱摤㘲愶搷㕥㐲㡣昶㌲㡣敦㔶换㤵ㄵ晢㌶换㐵㠰㐰㉢㔶挱搵㍡㘲慦㐶㘶㌷戱㙦户晣㤷戰㍣㙦㤱挹挵㉣㌳㥦散㌰挴㍥㌸㐷散㙤㐰㔰散㍢搱㕦㈸昶ㅡ㔷敦㕤昰㡡搸摢ㄱ慣搶戹㘲敥戱扣敦ㄱ㐳〶㝣摤〷慦㠸㝤愰慢搸晢扢㡡㝤㍦㠲昰㡢扦㍣㠲㔴㄰晢〱㌴㐴散扦愳㙤㠸つ㔹㘳ㄹ㝣㑣㐷㜱㕢ㅡ搷搲㘹㡣愷㘰挰㉣㡤昳㜰摣㥡挲㘴ㄴ捦挷㌶戴㉡㔹㠵㥢ㄷ昱㔸㉡㠹㤹ぢ㤸戵㠴㙢慥㐴ち搳㤴㤲㈱㥣㤰㠷㤲〹摦㠳㘶㝡敤ㅦ㠸搱㍥㠱昱晤搱㜲㘵挵㝥挸㜲搹愸㡡㠷攱㙡ㅤ戱ㅦ㐱㘶㌷戱ㅦ戵晣㔷戰㍣㕦㤲敦㜲㤶昹㜱昸つ戱㍢收㠸晤つ㄰ㄴ晢〹昴ㄷ㡡晤愴慢昷㈹㜸㐵散敦㄰慣搶扢㘲㌶㔸摥ㅦ㠸㈱〳扥㌶挱㉢㘲户㜳ㄵ扢捣㔵散㍦㈳〸扦昸ちㄶ愴㠲搸捦愰㈱㘲晦〷㙤㐳散㐴㌲ㄲ挲愵㜶㈴㤲㡥㐵挳〹っ㜱㐶㤳戱ㄴ敥㘸㔴改改㈸㙥㑦挷㍣扦摡搰㐸㈶㔲㤵〹㐵攲㝡搸㥦〹晢搳㔱摣㤵挴㝣戵㜴㍡㤳昶㐷ㄳ㜱㝦挶昷ㄷ㌳扤戶ㄳ㌱㕡〹㈶愱晡昸㜰〷㤷愸㘵挵㝥搶㜲搹愸㡡㉤㜰戵㡥搸捦㈱戳㥢搸捦㕢晥㙢㐹㑥〳㔵㙤〵换晣㈲晣㠶搸摦晥攰ㅣづ敤〰〴挵㝥〹晤㠵㘲扦散敡晤㉢扣㈲㜶㈷〴慢㔷㕣㌱慦㔹㕥ㅦ㌱㘴挰搷ㅢ昰㡡搸㕦㠰㠴㍤ㅣ㙡㕦㘷晦ㅢ摥挲攱搰㌷ㄱ㠴㕦㑣㌱㐶㉡㠸晤ㄶㅡ㈲昶ㅥ㘸ㅢ㘲㐳㑦ㅣ戰搳〱㍤㥡挱愰㑡〸㠷㘶㝦㈶㠲㝢ㄵ戸ㄲ㡢㐷㜰㤷搹戳愷つ挵っ㌲㍤㠱改㐴㈱攸㡣㍤㕢㡦㠷ㄳ挹㔴㍡㔵愵㈷㈳㔵挹ㄴづ攳㕢捤昴摡㕥㠸搱昶㠶昱扤㙤戹戲㘲㙦戳㕣㌶慡攲ㅤ戸㕡㐷散敤挸散㈶昶扢㤶晦㈶㤶愷㉢昹摥挸㌲扦て扦㈱昶㍢㌹㘲㜷〷㠲㘲㝦㠰晥㐲戱㍦㜴昵㝥〴慦㠸摤〳挱敡㘳㔷㡣㍣晤㐱ち扤㠸㈱〳扥晥〵慣㠸晤㠶慢搸慦戹㡡晤㈹㠲昰㡢搹㔲㐸〵戱㍦㐳㐳挴㍥〴㙤㐳散㑣㈴㡡ㄳ㌱㥣㙤㘱㕣ㅢ扢慢㍦㤹挰㠸ち慦戰昴㌴敥㕤敡㘹㑦㝦ㅢ慡㠷㌰搱㤰愳攵㤹〸㠶㕢㜰摦㉢㄰捣愴攲戱㐸㌰ㅤ慣㡡攱戳摣昷㙦㌳扤㜶㈸㘲㌴㍦㡣敦㜳换㤵ㄵ晢ぢ换㘵愳㉡㜶挰搵㍡㘲㝦㠹捣㙥㘲㝦㘵昹㔷戳㍣〹昲㕤挵㌲㝦〳扦㈱昶㥦㜳挴㍥ㅣ〸㡡晤㉤晡ぢ挵晥捥搵晢㍤扣㈲昶ㄱ〸㔶㍦扡㘲㝥戶扣㠳㠹㈱〳扥晥〳慦㠸晤㈷㔷戱㥦㜴ㄵ晢㔷〴攱ㄷ㌷搶㤱ち㘲敦㐴㐳挴ㅥ㠱戶㈱㌶㉥愷㜱㠹ㅤ㡢昹㠳〹㥣㡥愵昰㐷捤㤳㤱㜰㌸挱㉢慣㈴㜶攳㠰㘷愴つ挵㘶㄰愹昲㔷愵愲搱㄰戶㡢㈴㑦捣戰㑤㐰㘶㝦㍡ㄳ㠸〶愳㍥㍥㝢㈲挷散㈳ㄱ愳㡤㠲昱㈹换㤵ㄵ扢搴㜲ㄱ愰ㄱ㕡搱〶慥搶ㄱ㥢捦慥戸㠹㕤㘶昹昹㕤㔹摡㈴㌲㔹挳㌲昳㤱ㄶ㐳散㜵㌹㘲㑦〵㠲㘲昳㌱㤷㐲戱昹㔸㑢愱搷ぢ慦㠸㍤ㅤ挱慡㠳㉢愶愳攵㥤㐱っㄹ昰挵㠷㑣㐴散㍦㌸挵戶挷挲㔷扢㡡摤ㄹ㐱㈲敥㜱㐸㘵㠸ㅢ㡥㠵㌰㐷捣ㅦ〹昸㌹攱㔳挷捣搰㉡ㅣ挳㌱昱㍢㠸挹㘳戸㠳攱㌹摥㠶㐶攲ㄱ㡥㡥〷㠲改㈸收〱攳昳㍣改搷㌱㠰㡥㌱昱㔸㉡㡣戳㍡ㅦㅦ㔰ㄱ㜱㘷㈲㐶㥢〵攳摢捤㜲㘵挷挲㜷户㕣㌶慡㠲㡦慡戴㡥戸㝣挰挵㑤㕣㍥昳㈲晥晢㈸敥ㅣ昲扤㤷㘵晤ㅤ晣㈲搳㠹㜰ㄱ挰㤷摡搷昲捥㠵搷㤲挰挷愷ㄸ㘴搷愹㠱户㘳㥢戲慥㘸て㈸晥摤㑥㡥㐹攷㝤昱戸〵扥愶㐲㑦攳㡦挲捦挳户扢㉣ㅡ㔱搷搴挰㍦㌸㔰搲〶㝦ㄴ扥㑣收戱户㉤㍤散户攵攲挳㉣晢㈳ㄵ㕦㘵㔷㘰㍢昸晦挸挳㜵捤㍥敢挰㡣〷攲愵搵㘱㠵换昸㈰㠰敢㜷慢ㄸ㤳敥愷攰慦攱敢晤㠷つ㡤昵ㅦ戱㌰愵搷昰敢㙣㌰㌵ㅦ㈷㙦㈵㝢搴㡥㙥挴㕢扤愱㜱㙡晤㄰昹㜶ㄵ㍥挸搱搹㥡扤摦户昶挸昹搵㘹搴攱攰慣挷晡㉥㈳㉢㙣㐲㠳ㅤ搷㌱㡢挲㔷㉤散㤱㙤つ挳ㄳ㈲晡挲㈶晥㠵晡㝤戳㕥㝣㜱ㄵち慥愷慤㡣㡤㜸㍡慤㙤㘹ㅢ搵挷慤搸挳敢㙢㤳搵㜵晤㐷㌶愴慣〴㈳敡收搷戲〴晢扡晣㈹晥愱搵㑤昲㈸捣㝥攸㔷㕡㌷㤴挷㌳て㠵摡㙤㘰昷㈱搳扡〷㘲㍤扡ㅤ㔶搹慤㐷昷㈱摤昱㜷㤲换㉥㠵㉥晦㠷㐵收敡㐰〲晣昱㙡つ摣ㅥて挶㤲㈸㠶搲づ攲㌲昹昷昷换戱捣改戲愰㡢戰愰㐳摣搶㡤㥢㘳㈳㔷捤㝣昴挷㕡挳挶摣㘵㔱㜳晥攰ㅢ㥥戹㉣ㅥ愳㤹㤲㉥挵㐷㍥戸㈲搲攰㤳ㄳ摤昱㑥㝢㠱收㐵㥡㤷㘰搴㔲〰摥挶搷攱㙤㈸㕢㜴㙢㝣㘹挹攰㐷晦晥㘴㤷㜶捦扥㄰㔲攷㥡ㅤ㙦㥥戶昴搴㥡㜱㉦て扤㙡晥㍤扡敦戳摡㕦㔴〰㤹㐸㐲㕢㠲㈵摡晢㘰挸昲㥥㑡ㅥ捣㡣㤷㡦て㑢挸㍥㜸ㅡ扣ㅤ摢愸〴摡摣て搵㤹挸捥㡤㥦戵搲捥㘰〸㥦㍢㌰捡挴挷㈰㍣㘷挱㘷㤶挹敦㔷愷〲㙡慤㤷㔷㍢㠷㜸㍥挸㘰攰〷㄰扦ㄴ扥㐲㈹ㄱ扡〸愱㔶ㄵ昰㠵扤っㅤ挹㔰㉥㌸慦ㄶ㑤㠰扡搶愲搱散㔸昲晡つㄳ㑥敡戹㘳挲扡㉦㍥㥣扢㝦搷㉢昶㔷㝣〰㐱㙡戱っ㜹敤㕡挸㤳〵捣㝦㈹㤷㠶㌷㔲㡢愳㠰㤵㕡㕣〶㉦㙡㌱〹㙤愹㐵㍤戲摢戵㔸捥㤰愹㈴挸搴ㅡ㥦ㄲ昰㕣〹㕦㍢搹㘴ㄲ㔱㌵ㄷ攸㙣㈹慥㈶㥣搳晣つ昸ㄴ挲㔷挰搷㈵㝦慢㐶攴㙣㐴㘶㉢戱㤲㤱㥣㜵敦㔶㠹㉡㜳㠵ぢ戶㡡愴搹愱㥤戳㘲㔲㔵挵㌵愳捥㝦㙣摢搱换ㅥ㝤㜸愹㑡㈲㤳㔴攲㘶攴戵㉢㤱戲扣户㜰㘹㔶㈵㜴㜸愵ㄲ户挲㡢㑡㜰戶扣㔴攲㜸㘴户㉢戱㡡㈱㥣搹㙥慣ㅡ愷搰㝢㙥㠷慦㘰搵攲〹㜵㑣捥慡摤挱㐸捥㜶㌷㈲㌹愳摥戳〶㍥愳㠶㠰㑦〳㍣㕢挳戵㠴㜳㑡扡㕢㈵㈶㥡㉢㕣㔰㠹〹㘶挷ㄵ昷敤㌹愹㉥㝥搵㤱昷〵㐲㠷捣戹晣慡㥥㙡ㄱ㌲㐹㈵敥㐷㕥扢ㄲ愷㔸摥〷戸㌴慢ㄲ㥣㠵㉥㤵㜸㄰㕥㔴攲㙣戲㈰㔲㍢ㄳ搶昳㄰扣搸〹㠶づ攳戱㐲㡤捥㘱晤〸昳㥣㘳攳捦㈲晥㌱昸戰ㄳっㅤ㥡㜷㍣㔳㈳㄰㥡㤵晥〹㠶昲ㄳ摦慡㠱㕡㡡㠶搵慦㌸㐵摢慤ㄴ㠳㡢㤵㘲㤰搹㌱㘸敢㔵㥢㥥㥣戹㙤挸㘳敤㝡㝦昲摥㡥㥤㙤ㄵ愷㜲㑢㈹㌶㘰㠹㜶㈹㘴㡥㌶㜷㡦㡤攴㘱㤵攲㑡㘰愵ㄴ㥢攰㐵㈹㌸戵㕡㌶㡡〱挸㙥㙦ㄴ捦㌰攴㍡ㄲ㘴㙡敤㕡㔸捦㘶昸㑣㘹攳㉡〶戴戵㕡㕥㙤ぢ攱㥣㌰㙤挰㌹攷摡昳㍣㝣㠵摢㔰㕣㠵㄰㘹搵挰慢扤挸挸搵㡣㈴搳扣〳㐵㝦㜳㠵ぢ㌶㡡㐳捣㡥愵愹晤摥散㍤㘰晡愸敢〷ㅤ搳攴ㅦ慤㔶㉢捥㜳㤶㑡扣㡡扣㜶㈵㘴〲㌳昳扦挶愵㔹㤵攰㤴㘵愹挴敢昰愲ㄲ㥣㜷㉣㤵攸㡤散㜶㈵摥㘴挸〳㈴挸搴摡㝤戰㥥慤昰㔹〷捤戰㍡ㄸ昰㙣㈹戶ㄱ晦愰㡤攷㡣㘴捦㜶昸㕣づ㥡㘱搵ㄵ愱搹㕡扣挷㔰㑥敦㜵慢挵㝥收㉡ㄷ搴㘲㕦戳㈳㌴㝥攲㉢挷摣昰昶昸㍢㕥敡扦搷㘳ㄷ摣扤㥦攲㌴㘰愹挵挷挸㙢搷㘲㠳攵晤〷㤷㘶搵㘲ㄳ扣㔲㡢㑦攰㐵㉤㌸㙦搶㔸㘱㑥搰昵晣ぢ㕥㤷つ㍥愰昶挸㔹㠱捦㤸㤲㤳㘹㡤㔰㑥搸昵㝣づ㥦戵㙦〵㔴㘷攰戳戵摡㐱晣慢挴扢㠸摦愱搸ち户㌷㍢扡捣改晥昱捦㡤扦㑥㔸昹挵慣户㐳ㅦ㤶㜴㔶㥣ㅡ㉢㉢晣ㅤ昲摡㉢晣㤶攵晤㥥㑢戳㔶昸㙤㜸㘵㠵㝦㠰ㄷ㉢晣㉥摡㈲㝥㍢㘴户挵晦㠹㈱ㅦ愰换㔸㈱捥㕦昵晣〲㥦㈵㝥㐰戵挹㔹愱㕦㠹晦搰挶扦㑦㝣㐹戹慢昸〱戵昳㝢愷昸愵㠰㈹捥〸㜵慢挵㑦㠰扡㝥㘲晥㘸㜶散戶晡㥤愶昷摦摣㙤攸攳㉢㝦散昸挶㠰㤳㍦㔳㥣㌹㉡戵㈸㐷㕥扢ㄶ㕦㕡㕥㡤㑢戳㙡昱㌵扣㔲ぢ㉦扣愸挵㡦㘴㐱愴挶㌹㥤㥥づ昰ㄶ㡡敦㑦愸慦㜳㔶愰ㄳ㔳㜲晥愵ㄱ捡㌹㥥ㅥㅦ㝣愶昸挰㝦〱㝣㔶晣㉥挴㜳㤶愴摢ち晦慢搸ち晦搳散愸慦㍤㝥攷㠷㉢㌷㡦戸㘱挹愵㠳㠷戵扦慡㔱㜹㤰㐹㔶㜸㙦攴戵㔷戸摣昲晥㡥㑢戳㔶㤸ㄳ㈳㘵㠵昷㠱ㄷ㉢散㈳ぢ㔹攱㑥㜸攷搹て摥挲ㄵづ㐴搵㠷㌹㉢㝣〰㔳㜲㑥愲ㄱ捡㜹㡦㥥㑡昸慣慤㍤慡摥捤㔹攱㙥挴㜳收愰摢ち㙦㉤戶挲㙦㤹ㅤ扤晢㜸㝢㑤晢㝥换㠸挷ㅦ晤㜶㔰㜵捦㝢搶㉡捥㌰㤴ㄵ敥㠵扣昶ちㅦ㘸㜹㝢㜳㘹搶ち㜳戲愰慣㜰ㅦ㜸戱挲㥣昱㈷㕢晢㙢挸㙥㙦敤晤ㄸ搲ぢ㕤挶ち昵挰㍢㑦㝦昸ち㡦攲㔱昵㔷〴㘶㡦㕣㝥㐶㜲挶㥥ㄱ挹㔹㠱㥥㈰㝣收挷㐵㔴扤〰㜸㔶晡㌰攱㥣㔶攷㔶㠹捤收ちㄷㅣ攸晥㘲㜶摣㜵搸㠰攷㙡㍡㑤ㅦ㜹摢㌵愷㕣戴晤愵愷㜶㉡㑥扦㤳㑡ㅣ㠶扣㜶㈵㘴㕥ㅤち愰つ攰搲慣㑡㜰㈶㥤㔴攲㜰㜸㔱㠹㐱㘴㈱搲㜳㘲㥣攷〸㜸㕤愴て愹愷㜳搶㜷㌰㔳づ戶㐳㡦㘰攸㔰昸㉣改㐳敡挹㥣ㄵㅥ㑥㍣愷㥡戹慤昰㈳挵㔶昸㘱戳攳摢㑤昳㤶愵晥慣つ扦㙣攰改昷慤昹改㠰㐶挵㈹㘹戲挲㘳㤰搷㕥攱昱㤶㜷㉣㤷㘶慤昰㐴㜸㘵㠵挷挱㡢ㄵ收ㄴ㌱㤱晥〱㘴户愵ㅦ捦㄰㑥搴㌲㙡挱㜹㘳㥥㠹昰㔹〷扡愸扡㈷㘷㠵㈶ㄳ㍦挳挶㜳昲㤸㘷㉡㝣愸㕤摥㔵㥥㍦慡敥㐲㘸㜶㕢㤹捥㔰捥挴㜲慢挵敤收㉡ㄷ㠸扦摡散㜸㜱挷㉤昳㙥㍥敤愶㤱户㡥㔸㌷㈰㜲挹㐵ㅤㄴ㘷㙣㐹㉤㡥㐳㕥扢ㄶ扣挲ㄶ敦昱㕣㥡㔵㡢㌹昰㑡㉤㘶挲㡢㕡㜰〶㤵搴攲ㄶ㘴户㙢㜱〲㐳㌸㡦挹愸〵愷㔵㜹慡攰㌳㉦つ㐲敡〶愰戳ㅢ㜳㥡昰㜹㌶扣㡥昰っ㝣〵㝢㑤㈲愴慥㐵㘴戶ㄲ㜳ㄸ挹㘹㑡㙥㤵戸搲㕣攱㠲㑡㕣㘱㜶晣㜳㘳捤㐱㙦晤㌸㜸摣㘵㐷扤扥慥搷愳㐳㥥㔶㑢㤰㐹搶戹づ㜹敤㑡㥣㘶㜹敢戹㌴慢ㄲ㘷挰㉢㤵㤸〷㉦㉡挱改㐵㔲㠹㑢㤱摤慥㐴〳㐳㌸ㄵ挸愸〴攷ㅣ㜹㥡攰㉢㕣戵㠸扡㈸㘷搵ㄶ㌰昲㝣㍢㜲㈹㈳ㄷ挲㘷搶㌰愲捥〳㍣㕢挳挵㠴㜳づ㡦㕢㈵捥㌲㔷戸愰ㄲ㘷㥡ㅤ扤捦晥愲昴晥㘷㍡っ扥收攳㔹昳捦㔵搳攷㈸捥昵㤱㑡㥣㠱扣㜶㈵㘴ㄲてち愰㥤挹愵㔹㤵㔸〱慣㔴攲㉣㜸㔱㠹敢搱㤶㑡㥣㡡散㜶㈵捥㘱挸㑤㈴㈸挷ち㑥挸昱㉣㠵捦㘵㝢て慡㐵㠸捣慡㝣㍥㐳㙦戶㐳㙦㘴攸㠵昰㔹扢㔶㔰捤〷㍥㕢㡢㡢㠹攷ㄴㄷ户㕡捣㌳㔷戹愰ㄶ昵㘶挷㤶〵戳㍦㥤㜹挰㠶㜱攷愶㝢㍥昷㘵㐹㥢㝢ㄵ愷挲㐸㉤㤶㈳慦㕤㡢扢㉤敦ㄵ㕣㥡㔵㡢㝢攱㤵㕡㕣〹㉦㙡挱愹㈹㔲㡢戹挸㙥搷攲㙡㠶㜰ㅡ㠹㔱ぢ捥㔷昱慣㠰慦㜰慢㠸愹搹〸捣㤶㘲㈵㈳㌹戵挴㠸攴昴ㄵ捦昵昰㤹㕢㐵㑣愵〰捦㔶攲㐶挲㌹晦挳慤ㄲ㌳捤ㄵ㉥愸挴昱㘶挷捥㥦ㅦㄹ㜵挵攰㘷挷㉦㕦晣换㠲慦づ㝡㝦愸攲㍣ㄱ愹挴㉡攴戵㉢昱㡣攵㕤捤愵㔹㤵搸っ慦㔴攲㜶㜸㔱〹捥摢㤰㑡ㅣ㠳散㜶㈵敥㘰〸攷㔸ㄸ敢挳挹ㅣ㥥㌵昰ㄵ㔶㈲愸愶㈱㌰㕢㠹戵㡣㝣搹㡥㝣㤱㤱㜷挳㘷㔶㈲愸㈶〱㥥慤挴扤㠴㜳㜲㠴㕢㈵挶㤹㉢㕣㔰㠹戱㘶㐷户捡㝢㝡㥤晥攲〱愳慦㥢ㅣ㌹昳㠰㕢户扤愳戶㈱㤳㔴攲㈱攴戵㉢戱摤昲㍥捣愵㔹㤵㜸て㕥愹挴㈳昰愲ㄲ㥣搴㈰㤵㌸ㄲ搹敤㑡㍣挶㄰㑥㉤㌰㉡挱㤹づ㥥㈷攰㌳搶㈷ㅥ㔳挳㜲搶攷㈹挲㍦戱攱ㅦㄳ扥ㅥ扥㠲挲㈱㜲㄰㈲戳㠵摢挰㐸捥ㅣ㜰慢挴㘱收ちㄷ㔴㈲㘱㜶㉣ち㙦ㅦ搳㜶敥㑢挳㤶㥥㜷攳挶㝤㝣㌳捥㔱㥣㘱㈰㤵搸㡣扣㜶㈵㘴敡〰ち愰㍤换愵㔹㤵攰㘴〱愹挴ㄶ㜸㔱㠹㕦搰㤶㑡㐴㤰摤慥挴昳っ攱㝤㜷愳ㄲ㥣〶攰㜹ㄱ㍥㙢㜷㑦愸〰攰㔹㘹㕦㤶㐵攰扡挱挰晦㑡晣摦攰㜳㌹戲㈴搴㈱〸捤搶攲㔵㠶昲挶扡㕢㉤㝡㤹慢㕣㔰㡢㥥㘶㠷㜷搴㠵〷㕥户攵㡥ㄱ攷㍦搰㙥昳㥤て㜹㍦㔶ㅤ㜸昱挲戵摥㡡扣㜶㉤㍡㔹摥户㠵愸〱昱昹攰㤵㕡㙣㠳ㄷ戵搸ㅤ㙤愹挵㐱挸㙥搷㘲㍢㐳㜸㕢摡㔸㌷摥㈵昷扣〷㥦戹㤵晢搵㠱㐰㘷㑢昱〱攱㝢摢昰㍤〹晦〸扥㠲慤㈲攱㔷晢㈲㌲㕢㠹㡦ㄹ挹扢捥㙥㤵搸搳㕣攱㠲㑡散㘱㜶ㅣ㜳摦捦晦㌸摡晦敥昰㡢ㅦ㙡㌷㜷搹昵慢摥㔵摤㤱㐹㉡昱ㄹ昲摡㤵攸㘱㜹晦捤愵㔹㕢㐵㉦㜸愵ㄲ㥦挳㡢㑡昴㐳㕢㉡搱ㄹ搹敤㑡散㘰〸敦搹ㅡ㤵攰㉤㘴捦㔷昰㤹㤵㠸慢㡥㐰㘷㉢昱つ攱㝥ㅢ摥㥦昰敦攰㉢慣㐴ㅣㄷ㘹捥㑡晣挰㐸摥㤲㜵慢㐴㕢㜳㠵ぢ㉡搱挶散昸㘰摤晥〷晤㜵㐰㙣散戵摢㑥扢戳戴摦㕥ㄷ慡挳㤱㐹㉡昱㉢昲摡㤵㌸挲昲敥攴搲慣㑡っ㠶㔷㉡㠱㠹㈹慣挴㜰戴愵ㄲ㍢扦㜳㔴愲ㄴ㥤㡡昷㌲㡤㑡昰晥慡愷㉤㝣㠵慢ㄶ㔰㍦㈳㌰㉢戲㠷㤱愳散挸㤱㡣㉣㠷捦慣㘱㐰㝤て㜸戶㠶㕥挲㜹扦搲慤ㄲ㕦〱敡㝡㐱晤愵搹昱收㠶敤㥢扦㝡㐰㑤㌸攷敦㌳晦昹挵搶㕡㕤㑤㐵㈶愹㠴て㜹敤㑡㑣户扣㥤戹㌴慢ㄲ㌳攰㤵㑡㜴㠱ㄷ㤵㤸㐹ㄶ㜲攲㜰ㅣ摥㜹㜶㠷搷扡㔲〸慡㑦㜳㔸敦挹㍣扣㘷㘸攰㜹摢搱戳㌷㝣㌸ㅣ攴て㌷〶搵㍦㄰㥡慤捦㍥っ㥤挳㔰敥挴㜹㐳㘹ㅦㄴ㕢攱昷捤㡥㤷㜷㌶摥搱敤㥢㝦㡤㔹戵晢昲㍢昷㉥慢㝡捥挷㕢㝦戲ㄲ㤵挸慢㜵愵改〶攳昵昱敥㥦㜴ㅣ㠴㈶㙥昸搵愰敤㝡ㄳ挷戸户㘲㝣慢㌷晥〴㤸摥㈸㡥ち戰㉢换昰㕥㔷晢っ晦㌲㤸㉥㕦㉤㡥㍦㕢㔶㕤㔳㈳㝦昱慢〳扥攰扢㘱慥摥㌰づ摦㘹㡦慦昵㥥㔲㕤㙢晥晤㉡㝣搷㍤㙦㘳㔹㕦㈱慤㐹㡢昷昹㍣㤹〹つ昸㑥改㜶㤹搱㡤搳ㅡ昵㜴㜹敤挴㘴㔳㤳摥㔰昷扦昰挷昷昰㜸㘷㕢摥搲挴㐶搳㐶愹㤲㔲搷㍦㝦挶扦㙢㤶晦㤵搳挳㠶攲戶愱㔱挲㙣㍤昸㜵昲扣ㄷ㔵捡敦〵晦㙤㝦㝡捦搳ㅤ戲㔵搸㕦㜸扦㠰㝦㔸慦戱㔴扤㡤敤㐰㘶㍣㝤ㅡ晣㥤摣捡攲㑤㙣慤〷戰㥥㥥㌰㙤㜰㡢㑣挹㝡㈸摣〴敢〵㡦戶ㅥ㍣挴㤴㤴搵㘱ㄳ挸㕦㌱晥㌱扡㤱㡣㈸㍢戹㍡摤㌴挷㌳㐷慦㥥㍤〷捦㘳戴㙦㙦晤戱㌸昴㤵戴攵扤扢收㙥㈳㜲㔷㙢㔷㍢㉢搹搰㤰㕣㔴㕥㍢慢㐶慦㥢摤㌴愷㝣搶〲摣㌷慤慥攷㜲换换换戵㍥攰挳㑤㤲㡢㔳ぢ攰㘴㔶慤㉦扣昴昰攵㕢〲㡦㙣戵晤挸晤㄰㥡晥㌰㕥ㅦ㙦愴㐹挷愱㘸㘲㘷㍤つ㙤㙥搲ㅡ敢㔴慡㕥㜲慤㑢㤰昱慣㑢戶㈶㘱扡搶㘳㔱㐶㑤搴ㄹ挸㐱㝥搶㡦㍡〷つ攱ㄵ㘵㘲戸㠵敤昹㤶㌷〶慦戵づ扥㘵昰ち愹㌸戳㈶㘸づ㠳昱晡㜸慢㑢㍡〶愰〹戶扣挹攵㘰扢搱㤵敤ㄱ㡣捦㘵㍢㤸慥昵㈰㘱戲㕤㡥㍣㌹㙣慦㠶㐳搸づ〵搲㘶换扢㔹攲ㅤ〶慦捤昶㘶㜸㠵搴㜰㘶ㅤ㐱㌳ㄲ挶敢攳敤㈸改㌸ㄲ㑤戰攵㡤㈸〷摢㠷㕤搹㡥㘱㝣㉥摢㜱㜴㌹搸慥㐲㥥ㅣ戶㜷挰㈱扣挶〳㘹昱㔲㙢㉤敦〴㜸慤㜵昰摤て慦㤰㥡挸慣㤳㘸㈶挳㜸㝤扣㘵㈴ㅤ㔳搰〴㕢摥㉣㜲戰扤换㤵敤㜴挶攷戲㥤㐱㤷㠳敤㈳ㄶ㡤㘳搱㘱搱㔰㑦㔸摥摦挳㙢㔱昶昱づ㡥㜰㌸㡥㐹㡥愷㤹〹攳昵昱㈶㡥㜴捣㐲ㄳ攴㌶愱敤㈰㜷㤳㉢戹㉡挶攷㤲㑢搳攵㈰挷㍢㍤㌹愵攴扤ㅣ㈹㘵〶㐸㥢敤㡢㤶㜷㌶扣㌶㕢摥㘵ㄱ㔲㜳㤸戵㥡收㐴ㄸ慦㡦㌷㕡愴㘳㉥㥡㘰晢㍡摡づ戶㔷戸戲慤㘳㝣㉥摢㜹㜴㌹搸扥㠹㍣㌹㙣户挱㈱㙣ㅢ㠰戴搹扥㘷㜹ㅢ攱戵搹昲㍥㠸㤰㙡㘲搶昹㌴ぢ㘰扣㍥摥ち㤱㡥㤳搱〴摢㑦搰㜶戰㍤捦㤵敤㘲挶攷戲㕤㐲㤷㠳敤㘷ㄶ㡤搳搰㘱搱㔰扣敢㈱㤴㑦㠷搷愲散晢捥攲㜰〶㤳㥣㐹㜳ㄶ㡣搷挷摢ㄶ㐲敥㙣㌴㐱敥〷戴ㅤ攴㑥㜱㈵户㤴昱戹攴捥愷换㐱㡥昷㌶㜲㑡挹㥢ㄷ挲敢㐲㈰㉤㕥慡ㄴ愷㜸攲扤〸㕥㙢ㅤ㝣攵昰ち愹㡢㤹昵ㄲ㥡㘵㌰㕥ㅦ㙦㉣㐸挷愵㘸㠲慤ㄷ㙤〷摢㝡㔷戶换ㄹ㥦换昶㑡扡ㅣ㙣㍢㔹㌴慥㐶㠷㐵㐳㜵戱扣搷挰㙢㔱昶敤㙤㜱㔸挱㈴搷搲慣㠴昱晡㜸ㄳ㐰挸㕤㠷㈶挸敤㠳戶㠳㕣捡㤵摣㡤㡣捦㈵㜷㌳㕤づ㜲〷㔸㌴㙥㐵㠷㑤慥㥢攵扤つ㕥㥢㕣㉦㡢挳㉡㈶㔹㑤㜳㍢㡣搷挷〱㝢㈱昷〷㌴㐱慥て摡づ㜲㐷扢㤲㕢挳昸㕣㜲㙢改㜲㤰敢㠷㍣㌹㍡晢攱㄰㐵敦〶搲㘶ㅢ戶扣昷挰㙢戳㍤っ㕥㈱㜵㉦戳摥㐷㜳㍦㡣搷挷㐱㜵改㜸〰㑤戰㍤ㅣ㙤〷摢戱慥㙣ㅦ㘲㝣㉥摢㐷攸㜲戰ㅤ㙣搱㜸っㅤ㌶戹攱㤶昷㜱㜸㙤㜲㘳㉣づ㑦㌰挹㤳㌴㑦挱㜸㝤ㅣ〰ㄷ㜲㝦㐲ㄳ攴挶愱敤㈰㌷挸㤵摣〶挶攷㤲摢㐴㤷㠳摣㜸攴挹㈹攵㘴㌸愴㤴捦〰㘹昱㔲搳㉤敦㕦攰戵搶挱㜷ㅣ扣㐲㙡㌳戳㍥㑢戳〵挶敢攳㄰戵㜴㍣㠷㈶搸捥㐴摢挱㌶攴捡昶㐵挶攷戲㝤㤹㉥〷摢ㄳ㤰㈷㠷㙤ㅡづ㘱晢㌷㈰㙤戶㜳㉣敦㉢昰摡㙣敢攰ㄵ㔲慦㌲敢㙢㌴慦挳㜸㝤ㅣ㐶㤶㡥㌷搰〴摢㜹㘸㍢搸昶㜴㘵扢㤵昱戹㙣户搱攵㘰摢㠰㍣㌹㙣ㄷ挰㈱㙣户〳㘹昱㔲㡢㉤敦扢昰㕡敢攰㍢〳㕥㈱昵ㅥ戳扥㑦昳〱㡣搷挷愱㕥改昸㄰㑤戰㍤ぢ㙤〷摢㝤㕤搹㝥捣昸㕣戶㥦搰攵㘰㝢づ昲攴戰㍤ㅦづ㘱晢㉦㈰㙤戶ㄷ㕢摥㑦攱戵搹㉥㠷㔷㐸㝤挶慣晦愶昹ㅣ挶敢攳㘰慣㜴㝣㠱㈶搸㜲ㄸ搶挱戶挲㤵敤㔷㡣捦㘵晢つ㕤づ戶㔷㈳㑦づ摢㤵㜰〸摢敦㠰戴搹摥㘸㜹扦㠷搷㘶扢ち㕥㈱昵〳戳晥㐸昳ㄳ㡣搷挷〱㔳改昸ㄹ㑤戰攵㔰愹㠳㙤ㅢ㔷戶扦㌲㍥㤷㉤攷扣㍡搹摥㠱㍣㌹㙣搷挲㈱㙣㑢㠱戴搹摥㙢㜹摢挰㙢戳㝤〸㕥㈱搵㤶㔹换㘸㍣㌰㕥ㅦ〷㌵愵愳ㅤ㥡㘰换攱㑣〷摢敦扦㜵扢晣挱㐴收㝣戶ㅤ攸㜲搴昶㌱攴挹㘱晢ㄴㅣ挲戶ㄳ㤰ㄶ㉦戵挱昲㔶挰㙢慤㠳㙦㌳扣㐲捡挷慣㥤㘹扡挰㜸㝤ㅣ㜸㤴㡥摤搰〴㕢づ㌹㍡搸㝥敡捡㜶㑦挶攷搶㜶㙦扡ㅣ㙣㥦㐷㥥ㅣ戶㉦挳㈱㙣昷〱搲㘶换㤱㐵昱敥ぢ慦捤㜶㉢扣㐲㙡㍦㘶摤㥦收〰ㄸ慦㡦㐳㠳搲㜱㈰㥡㘰换㐱㐱〷摢㜷㕤搹㜶㘳㝣㉥摢敥㜴㌹搸㙥㐷㥥ㅣ戶ㅦ挰㈱扣㝡〰㘹戳攵攸㥦㜸㝢挲㙢戳晤っ㕥㈱搵㡢㔹㝢搳昴㠱昱晡㌸㝣㈷ㅤ㝤搱〴㕢づ摣㌹搸扥攲捡戶㍦攳㜳搹晡改㜲戰摤㠱㍣㌹㙣㌹㡡㈷扣㠲㐰摡㙣㌹㐲㈷摥㄰扣㌶摢㕦攱ㄵ㔲㘱㘶㡤搰㐴㘱扣㍥づ戱㐹㐷っ㑤戰㉤挱づ攴㘰晢ㄷ㔷戶㠷㌱㍥㤷敤攱㜴㌹搸㤶㈲㑦づ㕢てㅣ挲敢〸㈰㉤㕥捡㙢㜹〷挱㙢慤㠳捦〷慦㤰ㅡ捣慣㐳㘸㠶挲㜸㝤ㅣ〶㤳㡥㘱㘸㠲㙤ㄷ戴ㅤ㙣ㅦ㜷㘵㍢㤲昱戹㙣㐷搱攵㘰扢愷㐵㘳っ㍡㉣ㅡ㙡ㅦ换㍢ㄶ㕥㥢㜲㈵扣㌲敥昸㈰㤶挶ㄱ搸挳㑢㌰㑡㔰敡㔱ㅣ挳㤲㡥〷捣㡥㠱搲愱㔴㌷慢攳㝥戳㘳㄰㍡戴〹㐸㕡㜶㄰扡昲扦愶挰㌱㌲攳昸挲〰攸㠴㍦づ㍣〵㝦慤㥥㠳㌴摥㕡捥㤱㤶搹挴㥥摡㈹㜳昰搷散㍢㥢搸扥㌶愶㡢敤戱戱㥤㙣㤷挴晣㙥㔸㝤敤扣㘴㐳戲慡㐶㈷愴㙦㌶改ㅥ昹㍤㠲㐷つ㔸㠶㤲㙥挵愷㍡㕢〴㌹㡡㔴慥㕡っ㉣㔷っ搰㈶愲㈶ㅤ昱㐶㘵摦㐹戳慣〷敡搴攲ㄱ㉣づ㤴晥挶敦㔵㤸〴〲慡ㄷㄶ㈶㘳戱㤳搱戲戶㠶㡡㍥愶户ㅣ晦㤷㔴昴戵㕡ㅣ㐰㔲晤搰ㄲ改搷攵㙤ㄳㅣ〸㤲㡥戵㜹摢㐴㝦慢攳㉥攷㌶㌱㥤㡢㍦ㄴ㕤摣㉥戲㌵挸扥㤳㙡愸㈰㝡㔹ㄱ㙤〶昱㘱扣ㄳ扡挷㌸改㐶㑤㙦㌹〹㔶挴慣ㄶ晥㉦㔱㜱㔸㘱㜵㝢ㅥ㕤㡥〴㐹挷敡㍣扡㠷㔹ㅤ慢㥣㜴㡦攷攲〷愰慢㜹扡㐷〰㈱㜴㘷ㄱ㍦ㄸ㉤愱㝢㠲㤳敥㔰搳㙢搰ㅤ㘶戵昰㍦扥㠱〳㔶㔸摤㤴㐷㤷㐳㐱搲㜱㘳ㅥ摤㤱㔶挷つ㑥扡㘹㉥晥㐸㜴㌵㑦㜷っ㄰㐲㌷㐳晣㌸戴㠴敥㙣㈷摤昱愶搷搸ㄸ㈶㔸㉤搹ㄸ㈶愲㈵慣㔶攴搱攵㔸㤰㜴㕣㤳㐷㜷戲搵㜱戵㤳敥㕣㉥㥥㘳㐵㐲户〶㉤㘳搷戰摦ㄹㅢ挳㜴㈰㠴㙥㉤昱㌳搰ㄲ扡㜵㑥扡挷㥡㕥愳扡扦户㕡昸ㅦ㝦扥〶㔶㔸㕤㥥㐷㤷愳㐳搲㜱㔹ㅥ摤㤹㔶挷愵㑥扡つ㕣㍣㐷㡦㥡慦㙥ㄵ㄰㐲户㠹㜸づㄷ〹摤昹㑥扡ㄹ搳㙢搰㥤㙤戵昰㍦敥㐰挰ち慢ぢ昳攸㜲㜸㐸㍡㉥挸愳㝢愲搵㜱扥㤳敥㈲㉥㝥㉥扡㥡愷㕢〷㠴搰㍤㠵昸㜹㘸〹摤㈵㑥扡つ愶搷愰换㌱㈱㘲㘴搳㔰㑤㘸〹慢戳昳攸㜲㝣㐸㍡捥捡愳扢挰敡㌸搳㐹昷っ㉥晥㘴㜴㌵扦㌱㉣〶㐲攸㥥㐵㍣〷㡣㠴敥搹㑥扡愷㤹㕥㘳摢攵㈸㤱搰㤵㙤昷っ戴㠴搵㤲㍣扡ㅣ㌱㤲㡥㔳昲攸㥥㘵㜵㉣㜶搲㍤㡦㡢㍦ㅢ㕤捤㔷㜷㈹㄰㐲昷〲攲捦㐷㑢攸㕥攸愴㝢愱改㌵慡㝢㤱搵挲晦昸慡㔵㔸㘱㌵㍦㡦㉥㠷㡣愴愳㈹㡦敥㌲慢愳搱㐹㜷ㄹㄷ㝦㈹扡㥡慦敥㜲㈰㠴敥㘵挴㕦㠹㤶搰扤摣㐹昷㙡搳㙢㔴昷ㅡ慢㈵搵㕤㠱㤶戰慡换愳换㐱㈴改愸捤愳扢搲敡愸㜱搲扤㡡㡢扦づ㕤捤搳扤ㄱ〸愱㝢つ昱㌷愳㈵㜴㔷㌸改摥㙡㝡つ扡户㔹㉤愱换㈱㈴㘱㌵㍢㡦㉥㠷㤵愴㈳㤳㐷昷㜶慢㐳㜷搲扤㥥㡢晦〳扡㥡摦ㄸ搶〰㈱㜴㙦㈴㝥㉤㕡㐲昷㈶㈷摤扢㑤慦㐱昷ㅥ慢㈵㜴敦㐵㑢㔸㥤㤰㐷㤷攳㑡搲㌱㉢㡦敥晤㔶挷㑣㈷摤摢戸㜸㡥㍢㌵㕦摤㠷㠰㄰扡慢㠹㝦〴㉤愱㝢扢㤳敥㘳愶搷愰晢戸搵ㄲ扡ㅣ㔵ㄲ㔶挷攴搱攵㐸㤳㜴捣挸愳晢㤴搵㜱戴㤳敥ㅡ㉥㥥㈳㔱捤㔷㜷〳㄰㐲㜷㉤昱ㅣ㝡ㄲ扡敢㥣㜴㥦㌱扤挶慥昶ㄷ慢㠵晦昱搷挰㘱㠵搵攴㍣扡ㅣ㙡㤲㡥㐹㜹㜴户㔸ㅤㄳ㥤㜴敦攳攲㥦㐳㔷昳㜴㕦〴㐲攸㍥㐰晣换㘸〹摤〷㥤㜴晦㘶㝡つ扡ㅣ㕦㈲㐶㙡慤㕥㐵㑢㔸㡤捤愳换戱㈶改ㄸ㤳㐷昷㜵慢㘳戴㤳敥㈳㕣晣ㅢ攸㙡㥥敥㔶㈰㠴敥㘳挴㜳昰㐹攸㍥敥愴扢摤昴ㅡㅢ〳〷㤸㠴慥㙣っ敦愱㈵慣㠶攷搱攵㘰㤳㜴っ换愳晢㠱搵㌱搴㐹昷㑦㕣晣㠷攸㙡㥥敥挷㐰〸摤愷㠹晦〴㉤愱扢挱㐹昷㕦愶搷愰晢愹搵ㄲ扡㥦愱㈵慣〶收搱攵㘸㤳㜴ㅣ㥥㐷昷㜳慢㘳㠰㤳敥㌳㕣晣ㄷ攸㙡㥥敥㔷㐰〸摤捤挴㝦㠳㤶搰㝤搶㐹昷㍢搳㙢搰晤摥㙡〹摤ㅦ搰ㄲ㔶搱㍣扡ㅣ㙥㤲㡥㐸ㅥ摤㥦慣㡥戰㤳敥ぢ㕣晣捦攸㙡㥥敥慦㐰〸摤㤷㠸攷昸㤳搰㝤搹㐹户搴昴ㅡ㜴㌹挶㤴摤ㄸ㌸戶㈴慣づ捤愳换昱㈶改攸㥦㐷搷㘳㜵ㅣ攲愴晢㉡戳㜲㍣慡㜹扡㕥㈰㠴敥敢挴㜳〰㑡攸扥㠱㌷昶挵て〷㥢㙣㠲ㄵㅣ㘴㤲ㄶ㔶戴㐴昹搰ㄲ㔶扤昲攸㜲挰㐹㍡㝡收搱攵㈰㤴㜴昴㜰搲㝤㥢㔹㌹㈰搵㍣㕤づ㐳〹摤㜷㠸攷〸㤴搰摤㡥㌷㌶㕤㡥㌶㘵改㜲㤴㈹㑢㤷愳㑢戲昰慥㜹㜴㌹攲㈴ㅤ㤵㜹㜴㌹ち㈵ㅤ〷㍡改㝥挰慣〷挲㌴㑦户ㅢ㄰㐲昷㈳攲㌹〴㈵㜴晦㡥㌷㌶摤ㅥ愶搷㌸㤰㜱㤸㈹㑢㤷挳㑢戲昰㝤昲攸㜲挸㐹㍡㝥㤷㐷户㡦搵戱户㤳敥㍦㤹㤵㐳㔲捤搳攵㐰㤴搰晤㤴㜸㍦つ㌴搶㍥挳ㅢ㥢㉥挷㥢㠴㈰㜷慥ち㡥㌳㘵改㜲㝣㐹㔸敤㤶㐷㤷㘳㑥搲搱㈵㡦㉥挷愱愴愳戳㤳敥づ㘶攵㤸㔴昳㜴㌹ㄲ㈵㜴扦㈲㥥㠳㔰㐲昷㙢扣戱改㜲挰挹㈶㔸㌱挸㙡挹㤱㠱〳㑣戲昰づ㜹㜴㌹攸㈴ㅤ敤昳攸づ戵㍡扣㑥扡摦㌳㉢〷愵㠴慥㝤㠵愶搹敦㡣㙢戵㤱㐰〸摤ㅦ㠹攷㈸㤴搰晤〹㙦㙣扡㘳㑣慦戱㌱㜰攸㈹㑢㥥㘳㐶晣昳敦愵ぢ㔵敡㠴昴〹㈷晣㔰搱戶㜲㥦戶㌳〶㜷戸昶扤㉤ㅦ㉣㝦昵戸㠱晦昸攵晡敢㕦晤㘸昹昳扦㍣㔱㌵昰㉦户摥扡㘹捣㑤捦㝦搰㈵㜳㜳改㐳㍦㡣扢㜹㐹㘰敥㤲㤳㌲搳晡ㅣ戹攴㤸ㄳ㈷〵㈶㜶敥摢愶㑤扢㜶㍤㜷摢扣㜷㉦摦ㄹ㈷㍤愲㥥㝥㙢慦扡戲㠹㔸㐰ぢ〶㙤挸攸㌷㡥戰晣捣ㄵ㤲㘱ㄶ㙥㔷扦愰挵ㅦ㡥㙥昹㈶愳㈱愳㝢晦挱ㅢ敤㔷㤸㡥愵ㄵㅣㄲ㘹捤㔵㔶㌲㠶㠲挵㙢㍢戱㈴晥〸ㄷ㡥愵〸㤷㤲昶攸㔲㌰攰挲昱㡥㔶攵㌲ぢぢ㤰㉤愲ㄴぢ戴戹㜰愰㐴戸戴㈱㤷戶〶ㄷづ㘶戴㉡㤷㡣挵愵捣挹㠵愳㈰挲挵㐳㉥敤っ㉥ㅣ愹㘸㔵㉥摣㡤戸㘹㙡攵㔸愰㤲㠱づ㔴㐷搳㥣捣㌸攰㈱捣扣㘴搶摥㘰搶搰摡捣㘴ㄴ㠳㕣㍡㌸戹㜰㌴㐳戸㜴㈴㤷㑥〶ㄷ㡥㌸戴㙡㤵㑥挱〲㘴敢愹㜰㜲㔹㘲㜱昱㤱㑢㘷㠳ぢ㠷ㄳ㕡㤵换㔹ㄶ㤷㉥㑥㉥ㅣ㠷㤰扡散㐶㉥扢ㅢ㕣㌸㔶搰慡㕣㘴㜰㠱ㅡ敤攱攴㜲愱挵㘵㑦㜲搹换攰挲㠱㠰㔶攵㜲ㄹㄶ㈰ㅡ敤敤攴挲ㄱ〴愹换敦挸㘵ㅦ㠳ぢ慦昲㕢㤵㡢っぢ戰㉥晢㍡戹㜰㜸㐰戸散㐷㉥晢ㅢ㕣慥㙦㙤㉥㌷㘲〱㔲㤷〳㥣㕣㙥戲戸ㅣ㐸㉥㤵〶ㄷ㕥㥦户㙡㕤攴㠲㥥㜵改敡攴㜲扢挵愵ㅢ戹ㅣ㘴㜰㔹搳摡㕣搶㘲〱㔲㤷敥㑥㉥扣㙡ㄷ㡤づ㈶㤷ㅥ〶ㄷ㕥㔹户㙡㕤攴㔲㥣㜵改改攴挲㑢㜲攱搲㡢㕣㝡ㅢ㕣㜸搹摣慡㕣攴㍡㥢㕣晡㌸戹㍣㙥㜱改㑢㉥晤っ㉥㝦㙡㙤㉥㜲ㄱ㑤㉥㠷㌸戹㙣戰戸昴㈷㤷㐳つ㉥捦戴㌶ㄷ戹㐲㈶ㄷ扦㤳ぢ慦㤴㐵愳〰戹〴つ㉥扣㥡㙤㔵㡤㡣换㕦㉣㌰攴攴昲戲挵㈵㑣㉥ㄱ㠳ぢ㉦㔵㕢㤵㡢㕣摢戲㉥㔱㈷ㄷ㕥攳㑡㕤㘲攴ㄲ㌷戸扣摤摡㕣攴挲㤵㕣ㄲ㑥㉥摢㉤㉥㠷㤱换〰㠳换〷慤捤㐵慥㑡挹攵㜰㈷ㄷ㕥㥤㑡㕤〶㤲换ㄱ〶ㄷ㕥㐱戶慡㐶㜲挹㐹㉥㠳㥣㕣㍥戳戸っ㈶㤷㈱〶㤷ㅤ慤捤㐵慥㈷挹㘵愸㤳ぢ慦㉢愵㉥挳挸㘵戸挱㠵搷㝥慤㕡ㄷ戹㔸㈴㤷ㄱ㑥㉥扣㘸ㄴ㉥㈳挹攵㐸攱愲攴敡㡡搰㔱㘸昳㜳㠳㉦ㅦ慦戲〸敤搸㔶昱搲㑡慥㙢ㅦ晥挶㤸扤㌰ㄴ晥㜲㔵愲㜸戹㈵ㅤて㤹ㅤ㍥㜴㘸㘳㤱挶挷ぢ㈳㌳㥣㔷㐳㠲㝡㌰㉦㥣㔷㐸搲昱㠰㌳㝣㍣挳㜹㉤㘳㠶昳〲㐶㔰昷攵㠵昳愲㐶㍡敥㜵㠶㑦㘲㌸㉦㍦捣㜰㕥㜳〸敡敥扣㜰㕥㠷㐸挷㍡㘷昸㔴㜸㤵㕣㌱㜰㔵愶戱㠵㌷㔲ㄱ㕥㌹㤸㐹㜹戹㈰戱㙢昲㤲昲ㄲ㐲㍡敥㜴㈶㥤〱慦㡦㈷晢㘶㌸捦昰〵昵㠷扣㜰㥥昵㑢挷敤捥昰摦㌳㥣攷攷㘶㌸㑦捡〵戵㉡㉦㥣㈷敡搲㜱㥢㌳㝣㈶挳㜹㑡㙤㠶昳㍣㕡㔰户攴㠵昳摣㕡㍡㙥㜶㠶㈷ㄹ捥戳㘰㌳㥣愷扥㠲扡㌱㉦㥣愷挳搲㜱㠳㌳㍣捤㜰㥥戸㥡攱㍣㕢ㄵ搴㜵㜹攱㍣㠳㤵㡥㤵捥昰搹っ攷戹愶ㄹ捥ㄳ㑣㐱慤挸ぢ攷㐹愷㜴㕣攳っ㍦㤱攱㍣㍤㌴挳㜹㑥㈸愸慢昲挲㜹㥥㈸ㅤ㔷㍡挳㙢ㄹ捥㌳㍡㌳㥣愷㜱㠲㕡㥥ㄷ捥㔳㍢改戸摣ㄹ㍥㡦攱㍣〹㌳挳㜹收㈵愸㑢昳挲㜹㌶㈶ㅤ换㥣攱㡤っ攷㜹㤳ㄹ捥㤳㈵㐱㕤㥣ㄷ捥ㄳ㈸改戸挸ㄹ扥㠰攱㍣搵㌱挳㜹㝥㈳愸ぢ昲挲㜹捥㈳ㅤ攷㍢挳ㄷ㌱㥣㘷㈷㘶㌸㑦㐹〴戵㌴㉦㥣愷㈹搲㜱慥㌳㝣〹挳㜹㐲㘱㠶昳㉣㐲㔰㘷攷㠵昳捣㐲㍡捥㜲㠶㥦捥㜰㥥〳㤸攱晣攰ㄷ搴ㄹ㜹攱㍣ㄹ㤰㡥搳㥤攱㘷㌱㥣ㅦ摢㘶㌸㍦慢〵㜵㙡㕥㌸㍦扦愵㘳㠹㌳晣㕣㠶昳㤳搶っ攷挷慢愰ㄶ攷㠵昳㈳㔷㍡ㄶ㌹挳捦㘷㌸㍦ㅣ捤㜰㝥㈲ち敡攴扣㜰㝥㑡㑡挷〲㘷昸㐵っ攷攷㤹ㄹ捥て㌱㐱㌵攵㠵昳㠳㑤㍡ㅡ㥤攱换ㄸ捥㡦㈰㌳㥣㥦㍢㠲㍡㈹㉦㥣㥦㐵搲㌱捦ㄹ㝥㌹挳昹愹㘱㠶昳愳㐲㔰㜵㜹攱晣昸㤰㡥㕡㘷昸㤵っ攷㈷〹挳戵慢昰〶㜳敥昸㤱㈰㘳㤸㔷攳㡤攲ㄱ㕥㕡搷戰挵〳戶戴㔶戰挵攳慦戴慥挵ㅢㅦ㡦扦㤲㘷㈵摥㈰てて愴搲㝢ㅤ摥㈸ㅥㄷ愵㜵㍤㕢㍣捣㐹敢〶戶㜸搴㤲搶㡤㙣昱㈰㈴慤㥢搸攲㌱㐵㕡㌷戳挵㐳㠴戴㙥㘱㡢㝢扣戴㙥㘵㡢㍢戰戴㙥㘳㡢晢愳戴㔶戱挵摤㑢㕡慢搹攲摥㈲慤摢搹攲挶㉦慤㍦戰挵㙤㔹㕡㜷戰挵㑤㔳㕡㜷戲挵㉤㑤㕡㙢搸攲㠶㈳慤扢搸攲㜶㈰慤戵㙣㔱㔶㘹慤㘳㡢㉡㐹敢㙥戶㔸㜴㘹摤㠳㌷㘵㉣㝡㌳ㄳ摦㈶敡つ㈹扤慥愹扡㐶攷挴㍢㝣㑥㤷㜴慣ㅤ㌶扦戱愹摥㤸ㅢ搸㔸㈶戳〱ぢ㘷ぢ㜶㈱扣㙦づ搴㙢戸㘸㉢㡣户昶戴挱昶㘶ㄷ攷ㄹ晥㕦攷っ戶㠳收㝣攱㐱捦〳㥡㥦㌶㘸㑣ㄹ㙣ㄹ捡㥣㉦㜸㉦慡挳扦戶㠵〹㠳搹户搲㔶戲㜵愲㐷扢㤶〳晤收㡦㤲慤ㄴ㡤㕣慦㙣慤〵㕥㙥戵㍣㔹挸挵㜲敢愵㈸摡晤搹㘵㘷摦ㅡ换㤶㉤扡㈰㔲戶散〲慦㙣攱〵㕥搹搲ぢ扣戲挵ㄷ㜸㘵换㉦昰捡ㅥ㔰攰㤵㍤愱挰㉢㝢㐴㠱㔷昶㡣〲慦散㈱〵㕥搹㔳ち扣戲挷ㄴ㜸㘵捦㈹昰捡ㅥ㔴攰㤵㍤愹挰㉢㝢㔴㠱㔷昶慣〲慦散㘱〵㕥搹搳ち扣摣攳ちㄴ慦攰㤶挵㙤㠸摡攲攷扤㐱㉢慦攵捦㍦〷扤昰㍣㝦㍥ㅢ㔴㐱晤㥢㐵戴晦㝦扢㌳㉥㑣</t>
  </si>
  <si>
    <t>㜸〱捤㝤〷㤸ㄳ搵晡晥㥥㠵ㅤ㜶㐲搹〸ㄶ慣㉣㠸㠸愲㤸散愶慡㈸戰昴㉥㈰㔸㄰㐸㤹挸攲ㄶ摣㐲戳㤷㙢ㄷ戹愰愸挸㐵慦㈲㉡㈲㘲戹愸搸㔶㥡攵ち㜶㔴㐴㐴挵敥戵㈲㉡㉡晥摦昷捣㥣散㈴㤹㠴晤昹扦晢㍣㜷㈱㕦收㝣敤扣攷扣㌳㤳㈹摦㈴㜹㈲㉦㉦敦㑦晣昱㥤㝦㉤戹㜰挸㤸㔹戵㜵㐶㘵捦戲敡㡡ち㈳㔶㔷㕥㕤㔵摢戳㑦㑤㑤㘴搶戰昲摡扡ㄶ㜰搰㈶㤵挳㕥㕢㌰愹戶㝣戶㔱㌸㘹扡㔱㔳ぢ愷㠲扣扣挲㐲㍤ㅦ昶〳慤㤷㕢㌵㜴㐶改㉤㈹攰㤵愷㙢ㄴ慤㈸ち㈹㜴ちㄷ㐵㙢㡡㌶ㄴ㙤㈹摡㔱ㄴ㔱戸㈹昶愱㘸㑦搱㠱㘲㕦㡡晤㈸昶愷㌸㠰愲㈳〵晢搷て愲㌸ㄸ愲捤㈱㄰㘳换晡㡥㡣㑥挵㘸挶搴㔵搷ㄸ挷ㄴ㡦㌳㌱昷昲㝡㝢㝡㝢晡晣摥㤲㥥㥥㘳㡡换敡㉢敡敡㙢㡣㕥㔵㐶㝤㕤㑤愴攲㤸攲㔱昵搱㡡昲搸㔰㘳搶搸敡㜳㡣慡㕥㐶搴㔳ㅡ㡤昸㐲㕥㥦摦㥦〸㠷㐳㙤づ㐵收ㄱ㘵㝤㐷搵ㄸ㠹摡晦㔶捥挳㤸㜳㘴㔹摦㥥㈳㡣扡晦㔶捥㑥挸㠹㤴晤慡㉢㈳攵㔵晦愵愴〵攴戴戴㥦ㄱ㉢㈷昹㠶㔱㔳㕥㜵㜶㑦挰㑥㤹㘸戴㠲㍤〷㘰挶㘳㤱摡扡㌲愳愲㘲戴㤱㈰敦㙤㉡㌹㘷㐶㡤㔱ㄵ㌳㙡摢㔵昶㥦ㄹ㌳㉡㉣㜳㙤㘱攵戸㐸捤㠸㐸愵搱㤲ぢ㐵㤵㈶㙦㠳攳㐶㔵㕤㜹摤慣戶㤵愷搶ㅡ愳㈳㔵㘷ㅢ㜴㈹愸ㅣ㔸㕦ㅥ㙦搹㔲戴㙣㤹搷攲㐸㈷㌰㤲㥢㥥〳㙡㘲㘵㔳㈲㌵㜵戲㐵搶扣㑥扥戶㌵㐴〲㑦㠱挵戵愸㌸㉤㡡㌴㡤㈹慦ㅣ㙡搴㔴ㄹㄵ散㠴攴昵㐸㜳㤲㜳㘲㑥㝤㜲㜲搴㘸㐸㡣㘸㙤㙤㙦ㅣち㝢搱㡢㈹㍡㐳㘸㕤㈰摣扤晡昶敤敡つ㜶敢㜲㝣㜱㤷㙥㕤晢㠴扤晡攱戴㜷㠵㄰㉤摦挳挶㙢㡦攷〶㤴㍦㈹㤲㍦㈹㥡㍦㈹㤶㍦㈹㥥㍦挹挸㥦㤴挸㥦㜴㜶晥愴㈹昹㤳捡昳㈷㑤捤㥦㜴づ㝣搴㕦㘱慢㔶昹搶摦晢ㄷ摥㜷昹㈳㠷摣㌲攲昲摥㐵㡦㔷㑥ㄸ戵㐳㜰㝢㤵ㅢ㙥㌷㉣攸㐷㐲㘸摤㈱昶㐹挵攳昵〴昴愳攸㜰㌴㠴㄰㙦〱㄰㐱戹㡥ㄵ摦搶ㅦ㜰㘹敦晢㑦㝣昱慣〳挶㡣昸㕥㜰挳㤷搹㡥愱昳戱㄰㕡㑦㠸戴搱㠵㐲晡㜱戴㝢㈰㠴㜸挵㑡昶㘴搷摥ㅦ㥦搹㘷㔱晦㘵㡦昵㍥㝦㠷㜶㤴㉥戸〳㤱挹㑡攸㕣ち愱昹㈰搲㤲㠵晤扡㥦昶〰㠴㄰㉦㕡挹㘲㡢㡥敢晤㜶扢晤晢㕥搲愷晦慥摡づ㔷㑥ㄶ㕣㈱㘵戲㄰㥤挳㄰摡昱㄰㘹挹㐲〱晤〴摡㑦㠴㄰㘲慤㤵㙣昴っ攳改挳㜷㙣ㅣ昴挸敤㡦ㅤ㌸攱戹㙢ㅥ㄰摣愱挹㘴㈷搱昹㘴〸慤㌷㐴挶愴㠵昴㍥㜴攸ぢ㈱挴搳㔶戶ㅢ敥㌸攲扢ㅤ㙢㕡つ㕦ㅥ扡㙦敢㠳昳㉡㙡〴昷㡣㌲㕢㍦㍡昷㠷搰〶㐰愴㐳昳改〳㘹ㅦ〴㈱挴㘳㔶戲㔱㤱挹㤱挰愸昷㠷㕦戹攱搹㐷摡っ㔹㝣愵攰ㅥ㔶㈶ㅢ㐲攷愱㄰摡㌰㠸戴㘴攱㔲㝤㌸敤㈳㈰㠴㜸㐸㡤㜳敥扣ㄹ㉢扦㌶晡慥㙥晤摣㡢㉦慥㌹㙦慣攰㡡㈶㤳㡤愲昳㈹㄰摡㘸㠸㡣㜱㝡昴㌱㜴ㄸぢ㈱挴晤㔶戶㌶㡢㉦㍤晡扣㔳〷づ㥤㕦㜳愶慦㘱㙤㠷て〵㜷昹㌲摢㌸㍡㡦㠷搰㑥㠳挸挸㔶慡㥦㑥㠷㌳㈰㠴戸摢捡㌶昴昷㑦㑡㜷捤㤹㍦昴愶敢ㄷ扤戶捡昳挵户㠲㥦ㅤ㌲摢〴㍡㥦〵愱㑤㠴㐸ㅦ㘸㔸㥦㐴晢㘴〸㈱㙥户㤲㍤㌱敤搰扦摦㜶搹㉤㈳㤷㜷㝦㝤摦戵ㄵ㥤扡ぢ㝥〶挹㘴㔱㍡挷㈰戴㌸㐴〶㌴慦㙥搰㈱〱㈱挴慤㔶戶㍦愶搶㙣㍥㜰扤㘷攰搲挸〵㉦ㅥ搲㝢㐶㉢挱て㌳㤹㙤ち㥤换㈱戴愹㄰改搰㑡㜴㙥愴㝡〵㠴㄰昳慤㘴ㄳ㍥摢㍡晥昱昵晢て晣攷㙤㤵㐵㌷㝦㝣㜰㑦挱て㐵㤹慣㡡捥搵㄰摡㌴㠸戴㘴愱戰㝥㉥敤㌵㄰㐲㕣㙦㈵㙢㤸㌹㜰㠰ㄸ搶㙥挴戵㜷挴㑡〶晦扥攰ぢ挱て㔷㤹慣㡥捥昵㄰摡㜴㠸戴㘴㘱㥦㍥㠳昶㤹㄰㐲㕣㘹㈵㥢戱㜳搵㥣ぢ敡㤷づ戹㘴晤㐵㡦捥㤸昹攱㥦㠲ㅦ搲㌲搹㙣㍡㥦〷愱㥤て㤱㥥㉣愰㕦㐰晢㠵㄰㐲㕣㘲㈵换㉢晣攰㥤昷㌶㝥摡㘷昵㐷换㘳户㝦扤扤慦攰㠷扤㑣㜶㌱㥤㉦㠱搰㉥㠵㐸㑦收搱㉦愳晤㜲〸㈱捥戳㤲㠵㙥晢㜱㕣㥦㕥敥㍥㌷㝣㜰㘸㕤㡦㑥晢ㅣ㈵㜸搰㈰㤳㕤㐱攷㉢㈱戴慢㈰搲㤳〵昵慢㘹扦〶㐲㠸㝡㉢㤹㝦攸㡣ㅢ㔶㔷晦㌸㘰搱〳搷㥦搷㈹敦愹㐵㠲〷ㅦ㌲搹㜵㜴扥ㅥ㐲㥢〳㤱戱㙥㤴攸㌷搰㘱㉥㠴㄰搵㔶戶㥦搷ㅦ㔷㜸捥㘵敦㤶摤㜳搳ㅦ慢㔷㍥晤捦〲挱愳ㄸ㤹㙤ㅥ㥤攷㐳㘸㌷㐲愴㐱ぢ〵昵㥢㘸㕦〰㈱㐴戹㤵慣㐳㤷㜱㙦晥扤敤慢㐳ㅦ㥣㍡攰㠴慤攷搶㜶ㄶ㍣ㅡ㤲挹㙥愱昳慤㄰摡㐲㠸戴㘴攱㤰㝥ㅢ敤㡢㈰㠴㠸㔹挹摡晦㥣㔸戴昲昳ㄹ㘵昳捦㍥㙢㜷摤㙦挷㉤ㄱㅤ㘱㤶挹ㄶ搳昹㜶〸敤づ㠸戴㘴㈱扦晥㑦摡敦㠴㄰攲㉣㉢㔹㔱㕤挷晥敢㘲㌷昶扢㍢㜴㐸敤㥤昵愷摣㈶㜸㜴㈶㤳㉤愱昳摤㄰摡㔲㠸㡣㐹昳改昷搰攱㕥〸㈱挶㕢搹ㄶ敥㍥㘸昰攰昷㝢つ㝥戴㘶搳㥦㐷㉤㝥戹慤㌸〸㘶㤹㙤ㄹ㥤敦㠷搰㤶㐳㘴㘴昳敢て搰㘱〵㠴㄰愷㔸搹敥摣㜴昷昶昹晤挷て㥤㝢攸愵㡦晤扥晡㤳㝥㠲挷㡢㌲摢㑡㍡㍦〴愱㍤っ㤱㤱㉤愸㍦㐲㠷㐷㈱㠴ㄸ㙡㘵㍢攱摢挸扦攷摥扡㜹昸搵愷て戹㘳㜶换㡥㜹㙤㔶挱㝣㡡昵攱摥慦㈶㌲〳㐷㐸㡤〷㕦㌸攲攴扦扤ㅦ㜵攲愰㌳攱㑦〴ㄳ㕥㙦摣敦㠹㤴㐶ち㡡㤱戶愹挷㍡㕣摤摢㈴挶㤷㔷挵慢㘷挸㠳㥦㌶㠹〱攵ㄵ㜵㐶㡤㙣ㄴ㈵昰㘶ㅥ挰挹㜶摢㐴晦㤹㌸昲㡤㤹挷㐹晢㈶捡㡣㥡㍡ㅣ㌱搶捤㙡㍣㜸㍡愴㙦愴搶㘸㙣昶戰㜲昷慤慥慦㡡搷ㅥ散㙣ㅣ㔳ㄷ愹㌳づ㑡户㌵㈶挹〸ㅢ㠳愳㐹愳㔶㐲㍡㉣㍤㙣㕣愴愲摥攸㌳戳摣㌴ㅦ㥡㘶挶㜱㘵㜵㌴扢㜵㐰㡤㜱㙥搲㥡㠱愸て㑥㜶愶换摣ㄹ愳㌴㑤㈶慥攲戲㈹搵戵㐶㤵㠴搷愳㜲㔴㜹散ㅣ愳㘶㡣挱㔳㈵㈳㉥㠷扡ㅦ㑤搶挱㙤㡦㤱㔵ㄸ㈸づ㔷攳㕤散㕡㑥戴㔱ㄵ㌷攲挰㍢つ戳㍣㙢㙣㈴㕡㘱散㥦攲㘲昶〹挳㠱㈹敡〱搵戱晡摡戲敡慡扡㥡敡㡡㔴㑢㥦昸昴〸づ愸攳挳慢攳㐶㑢昹㤷㘷㑡㤱搷愲㠵㄰㜹摤㥤㡥㑣㤹扢㤶挷慥戶㤵㠴㐷挸戹㥤㙤㉢ㄱ㥤ㅤ㡦㜹㤳㤹戱㘰㕢挹攸㝦㔴㑥㈴昶㤵㤰摥㥥㥣摥づ㉢㈹㠳㍡愶㙥㜸㍤㐷㠳ㅦ昰㔰㘱㜰慢捣敦㥡㍤㘵攳㝡戹ㄷ愴㌶㔶㜸㘶㑣敦ㅣ㤳㈶搳㈶搷扤收㜵捥捦敦㘰㡤扥晦㜴㥣㌶つ㡡㔴挵㉢㡣㥡㥣攷昵㠲㠸昴挷㈸ㅥ愷㜸㠲㘲㌵挵㤳㄰〵晤戰㡦换㍡愳㉤攱㈱㘶㡡㔹〵㌳捡攳㜵㔳戴㈹㐶昹搹㔳敡愰挳昵㠰挲㐲㑥㜷挶㥦晥㌴㔴晡㌳ㄴ捦㐲戸㕣㜹㕡〳摥昳㌴㤷晥ㅣ摦搶㐰ㄴ愹昳挶㘲㜳捤㜴㠹㠲捥㔰晦摦捦摣昲ㄱ愵换ㄳ㐵㥣挹搷ㄶ㔴㈲㙦㙤㡢ㄶ㑥戳㌱㈸㔲㍢愵㡥ㅢ㘲㙥㈳昳慤愵㔸〷搱㘶㍤挴㠸㐱㐶〵㌶攳晦搶㐵㠰㠲挳㤱㜳慦㈷㥢㍣挸摡扦㜲捣慣慡搸㤴㥡敡㉡㕣㡡改ㄷ愹㡢昴㠹攱㡣扡㔶㐴戴捡㘱搵㘵昵㜵㕡攵愰㜲扣戵愹ㅣ㙤㑣㌳㈲㜵㘵搸㑤搷戵慤ㅣ㠶戳㜱戹ㅦㅤㅣ㥦㔹㔰㘹㥥㐸昷㌳㙡㘳㍡捦戸〷㘳户㌴㔳挳ㄲ昶戳㙤㉡戹愳㌱㘶搶㌱㜵慢捡㔱ㄱ㥣戱搷改㜰敡㈱愳捣㈵㐶戶㤵㍡ㄵ敤戲㕡挸攰㤶㡢戶㉣慤愵挲捣㤴挷㌵〷㥦愰昸搰㙤㘹挹昴㉤攸搴扡昲㡡摡㥥搶昴昶散㔷㡤㉢㌲㠶扣ㄸ挵㘹搷㌴慣㘰㕡㑥戲搲㌷㜴㥥戲㡦㡣㐵捤戴㠰㌲戰愶扡㝥摡㘱挸昵摦捡挳㕣㜹晡〶㠸摢扦㕦㜶挲ㄱ晦㜸昰㑦敢晤㈲㙣㐲昲㑦敦㐲㡦〶〸㌶昱㈶晦昴ㄷ昱收捡㘵㉢攸ちて挷㍤㙤㤶慢ぢ〵昰㙦㔳㠹搱㡥慤㌱攴攵㤲㐲搹㤸㌵捤㘸㕢㌹扥扡收㥣㘸㜵昵㌹㈴扦㥤㙣搵㑥㌱㡣㍡㕥㠳㘸㙤㕤㜲攱戲㄰愲㐵㡢㤴ぢっ戶㡢ㄵ㥤㤰㕦摢〸搱戶㑦㐵㐵戱捡㔸慢㙤㠲慡〵㍥㔱戴㔷戰搰㙤㐸愴慡戸挴㔳攲㉢㉥ㅢ㌳扡㑦㌱㉥ㅣ㑥慢挰攱㐰昱攸晥攳㍣挷ㅥ㝢㙣扦㘱㘳㝡捥慣愸㥤㈹㍣㤸ぢ㕥㌸㔸㔳㌰敢捥搰ㄵ㜹扤㥦昸攴改昶慤㕥摣㔸㉡㡥戳っㄹ搷㈷扡㈱㝢㌱㕥晡敢ㄴ㙦㔰扣㐹昱ㄶ挵㘶〸㜱ㄴ㐲戹攷挲㜲敡㥦晥づ摡晡扢ㄴ㕢㈰戰晦㤱㝣㘰昷戳㤵㍡敥㝥㕣㐲ㅣ㠹㌷敥㜲昴㙤ㄴㅦ㐰㠸愳㈰戸㜱收改摢㈱戲㌲摣㥤ㅥつ㄰攸㍣搹扢晥㌱ㄴ㉥㍤㠷㑤ㅣつて戲慣㜳㔶㜵捥愳捥㌹ㄴ晢㈳㡤攳攴散㘷ㄹ㌲㉥户ㅣ㠳戰㘲挶㝦㑤昱ㅦ㡡㙦㈸扥愵昸づ㐲ㄴ㈱搴㜹㜲㝥愰捦㡦ㄴ㍢㈱㙣㤳戳㡢㍡㙢㜲㡥挵戲㥣㥣㕦愸晣ㄵ㐲ㅣ〷㘱㑥捥㙥㉣㘵㥤㥣㥥っ㘸㠰〰㠰挶挹昹〳ち㤷㥥挳㈶㍣昰㜰㥡㥣摦昷㘴㤹㥣摦㉣㐳挶攵愳ㄲ㘴㉡挶㑢搷〴㐴㉢㡡㐲ち㥤挲〵㈱㝥㐲愸昳攴戴愱㑦㕢㡡㜶㄰戶挹㜱㔳㘷㑤㑥㈹㤲㜷㘶〷敤愹散〰㈱晣㘸㥡㤳戳㉦㥡㔹㈷挷挷愸〶㠸㤴挹㌹〰㈱㉥㍤㠷㑤〴㄰攲㌴㌹ㅦ㘵㥢㥣て㉤㐳挶攵戰㄰㌲ㄵ攳愵ㄷ愳㔳扤㌳㐵ㄷ㡡挳㈹扡㐲㠸昷戲㑥㑥㌷晡ㅣ㐹搱ㅤ挲㌶㌹㐷㔳㘷㑤㑥ㄸ挹㍢戳㠳㘳愸㍣ㄶ㐲㥣㠰愶㌹㌹㍤搱捣㍡㌹挷㌳慡〱㈲㘵㜲扣〸㜱改㌹㙣攲㐴㠴㌸㑤捥ぢ搹㈶攷㜹换㤰㜱㜹敦㈴㘴㉡挶㑢㍦ㅥ㥤敡㈷㔰㥣㐸搱㡢攲㈴〸昱㕣搶挹改㑤㥦㍥ㄴ㝤㈱㙣㤳搳㡦㍡㙢㜲㑥㐶昲捥散㘰〰㤵〳㈱㐴ㅦ㌴捤挹ㄹ㠴㘶搶挹改捤愸〶㠸㤴挹ㄹ㡡㄰㤷㥥挳㈶晡㈲挴㘹㜲㔶㘴㥢㥣〷㉣㐳挶搵捡㝥挸㔴㡣㤷㍥ㄶ㥤敡愷㔲㡣愳ㄸ㑦㜱ㅡ㠴戸㈷敢攴㥣㐱㥦㌳㈹㈶㐰搸㈶㘷㈲㜵搶攴昴㐷昲捥散㘰㌲㤵ㄱ〸挱ぢ㥦收攴㐴搱捣㍡㌹〳ㄸ搵〰㤱㌲㌹〶㐲㕣㝡づ㥢ㄸ㠴㄰愷挹戹㌱摢攴捣户っㄹ㔷㕦㠷㈰㔳㌱㕥㝡ㄵ㍡搵慢㈹愶㔱㥣㑢㔱〳㈱慥捦㍡㌹㜵昴愹愷㤸づ㘱㥢㥣㤹搴㔹㤳㌳ㄴ挹㍢戳㠳搹㔴㥥〷㈱㠶愳㘹㑥捥昹㘸㘶㥤㥣㘱㡣㙡㠰㐸㤹㥣㡢㄰攲搲㜳搸挴〸㠴㌸㑤捥散㙣㤳㌳换㌲㡣㑥扦㥡㍣ち㤹㡡昱搲慦㐲愷晡搵ㄴ搷㔰㕣㑢㜱ㅤ㠴愸捤㍡㌹㜳攸㜳〳挵㕣〸摢攴捣愳捥㥡ㅣ㕥愰敥捣づ㙥愴昲㈶〸㌱〶㑤㜳㜲ㄶ愰㤹㜵㜲㐶㌳慡〱㈲㘵㜲㙥㐵㠸㑢捦㘱ㄳ㘳ㄱ攲㌴㌹㤳戳㑤捥㈴换㤰㜱㜱㝣ㅣ㌲ㄵ攳愵摦㠹㑥昵扢㈸㤶㔰摣㑤戱ㄴ㐲㥣㥥㜵㜲敥愵捦㝤ㄴ换㈰㙣㤳戳㥣㍡㙢㜲㜸扤扤㌳㍢㔸㐱攵㠳㄰攲㜴㌴捤挹㔹㠹㘶搶挹㌹㡤㔱つ㄰㈹㤳昳〸㐲㕣㝡づ㥢㌸〳㈱㑥㤳㌳㈰摢攴昴户っㄹ搷晡㈷㈰㔳㌱㕥晡㔳攸㔴㝦㥡攲ㄹ㡡㘷㈹ㅡ㈰挴挹㔹㈷㘷つ㝤搶㔲慣㠳戰㑤捥〶敡慣挹㌹ぢ挹㍢戳㠳ㄷ愸㝣ㄱ㐲㑣㐲搳㥣㥣㤷搰捣㍡㌹ㄳㄹ搵〰㤱㌲㌹ㅢㄱ攲搲㜳搸挴㘴㠴㌸㑤捥㌱搹㈶愷㠷㘵挸戸㜷ㄱ㐵愶㘲扣昴捤攸㔴㝦㥢攲ㅤ㡡㜷㈹戶㐰㠸㈳戲㑥捥㔶晡扣㑦戱つ挲㌶㌹摢愹戳㈶㈷㠶攴㥤搹挱㐷㔴㝥っ㈱っ㌴捤挹搹㠱㘶搶挹㠹㌳慡〱㈲㘵㜲㍥㐳㠸㑢捦㘱ㄳ〹㠴㌸㑤㑥晢㙣㤳戳㡦㘵挸戸ㄵ㌳〵㤹㡡昱搲扦㐳愷晡昷ㄴ㍦㔰晣㐸戱ㄳ㐲戴捥㍡㌹扢攸昳㌳挵㉦㄰戶挹搹㑤㥤㌵㌹扣扢搳㤹ㅤ晣㑥攵ㅦ㄰㠲㜷㜵捣挹搹㠳㘶搶挹㤹捡愸〶㠸㤴挹ㄱ昹㥣㥣ㅣ㌶㔱㠱㄰愷挹昹攵㡦㉣㐷挸㍦㕢㠶㡣㕢㑢㔵挸㔴㡣㤷敥㐲愷㝡㙢㡡㌶ㄴ㙤㈹摡㐱㠸敦ㄱ敡㝣㠴捣戲て㝤ㅦ㡡昶㄰戶挹搹㤷扡㌵挸㡡㜳慢㙡扣㜵㘶〷晢㔳㜹〰㠴攰㕤㉡㜳㜲㍡愲㤹㜵㜲愶㌱慡〱㈲㘵㜲づ㐶㠸㑢捦㘱ㄳ㌵〸㜱㥡㥣㙤搹㈶攷㝤换㤰㜱慢慣づ㤹㡡昱搲扢ㄲ晢ㄱㄴ摤㈸㡥愴攸づ㈱摥捥㍡㌹㐷搳愷〷挵㌱㄰戶挹改㐹摤ㅡ㘴挵攴搴攳㑤㑥㡥㠷㑡㉦㠴攰㕤㌷㜳㜲㑡搰捣㍡㌹搳〹慢〱㈲㘵㜲晣〸㜱改㌹㙣㘲㈶㐲㥣㈶㘷㕤戶挹㔹㙢ㄹ㌲㙥晤捤㐶愶㘲扣昴㤳㠸晤㘴㡡摥ㄴ㝤㈸晡㐲㠸愷戳㑥㑥㍦晡昴愷ㄸ〰㘱㥢㥣㐱搴慤㐱㔶㑣捥㜹㜸㤳㤳㌳㠴捡愱㄰攲〲愸捣挹ㄹ㠶㘶搶挹㌹㥦戰ㅡ㈰㔲㈶㘷㈴㐲㕣㝡づ㥢戸㄰㈱㑥㤳戳㉣摢攴摣㘷ㄹ㌲㙥㘵㕥㡣㑣挵㜸改愷ㄱ晢改ㄴ㘷㔰㥣㐹㌱〱㐲摣㤵㜵㜲㈶搲㘷ㄲ挵㘴〸摢攴㐴愹㕢㠳慣㤸㥣㑢昰㈶㈷㈷㑥愵〱㈱㉥㠳捡㥣㥣〴㥡㔹㈷攷㔲挲㙡㠰㐸㤹㥣㜲㠴戸昴ㅣ㌶㜱㌹㐲㥣㈶㘷㙥戶挹戹挱㌲㘴摣㥡扤〲㤹㡡昱搲㙢搰愹㕥㑢㔱㐷㔱㑦㌱ㅤ㐲㕣㥤㜵㜲㘶搲㘷ㄶ挵㙣〸摢攴㥣㑦摤ㅡ㘴挵攴昰㙥慦㥣㥣ぢ愹扣〸㐲昰㉥慦㌹㌹ㄷ愳㤹㜵㜲慥㈲慣〶㠸㤴挹戹っ㈱㉥㍤㠷㑤㕣㠳㄰愷挹㤹㥥㙤㜲敡㉤㐳挶慤收敢㤰愹ㄸ㉦晤㍡㘲扦㥥㘲づ挵つㄴ㜳㈱㐴㜵搶挹㤹㐷㥦昹ㄴ㌷㐲搸㈶㘷〱㜵㙢㤰ㄵ㤳㜳㍤摥攴攴摣㐲攵慤㄰攲〶愸捣挹㔹㠸㘶搶挹㤹㐳㔸つ㄰㈹㤳昳て㠴戸昴ㅣ㌶㌱ㄷ㈱㑥㤳㌳㈱摢攴㥣㘹ㄹ㌲敥㥣捦㐳愶㘲扣昴愵挴㝥て挵扤ㄴ昷㔱㉣㠳㄰愷㘶㥤㥣攵昴㜹㠰㘲〵㠴㙤㜲㔶㔲户〶㔹㌱㌹昳昱㈶㈷攷㘱㉡ㅦ㠱㄰扣〹㙦㑥捥愳㘸㘶㥤㥣ㅢ〹慢〱㈲㘵㜲ㅥ㐳㠸㑢捦㘱ㄳぢ㄰攲㌴㌹㝤戳㑤㑥ㅦ换㤰㔱〹㜰ぢ㌲ㄵ攳愵㌷㄰晢㜳ㄴ㙢㈸搶㔲慣㠳㄰㈷㘴㥤㥣つ昴㜹㥥攲〵〸摢攴扣㐴摤ㅡ㘴挵攴摣㡡㌷㌹㌹㉦㔳戹ㄱ㐲摣〶㤵㌹㌹㥢搰捣㍡㌹ぢ㈵㉣㠸㤴挹㜹つ㈱㉥㍤㠷㑤㉣㐲㠸搳攴㜴捦㌶㌹㐷㕡㠶㡣捡㠶挵挸㔴㡣㤷扥㠵搸摦愳搸㑡昱㍥挵㌶〸搱㌹敢攴㙣愷捦㠷ㄴㅦ㐱搸㈶㘷〷㜵㙢㤰ㄵ㤳㜳㍢摥攴攴㝣㑡攵㘷㄰攲㥦㔰㤹㤳昳㌹㥡㔹㈷攷づ戸㘵慥㌹㕦㈱挴愵攷戰㠹㍢ㄱ攷㌴㌹敤戲㑤㑥㕢换㤰㔱愹戱〴㤹㡡昱搲㜷愲㔳晤㈷㡡㕤ㄴ㍦㔳晣〲㈱㕡㘵㥤㥣摤昴昹㡤攲㜷〸摢攴散愱㙥つ戲㘲㜲敥挶㥢㥣ㅣㄶ㕤攸〲㐲戰收挳㥣㥣㝣㌴戳㑥捥㔲挲㙡㠰㐸㔹㜳㔸㤳敡搲㜳搸挴扤〸㜱㥡㥣㥤扦㘷㌹㐲晥搱㌲㘴ㄴ㥥㉣㐳愶㘲扣昴㜶攸㔴㉦愲㜰㔳散㐳搱ㅥ㐲晣〷愱捥㐷挸晢搲㘷㍦㡡晤㈱㙣㤳搳㤱㍡㙢㜲㔸换㈲㈷攷㈰㉡て㠶㄰て㐰㜵㌸㕥㜹晡㈱㘸㘶㥤㥣攵昴㘸㠰㐸㤹㥣㑥〸㜱改㌹㙣㘲〵㐲㥣㈶㘷㑢戶挹㜹搷㌲㘴搴搱慣㐴愶㘲扣昴敥攸㔴㍦㡡攲㘸㡡ㅥㄴ挷㐰㠸㌷戲㑥㑥㑦晡ㅣ㐷攱㠱戰㑤㑥〹㜵搶攴戰㌴㐷㑥㡥㡦㑡㍦㠴㜸〴慡挳昱㐲扤㈷㥡㔹㈷攷㘱㝡㌴㐰愴㑣㑥ㄸ㈱㉥㍤㠷㑤㍣㡡㄰愷挹㘹挸㌶㌹捦㕡㠶昴戲愰〲摥㘴㑦扦捤㈹㡢㠴㤳〵ㄳ戶㔲㡣㜶㜰搶ㄲ愷㔶㤵搷搵戶㑥昴愹慦慢ㅥ㔰㕥搷慦戶慥㑤〲〲㡢㌲攴㈰㔹㕢㘰ぢ敡㤱ㄸ㔷㙥捣ㄸ㡢ㅢ㝤㥤㌲㑤愸㥦㉥慢慦慤慢㤶㜷㜰て换戴昷慢ㅥ㔱㕤搷慦扣ㄶ户改㘶㜵㜵㌰㥢㤶昱㔳㡣㉡ㄴ扢搴愰收㘵㙦㑥搵搳愶ㄹ㜱〷㡣㘳慡敢㙢㘲挶攰㝥晦ぢ攵㌲挲扣ㄵ㥤㠷扢㥤㐲攰戲㐸昶昲㄰摢扣ㅦち㙥昲㜱㠷㔴晣挵㙡㡢〶挴攷改㘵㔸昵昲㤰〴慢扡摥㡦慢愱㉢慦攰㜱愸㜲慦㈲戶〲㥣搶㜰㜶㈵㐰慢愹㙢㙢㔵㜸つ慥慡㉤㡦ㅢ㉥慢㌵扣扣慡㥤戵㌸戲扥㉥挵ㄲ㤹搹挱戲攰㌶敥挸㉡㔰ㅦ㡢搴挴晦ㄷ㔸挱挰昰㘷㔲㈲㌴晣晢㙢ㄳ㙤愶挹换晢㑥㍤攷昲摤㐵搸搸晢㕢㜳晤〴捣㡥㜷搵㤳㥢㈳ㄶ㙣昵㑢㐵昰㙦换改㑥慡ぢ搹ㅡ㙥㐴慡㈴ぢ㘳敡攲晤㡣改敤愴㠷㠱ㄵㅣ㡦㉤㔴ㄸㅤ㔲㥢戲戸㐲㑦昴㠹搶㔶㔷搴搷ㄹ敤㤲㑢㜲㐳搷ㄳ愳つ摣㈳㐷㉤㕡㥢攴搲愸㔸ㅤ慡昵㤲昹㔸㘷昶扦挳㄰㘶愴愵挵㤲㤰㍣㘹㌹㔶摥搴㐱㜰ㅢ晡㡢慣㡡扣扣㠴晣晢收㘴戱昰㔶晥摤㜷㜲㥥㕡㜰昱㉦慦㘰㌵搲㌷扤搸㡣㕢㔲〷㔵〳㘹敥攱攴捥慢㡤搲戱捥慢㙤㐲敥昷㔰捣挹㈷㔶㡡戸改㔴攰㜱愲扡昲㔸愴愲㘲㔶扢挴攰慡㔸㐵㝤摣ㄸㄶ㠹ㅡㄵ㙡㥦㕤㕤㔳昹㍦挲㔷㑢捣㥡戵㐵攵㤸ㄷ慢〲㙦㌰慡㌵㔴㘹摢㕦摥捤〹㝤〰戶㌴㙤㈰㐴㐱慦扥㘵㘱㉦〰戸昴㐱搶搶挷敡戲晦㜳㝤㥦ぢ㐱敤ㅢ慢㔳攵攳㐰搸挱㘵愸戸㘷㘳慤㔳戲㐴㔰㙥㜷㌶户㘱搵挳慡㔱扥ㄹ户愹〶㤵㥢慡晦㤹慤㑢㙥㔸㥡愶晤搵㡦ㄹ捣ㄵ晥扥戳㉡㉤戰敢㌳摢㈷昳㤳㠶㥢挸搳㘸愷㔷㐹搹づ㐷攴ㄱ㠰摣ㄵ扡攱㔸挴晤㤸㜹昸㌰戶扣慥挲㘸㥤㤰㜶戹㕣挸つ㠳戳搹㉡㌱㜶ち㉡㡥晡戵㑤っ慣㈹㡦㔷㤴㔷ㄹ㍣ㄴ㐱㌹㌱ㅦ挱ㅡ㘶㥣㡤挲搷㔱搵戵攵㝣戲戰㙤㘲㙣㑤愴慡㜶ㅡぢ换㘲戳摡愷戴㈴㔹〵㠹扥攵㔵搸㡣捣㍥戹㕣㤴ㄸ㌳愵㝡〶ㅥ㑥慣慦慣ㅡㄸ㤹㔶晢㍦㐱ㄴ户㉡昳捦摣て收㡢晣㝣㔱㤸㕦昸㔷㍦戱戰㠶㈳㘵〹㔲收㔳㔸㔴㍤㠳愵ㅣ㕢㉤㔹戲捡㡥戹搵ㄲ㔳捡㠳㜶㡥㌵㡦挹㈷㍢戹㈷搶〷㘳戳㙣㌳〴㘲挸挰㔳〷㌷ㄶ慢晦㝦㍤㈶㔹昰㉣㌲攷昸㐰㤰慢㐵戲㌲㜶㍦㌸户㌳㔷ㄵ敡戸收攸㤲㜱戶搲㔷㍦㔷㐲晡㜰㑤挴㘷㈸摤戹㌸〰㌵㡢㙤戰攱㘳〷㡣㕡㑦散㜹摢㤹つㅥ搴㔵㐶㉡㙡㉤㕢㔹㜵㘵㘵㠴慢ㄶ㔷换㌱搸㝢ㅢ㠵昲〸ㅢ㝢ㄲ㍤〱㈱搷㍦㑢ㄵ㤹〹㔵㘴愶㔴攱㐳㤹搵敥㜲㤹戹慡捦㡥搴㤴搷㑤愹㉣㡦ㄵ戲挱㡡昴晦㠹㜵ㄲ慢㔰㑢㑣愶晡㤳㉢㈶づ㔷搳敢㑡捤㔲㐸搰摤ㄳ㘷㄰㥣㍡搲㡦㌵㌷㕦㝥㤲㡢扦㔸㑡㡣搵㔷㥥㘵改挳㤰慤〰攷晣昲㄰㔷㘲戱ㅤ㠶㘱ㄵ㤵㍢㈱昱ㅣㅤ昰搲㠷挳㕤晤戵㕣㡢愵㥣搵㥤慤攰攰ㅡ㔶ㅤ㠹て挰㐳ぢ搵㌵慤慣挷㝡ぢ㐱㉤㜷㈹㌵㙥㔶昴㤶愱ㅣㅥ㘵昶搳㜱㌴㕣㔳㐸挵ㄸ搴捡戶㘴㉤戰㘶㜲挸て挴扣㠲㠲搶㠵㑥㝤つ㔶戹扡㕡㤵㡦昶挷愲〷㘷攴晦晡㤴㄰敦㜹㘰㔸ㅣ㠸㍥〲㔲ㅦ〹㈱搶愱挹昱愴㌹㡣愲挳㈹㄰〵ㅢ㘰㑣摦㑡戲㔶扦㈲㈰慦愰㤲㔵戹㠵㤵ㅣづづ㍡㌴搴敡愲扡ㄷ㔳愲戵㉥㕣て扢㍥ㅡ㕥ㅢ㕦㝥戹ㄷ㤶昳〴换㑢搷攲挵晥㜵扣扢㕣㥣㍣㝤っ㝣昴戱㄰攲㜵㌴㘵晤㜷〳ㄶ㔰戹〳㥤㍡㉤ㄹ㡦㘵㝣㔴㠸㌷愰攲愹㠹晡戳㌱㠹㡦昴搳㉣慦㌷㘱收㐱㌵〹摤摢〱㥡㜸ぢ㝥㍣㐸ㄳ晡改〸搷捥愰挰㔱〲㥥㉡㠵搲愵㥦㘹攵摣㡣ㄶてㄵ捣扦慣ㅦ㘶攲ㅤ㌸昰〳㉤捦㜱〷㉡摥㠵㠵㍢㔱㝤〲昲㡡㉤㔸攲扥㈹戹慥㑥㠴㜶敦敢敡㔶ㄹ㠱㈴昶㜵㔵㙣㠳㜶㉤㕥㘹晣㑥㐶㑡㍤挲摥㍥㜰㜶㠸搲㈱㐶㠷敤㜰攰㑡愰挷搱㑡昲昶戱㉤㡣挷㍤ㄶ㙦〶挳ㄲっ晢ㅡ㑡ㅢ㙦㔳愰㔳扣㤵㘳㤹扣晤〷慡散扣㑤戵扣扥㠱㔷㤳㜹晢ㄶ捥㈶㙦攷㈰㕣慢㠰攰搱㕤㈸〴扤㑢慦戴㔲㝥㠷㔶㔳㘸晢〱㝥㌹㘸晢ㄱ㘶㐹㕢ㄵ昲㡡㥤㘸愵搰㌶㡤㥤敦㜵ㄷ戳ぢ㘱ㄹ扢ㄸ昱ぢ戴㙢昱㑡愳慤〶㈹昵㕡昶昶慢戳〳扦〸㐱慦愷挳㙥㌸㐸摡愶愳㤵愴敤て㕢㤸㙤㜳㥢挱戰㤹っ搳㠰挵㐶摢㙣攸ㄴ㙤攷㘱㤹戴戵㠲㑢㜶摡捥户扣ち攱搵㘴摡㔸攱㙡搲㜶〱挲戵ぢ㈱攴㐱戹ㅦ扤扢昴㡢慣㤴㉥㜸㌵㠵㌶搶挲收愰㡤㔵戲㤲戶㡢㤱㔷戴㐳㉢㠵戶㑢搹昹㕥㘹㜳㈳っ晦搳戶㌶搶搵慥㠵㌶㡤戶换㤱㔲晦ㅢ㝢㘳捤慤㠳挳ㄵ㜴戸㤲づ晢挲㐱搲㜶ㄵ㕡㐹摡㔸㘸慢挲㙣戴㕤捤戰㙢ㄸ㔶っ〷ㅢ㙤搷㐱愷㘸扢ㅥ换愴慤㌳㕣戲搳㌶挷昲敡〲慦㈶搳㜶㌸㥣㑤摡㙥㐰戸㌶ㄷ㐲㙥㙤收㑥昲敦㔶捡慥昰㙡ち㙤摤攰㤷㠳戶㈳㘱㤶戴捤㐳㕥搱ㅤ慤ㄴ摡㙥㘴攷㝢愵敤㘸㠴攱㝦ㅡ㙤慣昸㕤㥢㐹摢〲愴搴㙦㘶㙦慣〶㜶㜰戸㠵づ户搲愱㈷ㅣ㈴㙤ぢ搱㑡搲挶ㄲ㘰ㄵ㘶愳敤㌶㠶㉤㘲搸昱㜰戰搱戶ㄸ㍡㐵摢敤㔸㈶㙤㉣收捤㑥摢ㅤ㤶搷㠹昰㙡㌲㙤慣ち㌶㘹晢㈷挲戵㍢㈹攴㠷㕢〸摤扢昴扢慣㥣㈷挱慤㈹扣昵㠶㕦づ摥晡挰㉣㜹㕢㠲扣愲㉦㕡㈹扣㉤㠵㜶敦扣昵㐳ㄸ晥愷昱㌶〰慡戵㤹扣摤㡢㤴晡㝤散㙤愰戳挳㌲㍡摣㑦㠷㐱㜰㤰扣㉤㐷㉢挹ㅢ慢㤳搷㕡㜹㙤扣㍤挰戰ㄵっㅢぢ〷ㅢ㙦㉢愱㔳扣㍤㠴㘵昲挶㍡攳散扣㍤㙣㜹㡤㠳㔷㤳㜹㘳挱戲挹摢㈳〸搷ㅥ㠵㤰㥢㥢て扤扢昴㝦㔹㈹㔹搱摣ㄴ摡捥㠰㕦づ摡㔸昴㉣㘹㕢㠵扣㘲〲㕡㈹戴㍤捥捥昷扡戹㑤㐴ㄸ晥愷搱㌶ㄹ慡戵搶昴㌲㠵㜵㔰扡ㅡ㈹昵㈷搹㕢挴搹攱㈹㍡㍣㑤㠷㈸ㅣ㈴㙤捦愰㤵愴㡤㜵搳㙢慤扣㌶摡㥥㘵㔸〳挳慡攰㘰愳㙤つ㜴㡡戶戵㔸㈶㙤慣㠰捥㑥摢㍡换㙢ㅡ扣㥡㑣ㅢ㑢愹㑤摡搶㈳㕣摢〰㈱㍦摣㑡㌹㜴晤㜹㉢㈵㙢慤㥢㐲ㅢ捦㥦㜳搰挶㜲㙣㐹摢ぢ挸㉢愶愳㤵㐲摢㑢散㝣慦戴戱㝥ㅢ晦搳㘸㥢つ搵㕡㙢㝡㙤戴扤㡣㤴晡㐶昶挶攲㙥〷㠷㑤㜴㜸㠵づ攷挳㐱搲昶㉡㕡㐹摡㔸搱慤挲㙣戴扤挶戰搷ㄹ㜶ㄵㅣ㙣戴扤〹㥤愲敤㉤㉣㤳㌶搶㘶㘷愷㙤戳攵㜵つ扣㥡㑣ㅢ㡢扣㑤摡摥㐶戸昶づ㠵摣㑢㝡㈴㙦敦㕡㌹㔹〶摥ㄴ摥收挰㉦〷㙦慣ㄴ㤷扣㙤㐱㕥㌱ㄷ慤ㄴ摥戶㐲扢㜷摥㔸㕡㡥晦㘹扣摤〸搵摡㑣摥戶㈱愵晥〱㝢㘳摤戹㠳挳㜶㍡㝣㐸㠷〵㜰㤰扣㝤㠴㔶㤲㌷ㄶ㥢慢㌰ㅢ㙦ㅦ㌳㙣〷挳敥㠴㠳㡤户㑦愱㔳扣㝤㠶㘵昲挶戲昱散扣㝤㙥㜹㉤㠱㔷㤳㜹㘳晤戹挹摢ㄷ〸搷扥愴㤰扣㤹摢摢㔷㔶捥愵㜰㙢ち㙦昷挲㉦〷㙦㉣㘲㤷扣㝤㡤扣㘲ㄹ㕡㈹扣㝤〳敤摥㜹㘳搵㍢晥愷昱戶〲慡戵㤹扣㝤㠷㤴晡昷散㡤㈵昱づづ㍦搰攱㐷㍡慣㠴㠳攴㙤㈷㕡㐹摥㔸〷慦挲㙣扣晤挴戰㕤っ㝢ちづ㌶摥㝥㠱㑥昱昶㉢㤶挹ㅢ㉢摡戳昳戶摢昲㝡〶㕥㑤收㡤愵昱㈶㙦扦㈱㕣晢ㅤ㐲敥㈶挳攸摤愵晦㘱愵㙣㠰㔷㔳㘸㕢〳扦ㅣ戴戱扣㕥搲戶〷㜹挵㍡戴㔲㘸攳㙤搷扤搳戶〱㘱昸㥦㐶摢ぢ㔰慤捤愴㉤ㅦ㈹昵ㄶ㄰㠲挵晡づづ昸慥㌰㝣てㅤㅤ㕥㠲㠳愴㑤㐳㉢㐹ㅢ㉢昴㔵㤸㡤戶㔶っ㉢㘴搸㘶㌸搸㘸㜳㐱愷㘸㙢㡤㘵搲挶㕡晢散戴戵戱扣㔸㡣摦㘴摡㔸戴㙦搲搶ㄶ攱㕡㍢ち戹戹㤹㌷㔴㡡慣㥣㕢攰搶ㄴ摥戶挲㉦〷㙦慣晣㤷扣戹㤱㔷㙣㐳㉢㠵户昶搰敥㥤户敤〸挳晦㌴摥㍥㠲㑡捤慦敤攳㙤㕦愴搴昷㘳㙦㝣㡥挰挱㘱㝦㍡ㅣ㐰㠷ㅤ㜰㤰扣㜵㐴㉢挹摢㘷戶㌰ㅢ㙦〷㌲散㈰㠶㝤〷〷ㅢ㙦㠷㐰愷㜸㍢ㄴ换攴㡤㡦〱㘴攷敤㌰换㡢捦〹㌴㤹㌷㍥㑦㘰昲搶〹攱㕡㌱㠴摣摣㜸㕤摦愵㜷戶㔲敥㠴㔷㔳㘸摢〵扦ㅣ戴昱㤹〴㐹㕢ㄷ攴ㄵ㝣㌸㈱㠵戶慥散㝣慦㐷㈵扢ㄱ㠶晦㘹戴晤づ㤵〳㉢摤㤰㔲㍦㤲扤昱〹〷〷㠷敥㜴㌸㡡づ㝢攰㈰㘹㍢ㅡ慤㈴㙤㝣慣㐱㠵搹㘸敢挱戰㘳ㄸ收㠲㠳㡤戶㥥搰㈹摡㡥挳㌲㘹攳〳ち搹㘹昳㔸㕥㙤攰搵㘴摡摡挲搹愴捤㡢㜰慤〴㐲㥥〳㤸㝢挹㔲㉢㘵㍢㜸㌵㠵㌶㍥ㄳ㤱㠳㌶㍥㉤㈱㘹昳㈱慦㘸㡦㔶ち㙤〱㜶づ愵ㅣ㌶摥㔲㑡ㄹ㌰愹收㌵昴㝤攱㠱㐶ㅡ㙤㝣扥㐲㑤㉦㔳㔸攷〰㈱愴搴挳散㡤捦㕥㌸㌸ㅣ㑦㠷ㄳ攸搰ㄱづ㤲戶ㄳ搱㑡搲挶〷㉥㔴㤸㡤戶㕥っ㍢㠹㘱㕤攱㘰愳慤㌷㜴㡡戶㍥㔸㈶㙤㐷挰㈵㍢㙤㝤㉤慦㙥昰㙡㌲㙤㝣〶挳愴慤っ攱㕡㍦〸戹戵㤹愷㙥晤慤㤴摤攱搵ㄴ摡㡥㠶㕦づ摡昸ㅣ㠷愴㙤〰昲㡡㘳搰㑡愱㙤㄰㍢㠷㌲㌷㙤㍤攱㤱㐹ㅢ㥦晣㔰搳换ㄴㄶ㙤㐳㤰㔲ㅦ捡摥昸㔴㠸㠳挳㌰㍡っ愷㐳〹ㅣ㈴㙤㈳搰㑡搲挶㐷㐱㔴㤸㡤戶㤱っㅢ挵戰㤳攰㘰愳㙤㌴㜴㡡戶㌱㔸㈶㙤扣挱㤱㥤戶戱㤶㔷㙦㜸㌵㤹㌶㍥ㅤ㘲搲㜶㉡挲戵㜱㄰㤲㌶昳〲搷㜸㉢㈵ㅦㅦ㘹ち㙤晤攰㤷㠳戶晥㌰㑢摡㑥㐳㕥㌱〰慤ㄴ摡捥㘰攷㔰收愶㙤㄰㍣㌲㘹ㅢ〲慤㥡㕥愶戰㘸㥢㠰㤴晡㔹散㡤捦慢㌸㌸㑣愴挳㈴㍡っ㠳㠳愴㙤㌲㕡㐹摡㐶摡挲㙣㜷〱㈲っ㡢㌲散㌴㌸搸㘸㡢㐳愷㘸㌳戰㑣摡昸戸㐹㜶摡ㄲ㤶搷ㄹ昰㙡㌲㙤㝣㙥挵愴敤㙣㠴㙢㔳㈰㈴㙤收㤹㕢戹㤵㤲て戶㌴㠵戶㠹昰换㐱ㅢ㥦㝤㤱戴㑤㐵㕥㌱ㄹ慤ㄴ摡㉡搸㌹㤴戹㘹攳挳㌲㤹戴挵愱㜵㘰愵ち㈹昵㙡昶㘶㌸㍢㑣愳挳戹㜴㐸挰㐱搲㔶㠳㔶㤲㌶㍥㍥愳昲摡戶戶㕡㠶搵㌱慣〶づ㌶摡愶㐳愷㘸㥢㠱㘵搲挶〷㘱戲搳㌶搳昲慡㠳㔷㤳㘹攳ㄳ㌵㈶㙤戳㄰慥捤㠶㤰戴〵戹挶敡攷㔹㈹昹挸㑤㔳㘸㥢〹扦ㅣ戴昱愹ㅣ㐹摢昹挸㉢㘶愳㤵㐲摢㠵散ㅣ捡摣戴昱㌱㥥㑣摡㉥㠴㔶㑤㉦㔳㔸㕢摢挵㐸愹㕦挲摥昸㡣㡦㠳挳愵㜴戸㡣づㄷ挳㐱搲㜶㌹㕡㐹摡昸㘰㡦ち戳搱昶㌷㠶㕤挱戰敢攰㘰愳敤㉡攸ㄴ㙤㔷㘳㤹戴昱ㄱ㥤散戴㕤㘳㜹捤㠱㔷㤳㘹扢〱捥㈶㙤搷㈲㕣扢㡥㐲㥥〱㤸㠷㤲搷㕢㌹昹㌴㔰㔳㜸㥢〷扦ㅣ扣昱㠱㈱挹摢ㅣ攴ㄵ㌷愲㤵挲摢㕣㘸昷捥ㅢ㥦㌰捡攴敤ㄶ㘸搵晣㘲㔱昱㌶て㈹昵昹散㡤㡦ㅦ㌹㌸摣㐸㠷㥢攸戰㄰づ㤲户〵㘸㈵㜹攳㌳㐷㉡捣挶摢捤っ扢㠵㘱㑢攱㘰攳㙤㈱㜴㡡户摢戰㑣摥昸昴㔰㜶摥ㄶ㔹㕥昷挲慢挹扣昱㌱㈴㤳户㝦㈰㕣㕢っ挱捤㉤㘴㙥㙥户㕢㈹㤷挱慢㈹戴㉤㠷㕦づ摡昸㈸㤳愴敤づ攴ㄵ㉢搰㑡愱敤㑥㜶づ㘵敥捤㡤捦㍥㘵搲昶㌰戴㙡㝡㤹挲摡摣㤶㈰愵㝥㌷㝢攳㠳㔱づづ㑢改㜰てㅤㅥ㠵㠳愴敤㕥戴㤲戴昱㘹㈸ㄵ㘶愳敤㍥㠶㉤㘳㔸〳ㅣ㙣戴㉤㠷㑥搱昶〰㤶㐹ㅢ㥦㙢捡㑥摢ち换㡢て㍥㌵㤹㌶㍥㈰㘵搲昶㈰挲戵㤵㄰㜲㉦ㄹ攲搰昵㠷慣㤴敢攰搵ㄴ摡㌶挰㉦〷㙤㝣挸㑡搲昶㌰昲㡡ㄷ搰㑡愱敤㔱㜶づ㘵㙥摡㕥㠲㐷㈶㙤㉦㐳慢愶㤷㈹㉣摡㔶㈱愵晥ㄸ㝢攳㈳㕢づづ㡦搳攱〹㍡㙣㠲㠳愴㙤㌵㕡㐹摡昸㥣㤶ち戳搱昶㈴挳㥥㘲搸ㄶ㌸搸㘸㝢〶㍡㐵摢戳㔸㈶㙤㝣攲㉡㍢㙤つ㤶ㄷㅦ挹㙡㌲㙤㝣㜴换愴敤㌹㠴㙢㙢㈰攴搶㘶摥攲㕥㙢愵摣〶慦愶搰戶ㅤ㝥㌹㘸攳攳㕦㤲戶㜵挸㉢昸ㅣ㔸ち㙤ㅢ搸㌹㤴戹㘹摢〱㡦㑣摡㍥㠵㔶㑤㉦㔳㔸戴扤㠰㤴晡㡢散㡤て㤳㌹㌸扣㐴㠷㝦搳攱㜳㌸㐸摡㕥㐶㉢㐹ㅢ㥦㈰㔳㘱㌶摡㌶㌲㙣ㄳ挳㜶挲挱㐶摢慢搰㈹摡㕥挳㌲㘹攳戳㘰搹㘹㝢摤昲攲挳㘲㑤愶㡤て㤵㤹戴扤㠱㜰敤㑤ち昹攱㘶㥥戹扤㘵攵晣〵㙥㑤攱㙤㌷晣㜲昰挶㈷搳㈴㙦㥢㤱㔷昰ㄱ戵ㄴ摥摥㠱㜶敦扣敤㐱㔸㈶㙦㜹㉤ㅡ攷ㄷづ㡡户㉤㐸愹扦挷摥㠴戳挳㔶㍡扣㑦㠷㝣㌸㐸摥戶愱㤵攴慤挰ㄶ㘶攳敤〳㠶㙤㘷㔸㍢㌸搸㜸晢〸㍡挵摢挷㔸㈶㙦㐵㜰挹捥摢づ换换つ慦㈶昳戶て㥣㑤摥㍥㐱戸昶㈹㠵攴捤摣摥㍥戳㜲戶㠷㕢㔳㜸摢ㄷ㝥㌹㜸摢て㘶挹摢攷挸㉢昶㐷㉢㠵户㉦愱摤㍢㙦ㅤㄱ㤶挹摢㐱搰慥挵㤴愵㤵㤴㝣㡤㤴晡㝦搸摢挱捥づ摦搰攱㕢㍡ㅣ〲〷挹摢㜷㘸㈵㜹敢㘴ぢ戳昱昶㍤挳㝥㘰㔸㜷㌸搸㜸摢〹㥤攲敤㈷㉣㤳户愳攰㤲㥤户㕤㤶搷搱昰㙡㌲㙦㝣ㄴ捦攴敤㘷㠴㙢扦㔰㐸摥㠲㕣㘷昵㕦慤㥣挷挰慤㈹扣昵㠴㕦づ摥㡥㠳㔹昲戶ㅢ㜹㠵〷慤ㄴ摥㝥㠷㜶敦扣㤵㈰㉣㤳㌷ㅦ戴㙢㌳㜹摢㠳㤴晡㥦散捤敦散㤰㔷〰〷晥㉣㠵〸挰㐱昲㤶㡦㔶㤲户戰㉤捣挶㕢ぢ㠶戵㠴㈸㈸㠳㐳搳ㅥㄴ㘳愵愵摢昶昴ㅥ㡢㥡㙢昷㐹㥣㔲ㅦ愹挰㑦㥡㡣挴㈳㈴㜵㔴晤㉦㔴つ户㌴ㅦ攴㐹晦㝥昱搴㕦㍡挱㌳㜰㜲〸㘷㥥㜵ㄸ㐶㤶㍥〷愹扥搶搸㙡改昹搷ㅥ昴㜱ㄵ晣戶晢捦㍦㥢搶ぢ㔷㡦㔶搳昹搵戵㤳㈶攵ㄵ戲㑦㤰㠴搵㔹〳㘱摣㤰晡愱㤹戹ち昵㜷搲ㄶっ㠰㌶㐷戵㝤摡㌳㌲捣摡愱戱㌶㤸㔵攰㍤㉡昸㠳㐹㑥㐵挵愹㐵昷㠵〰㈷〶㌹㘱㄰㠳㤵搶㐵ㅦ㜴挱㔷挱㌰㘸昷㕡挶㡤㔵ㅦ㡦〵戲愰㝢㑣摤慣ちㄴ搱㜳㤱㕦昷㙡㉥戱㙡搸㌴〳㜴㜵㑤㑢㍣〱㤹晥〵捦挹搸㔵㐸搵㝡摦戴㉦搴㤶㘱戴っ〱㥡㠲㥦㐰㔱搶㜸㠲㙥㘴㠵㌱晣搳摡㘰㑣晢づ㉦㡦搵㔴搷㔶㈷敡㡡挷攰㐱㤰㘲㝥挵㝡〲㡦〴昵㈹昸ㄱㄹㅤ晢攴挰㕡㔶昱搷㝦㈴搱慥㜳慡慡㘷㔴㐹㌴〵戵晣愶㜹昶愶户㙡挵㙥㜸愹㑣晥ㅤ㡥㠹㜳て〷㔰晥戹㐷㘰㠱ㅦ捤㕡㍢㈰㌸愲慣㙦搹攸㐹ㄱ㈳攴㉦昵挷ㄲ㈵㍥㑦挰㤷㈸㠹㠶愳攱㜸㈰ㅥ昴㤴㈴㝣晥㘸㌴㙥㘸㐵㐹㔷愳愴㈴㔶ㄲっ挷㡤㔰㘹挲㔷攲て㐴〲㈱㈳ㄲ昷㐶㑡晤愱㐴挲ㄳ昷戸㐷㕡改㜵㌷㘲昴㝤㈰摣愳㤴慡㍤㔵ㅤ愸㍡㐵愹㤲㕥㐵愳愱㈲㘴㡤㈸晦㥢㝦㙥㤶㜹攳㝦㥥戶㍦扡㙥㔳搶㜷㤲慣㝣ㅦ㡤慦㝥搷づ㠰㘶ㅦ㘸㔲㝦㘷㐹敢〸㜵㍢愸㙤て㤵戸挷㕡㔹昴捥㐸愵ㅦ〴て扤ㄸ㑢㘲ㅣ昴摣ㅢ扡挴づ㤰挶慤㤵㝤戹昴㐳攱挱慤㡥昵攳㤲ㄵ挵〰慣戸㘴改愸㍤ㅤ㕡㙥㜹㝡㈷〴㡢㌳ㅤ㝤㈶㈸㙤㘷晡㌰ㄷ㕦ㄳ愱攵㤶㈱戶〱〰搷㐷昶愲㜳㈵攳晡㈴戶㐲挳㜵㉡㜵㥤㤸㡣〰戹㉡ㅣ〱㍦㜳㔵㈸〹〵㑢扣愵㠶摦ㅢ㑢㤴晡扣㈱㕦㈴㥥〸挶晣愱㤸ㄱ㡢ㅢ昸㈱㠶㤰搶㉤改敡昱㤵㤴㝡㘳扥㜸㘹挲ㄳ昱㐵〲㐶㌴敡昱㜹㑢㑢っ㑦捣ㄷ㠹㤶〶㑡摤慣晣㘶㝡晤㐸挴攸摤㈱摣㔱愵㙡㕣ㄵ㘲㑡㤵昴㉡㡡㐳搵㍣慢㠲㠱捣昸㡦敦ㅥ㈰㈴戲慦㤳㙢㜷㐲改㡦愴搱㑢㝤㌷㉣㠹㈹搰㥢攴㙥挴散㌵㤲敢㠳〷挹㉤㠷㍤㤳摣愹㡥㕡搶㡡㑢㜲〳〸ㄶ㤵㡥㍥㔵㑡ㅢ愲てㄱ昰㌵つ㕡㐹敥昳〰㤱㐹敥㝡㐷㜲㙢㄰㈴挹㍤ㄱ愹㑣㜲㍤㈰搳㔷ㅡ㡤㈷戰ㄵ晢扣㠶㍦攴昳㐷㝣晥㘰㌴ㄲ〹〶㠲㔱㡦㔷敢搵攸ㅡ㠹ㅢ搱㐰挰〸㠶挲㌱㕦搴㥦㠸㝡㐳㠹㜸㌴㘰㤴㈴㐲晥ㄲ散㈱摣慣て㤷攴㥥㠴ㄸ晤㘴〸㜷㥤㔲㌵㤲㕢慦㔴㐹慦愲改㔰㌵て戹慣㉦挷晦っ㜲㘷㉡晤戱㌴づ㈲摥㘳㌸慤戳愱㌷挹㕤㤵㐲敥㔰㜸㤰摣昳㘰捦㈴昷㝣㐷㉤㉢捡㈵戹挳ㄱ㉣㉥㜲昴戹㔸㘹㐷搲㠷〸昸扡ㄴ㕡㐹敥㑡㐷㜲㔷㌸㤲㝢㌹㠲㈴戹㘳㤰捡摡㜲扤愵愱㔰㈸ㄶ㌱〲搸づ㝤戱㔰搸㕦敡㡢昸攲㥥㐰㘹㐹㌰ㄴ㌲愲摡搸愴慢㍦ㄸ㡡〴㈲㠶㉦ㄶ昳㤶昸㡣搲㐴〸ㅢ㙥㈰㙡㜸ㄲ㐱㑦㌴ㅡ昲㜹摣㝦戳搲敢愷㈲㐶ㅦ〷攱扥㐲愹ㅡ挹㘵㈹戹㕣〵㤲㕥㐵㔷㐱搵㍣攴㕥㡤捣昸㥦㐱敥㌵㑡捦挲㉢㝤ㄲ昱昲㡡戰戸づ㝡㤳摣摢㔳挸㡤挲㠳攴㕥て㝢㈶戹㜳ㅣ戵㌷㐰㉢挹㡤㈳㔸晣摤搱㘷㥥搲㈶攸㐳〴㝣摤〸慤㈴昷㔶㐷㜲㙦㜶㈴㜷〱㠲㈴戹㔳㤱捡㈴搷ㅦ㉣〹㜹ㄲ㤱㘰㌸ㅣぢ攰㌷ㄸ昱晢㡢搱㠸㌷ㄴ㠸挴㐲㠶ㄱ㡣〵扣摡㌹㡤慥昱㔰㈲ㄸ㈸㠹㈴〲晥愸㉦攰昱㐷挳攱㠰搷ㄳ㡣㐷晣㍥㕦挰敦㡤戸㔹㙢㉥㘹慢㐰㡣㕥〹攱扥㐵愹ㅡ挹扤㔵愹攸愰搳戵㘸㈱㔴捤㐳敥㙤挸㡣晦ㄹ攴㉥㔲晡㌰㡤搳㠹㈴挴㘹㕤っ扤㐹敥㔵㈹攴捥㠲〷挹扤ㅤ昶㑣㜲敦㜰搴戲㍡㕤㤲㝢ㅥ㠲挵㕤㡥㍥㑢㤴昶〲晡㄰〱㕦㑢愱㤵攴㕥敡㐸敥挵㡥攴摥㡢㈰㐹敥㈵㐸㘵㤲ㅢ㡦ㄸ愵扥㤲㤰㍦ㄱ㡡㜸㝤昸挴つ挵㘳ㄱ慦摦ㅦ㈸㠹㐷㡤㌰昴摡愵㡤慥㠱戰ㄱ㡥挴㘲愱〸づ扦㡣戸㈷㥡〸㤵ㅡ〱㝦㈴㙣㜸㘳晣㜸㜶摦㘷愵搷㉦㐳㡣㝥㌹㠴㝢㤹㔲㌵㤲换慡㜴戹ち㈴扤㡡㤶㐳搵㍣攴㍥㠰捣昸㥦㐱敥ち愵㍦㤹挶敢㠹昷㈴㑥敢㑡攸㑤㜲捦㑤㈱㜷㉥㍣㐸敥㐳戰㘷㤲晢戰愳㤶㈵散㤲摣㜹〸ㄶ晦㜲昴㔹愵戴㌷搲㠷〸昸㝡ㅣ㕡㐹敥㌹㡥攴㤶㍢㤲扢ㅡ㐱㤲摣㕢㤰捡㈴搷㠸挶㜰㘴㔴㕡敡挱ㄱ㤵捦ㄳっ㐷㠲愵㔱㑦挰㠸㤵挴愲扥㠴㔱敡搷㙥㑤扡㝡晤戱㔲㡦捦㠸㈴扣〱敥挰㍤愱㜰㍣㘸挴ㄳ愵㔱ㅣ㘸㠷㑡愲㜱昷㤳㔶㝡㝤㈱㘲昴摢㈰摣㑦㈹㔵㈳戹慣㕤㤷攴㈶扤㡡㥥㠱慡㜹挸㝤ㄶ㤹昱㍦㠳摣〶愵敦㑦攳ㄲ攲敤挷㘹㕤〳扤㐹敥ㄹ㈹攴摥〳て㤲扢ㄶ昶㑣㜲搷㌹㙡搷㐳㉢挹扤て挱㠲㈵敥㤹㤱㉦㈸敤晤昴㈱〲扥㕥㠲㔶㤲㍢搶㤱摣搱㡥攴扥㡣㈰㐹敥㠳㐸㘵㤲ㅢ㉤昱㈶㈲昱㤲㐸㘹搸㐸昸挲㌱ㅣ㑤㠵㈲晥㜰㘹搸敦㉢挵て㤷㜹㐳摡捡愴㙢戰㈴ㅥ㡦㈶㈲㔱㝦㌴㠸捦攵㔰㍣ㄴち㠷㘲㌱㡦㉦ㄲ昶㝡晣㌸晦㜲㙦戴搲敢て㈱㐶㝦ㄸ挲扤㐹愹ㅡ挹㝤㐵愹㤲㕥㐵慦㐲搵㍣攴扥㠶捣昸㥦㐱敥敢㑡㍦㤴挶㈷㠹㜷〸愷昵㑤攸㑤㜲换㔲挸㝤〶ㅥ㈴昷㉤搸㌳㈹摡散愸㘵㌹扣㈴户〱挱攲㕤㐷㥦㉤㑡扢㠶㍥㐴挰搷㔶㘸㈵戹扤ㅣ挹㍤挱㤱摣㙤〸㤲攴㙥㐰㉡㤳㕣㥦㌷㠱〳㈹ㅣ㐳〵ㄲ㘱㙣戹㥥愸㌷散ぢ昹㈳㐶㐹㘹㌰ㅡ昵〶扤摡昳㐹㔷㈳ㅣ昵㠷㑢昰攷昵昲㤰㉢ㄴ㑡㐴㑢挲挱戸摦ㅢ昴昹攳㔱㝣收㝥㘰愵搷㕦㐰㡣晥㈲㠴㝢扢㔲㌵㤲换㌲㜸戹攵搲㐱扡ㄶ㝤〴㔵昳㤰晢㌱㌲攳㝦〶戹㍢㤴晥ㄴㅡ㕦㈷㤲㔱㥣搶㑦愱㌷挹㍤㈶㠵摣户攰㐱㜲㔹㙣㥦㐹敥攷㡥摡㉦愰㤵攴扥㡤㘰挱㘲昹捣挸慦㤵昶㕤晡㄰〱㕦摦㐰㉢挹敤收㐸㙥㔷㐷㜲扦㐳㤰㈴昷㝤愴戲㜶换昸攸㡣晡㡤㌰㉥㘶ㄸ扥ㄲㅣ㑢㜹㘲㤱㔲ㅣぢ㐷㑡攳愵昱㐴㈲愸㙤㑢扡攲㜳搸敢挷㔹㤳攱て〷㝣〱挳ㅦ㉤昵㠶昱ㅢ搸㔱㈳ㄸっ挴愳㌸㕡晥摥㑡慦㝦㠰ㄸ㝤㍢㠴晢〷愵㙡㈴㤷戵昲㤲摣愴㔷搱㑥愸㥡㠷摣㥦㤰ㄹ晦㌳挸摤愵昴攳㘹晣㠲㜸挷㜱㕡㝦㠱摥㈴㜷扦ㄴ㜲扦㠶〷挹晤ㄵ昶㑣㡡㜶㍢㙡㝦㠳㔶㤲晢つ㠲〵㑢敡㌳㈳昷㈸敤㜷昴㈱〲昹挲搵㉤㐹㙥㤱㈳戹㙤ㅤ挹捤㐷㤰㈴㜷㈷㔲㔹㕢㙥㐹㈴ㄸつ挶攳㈵戱㜸搸ㄷ挵㘱㔴挴敦挵㘶敢㑦〴㑡挰㕣愸㐴晢㈹改㡡㝤㌲㉥㜰〴〳㤱㌰㑦㥡っ㙦㌸㠸㐳㘵㕦㈸ㅣ㐸挴㜱㜴ㄵづ戸㕢㔸改昵㕤㠸搱㝦㠶㜰户㔴慡㐶㜲ぢ㤴㉡改㔵愴㐱搵㍣攴戶㐲㘶捣㕦〶戹㠵㑡㝦ㄶ㡤扣㤰愶㑦攰戴扡愰㌷挹摤昳慢晤㈲㐶ぢ㜸㤰摣搶戰㘷㔲搴挶㔱摢ㄶ㕡㐹㙥〱㠲㐵㤱愳㡦㕢㘹㕢搱㐷ㄲ㡢昷昶搰㑡㜲㝦〱㠸捣㡢ㄸ扢愰捤扣㐲戵㉦㠲㈴戹慤㤱捡㈴㌷ㄶ〸㈷㜰㘸ㄴ挰㉥搶㡢て搲㔸㤴〷扦㈱㝣晥㝡㈳㌱㍦戶㘸慤㑤搲搵敦挳㠵慢㔰㈸攰㌵戰ㅦ挷攵捤㔰㌸攱㡤㠵晣昱㜰㉣㠴㡤㍣散㜱敦㘷愵搷摢㈲㐶㙦〷攱摥㕦愹ㅡ挹㍤㐰愹㤲㕥㐵ㅤ愱㙡ㅥ㜲て㐴㘶㈷㜲て㔲晡ㄸ挹㍤㠰㜸愳㥣摡㐳愰㌷挹晤㉣㠵摣㠳攰㐱㜲て㠵㍤㤳摣挳ㅣ戵㥤愰㤵攴ㅥ㠲㘰搱搹搱愷㡢搲ㅥ㐶ㅦ㐵㙥㔷㘸㈵戹ㅦ㍡㤲晢㠱㈳戹摤㄰㈴挹敤㠲㔴㈶戹ㅥ㑦ㄸ搷ㅦ㐱㔶ㄸ搷㥥㘳㍥㑦愴㈴㠴昳㔷㝦挸ㄳ〹挴戰㜹㐶戴挳㤳慥愵㌸㤶づ㜹つㅣ㌲㐷改敡㡤攰㌳㌸ㄶ挱㘶ㅦ昰㐶戰搹㠷摣㐷㕡改昵慥㠸搱㡦㠰㜰㜷㔷慡㐶㜲㡦㔲慡愴㔷搱搱㔰㌵て戹㍤㤰搹㠹摣㘳㤴扥㥣攴昶㈴摥㈹㥣摡㥥搰㥢攴扥㥡㐲慥ㄷㅥ㈴昷㌸搸㌳挹昵㌸㙡扤搰㑡㜲㑢ㄱ㉣㑡ㅤ㝤㝣㑡敢愷㡦㈲㌷〰慤㈴昷㈵㐷㜲㕦㜰㈴㌷㠴㈰㐹㙥ㄸ愹慣㉤搷㔳ㅡ昶㤴㐴㍣愵㐶挲敦㡢昲㜲ㄵ㜶扢搱㘰㈴㠴敢㑦㠱㠴㉦愸ㅤ㥦㜴〵愱㝥㙣戶昸㐸㉥昱昸㜸〶攵㉤昵㠴㑢愲㍥㕦㘹㈴收ぢ〷愲敥戰㤵㕥㍦〱㌱晡㠹㄰敥攳㤵慡㤱摣ㄳ㤴㡡づ搲戵攸㐴愸㥡㠷摣㕥挸散㐴敥㐹㑡㕦㑤㜲晢ㄳ㐹ㄵ愷戶㌷昴㈶戹㑦愴㤰㍢〸ㅥ㈴户て散㤹攴昶㜵搴㤶㐱㉢挹ㅤ㠲㘰搱摦搱㘷㠰搲づ愳㡦㈲㜷㄰戴㤲摣㐷ㅣ挹㝤挸㤱摣㈱〸㤲攴㡥㐲㉡㤳㕣㝥攲㝡晣㐱㙦ㄸ㘷慣㍥㥣敢㠴挳㌸㐲挲づ㍡ㄸ〹攳ㄴ㌶攱搷㑥㐹扡ㅡ㤱㔸㌴㠰㉤㍤㡣㡦㘳戸㠶㜱戳㈹㠸㔳愰ㄲ散㤶㜱㑡㘴昸摤㐳慤昴晡㘸挴攸㘳㈰摣挳㤴慡㤱摣攱㑡㤵昴㉡ㅡ〱㔵昳㤰㍢ㄲ㤹㥤挸ㅤ愵昴昵㈴㜷〲昱搶㜱㙡㐷㐳㙦㤲㝢㘷ち戹㤳攰㐱㜲挷挰㥥㐹敥㔸㐷敤愹搰㑡㜲㈳〸ㄶ攳ㅤ㝤㑥㔳摡ㄸ㝤ㄴ戹㘷㐰㉢挹㕤攴㐸敥㐲㐷㜲㈷㈰㐸㤲㝢㌶㔲㤹攴攲㔰㌹ㄶ昶㈴攲搸挵ㅡ㍥㡦攱㡤㤶昸扤〱昰ㄷ〹昸㑢攳〱挳搰愶㈴㕤愳ㅥ扦摦ㄳ挲㡤㐱愳〴攷㑥㐶㐹ㄴ敢〴㍥㤶愳搱㜰㈲ㄲ昰挵㐳敥戳慣昴㝡㌹㘲昴愹㄰敥㠹㑡搵㐸敥㈴愵㑡㝡ㄵ㑤㠶慡㜹挸㡤㈰戳ㄳ戹㔱愵㍦㡦攴搶ㄲ敦㙣㑥㙤ㅣ㝡㤳摣㙢㔳挸㥤づて㤲㙢挰㥥㐹㙥挲㔱㝢㌶戴㤲摣㤹〸ㄶ攵㡥㍥㔳㤵㜶㌶㝤ㄴ戹ㄵ搰㑡㜲晦收㐸敥㘵㡥攴㔶㈱㐸㤲㝢㈱㔲㔹㥦戹㠱ㄸ㑥㕡㜱㤸散昷攰挸㌷㄰て〷扤㤱㠴㍦㘶〴〲ㅥ挳攳㡤〶戴㡢㤲慥愱㐰㌰づ搶扤搸㘷攳㠸ち攷戹㐱ㅣ㠶〵㈲ㅥ㉦㡥戴挲扥愰攱慥戶搲敢ㄷ㈳㐶扦〴挲㍤㑤愹ㅡ挹㍤㔷愹攸㈰㕤㡢㙡愰㙡ㅥ㜲㙢㤱搹㠹摣㍡愵扦㠴攴㕥㈳㤱㜰㙡愷㐳㙦㤲㕢㤷㐲敥昵昰㈰戹㌳㘰捦㈴㜷愶愳㜶ㄶ戴㤲摣ㅢ㄰㉣捥㜳昴㌹㕦㘹晦㑥ㅦ㐵敥㠵搰㑡㜲慢ㅣ挹慤㜰㈴昷㘲〴㐹㜲㙦㐲㉡㤳㕣㝦〰㈷慦㈱㥣搶㝡㜱㄰ㅣ㑦攰㜸㌹㠸㥢㍥ㄱ㥦挷ㅢ㈹㐹㜸㑡㍤摡㠲愴㙢㉣〸扤㉦ㄸっ㐶晤㈵扥㐸愹ㄱ㡡㐷㠳扥㘰挴㠳㕢扦挱㜸挸㔷攲扥挴㑡慦摦㡣ㄸ晤ㄶ〸昷愵㑡搵㐸敥㘵㑡㤵昴㉡扡ㅣ慡收㈱昷㙦挸散㐴敥ㄵ㑡㝦㈵挹晤㈷昱㕥挱愹扤ち㝡㤳摣戳㔲挸㕤〲て㤲㝢㌵散㤹攴㕥攳愸扤ㄶ㕡㐹敥㔲〴㡢敢ㅤ㝤收㈸敤扤昴㔱攴捥㠵㔶㤲㍢摥㤱摣㔳ㅤ挹㥤㠷㈰㐹敥㜲愴㌲挹挵㘵愸㔰㈲㔲㡡换挹愵㍥摣慣挷㑤㍤摣っ㈸㡤㈶㠲㔱㝣ㄷ㈶慥㘹㘸て㈴㕤ㄳ晥㈰敢㌶㍣扣〰改挳ㄵ挷㘸㈹㙥ㄲ㐵㐳㈵㕥㥣㈳攳昲㜴㠹㝢扥㤵㕥㕦㠱ㄸ晤㐱〸昷㡤㑡搵㐸敥㑤㑡㐵〷改㕡戴〰慡收㈱昷㘶㘴㜶㈲昷ㄶ愵攷捦戶攸㡦ㄳ挹㜵㥣摡㠵搰㥢攴づ㐸㈱昷㐹㜸㤰摣摢㘰捦㈴㜷㤱愳昶ㅦ搰㑡㜲㥦㐶戰戸摤搱攷づ愵㝤㤶㍥㡡摣㍢愱㤵攴昶㜶㈴昷㈴㐷㜲㤷㈰㐸㤲扢ㄶ愹㑣㜲㜱㘳捦㠳换ㄵ挱㔲㝦摣㡢㔳㥦搲愸ㄷ㜵㌹㌸改昵㘰〳㉤㠹ㄸ〹㙤㕤搲㌵ㄴ昲攳扡戳㠱㙢㡥戸㜳㄰挵㘱㜳挴ㅦ昳昹㔸㥦攳昵〵㍤摥㠴晢㙥㉢扤扥ㅥ㌱晡〶〸昷㔲愵㙡㈴昷ㅥ愵愲㠳㜴㉤扡ㄷ慡收㈱昷㍥㘴㜶㈲㜷㤹搲捦㈷戹慦㄰挹㍣㑥敤㜲攸㑤㜲㡦㑢㈱昷㜵㜸㤰摣〷㘰捦㈴㜷㠵愳昶㐱㘸㈵戹㙦㈲㔸㍣攴攸昳戰搲㙥愶㡦㈲昷㔱㘸㈵戹㐷㌹㤲㝢愴㈳戹慢㄰㈴挹摤㠲㔴㈶戹愵㈵摥㘰搰㐰慤っ戶㔸㔴㘲㐴㈳戸㝤㠰〲慣㔲㝣收㝡㜱戹㌱愲扤㤷㜴つ攱㕡㐵㌴㄰つ〷晤ㄱㄴ㙦昸㔰㡢ㄳ昲㐵㡤㐰挲敢㡢攲㄰㍡攱㜳㍦㘶愵搷户㈲㐶㝦ㅦ挲晤戸㔲㌵㤲晢㠴㔲搱㐱扡ㄶ慤㠶慡㜹挸㝤ㄲ㤹㥤挸㝤㑡改㙦㈵戹㥦ㄲ挹㉤㥣摡㘷愰㌷挹敤㤸㐲敥ㄷ昰㈰戹捦挲㥥㐹㙥㠳愳昶㌹㘸㈵戹㕦㈱㔸慣㜵昴㔹愷戴晦愱㡦㈲㜷〳戴㤲摣昶㡥攴扡ㅤ挹㝤〱㐱㤲摣敦㤱捡㈲㌷攰㌳ㄲ㠹㔰㄰㥢ㅥ㜶换戸㕦ㅢ挴捥ㄸ挷㐹㐱㥦户㈴㔰ㄲ〸㘸㍦㈴㕤㍤愸戲ちㅡ戸㔳ㄴ㡡㤶晡ㄲ㌸〱ち〶挳㠹㌰㉡敡㐲晥愰て〴扢㕦戴搲敢㍦㈲㐶摦〹攱㝥㐹愹ㅡ挹晤户㔲搱㐱扡ㄶ扤っ㔵昳㤰扢ㄱ㤹㥤挸摤愴昴户㤳摣㍦㠸㘴㌱愷昶㔵攸㑤㜲㐵ち戹㜹愸っ㈶戹慦挱㥥㐹敥敢㡥摡㌷愰㤵攴收㈳㔸扣攵攸戳㔹㘹㕢搲㐷㤱晢づ戴㤲摣摦㝥㜱扡晣昸㉢戴㤹㤷ㅦ户㈰㐸㤲㕢㠸㔴㈶戹搸昵攲挸㈸㠲㐲㡣㜰搰ㄷづ㠶愲摥㌸㌸昵昸㍤挱㄰敥摦㐶㍤㥡㥥㜴挵〵捡搲㐴愹挷㠳㡦搸㠸慦㈴ㄸ〸㝢㜹改㈲收㡦〷晣㈱㥣敥ㅡ敥昷慣昴㍡扦㡥㔶㙦つ攱摥慡㔴㡤攴扥慦㔴㜴㤰慥㐵摢愰㙡ㅥ㜲㍦㐰㘶㈷㜲户㉢晤摤㈴㜷㕦㈲㔹挲愹晤〸㝡㤳摣㉦㌱㠳㡤〵㜲〷挰㠳攴㝥っ㝢㈶戹㍢ㅣ戵㥦㐰㉢挹㍤㄰挱攲㌳㐷㥦捦㤵昶㘰晡㈸㜲扦㠴㔶㤲扢挳㤱摣㡦ㅣ挹晤ㅡ㐱㤲摣㑥㐸㘵㤲㥢〸挶㠳搸〷晢㘲摥㘰ㄴㄷ愰㠲㤱㜸㈰ㄶ挵㠷㈸捥㘸㔱攱㡡〲戹攲愴㙢㌴㔶敡㌷㜰挶㠴ぢ捦㈸㤰挳戹㔰挲㡦㔳㈸挳㕢㘲昸晤㌸㜹㑡戸晦㘳愵搷㍢㈳㐶敦〲攱晥㐶愹ㅡ挹晤㔶愹㤲㕥㐵摦㐱搵㍣攴㝥㡦捣㑥攴晥愰昴晣搹㈵扤〷昱㉥攳搴敥㠴摥㈴昷㡤ㄴ㜲㝢挲㠳攴晥〴㝢㈶戹扢ㅣ戵㍦㐳㉢挹昵㈰㔸晣敡攸戳㕢㘹㑢攸愳挸晤ㅤ㕡㐹敥㐶㐷㜲晦敤㐸敥ㅥ〴㐹㜲〳㐸㘵㤲ㅢ昲愲㐲ㄵ㔷㠶㔱㠱㘱昸㡣㐰㈸ㄲ挵慤ㅥ㙦㉣ㅣ㌵㜰收㕢㕡ㅡ搴㠲㐹㔷摣㑣㠸〷愳㘱㙦㄰㜵㔷戸摥㠱㉢捤戱㘰㘹㈴攴昷晡㜱ㅢ〹㌷㝡摤㝦㕡改昵㄰㘲昴㌰㠴㥢㡦㔴戰㐷扤㤱㕣㍥㘰㈱㔵㜴㤰慥㐵㝣捡愲㜹挸攵戳ㄹ㑥攴昲㜱つ愹攷捦㐶改㝤㠹㘴㈵愷㤶㑦〵㐸昲晡㐱㐵〷扥㠴㉣挷愷㘳㝦㘸ㄵ〵㙥ㄶ攰㘳挴昸㘹㔲㘸摢戶㈸㘰搵戶攳て㔷㤸㜵搴㘳昰㜵攴㐶捦戲扥挱㥥晤㘷挶㡣ち晥㔴〸慡慤昱㠱㤰户㕦攵攰㕡㉣ㅡ㌵戵㘳慢晢挸㥦慥㘰㔱晥㍥慡㈰扢㐷攵挰晡昲㌸扥㥤晣㠸㐶㡤晡㥤ㄸㄵ㌶戲㈶ㄹ搷戶搱ぢ摦㜵扦㕦㘳慢っ搵晥挶捣㍡㝥㐵昸挱㡤㕡晣㈸㄰㝥慡挴㠸慢㡣戵㜸搲愸㘵㝥ぢ㜱㙣昶ㅦ㍣ㅡ㔰ㄳ戳ㅥ㜵㔰㘹㙡て挵㌰づ㜶昸㍡昴扥攵㜵昲挹㠶㐳㘰ㄷ㍡㡢敢戵㐱㤸慤㔶扤扡昶㉤敢ㅡ昶ㄶ㍣㠶昵昴晦搶ㄳ愷扦昱挹〱昶换㍦㤷㍥㠴搴挸捡㝡㔲愸戳㌸㕦ㅢ〶㕤㝢㜴搵户慢㌷搸慤换昱挵㕤扡㜵敤挳㕥ㅦ㐱慦㐷㍢㡤慦㕦㜵㘵愴扣慡㈷〶愸㐶搶扦慡扥㌲戵换㑥㘶㡦攸㜲〴扢攴㡡捤㔱㔰㉢㔸挶捦攴戲挱㙡昸慥㔸搲㌷㔲㙣愲㜸〵㐲慣㠰挳㝢昸慤戱㌵〵戳敥っ㕤㤱搷晢㠹㑦㥥㙥摦敡挵㡤愵攲〱换昰晥㠵昷㕤晥挸㈱户㡣戸扣㜷搱攳㤵ㄳ㐶敤㄰慣㥡㤷㙢攵㔸昴㤸㕣㉢㍢㈹敤愹挴挱捣㜸戹㔹〰㉦搷捡㜱搰戶㙤㈱㔸㐰捥㌵㔳攸慣㘷搷㑥㠳戶㔰捥㍥扥㔰㕤摣㠳ㅥㄵ㜸㤷㝥〶昳挸㡡㜴改捦愲㜶㙤〲㜴ㅤ搲愷㤰愱㜷㈱㔴つㄵ扦㕥捥㔰㔶㠸㍢つ㜸㜱戶〱晦挳㌲戸㡥ㄵ摦搶ㅦ㜰㘹敦晢㑦㝣昱慣〳挶㡣昸㕥戰㤲㕣づ㌸㡥扣挹〱〷㤴搶㘰㙦㙡挰㉣ち㤷〳㑥㐰㡢〱戳愸摡ㅣ㌰㙢扣戵㈹搰㥡慢㕢㈸㈴㙥㑥ㄹ敦㔴愶㌹㌹改捥㍡㙦慤〲扡㡣㔵〶㤱昳㔳㠶㕢挵㐸搶㑣㍢つ㜷㑥戶攱㕥㙦ㄹ㥥散摡晢攳㌳晢㉣敡扦散戱摥攷敦搰㡥搲〵㙢慢攵㜰昹㕤晤挹攱捡愲㘹㡣㔲慦㘷㙦㙡戸㉣㤳㤶挳㥤づ㉤㠶换㌲㘳㜳戸慣㝡搶㘶㐲㙢㙤㕤㝥㜱㘵捡㜰㘷㌳捤戸愴㍢㉢㥦戵昳愱换ㄸ㙥搸㉦㉥㑢ㄹ敥㠵㡣㥣〴㝦愷攱㕥㤸㙤戸ㄷ㔸㠶搸愲攳㝡扦摤㙥晦扥㤷昴改扦慢戶挳㤵㤳〵慢㡤攵㜰㉦㐷摥攴㜰㘵ㄹ㌱㠷晢㌷昶愶㠶换挲㘱㌹摣㉢愰挵㜰㔹㜳㙢づ㤷㜵挰摡㔵搰㘶攰て〵挴㡣ㄴ晣搷㌰愳慣改㘵捦㍡换㠲戵敢愰戳搶㡢㠰愸㠵㝢攳㜶㌰㠷敥搳攱攴㌴摣慡㙣挳慤戴っ愳㘷ㄸ㑦ㅦ扥㘳攳愰㐷㙥㝦散挰〹捦㕤昳㠰㘰晤慤ㅣ敥㡤挸㥢ㅣ慥㉣慣攵㜰㙦㘲㙦㙡戸㉣愵㤵挳㕤〰㉤㠶换㔲㔴㜳戸慣㡣搵㙥㠱㔶㙤扤㈱㜱㜶ち敡㠵捣㈳㙢㕢搹㥦捥昲㔸㙤ㄱ㜴づ㕢㙦㐸挴㄰摡戸昵㉥㘶㈸㙢㑤㥤〶㍣㌱摢㠰捦戲っ㌷摣㜱挴㜷㍢搶戴ㅡ扥㍣㜴摦搶〷攷㔵搴㠸戹〴挰愱㉤㐱摥攴㠰攷㈹敤摤散㑤つ㤸攵愵㜲挰㑢愱挵㠰㔹㥥㘹づ㤸搵愲摡扤搰㕡㉣昹挴昸㤴昱㉥㘳ㅡ㔹敥挹挴㍡㉢㐶戵攵搰㘵慥づ㍥㌱㈶㘵戸㉢ㄸ挹敡㑢愷攱㡥挸㌶摣攱㤶㘱㔴㘴㜲㈴㌰敡晤攱㔷㙥㜸昶㤱㌶㐳ㄶ㕦㈹㔸愵㈹㠷晢㈸昲㈶㠷㉢换㉦㌹〹晦㘲㙦㙡戸㉣戸㤴挳㕤〵㉤㠶换㠲㐵㜳戸慣㥦搴ㅥ㠷搶摡㝡㑢挵挰㤴攱慥㘶㥡㠷㤳敥㉢改晥ㄴ㜴ㄹ挳つ㤷㡡戲㤴攱㍥挳㐸搶㈳㍡つ昷愴㙣挳敤㘵ㄹ㐶捦㥤㌷㘳攵搷㐶摦搵慤㥦㝢昱挵㌵攷㡤ㄵ慣㕢㤴挳㕤㠷扣挹攱捡㠲㐴づ㜷㍤㝢㔳挳㘵〹愲ㅣ敥〶㘸㌱㕣ㄶ晡㤹挳㘵㐵愱昶〲戴づ慢愷㐷〴㔳〶昰ㄲ㔳捡昲㐰㜶慤戳挲㔰㝢ㄹ㍡戵㈵㜸㐴㈹晣ㅢ户摦㑤昴㝦ㅤ㕥㑥〳敥㤹㙤挰挷㕡㠶㌶㡢㉦㍤晡扣㔳〷づ㥤㕦㜳愶慦㘱㙤㠷て〵㙢昹攴㠰摦㐴摥攴㠰㘵㤱ㅥ〷晣ㄶ㝢㔳〳㘶㔹㥥ㅣ昰㘶㘸㌱㘰㤶戵㤹〳㘶㤵㥤昶づ戴ち㜵愹㌸㌲〵昵ㄶ收㤱㜵㜲散㑦㘷愹㥤戶ㄵ㍡㠷〹㉡ㄵ㠷㈳戴㜱晢摤挶㔰搶慤㌹つ昸戰㙣〳㍥搴㌲っ晤晤㤳搲㕤㜳收て扤改晡㐵慦慤昲㝣昱慤㘰㝤㥢ㅣ昰づ攴㑤づ㔸ㄶ慥㜱挰㥦戰㌷㌵攰敦攰㉢〷晣㈹戴ㄸ㌰㑢扤捣〱戳昲㑣晢ㅣ㕡㙢㠵づ㡢〳㔲挶晢㈵搳挸搲㌱㜶愷戳晡㑣晢ㅡ扡捣ㄵ㍡㉣㍡愴っ昷ㅢ㐶戲㤲换㘹戸敤戲つ户慤㘵㜸㘲摡愱㝦扦敤戲㕢㐶㉥敦晥晡扥㙢㉢㍡㜵ㄷ慣昸㤲挳摤㠹扣挹攱捡㔲㉥づ昷㈷搹㥢改攲㘶昱㤶ㅣ敥㉥㘸㌱摣戶㘸㥢挳㘵㉤㤶昶ぢ戴㡡㕦慦㘸㤵㌲摥摤捣㈳慢愹攴㜸㔹㤰愵晤づ㥤〳扦㕥搱㈲㘵挰㝢ㄸ捡敡㈶愷〱敦昹㌹换攱攴ㅦ㤶攱㡦愹㌵㥢て㕣敦ㄹ戸㌴㜲挱㡢㠷昴㥥搱㑡ㅣ㠴㑣㜲挰㉤ぢ㙤〳㍥㐴㘹ぢ愰㑤昲换㠲㈶㌹㘰つ㕡っ㤸〵㐱收㠰㔹㥦愴ㄵ㐲㙢昱㕢㈲㝥㐶㠷㡤㕢愱㡢㘹㘴㠱㤱ㅣ㉦㙢㤴戴㌶搰㘵昲㕢㈲㝥㐴㘴攳敡摣㡥㤱慣昷㜱ㅡ敥㌷搹㠶晢ㅦ换㌰攱戳慤攳ㅦ㕦扦晦挰㝦摥㔶㔹㜴昳挷〷昷ㄴ慣ぢ㤲挳摤ㄷ㜹㤳晣捡㠲ㅦ昲扢ㅦ㝢㔳慢㌳㑢㝣攴㜰昷㠷ㄶ挳㘵㈱㡤㌹㕣㔶散㘸ㅤ愱捤挰ㅦち㡢捦㔲昰ㅦ挴㡣㈷㈶㈳㡦㘷攴㈱搰㔹ㅦ㘴㘱昱㌱摣ㅢ㈷敡㌰扡戳〲挶㘹戸摢戲つ昷㝤换搰㌰㜳攰〰㌱慣摤㠸㙢敦㠸㤵っ晥㝤挱ㄷ㠲㤵㌲㜲戸㕤㤱㌷㌹㕣㔹〲挳攱ㅥ挱摥搴㜰㔹昴㈲㠷摢つ㕡っ㤷㐵㈳收㜰㔹挳愲㜵㠷搶㘲搷㈷摥㑥〱㝤㌴搳挸㈲ㄴ挹㉥敢㔸戴㘳愰换㤸㥤戰㑦扣㠱挸㐶㜶㝢㌲㜲〲晣㥤㠶扢㈹摢㜰㌷㕡㠶ㄹ㍢㔷捤戹愰㝥改㤰㑢搶㕦昴攸㡣㤹ㅦ晥㈹㔸㍢㈲㠷敢㐳摥攴㜰㘵㔱〸㠷敢㘷㙦㙡戸㉣〳㤱挳つ㐰㡢攱戲㡣挲ㅣ㉥慢㍡戴㄰戴搶㜰〳攲昹㤴攱ㅥ捦㌴戲㉣㐳づ㤷㤵ㅤ摡㠹搰㘵づ㌷㈰搶愶っ昷㈴㐶戲㑡挲㘹戸捦㘴ㅢ敥搳㤶㈱慦昰㠳㜷摥摢昸㘹㥦搵ㅦ㉤㡦摤晥昵昶扥㠲搵ㄴ㜲戸晤㤰㌷㌹㕣㔹㈶挱攱昶㘷㙦㙡戸戳攱㉢㠷㍢〰㕡っ㤷攵〷收㜰㔹攷愰つ㠲㌶ㄳ扦㐷㍣㤶㠲㝦〸㌳捡㥡〵㌹㜲㤶㍤㘸挳愰戳㈶捡㈳ㅥ㠱㝢攳捡㍣㠲敥慣ㅢ㜰ㅡ敥㡡㙣挳㝤挰㌲㠴㙥晢㜱㕣㥦㕥敥㍥㌷㝣㜰㘸㕤㡦㑥晢ㅣ㈵慥㐷㈶㌹摣戱挸㥢ㅣ慥㉣ㅣ攰㜰㑦㘵㙦㙡戸㉣ㄵ㤰挳ㅤ〷㉤㠶换㕢敤收㜰㜹攷㕦㍢つ㕡ぢ㜴㔰摣㤳〲晡っ愶㤱户敥攵ㄸ㜹昷㕦㥢〰㕤收散〴挵㕤㠸㙣㕣㤹㈷㌲㤲㜷搲㥤㠶扢㌸摢㜰晦㘱ㄹ晣㐳㘷摣戰扡晡挷〱㡢ㅥ戸晥扣㑥㜹㑦㉤ㄲ扣攳㉥㠷ㅢ㐷摥攴㜰㤷㉡慤挱摥搴㜰㜹昳㕣づ㌷〱㉤㠶换㕢搴收㜰㜹㉦㕣㥢〲慤挳㐷㑢㠹戸㌹㘵〰㔳㤹㔲摥搸㤶㐳攷扤㜱慤〲㍡昵㈹㔶㈲收挳扦㤱摦㉡晡昳敥戲搳㠰攷㘴ㅢ昰昵㤶攱攷昵挷ㄵ㥥㜳搹扢㘵昷摣昴挷敡㤵㑦晦戳㐰昰㉥戴ㅣ㜰ㅤ昲㈶〷㉣㙦㉦㤳摦㝡昶愶〶捣ㅢ捡㜲挰搳愱挵㠰㜹摢搶ㅣ㌰敦て㙢㌳愱捤㈰㉣ㄴㄴ㔷愶㡣㜷㌶㌳昲㔶慥ㄹ挹摢挵摡昹搰㤹㙢〶摣㉦㑢ㄹ敥㠵㜴攷晤㔶愷攱㕥㤸㙤戸ㄷ㔸㠶づ㕤挶扤昹昷戶慦づ㝤㜰敡㠰ㄳ戶㥥㕢摢㔹昰扥慣ㅣ敥攵挸㥢ㅣ慥扣攱捡攱晥㡤扤愹攱昲ㄶ慢ㅣ敥ㄵ搰㘲戸㕢搱㌶㐱㙦挱㤲㜶ㄵ戴ㄹ挳つ㠷挴㡣㤴攱㕥挳㡣昲敥愷愴㤷㌷㔰戵敢愰戳㌶㠴㤰愸㑤ㄹ敥ㅣ扡昳づ愴搳㜰慢戲つ户搲㌲戴晦㌹戱㘸攵攷㌳捡收㥦㝤搶敥扡摦㡥㕢㈲㜸愷㔲づ昷㐶攴㑤づ㔷摥㠲攴㜰㙦㘲㙦㙡戸扣改㈸㠷扢〰㕡っ㤷户昶捣攱昲ㅥ愲㜶ぢ戴ㄹ挳つ昹挵搹㈹挳㕤挸㡣昲㝥愰ㅣ㉥㙦㈹㙡㡢愰戳搸昵㡢㔸捡㜰ㄷ搳㥤昷攴㥣㠶㍢㌱摢㜰捦戲っ㐵㜵ㅤ晢慦㡢摤搸敦敥搰㈱戵㜷搶㥦㜲㥢攰扤㍢㌹摣㈵挸㥢ㅣ慥扣㈹挷攱摥捤摥搴㜰㕢挲㔷づ㜷㈹戴ㄸ慥ぢ㙤㜳戸㠵㔸搲敥㠵搶㘱敢挵㌹㜰捡㜸㤷㌱愵扣㐵㈶挷换扢㙣摡㜲攸搴搶㡢㌳摦㤴〱慦愰晦扥昰㜲ㅡ昰㠸㙣〳ㅥ㙥ㄹㄶ敥㍥㘸昰攰昷㝢つ㝥戴㘶搳㥦㐷㉤㝥戹慤攰晤㉣㌹攰㐷㤱㌷㌹㘰㜹愳㡡〳晥ㄷ㝢㔳〳收慤㈹㌹攰㔵搰㘲挰扣戵㘳づ㤸㜷㥡戴挷愱㔵愸晤㘲㘰ち敡搵捣㈳敦ㄵ挹㔱昲㜶㤳昶ㄴ㜴づㄳ攴ㄷ㘵〸㙤摣㍦㍦挳㔰摥扢㜱ㅡ昰㐹搹〶摣换㌲摣戹改敥敤昳晢㡦ㅦ㍡昷搰㑢ㅦ晢㝤昵㈷晤㐴㑦㘴㤲〳㕥㠷扣挹〱换㥢㌷ㅣ昰㝡昶愶〶捣摢㌵㜲挰ㅢ愰挵㠰㐳㘸㥢〳づ㘰㐹㝢〱㕡㠷〱〴㐵㌰㘵〰㉦㌱愵扣㤵㈲挷捥扢㌱摡换搰愹戹ち㡡㔲昸㌷敥㥦㌷搱㥦昷㌳㥣〶摣㌳摢㠰㡦戵っ㈷㝣ㅢ昹昷摣㕢㌷て扦晡昴㈱㜷捣㙥搹㌱捦摤て㤹攴㈰摥㐴㕥晤㉤㡡捤㄰㉥㜷㝦㘵㜸ㅢ㑤摣晣ㄸ㠰戶攳㈵㜵昹㐳搱㍤捤㕦搴挵㌷昹ㄸ戵㔲㔱㠴㔹㉡㐸昰㌶㐷敢〴扦攰挷㤰㍦敢㡢㙦ㅦ挲㑦愷换㉦敥㘹㠳ㅦ搷慤㌹挷愸ㄹ㠶摦㡡挶㑦敡㡥㈹慦戴扥㡤〶扦㈱捤㍢ㄸ敡攷㕢㜵搹攲㜷㑦㘹㠹㤱㌵昸㍤搷㔶㠹挱戵昸㐵敡㜸㘱攵愸㐸㕤㥤㔱㔳昵扦昰ㅤ㕡昸㉡愵㤶扣攷㠵㤵愶㠵㄰㜹昹㡥摦㘲挴慦㈷㑡晦戹㔷摢捦㙥㌷捥㠷晡〱昶㝣晥㈶敦㕦晢〶㉤敤ㅤ搰㔶㠴晢㐳㐶っ扦㠶㕥㍣㥤摦㡦㔵㥢㉦㡥挴㝡㈰㙦昸㝦㔵㜲愰扣㠹挱㕢㜵晡ㄶ昸㙡敦㐱戴挰㡤ㄱ晥㌸〳搷㜲㤷扥ㄵㅡ扤〱つ㈹昲㕡づ挱㉡㤰敢ㅥ㄰户㤷㔶㤵㤳㈲㌵㌵㤱㔹㠵㤵㤳㉡㡣慡戳敢愶ㄴ㑥㥡㡥晢㕥昸摤㙦〴ㄷㄶㄶ敡摢㤰㤴㍤昰㈵㐶㐰挹慣晡〷搰㜲㌵愴搶㍤ㄶㅡ戹㑥㙥㈷㠰て㈹㍥㠲㜰戹㑦㔵㠶㡦搱挴ㄶ㌷づ㙤慥㤷㍡〷㥢㉦づ㜶ㅣ摣愷㡣攷攰ㅡ〷昶㌹㔵つ攸捡ㅣ㤸㌸〳㌹㈴㡣㉦㤹挷㠲㈱㈶㉡敤㔷搰㈶挱挵愱㤵攰扥㘶㤲晦㔰㝣〳攱㜲ㅢ捡昰㉤㥡〰㤷㐰摢〶慥挸ㄱ摣て㡣㑦〵户㤳㉡ㅢ戸愹ち挶㉥ㄸ㤲攰㌸㥤ㄲ昲捦搰㈶挱搵㈹っ扦㌰挹慦ㄴ扢㈱㕣敥㝡㘵昸つ㑤㠰㥢㡥戶つ㕣ぢ㐷㜰㝢ㄸ㥦ちづて搸愵㠰㥢慤㘰攴挳㤰〴㜷愱搲戶㠰㌶〹敥㜲㠵愱㈵㤳ㄴ㔰㘸㄰㉥昷摦㤴愱ㄵ㥡〰㜷〵摡㌶㜰㍦敦㜲㕡㘷㕤㡣㑦〵搷㠶㉡摢捣㕤愳㘰戴㠳㐱挱㄰㜳㤴戶〸㕡〵搹㝤愳挲攰㘶㤲㝤㈸摡㐳戸摣㌷㈹㐳〷㌴〱㙥〱摡㌶㜰㕦㌹㠲摢㥦昱愹攰㍡㔲㘵〳户㔰挱㌸〸〶〵㐳㉣㔶摡㠳愱㔵㤰摤㑢ㄴ㠶㐳㤸攴㔰㡡挳㈰㕣敥扢㤵愱ㄳ㥡〰户ㄴ㙤ㅢ戸てㅣ挱㜵㘱㝣㉡戸慥㔴搹挰㉤㔳㌰扡挱㤰〴户㐲㘹㡦㠴㌶〹敥㔱㠵愱㍢㤳ㅣ㐵㜱㌴㠴换晤㉦㘵攸㠱㈶挰慤㐲摢〶敥つ㐷㜰㍤ㄹ㥦ち捥㐳㤵つ摣㙡〵愳〴㠶㈴戸㘷㤴戶ㄴ摡㈴戸㜵ち㠳㡦㐹晣ㄴ〱〸㤷㝢扤㌲〴搱〴戸つ㘸摢挰㍤敦〸敥㜸挶愷㠲㍢㤱㉡ㅢ戸㤷ㄴ㡣㤳㘰㔰㌰挴㈶愵攵敦㜰㉢挸敥㌷ㄵ㠶摥㑣搲㠷愲㉦㠴换晤㤶㌲㤴愱〹㜰㥢搱戶㠱㝢搲ㄱ摣〰挶愷㠲ㅢ㐴㤵つ摣ㄶ〵㘳〸っち㠶搸愶戴㐳愱㔵㤰摤㍢ㄴ㠶㘱㑣㌲㥣㘲〴㠴换晤㠹㌲㡣㐴ㄳ攰㍥㐵摢〶敥㐱㐷㜰愳ㄹ㥦ち㙥㉣㔵㌶㜰㕦㉡ㄸ攳㘰㐸㠲晢㐶㘹挷㐳㥢〴户㔳㘱㌸㡤㐹㑥愷㌸〳挲攵晥㐹ㄹ捥㐴ㄳ攰㜶愱㙤〳㜷㤷㈳戸㠹㡣㑦〵㌷㤹㉡ㅢ戸摤ち㐶ㄴ㠶㈴戸㍤㑡ㅢ㠳㌶〹慥㈵㜶㥢㙣攸㜱㈶㌱㈸ㄲ㄰㉥㜷㠱㌲㥣㡤㈶挰㘹㘸摢挰摤散〸㙥㉡攳㔳挱㔵㔰㘵〳攷㐲㥥㈱㠰愲㔷挱㤰〴搷㑥㘹慢愱㑤㠲摢㔷㘱㤸挶㈴攷㔲搴㐰戸摣晢㈹㐳㉤㥡〰户㍦摡㌶㜰搷㍡㠲㥢捥昸㔴㜰㌳愹戲㠱㍢㐸挱㤸つ㠳㠲㈱づ㔳摡昳愰㔵㤰摤㕤ㄵ㠶昳㤹攴〲㡡ぢ㈱㕣敥㈳㤴攱㈲㌴〱慥ㅢ摡㌶㜰ㄷ㌹㠲扢㤴昱愹攰㉥愷捡〶敥㘸〵攳ちㄸㄴっ搱㔳㘹慦㠴㔶㐱㜶晢ㄴ㠶慢㤸攴㙡㡡㙢㈰㕣㙥扦㌲㕣㡢㈶挰〵搰戶㠱慢㜵〴㌷㠷昱愹攰收㔲㘵〳㜷扣㠲㌱て㠶㈴戸㤳㤴㜶㍥戴㐹㜰晤ㄴ㠶ㅢ㤹攴㈶㡡〵㄰㌸㡣㔷㠶㥢搱〴戸〱㘸摢挰㥤敤〸㙥㈱攳㔳挱㉤愲捡〶㙥㠸㠲戱ㄸ〶〵㐳㡣㔰摡摢愱㔵㤰摤㘳ㄵ㠶㍢㤸攴㥦ㄴ㜷㐲攰㜸㑥ㄹ敥㐲ㄳ攰挶愱㙤〳㜷愶㈳戸愵㡣㑦〵㜷㉦㔵㌶㜰㘷㈸ㄸ换㘰㔰㌰挴㐴愵扤ㅦ㕡〵搹ㅤ㔷ㄸ㤶㌳挹〳ㄴ㉢㈰㜰㍣愷って愲〹㜰〹戴㙤攰㐶㍡㠲㝢㤸昱愹攰ㅥ愵捡〶㙥慡㠲戱ち〶〵㐳㔴㈹敤㘳搰㉡挸敥㍡㠵攱㜱㈶㜹㠲㘲㌵〴㡥攷㤴攱㐹㌴〱㙥㍡摡㌶㜰㘵㡥攰㥥㘱㝣㉡戸〶慡㙣攰㘶㉢ㄸ㙢㘰㐸㠲扢㔰㘹搷㐲㥢〴㜷戹挲戰㡥㐹搶㔳㙣㠰挰昱㥣㌲㍣㡦㈶挰㕤㠱戶つ㕣搰ㄱ摣㑢㡣㑦〵昷㌲㔵㌶㜰搷㈸ㄸ㥢㘰㐸㠲㥢愳戴慦㐰㥢〴㜷愳挲昰㉡㤳扣㐶昱㍡〴㡥攷㤴攱つ㌴〱㙥〱摡㌶㜰㍤ㅣ挱㙤㘶㝣㉡戸㜷愸戲㠱㕢愸㘰㙣㠱㈱〹㙥戱搲扥〷㙤ㄲ摣ㄲ㠵㘱㉢㤳扣㑦戱つ〲挷㜳捡昰〱㥡〰户ㄴ㙤ㅢ戸㑥㡥攰㍥㘲㝣㉡戸ㅤ㔴搹挰㉤㔳㌰㍥㠵㈱〹㙥㠵搲㝥〶㙤ㄲ摣愳ち挳攷㑣昲〵挵㤷㄰㌸㥥㔳㠶慦搰〴戸㔵㘸摢挰㜵㜰〴昷つ攳㔳挱㝤㐷㤵つ摣㙡〵攳〷ㄸㄴっ昱㡣搲晥〸慤㠲散㕥愷㌰散㘴㤲㥦㈸㜶㐱攰㜸㑥ㄹ㝥㐶ㄳ攰㌶愰㙤〳搷捡ㄱ摣㙥挶愷㠲晢㥤㉡ㅢ戸㤷ㄴ㡣㍤㌰㈸ㄸ㘲㤳搲晥〹慤㠲㕣昰㈶戴㈷㌸㔵ㅤ㥡㤷㐸㙣㕦慢摢〳攵㤵㐶㔵摣㠸攳㉡挷㌴㔴㘷捥敡㕦㔵㔷挳㕦㑤捡㙢㠱㌲搰〲㔹㥢搸㌲晦昸扦㤶㡢搷㑡㔸㌶挹㔷㐱ㅥ〶晥晦㤱㠷ㄷ扢㔲㡢㌱㑦㠴愶㌰㕦ㄳ㙦㘱戰ㅣ戰昸昳㈷㤴㐳愲㤷㕥搲㈰挴㘶㘵搸㘳ㄹ㑥㠶㐱㙦㠱昲摦〲㕥㑡㑡晦㔲㙦摢〵㄰摢搷㙢挳ㄱ㕦搲㌸愶㉥㔲挷㙢㈱慥㑡㔶㘹捡㔹搱㉡挷㑣挱㜷㍦敦㘳昹昶㐸晡戴㑦㙡㤲扥敤㤲㉡ㄹ㜳㘰㔹㜵攵戴㐸㑤㈴㕡㘱搰愵㐷㘳搲晤搲㉤搲ㅦ㙣㤳昰扣㉥搹㘹㔰〰㌹搵㠵愲挹㡥㠵㠲〱㝡㑢捣㐹㕢㉣㠸挶㈵搹㉣搸㠲攱㌷昹㐲ㄱ㈹晡㡢摦㐲㕥〰〰㠲㔷㜹攴㈵㑦つ㉤戵㉥ㄷ㙤戳戴㠵扣愸㔳挴换㌳昴㈹挴敡㡥ㅡㄶ戴㈴昵扦㕡っ慢㜵㠲㤷㙡愴攱㤷戴㜵㠲㤷㙦愴攱㘷晢㍡㠱㘲㝡㍣㉡〱ㄳ搷㡢挶㌹㘸㕣㤲戳㈱㍥㠵㤵㌳愲户愱㍦慦摤㐸戸㙤敤㜰扦戴戴㈶㕣㕥戰㘹㠴换ぢ㌵戲昳ㅦ搲攰昲攲㡤㌴㝣㥦〶昷ㅢ㘵昸捥づ㜷ㅦ㜶捦㡢㍢戹攱昲㤲㡥㠴摢㠱晥㍢搱㤲㜰昷戵挳摤㘵㘹㑤戸扣㠴搳〸㤷㤷㙥㈴慡慦搲攰昲㜲㡥㌴㝣㤹〶㜷户㌲㝣㘱㠷摢㤱摤晦〶㔳㙥戸㝢攰㈱攱ㅥ㐴晦㍣㄰㉣攱ㅥ㙣㠷㥢㙦㘹㑤戸㉤㔴㑢慥っ㉤㈱㈵慡ㅤ㘹㜰㜹㠱㐷ㅡ㍥㑥㠳慢㈹挳㐷㜶戸㥤搸㝤㉢㤸㜲挳㜵挱㐳挲敤㑣晦㌶㘸㐹戸㕤散㜰摢㔹㕡戹戶ㄶㄵ愹ㄶ搷㘴攱㐶㑢愲㝡㍦つ㉥㉦昹㐸挳搶㌴戸敤㤵攱㍤㍢摣㙥散扥〳㑣戹攱敥てて〹户㍢晤㍢愲㈵攱ㅥ㘵㠷㝢㤰愵㌵㘷昷㘰搵挲㍢扥攷〸㔲愲摡㥣〶㤷ㄷ㠱愴攱慤㌴戸㠷㈹挳㥢㜶戸挷戲晢㑥㌰攵㠶摢〵ㅥㄲ敥㜱昴敦㡡㤶㠴敢戱挳敤㘶㘹㑤戸㐷慡ㄶ摥昳㐴㜷㐸㠹敡㤵㌴戸扣㉣㈴つ㥢搲攰ㅥ慤っㅢ敤㜰㝤散扥〷㑣戹攱昶㠴㠷㠴ㅢ愰扦〷㉤〹㌷㘸㠷㕢㘲㘹㑤戸愵慡㠵昷㍣攱㠳㤴愸㕥㐸㠳换ぢ㐵搲昰㝣ㅡ摣㠰㌲㙣戰挳㍤㠱摤〷㘱捡つ昷㜸㜸㐸戸扤攸㝦㈲㕡ㄲ敥㐹㜶戸㈷㔹㕡㜳摤㍤㔹戵攴扡摢ㅢ㉤㠹敡戹㌴戸扣㜴㈴つつ㘹㜰晢㉡挳戳㜶戸㝤搹㝤ㄹ㑣戹攱づ㠰㠷㠴摢㡦晥㠳搰㤲㜰晢摢攱づ戱戴收散づ㔵㉤扣攳㘷㑤㈱㈵慡搵㘹㜰㜹㌱㐹ㅡ㥥㐸㠳㍢㐲ㄹㅥ户挳ㅤ捣敥㐷挲㤴ㅢ敥㘸㜸㐸戸㐳改㍦ㄶ㉤〹㜷㤸ㅤ敥㌸㑢㙢挲ㅤ慦㕡㜸挷㙦ㄳ㐰㑡㔴㡦愴挱攵攵㈵㘹㜸㌸つ敥ㄹ捡昰㤰ㅤ敥㈸㜶㝦㈶㑣戹攱㑥㠴㠷㠴㍢㥡晥㤳搱㤲㜰挷搸攱㐶㉤慤〹㌷愶㕡㜸挷户戱㐰㑡㔴换搳攰昲㠲㤳㌴摣㥦〶㌷愱っ换散㜰挷戳晢戳㘱捡つ㜷㉡㍣㈴摣搳改㕦㠱㤶㠴㝢㠶ㅤ㙥㤵愵㌵攱㔶慢ㄶ摥昱㘵晥㤰ㄲ搵摤㘹㜰㜹〹㑡ㅡ㤶愴挱慤㔱㠶扢散㜰㈷戲晢㕡㤸㜲挳㥤づて〹㜷㌲晤㘷愲㈵攱㐶散㜰㘷㕢㕡㜳㔳㍢㑦戵攴愶㜶㍥㕡ㄲ搵攲㌴戸扣㈸㈵つ晦㐸㠳㝢愱㌲㉣戲挳㌵搸晤㐵㌰攵㠶㝢㈹㍣㈴摣戳改㝦㌹㕡ㄲ敥ㄴ㍢摣㉢㉣慤㌹扢㔷慡ㄶ摥昱〵ㅦ㤰ㄲ搵捤㘹㜰㜹㤹㑡ㅡㄶ愴挱扤㐶ㄹ㙥戲挳慤㘰昷搷挲㤴ㅢ敥ㅣ㜸㐸戸㔵昴㥦㡢㤶㠴㕢㙤㠷㍢捦搲㥡㜰攷慢ㄶ摥昱晤昰㤰ㄲ搵摣㌴戸扣㜰㈵つ㌷愴挱㕤愰っ㜳散㜰㙢搹晤捤㌰攵㠶扢㄰ㅥㄲ㙥㍤晤ㄷ愱㈵攱㑥户挳㕤㙣㘹捤㤵攱㜶搵㤲㉢挳ㅤ㘸㐹㔴㔷愷挱攵愵㉣㘹戸㉡つ敥㥤捡㜰愵ㅤ敥㙣㜶㝦ㄷ㑣戹攱㉥㠵㠷㠴㝢㍥晤敦㐵㑢挲扤挰づ㜷㤹愵㌵㘷昷㝥搵挲㍢扥㌳〲㔲愲扡㌴つ㉥㉦㙥㐹挳㈵㘹㜰㔷㈸挳挵㜶戸㤷戰晢〷㘱捡つ昷㘱㜸㐸戸㤷搱晦㔱戴㈴摣换敤㜰㔷㔹㕡㜳㜶ㅦ㔳㉤㌹扢㡦愳㈵㔱㥤㤷〶㤷㤷扢愴㘱㜶ㅡ摣搵捡㌰换づ昷㉡㜶晦㈴㑣戹攱㍥〳て〹昷ㅡ晡㌷愰㈵攱㕥㙢㠷扢挶搲㥡㜰搷慡㤶㠴扢づ㉤㠹慡㉥つ㉥㉦㠰㐹㐳㙤ㅡ摣つ捡㔰㘳㠷㝢〳扢㝦ㅥ愶摣㜰㕦㠲㠷㠴晢㜷晡扦㡣㤶㠴㍢捦づ㜷㤳愵㌵攱扥愲㕡ㄲ敥慢㘸㐹㔴㤵㘹㜰㜹㐹㑣ㅡ㉡搲攰扥慥っ攷搸攱㉥㘰昷㙦挰㤴ㅢ敥㘶㜸㐸戸户搰晦ㅤ戴㈴摣㕢敤㜰户㔸㕡ㄳ敥㝢慡㈵攱㙥㐵㑢愲㑡愴挱攵㐵㌲㘹㌰搲攰㙥㔳㠶戸ㅤ敥㍦搸晤〷㌰攵㠶晢ㄱ㍣㈴摣摢改扦〳㉤〹昷づ㍢摣㑦㉤慤〹昷㌳搵㤲㜰㍦㐷㑢愲㥡㤴〶㤷㤷捤愴㘱㘲ㅡ摣㉦㤵攱㉣㍢摣㈵散晥㉢㤸㜲挳晤〶ㅥㄲ敥㔲晡㝦㠷㤶㠴㝢㡦ㅤ敥て㤶搶摣㌳晣愸㕡㜸捦ㄳ㍢㈱㈵慡搳搲攰昲㐲㥡㌴㡣㑦㠳扢㑢ㄹ挶搹攱摥捦敥㝦㠶㈹㌷摣摤昰㤰㜰ㅦ愰晦敦㘸㐹戸㉢散㜰昷㔸㕡㜳㜶晦㔴㉤捥㙥ㄱ慦ㄹ昱ㅢ㥢昳㘷㡡搸攴昸攴挹扦ㄴ戵㉣㍥愸攵㘹扤摢摣扡晤愵㡦收扤㌹愱搷㘷扦㉦㕡昴收㡥㜹㉦晦晥㔴戴搷昳㜷摥戹㙥挸敤㉦㝦搴㍥㜱㐷晥慡㕦㠶摤㜱扥昷㥣昳捦㑤㥣㝡昴挰昳㑦㥦㝡㡡㜷搴㍥㍤㕡戴㘸搵敡挸づ㉦㜴散敥扥昸摣挷挵㜳敦ㅥ㔰㔵挰ぢ㌰㑤戸㘸㐳搴㝦昱ち换㠳ㅣ戹扣捣㠲ㅣ晡㑡戴昸㠷㔳敥㍣㌷㉦户昰晡㤲晥㄰ㄶ昴㠷㈱摡收ㄷ昱㤲㐸㜳づ㔹挸㙢㈸散昵ㄱ昴挴㍦㠹㠵搷㔲㈴㤶㐷戱愰晦ぢ〲㔸㜸扤愳㔹戱挸ぢ㈴㠰愰慦㐲㑦晣㤳㔸㜸愱㐴㘲㜹っぢ晡攳㄰挰挲㡢ㄹ捤㡡挵扣晡㠱づ㥦㐰㑦㐹㉣扣ち㈲戱慣挶㠲晥㈴〴戰昰㑡㐵戳㘲㤱㤷㌶㠰㐱㝦ち㍤㈵戱昰ㄲ㠷挴昲㌴ㄶ昴㘷㈰㠰㠵㤷㈱㥡ㄵ㡢扣㙥㐱㉣捦愲愷㈴ㄶ㕥扦㤰㔸ㅡ戰愰㍦〷〱㉣扣挶搰慣㔸攴㐵〹㘲㔹㠳㥥㤲㔸㜸㜱㐲㘲㔹㡢〵㝤ㅤ〴戰昰〲㐲戳㘲㤱㔷ㅣ㠸㘵㍤㝡㑡㘲攱㤵〷㠹㘵〳ㄶ昴攷㈱㠰㠵㔷〷㥡ㄵ㡢扣㥣㐰㉣㉦愰愷㈴ㄶ㕥㔶㤰㔸㕥挴㠲晥ㄲ〴戰昰搴扦㔹戱昴㐳〷㜲㉦晦㙦㉣㈴戱昰㥡㠱挴昲㌲ㄶ昴㡤㄰挰挲昳晡㘶挵㈲㉦〴〰㠳扥〹㍤㈵戱昰㠲㠰挴昲ちㄶ昴㔷㈱㠰㠵㈷敤捤㡡㐵㥥攵ㄳ换㙢攸㈹㠹㠵㘷晢ㄲ换敢㔸搰摦㠰〰ㄶ㥥㤱㌷㉢ㄶ㜹ち㑦㉣㙦愲愷㈴ㄶ㥥捡㑢㉣㙦㘱㐱摦っ〱㉣㍣摤㙥㔶㉣昲晣㥣㔸摥㐶㑦㐹㉣㍣㑦㤷㔸摥挱㠲晥㉥〴戰昰㕣扡㔹戱挸㤳㙦㘲搹㠲㥥㤲㔸㜸ㄲ㉥戱扣㠷〵㝤㉢〴戰昰㐴戹㔹戱挸㌳㙢㘲㜹ㅦ㍤㈵戱㔴愳㈱戱㙣挳㠲晥〱〴戰搴攲慤㔹戱挸搳㘶㘲搹㡥㥥㤲㔸愶愳㈱戱㝣㠸〵晤㈳〸㘰㤹㡤户㘶挵㈲捦㠹㠹攵㘳昴㤴挴㜲〱ㅡㄲ换づ㉣攸㥦㐰〰换㈵㜸㙢㔶㉣昲㠴㤷㔸㍥㐵㑦㐹㉣㤷愳㈱戱㝣㠶〵晤㜳〸㘰戹ち㙦捤㡡㐵㥥捤ㄲ换ㄷ攸㈹㠹㠵㘷戵ㄲ换㤷㔸搰扦㠲〰㤶ㅢ昰搶慣㔸攴愹㉡戱㝣㡤㥥㤲㔸㜸捡㉡戱晣〷ぢ晡㌷㄰挰戲〰㙦捤㡡㐵㥥㠷ㄲ换户攸㈹㠹㠵攷愳ㄲ换㜷㔸搰扦㠷〰㤶㝦攰慤㔹戱挸㤳㑣㘲昹〱㍤㈵戱昰㘴㔳㘲昹ㄱぢ晡㑥〸㘰㔹㠲户㘶挵戲ㄴㅤ挸捦改㥦戰㤰挴挲㌳㐹㠹㘵ㄷㄶ昴㥦㈱㠰攵㝥扣㌵㉢㤶〷搰㠱挴昲ぢㄶ㤲㔸㜸㥡㈸戱晣㡡〵㝤㌷㐴摢㝣昱㈰摥愴敢㙦搶〲ㅢ敥㤵㘸搰戵㙤㑢昱㄰ㄶ攵㤹㙣㑢敢㠴戵㉦昴㠵〲摦慣愱っ㉤㉣㠳ㅢ〶㝤て戴敥㐷ㅡ挳ㅦ㔵㕥㈲㉤㥣攷㐴㌲㙦㥥㍤㕣戴㐶昸慡挶昰挷㤴搷㥥㥤㘶㔱㠴敡晤㜱㘵昸挳㌲挸摥㕢㌲晣㠹挶昰搵捡敢户戴㜰㥥㜹挸摥㜷摢挳㕢㌱㥣攷〸搶搸㥦㔶㕥扦愴㠵㍦愳っ㍦摢挳㕤っ攷㘱扤ㄵ捥㘳㜹搹挹㑦㘹攱㍣扥㤷㠶㥤昶昰戶っ攷㤱戸ㄵ捥挳㙦改昵㐳㕡昸㍡㘵昸摥ㅥ敥㘶㌸て㥥慤㜰ㅥ㌱换昰㙦搳挲㜹ㄴ㉤つ摦搸挳㍢㌰㥣挷扢㔶㌸て㜲愵搷搷㘹攱㍣昰㤵㠶慦散攱晢㌳晣摦㡤攱㍣㉥㤵㕥㕦愴㠵昳㔸㔵ㅡ㍥户㠷ㅦ挸㜰ㅥ㔵㕡扤扦愲扣㍥㑤ぢ攷攱愵っ晦挴ㅥ㝥〸挳㜹㈰㘸㠵昳攸㑦㝡㝤㥣ㄶ捥㈳㐲㘹昸挸ㅥ摥㠹攱㍣㜶戳挲㜹挰㈶扤戶愷㠵㙦㔶㠶て散攱㕤ㄸ捥挳㉤㉢㥣挷㔸㌲晣晤戴㜰ㅥ㜷㐹挳㔶㝢昸ㄱっ攷ㄱ㤲ㄵ捥挳㈲改戵㈵㉤㥣㠷㑡搲昰慥㍤扣㍢挳㜹㔰㘳㠵昳㐸㐶㝡扤㥤ㄶ捥愳ㅢ㘹搸㙣て敦挱㜰ㅥ㠷㔸攱㍣昸㤰㕥㙦愶㠵昳㠰㐴ㅡ摥戰㠷昷㘴㌸てㅤ慣㜰ㅥ㉦㐸慦搷搲挲㜹っ㈱つ慦摡挳扤っ攷愷扤ㄵ捥㡦㜸改戵㈹㉤㥣ㅦ晢搲戰搱ㅥ敥㘳㌸㍦愰慤㜰㝥㉡㑢慦㝦愷㠵昳㤳㕡ㅡ㕥戲㠷〷ㄹ捥捦㔴㉢㥣ㅦ愴搲敢㠵戴㜰㝥戸㑡挳昳昶昰攳ㄹ捥㡦㐱㉢㥣㥦㝤搲㙢㝤㕡㌸㍦て愵㘱㥤㍤扣ㄷ挳昹挹㘵㠵昳攳㑡㝡慤㐹ぢ攷㐷㤸㌴㍣㘷て敦捤㜰㝥搸㔸攱晣㠴㤱㕥捦愶㠵昳㔳㐷ㅡ㥥戱㠷㤷㌱㥣㥦て㔶㌸㍦ㄴ愴搷㔳㘹攱晣愰㤰㠶㈷敤攱〳ㄸ捥捦っ㠶敢〳搱㐲㡤㈰㜷晥昲晡攴㈰戴〵昷攵戲㌵㤸㉤敥㥡㘵㙢〸㕢摣搳捡搶㔰戶戸攳㤴慤㘱㙣㜱㍦㈸㕢挳搹攲㙥㑤戶㐶戰挵扤㤴㙣㡤㘴㡢㍢ㅤ搹ㅡ挵ㄶ昷㈱戲㜵ち㕢摣㈵挸搶㘸戶戸㠵换搶ㄸ戶戸挱捡搶㔸戶戸晤挹搶愹㙣㜱㜳㤲慤㜱㙣㜱敢㤰慤昱㙣㜱㘵㤷慤搳搸攲扡㉢㕢愷戳挵㔵㔱戶捥㘰㡢㙢㤶㙣㥤挹ㄶ㔷ㄴ搹㥡挰ㄶ㜹㤷慤戳搸㈲㡤戲㌵㤱㉤戲㈲㕢㤳搸攲㈴换搶㘴㉣ㄴ㜰㤲㜳ㄴ戱㡤㌲㙡㘲㐶㔵㕤㜹㠵挱㈲㍡㌰㤱搷戶戲慣扥戶慥摡慣昳慢㉤㤰㤵㝤㤹㤵㝦敤改摥㈳挵搵㘵慡㈸㡢捣挵㘴〹㘰㙢换挴㥡挱晦㙢晤㕦㉢慣㉢㝣攱搹挸挳㜲㤷〰㥡攵㝦㑤昳戲㙡晦㈲㤸ㅤㄷㅥ㑣㐷昱㕦攳愲㙣ぢ戹㌶挲愲て攷㔵㜰敢㑦挸戵ㄲ㡤㔴慤㕣㍢㌳戴㜲㉤捤搰捡戵㌵㐳㉢搷摡っ慤㕣㝢㌳戴㜲㉤捥搰捡戵㌹㐳㉢搷敡っ慤㕣扢㌳戴㜲㉤捦搰捡戵㍤㐳㉢搷晡っ慤㕣晢㌳戴㜲㉢挸搰捡慤㈱㐳㉢户㡡っ慤摣㍡㌲戴㜲㉢挹搰捡慤㈵㐳㉢户㥡っ慤摣㝡㌲戴㜲㉢捡搰㜲㙢㤲挷扣昶昵愱㠸㙢つ搷て慥㌳昸摢㝥昲挲㕢昹昷挵挹ㅢ㕦收摦搷㈷户晥㝦㔰昷㡡户</t>
  </si>
  <si>
    <t>㜸〱攵㕡㝦㙣ㅢ搷㝤攷愳㜸㈷㍥㡡ㄴ㘹㍢㜶㝥㌶㔵㔳㝢捤㈲㕢㤰㉣搹㤶㥢㜹慥㐴㔹戶ㄲ搹戲㈵搹㙥摡㘶昴㠹㝣㘷搱㈶㜹捡摤搱㤶扡㙣㑤㡢愰敤㌰㘰㙢昳搷搲㘵㙤㄰㘰㐳㕢っ㕢㠱〱㘹㔷㜴㐳戳ㄵ攸搶㘵㙢㍢ㄴ㕢扡戵㕢㤶㜵敢㡡㘴㕤㥡㈱㕢㤶㈵挸㍥㥦㜷挷㥦愲㘸㐷㜵〰〳㍢㠱㕦㝤摦捦㝢敦晢晢㝤摦㐵㐴㈴ㄲ㜹〳て晦昳㠹ㄱ戹㙤㘱捤昳㔵㜹㈸敢㤴㑡㉡敦ㄷ㥤㡡㌷㌴攱扡搶摡㙣搱昳㝢搰挱捣ㄵ搱敥ㄹ㌹慦昸㐱ㄵ捦㕤㔲慥㠷㑥㐶㈴ㄲ㡦换㈸摡㙢扦㑣つ㤱ㅣ㈵㘳〰㐹昴㡡㉣㘶㈷攷㤶㉥㘰敡〵摦㜱搵敥㠱㌳挱〴㠷㐶㐶㠶㐶㠶挶昶㡤散ㅤㅡ摥㍤㤰慤㤶晣慡慢づ㔵㔴搵㜷慤搲敥㠱㤳搵愵㔲㌱㝦慦㕡㕢㜴㉥慡捡㈱戵㌴㍣扡㘴㡤㡤㡦㡣敤摢㘷ㅦ㍣㌸㥥㌴㌱昳㠹散攴㐹㔷搹摥戵㥡戳㤷㜳捥㘵㈷㠷㑥㈸晦㕡捤ㄹ挷㥣㤸㜲捡㈹㕢挵捡㌵㥡搴㈰㠱㐷愷㔴扥㐸㑥㈸攵ㄶ㉢攷㠷戰散ㄶ㐲愳㜴㘰㘸ㅡㄴ捦㕢㥥㥦㔵愵搲扣戲戹挱㘴㤹㌴㔳慥慡攴㤵搷㕦㍥戲㥡㔷愵戰搹㡢㤷捦㔸敥〹慢慣㘲㐴搲攵㠰㙦㌳〵㔵昱㡢晥㕡慡㝣摡㔳昳㔶攵扣㘲ㄷ愳㝣戴㕡㉣挴㘲㈲ㄶ㡢昴扣慢搳㘲㌴㙦㠶愶摤㝣㜶搹㜲㝤㕤㈲搷㐶㍡昵㙤㤲㄰扤昰㤶㘵㔱㡡〶摡㐶㤱㑤ぢ挵昲扤捡慤愸ㄲ㕦挲扤つ戶㜵搲㌴〹㐸㕦㈷㑥㙤㌷㘴㡣攸ぢ㠵㥦㕢攱㕢愴㈴㐸〰㤸㝤挴戲㡥攷て捣ㄷ扤㡢㌲挹㘲ち㐰挴㕥㠲ち㌵て㘴捦㘸捥㡡收㤶愲戹㝣㌴㔷㠸收㔴㌴㘷㐷㜳攷愳戹攵㘸慥ㄸ捤㕤㠸收㉥愲㑦敤㠹昷昶㐶挳㘷晣搵ㅦㄴ慡摦捣捥晥捥慢改捦㍥昳搲ㅦ㍣㉦愸㌵㕡㝤搲㐰㘴〶挰摣〲㤰㕡挸㉦慢㐲戵愴㠲挵㙣㘵攳㌶〰㈱㕥挰㘲戸愰昲昷㘶扦㌰㜹㔳㘶敡户㥦㔲搶换㈳㥦昸慢攴㜶㌴㥦ち户㌷攵㕡㤷㈱㈳つ昱㠳捥昱敦捡㝡〷戵戳昷搹〷散㤱㤱挲扥㘱㙢搴㌲㐸愰慢攵昶つ攸㥢戴捦ㄶ㉢〵攷戲㘶㝦搲㥥㉥㤶㝣攵敡㐲摡挶扦㐰㠴㜵㌹㘵ㅦ㔹㠵敥攷〳㐹戹挱捥㉡搷㠷捥昸㙢つ昱戹㙤搲昲㔴愳㌸ㄸ捥㍤改㔴㉢〵敦搶捥㡤ぢ扥攵慢㕢摡摢ㅡ㤳慣ㅢ戶〰㝤㔲㥥㕥搲敤敤挳捥㔸愵慡㥡㔸㉤〶捤㙦㙢㙢㠶㘶㌹㑢ㅢ户㑥扢敡㠱㝡敢扡ㄵ㑤挰昶㕥搲㜳慦摢㘵搰ㄴ慣㙢㈰扢散㜸慡愲㤷㌷㔸㍥㔹捣㕦㔴敥㠲愲攵㔶〵扤搵敤㙣ち搵㝢㜰慥㠲㡤㐲㘱ぢ㜷㌴搷㤲搰慡㔲㔰〵慣㜷〵㔴㕥㕢戴㤶㑡㙡㐷㑢㤷攰㥤㘸戸戹愵㝡摡挹㔷扤慣㔳昱㕤愷搴摡㌲㔱戸㘴挱愴ㄴ㡥㍢〵ㄵ搳㑦㈴㠰㈲搲搳㈳㐴攴捥㑥扡挹戹㍤㙡㙦㤳㤰搰㐶㜴敦摣㈴㐴散摣㔱敢敢㌳〳㘹ㄲ㌲昶晦搹慥㉢㘹ㄶ㐲昶ㅥ敥摡扢㠳㤰㜲搰㑤慤㡡㌷㌴て晥㠰て㈵㐵慤㡣敥摣㜸捡㠶㕣㕥㘱愵㑤㕣愱愳㘶敦㉥㐴搳搳搶㘵敦慤敤ㅣ㡤㙥ぢ㜷㝦攴ㄲㅣ挷㌱慢㔲㈸㈹户㙢㤸㈱戸㈲戹㠳攰㐶㠲㥢〸㙥㈶戸〵挰昸ㄷ搸户つ㈹㑡㡢㈹㔶挵㥡㜱戹㔸昰㤷捤㘵㔵㍣扦散愳づ攱㐹㍣㑥㜲搳搰㝦ㅣ扦〹搸搵晦㘶挴㈳㙦㈳㜸ㅢ挱敤〰㠹㐴挴㝣㍢晥㐷捣㠴ㅣ攰扦㜷〰㈴㌴挵〶ㄶ搷㔶㔴㐲ㄸ㜴〸㙦摥㙤㌱ㅥ㤲摡㑢㈲㡣昱㡣㌲㥣戱搷搳搳㠹㄰挷㉣㙦搹愷づ㜶㙤搴づ敡づ㑥晡㑥㠰攴㑥㠰ㄳ挷㔴〹ㅡ㝣慤㈲㈰㠳㕥敥㡡㥥㤶摥㘷㐷㜹㘱慤㤲㕦㜶㥤ち㠲挲㈹换户㈶昲〸㈷㍣㘱㤹攵㔹㈷㕢昵捤昲戱㈲晥㈵换昳㙡㐵㔹㝥ㄶㄶ摡㑦㤵㘷ㄱ㡡㘸ㄳ㍡㔳㔸㌵捡㐱ㄴ㌱愵扣扣㘴戸㌱〳㡢戴㙡〲㠳㠹㑤㤶㘹㘳搴慡捦愹㝢换㈷㉤㠴㉢扥㐴愷㐱㍤㉡挰㌸㌲愵敢㙡愳ㄳ㘱〹㌳㘴㌴摡㌴㑢㥦慥〸㘶㡡㔰㘸攰㍣攱㙢㘳㈱㙣㔷㥥搳㝥戱攴つ㠵攴ㅤ㥡㜲㄰㡥㉡ㅤㄶ㤳散愶〹搹㌲扢㌲慢㕤挷ㄹ慦捣攵㤷㠲㘹戱㤴愳慥㔳㕤㘱捣㜲慤收攱㕣ㄱ戹ぢ攰㌳㍦昹晣摤扢㝥敢昷摦〸晦㝦〸摡愳ㅦ愹㐳ㅡ㡡㍡㡢散捥㐷摥〹㤰攸搶㘶㌰散改㘸㘴㌷〸慤㈸愸挹㌲㜶扢攸㉡ㅤ㉢挶㜵〱扡㤴㉡㥦㜵摣㡢㑢㡥㜳㤱捣敦搷㈵㙦㔹㈹㥦〱㔸㕦ㄸ㙦ㄲㄷ㐲昴昴戴〴㔹㑤㤱ㅡ㌵摡摣つ㤰㥡㈸㤵〶㙡㌳㝡收ㅥ㔴昵挰㤹㤸㐳㐰㝥收ㅥ慢㌲戰㜷㜸敦搸㐰㜶㘱㝥㘲〰㐷㤸㤵ㄲ㈲㠱㠱昹㈳㘷㠶昷散搹㌳㌵扢㌰戴㕡昲㔶挵户㐱ぢ〶㔰ㅦ㝤昸晢㉦㍦㤳㥤㥥晡搸㡥㑦晦攸昵㌷㤲㜷㠸㙦㠵つ敢㘲㌴ㅤ㥡攱つ㜲㠴㘰㉦挱㈸挱ㄸ挱㍥〰昱つっ愵搱ㅡ㠵挹㔹㐰㐵挳昴ㅣ㘰㥦㜱㠲㠳〰㌰㍤㤲晣㠰攵戹㥢㜵摡昲〸挱戰㡦㈶㐷ㅥ㈲昸㜹〰㐱㥤愳㜲㐶攴㘱㠰つ㌹捣㔸㔱捦㠸㤷㌷㌸㍣㠹摡㠴散搲㈶ㄸ㑢㤲换㤲㔴㤵愴愳㈴つ挵ㄷ㌱㑤㐷攲㍣ㄹ㌶戴㠷㥤〶㡤㜸扢㉥改㌰扣敥㤰㥢㕣㝤㍦㍡㥢昶改㑡搱昷晡散㠹慡敦㑣ㄷ晤㈹捦㑦摡〰㐰昵㤰㕢戴㈵㙥ㅡ㌴㘸㥦㈹慡换戴捣㙦㕦摦㠴ㄳ㑡戶敡昹㡥㌶ㄳ户慦㙦㥦㜲㑥㌸晥㔴搱㠳㉣慣敤散搰ㅣ戴㥣㕤㔶ㄵ〴㔳㉥㘲慡㉢㜵㜲㔶㔶㔴愱挳ㅡㄷ㥣慡㥢㔷㌳㔳搷㐳㌸㈶〲㝢ㄷ㠱㑡挱摡㠹㕤ㅢ㠷ㅦ㑤㜴愷㑢㡥㐲つ挵㈶扤㌹攵㍡㈲㘷〹昱㑥㠸扡㍣づㄴㄲ㙦搰挵㜷ㄷ㤱愶〰㡦㌶㉢㘱㠳慤㐱㕤㉡㍣㐱捣㔴扣㘲㐱㈵挲搲昱㘲愵㍦㐴攷慡㝥㑢㡢戵扡㉤㙣㠱慤㤸慢㠰昵㜹换㉤㕣て㕣挱挶昰〴㉣ㄱ㈶晥㌶㐷攸㘰㥡㐸攴挵㕡㕡攷挵て㐱搹㑦愰㥡戴㘶㈴搵搱㜴搷搵ㄱ㐸㔳㝣㑣摢㤶㈲戹敢搵㜱㤶㡥㉢慢愲戹戰攰ㄷ愶搴愵㝥摤㐳㐱挰㤱ㄸ㈸愹㙤慤㐵敤挱愵㍤戱攴㌹愵慡慦晡敢㤸㔶㜴㘹捦㉢ㄸ㘲㥣㜵㤲㜵散㘴摥挷㘹戰㍥ㅦ捦㌱搷て㠷㐰㤱㔸挸㈵愱昹㘴㜶ㄱ摥搶㑤㔰㠷㌶挹㔵挴㈶戶㝥㝥㝣㔸㝣敡㔱㍥㥦㍢ㅣ愹㈱〹㍥ㄱ㠳ㄱ昲搵ㅦ㘶愸㐹摢㙡㘷散挰挲㘹攳㤵慣搵昱ㅣ㤱戲戵摤㐳戲㠰㌹愱㌴㔵愷㠴㠴㥤㕦捣㕢愵搲㕡扦㍤㔳挹㤷慡〵㌵㙢㉤愹㔲捤㘶㍢㙥昹㍡攱㤷㑥㘸〶扣敡㐲㤷昰㠴㌷㠳㤰愰㜶㜴摡戴㤹ㄳ㜲づ㘴㌵㑦〲挴づㅤ搹㍦〲戶㈵攴㈹㤴挸ㅦㅥ㕥摥昴昱㤱㡥㝦㙢㈳昹愱昳㙤戰㙦敢慡㘸搸ㄸ㑦搷㑦愰㕡敤㥡扡捤㍡戳づ戲〳㠵愶慡㘳挵愰敡扡㔱㉥捤㉢搳㌴㌷敢㘵㐰㉢㍣㉦㠶愱づ㉣㕦㔰㍥㑣晡㤳〳㍣改戵㐷攲㑤搱㠸づ〰戴㈵㘴挸㤵愶ㄹぢ愲㠷挵愲㕦㔲㝤戶㙥搷㜸㥣㝡㐱㙡昶摡㡢换㠸㙡愷㔲昶㔱户㔸㈸ㄵ㉢㡡㤱〸戲㔵捣㜱捥慡昳挸慢㥣㜴扣㈲昳攸㈹㝢搱戵㉡摥ちて㉦昹戵慤㉤㈵捤㉣挳㥥㉣㔶愰㐵挱㍢㠹愷敤㠵㘵攷㌲㔲昱搵㜲攵愸戵攲㕤ㄷ㡣㠲㑣㠷㑦愰㕡㔱ㄱ㡤㡡㜸㌴扥㔹㠷愵捦ㅡ㡣ち㈲㡣㥤愳〴㈱扢㜸㈶敦愲戸攴㔴㤸搹愲攲㜲㕤㉤搹散㡥㘷敢晡㕤㠶捥㌱㌰ㅡ㑦㉥〲摣㜳昴昴㑣㈳ㅦ晡㔳摤㐵ㄸ捣㈲㜴昱〹㕡㌴敡挹ㄷ愶㈴晡〳㜱㘱ㅤ愵㐷㙡慥戳搴㉥㠲〹㕢昷愱㌴挲㡤戲㍢搱㘹㥣㡤㤳㔰㝥搸㘰攴ㄴ㘰㝣晢㠳〲攳扡戲㔵昲挲戶慣㔳㉥㕢ㄴ㉦㡡收〲っ戸㡡敢㈰ㅢ搶㐴摡〰㕡〶挳㉡㙢ㄵ㔵搶慡慥㠲㕦㘶㐲㔵攳㥣换㌹㙦戹㐵㝦戹㕣捣挷㔹㘰搲昳扡㤰㑢㠸㤰㍥挷㠳愰㝣戴㜰㈲㘲㙤捦㕦〴㐷㙥戰㝢〸㠷〸㤲㡥散㠷昴㐶戵㌳ㄷ㥢捣㔶㐱㝣昵㐱㑢㥥挱㙣〶㔳㍤昰㈱㠰㜸㥡㈲㌱搴㘸㐳㈴〶㔰捦㘶㜹㌶㐴㔸㠸㌱㤹搳㌵㡢挰㐳㝤㘲搶戱ち搳挸㡢㍢㙥㙦㜸㜷ㄶ〷㙢㘹㔶摣っ㌳㐷㔹㘴㕣㤱挹扤㠴㠰搸㡤戳㘲〱㌹㤹ㄸ㜳㑥㘶挰㐳搲㈶㘲ㄸ㝤昱㑥敦㥡愹捤戵㌳㍣㘱㌷㕦〴捥慣㥢晦㠵㔳攳㠷戹昶㐴㐲㕦㔳扣ㄷ愸扣て㐰㌰㈷挵晤戴㜵㜸ㅦ㍢扣ㅦ挰㘰㙡愲㕤㑢㌶捣戲㜰㜲愳捣散㑦扣捣敤㈰敥㌰㤱ㄳ㐲ㄶ〹㈴㌱晢攲捣挲挸て〰晣攵搳㑦昳㤴ㅣㄱ㑣㘳搴摥㍦っ㍣㤱㈰昱攴晤〴扦〰㈰㜸㕡搷㈹挶攰㘴㜲づ㐵戰㐴㥦㑣㉣愰㜰ㄷ㠲愶㠸愷㤳摡搳挴㐹戸昵㈵㔴戳ㄷて晢㡣慢挹搰㉢挵㘸㠲㐹〱挶㘹㐲收〱捤〲〰〲㠵〳晢㌱㌶㈱ㄵ㑡㥣㤱㐹〳〶ぢ挱戳愱㍢ㄳ捣ㅥ搰愵㐵昴㘱㕥㉦愰捤㠴ち收ㄶ㘸㐶攵㜹〰挱㈴〳慤ㄳ㤶ㅡ㐸㙢ㄱ昸㤵愵㤵挹〸㌲㔹㕥〸ㄱㄶ〴改㕣愳㌰㉢㐲ㄱ攰搵㤶㉣戱〳㌳ㄵㅤ㍡㤴搹愱挲づ昰换ㄱ㡡㠱㜴〰敡㥣㥢㐴愱㌶散㉥攰㈱攷㔶搸昱〱〰㠳㠷挸慢㍢戴㤲攵㤹愶㑣〲慤慢户挵㍥㔵戵㑡戸挰㥣㐳㌸敢戳敡㝡㌰㕦戱攰㔰搱㝥㤷搶㝡慦㠹昳戸摥挲晢敦攷捥摡㘹搰摡㌷摣㥢挷㥥㥢㍢㜴㈴㡣㕦㐳㕡攷敡摥㐲〱攸扤挴㕣㙤㉥ㄷ㠹昳㥤㔴搹㠴昴〸㈱搲㍣散㙢ㄱ昲㠱搴ㅥ挱㘳改扡㕡㠳㈱㜴ㄷ户摦ㄶ慦㜳晣戶㠶㤱愲㍢ㅡ㉣昱㕢㠵㑥搶慤搵晢㔷昹㝡㐶攷敢搶㈰ㄸㄸ攸摡换㈱㐲搷㘲搰戸㕦搱㥦戰㈷㌲ㄱ昰㉣ぢ晥㕡〹摥㥣㈸昳㥢〱㐶昳ㄵ㌴㘳搱㡥㡢㌳㑡慣晤㌲愳㍥㤶挱㐱摦つ㙤㤷㐷㝡ㄸ㕢攸戸㡣㡦㠳㐵ㅢ㡥攷づㅡ㕣攱ㄸ㍥收ㅡ挰つ挷㡢㜹搷昱ㅣ摢ㅦ㔸㐰㔴㍡挰敢㐴ㅢ攷㤳〹攳愳㤸戱攳㍢戹戱㔸㠵㜷晤㥡搱㠹㡢ㄵ攷㜲㐵慦挶昰㜸慢慡改搵摢换搷昰搴愲㥦㜷㠲㡡ㄹ㍡㌹づ㤶扦〸㤰敡挹搰㑢戰戳昹㈰挰慥散㘴㜶㍥㔷ㄸ㈹散摦扦㕦愹晤搶㔲㝥㉣㍦㍡㝥㌰㍦㍣㍥㍥㘲攷敤〳晢㠷㙤敢挰摥㡣㜶㉡攸㉥㝦〹㈰㐳㌷愲㕦昷换㉣搱㥦攸ㄲ摢搲㜴〳㝣㍦〳扣㙢晡㘴敥挷㜴ㄴ㙢昳㈱㠰㘴㜶㌲愷晤改㍣敥㉣捤て愳㘶ぢ㙡㕡㍦㤱㌰㍦㠲敡㝥㔴㌷㠵慡ㄹ㝡ㅦ捥愲扦㉢㤰てㄳ攳㉤扡㌸〷㐰搳㤶㄰ㅦ〴〷愸㝡㠱ち㝤㡣㜵㔰㈱ぢ晦昵㉥㕢㔴㘸愹㘳㙤ㅥ戵㔴㈳昹㉢㙣愶㕦㔹㍦昲㝣慤昶㔷㐳㠴㉣ㄲ昴〸ㄴ㜳攱㘳〱ㄴ㉥攰ㄱ㐹㠹愱㜰〸ㄷ㌵ㄴ㤰㔶〶㕦㐰愳㘶昰慦〳〱㠳改〳昸㐲昳ㄳ〰〱㠳慤㠳挳晢㐶敤㤱㘱㜵㔰㡤㡤つ㡦㡤㉤㡤づ攷㤷㉣敢㠰扤㤴ㅦ戱㔵㝥㍣愳㕤〶扡换㑦〲㘴攸㈴昴㤲ㅦ㘱㐹㝢㡢㕡㕢㥡摥攲慤㘱㌰㝤㡣㘶捤㐳㝣搹㠷〹挸挱っ摤㡥慥捦戰敡㌷〸搲〰㠲搶㑤慦昲㔳㐰搸㠱扦㑣㡤㍦愲㕡㙢晥捤㄰㈱㡤㌲戴㈸㥡㔸㡦〱㐹昵ㄸ㔴㡡扢㌷捥挱㌶㠹捥㈰㑣㕦换㐵晤ㄱ㕣扣慦㐵㌱扥〷攱㥤愱愵㌱ㄶ㝤昷收收愲㘳愱捡昰㘷攴挱攲㥦㘲ㅥ搲愴㘱㜷㌸㈳㠳㉣昹㘹㑥㑤ㅤ敤㤸〵改昶捤て愷搸㕥㥥昱愰㙢戸摥㕣㜴㈶敡摦ㅤ㙤愹改攰㘰敤㙡㜵㔷愳愶㤶㜳慣つ㥢㜳敢攳㜰㔳〸㘷㠵㠶㐱㕥挴㙥㙦㤴㥡敥〸㙦㙤搴㈲挱㡣戴㤷㉡搴㘶昴㄰摦挷愲㍤㘲捦挶挴挶捤㔳攸慡㙡搳㜸摣挶慤ㅤ攲敡挹愲慦㍤㤳㠱㜶㈱㘹ㄵ捤挷〹づ敤㍣戲㜳晦㠸㤱〳㌷摥摣㡢搶㌳〰搳挱ㅤ㍦〱㈸㘸㌳㌹㈵慢挴挳〰㈹晣摡慦㝡摥㠷づㅤ慦㝡敥ぢㅢ搶摤㠳搱㑥㘹㘵昸㉣㤰㥡㌲〸㙤㠰㌸晦攷挲㘶㡡㙢㠶㈶㐷敢挰攷㠱愴㝡〴敤〶昵㐰㥣挶散ㄴ㍥㉤㉦扦换ㅡ㥡〳捡㡣㤰㌴㈶收敦ㄱ㤰㉥㠸㤹㑦愱㘳づ㍦㔴㘱㙦㕦〰ㄴ㌴ㄷ戵㉡㐱㐵敤戴户㔹㡣改戸户㝢挳㠶昶㙢慣っ昵㕢慦昷㐹㈰昲㡢〴㕦〲㐸㘴愸搹扡攱て㠱㐰㤹愹搳㜷㙤㉣ㄳ挱搹扢昱㐵ㄱ慤㠸㘱㌳㌸攸戳㠳て㝡愸㠶晡ㅥ愳愴㍤㙢ㄲ挷㜰ㄷ摦昴捣㈲戳㠴挳㌷㍥㜱ぢ㍤っ㌲㑥㍣づ搵づ㝡㔲㤷戴づ摢㜳㉥㑥㝥扤昶㡣㠷晣㔵㈱㡥摢㜲ㅦ摦㔸㔵慥㠷㈰ㄷ戱㑥㡣晣㠷㝣昰敡㈹摡㌱捣㘰晣搰㝥㌰㙣㑡搲㌵攸㔱换搶㐶㜹㝡摦㕣㠸㙢㝥ㄹ㉦㑢搷㍥㡢ㅣ戸㐴㥢攰㐵挵ㄱ挸㠱昶㜲捦敦扤㔹㑢ㄷ㌲〴ㄱ昹ㄵ昴㌵晦㠸㡢㠷㙡ぢ扤てㅣㄷ攵ㅦ愳㈶㌸㑤㔱㘸㈳〶慤㕣晢挶ㄸ昴㑤㜳㐴摢㘷㈹㝤㝤摣敤挲愳㕦㝥捦敢愳昷㑦挴㥥㐰愱㥢㝤愰㔶昵㤶㜳ㄶ扦挷㡤㤷㜳㈵㔵㌹敦㉦搷扦挱㐵搴㡤敦㄰攴㔷搱㠹慦攲㉦㐳㕤搴昲昹ㄴ㄰昹㈷〴㝦ち㤰挸㔰ㅤ㜵挳搷㠰㐰〳愹㠸ㄴ㕥㐹㡡㐴挵扢㍢㔲攰敢散㐰ち㌴㜶晦攷慣搲摡慡㜷㉦愸戳愴㐰㙤㑦㠲㙡挹㝤挹扦〰愸慤㑢㔰㡦戴挲㡦攱㐵㔴昸㥦㐳㐵㍣㙡ち敡㤶㙥ㄸつㅢづ改〶㈱愸㙦扡㘱㙦搸㜰ㄸㄵ昲㥢〰〶㜵慦晤㤸搲㈴㌱㑤〷〶㝥㉡㈰换扣㔰愲昰㈴捡㐷㉡搵攰ぢㄳ戳捣㑣㙢㘵㑢搸㜷戰摥㘷㙢扤愶摥户扦㕥愵挷摣ㅣ㘴㑣昸扤づ扢っ㌶㈶摤摥摥愲晢㠳敡㈴㝣攴㡥㡤捤㐴㙤㠱昴ㄷ㜱㜱搵ㅤ攳挱㠷㔳摦挲㈸㥡㍤㈱敢㤸㉥ㅡㄴ攰慢搶㉣㥡昲㑤㥥慢扥捤㤷㔳㉤戴㍢昸㙢㈰㌵扥愷扦ㅡ搶挶㈹捡㠲㐲愹㜹扡愷㑤ち㈸愸扡㘱㜷㥢ㄴ㔰㜸㜵挳㘰戳ㄴ晣つ㈷愳㈰㔳ㄲ攴摦〲〴晢慦㘳扡㈸㈸扥愴㠱㝣〶㐰㔰㜲昵〲扦ぢ愴扥㐰㑡㈹㙢昵〲搳ㄴ慦戳㙣㕥ㄵ昹㜳㠵㜳攷㕥㐹挷〶㙥㠹扤昷㍤挹㐷㥦晤挶㜳㡦㝣攷〳㠷㝥昸摡㘳㡦㝤攷〷㡦㍣晤摡㔷㤶づ㝤晤㠹㈷扥㜶捦㘷㥥㝥㙥慢晤㜸昴挹㔷㘶ㅦ㝦㜰攴攲㠳て搸愷敦㍡晡攰㝤ㄷ㑥㡤㥣摣㌲搸搳搳摢晢慥㙤㝦㜶搳㥤㤹㠷ㅥ昸㤲㜸敡扢㌷㔶っ㜲攸㉡昸换ㄵ㙤㤲ㄹ㝦㠷愱㐲㜳〴㠸晣㝢㤶昰㘳晣㥣㈱㘷㈸㡡昲㝢〴摦〷㐸㐵搳愴攵㕢戹㘵㐱愶㜰摢昲ㅦ〰㠴㘶〵㑢晦挸ㄲ㝥㝡㘵㘴㠹㕥搹戳㐰攴㍦〱愴愲㐲敦㠴攵攷〰搸㤵扦っ㜷愴扢晥㌳㄰ㄸ㌲敥㐵㑢挸㙤愱㠴㑣愲㈲㡥捣ㅥ昷愷ㅢ㙥つㅢ㌲愸㤰晦ち㈰昴㑡㔸晡㈱㑢攱㉦挳ㄵ改㤹晦つ〸㘶㝥ㄶ晦昴〴㌷戶捤捣昵改㠶ㅤ捤㌳㍦㡦摡っ㤷慡攷㜸〱〸攲〳㉥戲换つ㔴挳戹晤扦戰㔴晦ㅥ㔲㐷挸㍡㐶㘲〹㐱慥㘸㑤晤㌱㤰っ戹愲㠹昸ㅦ㐰挰〸昲㠳㠴㤴㉦㠶つ愲㠱〵攳㐹㝢㍤晥㈷㐰っ搲扥㡢摤㙢扤愴愷晣愵捡挱ㅤ㥣づ摣昱愹㈶敤昱㝡㘷戱㤵搵㠳㉤㕤ㄳ㐱ㄵ㘱㍡㐰敢㕥愳㉦㙣愲㥢㜹戳㉥愳ㄷ扢攲て昱挷敤摤扤㐶攰㌱慥慥㔷攸㉥㕥挲戴〹㑤㌶搹㐰〳㌲㤲㉢㕡㔵晦ㄳ㠸㈰㉦愸ㅣ戲㝥挰㘵〵㜹㐲〲换㤷〱挲㜹ㅡ㘸㌰て昹愴攷昹㉦㈰㠲㍣㔹㌷㑦㥡敦收㘳ち晤㌲㘰昲ㄵ㠰㥡㌶愶㌹㈷ㅦ㔳攸㐹㠰挹晦〱愸戵㘷搸㤹㙦㤳慦〲㈰〷挱㐶㕤晥㕦㕤ㄶ慣搶敢㝣つ㐸㠲㜴ㄲ戲㠱敡戲㘰㔷摤攷昵㐶㥦〶慡晢愴㌹愶〷㍦㤶昰㍣㝢㌸昸ち攳㐷㠷㤱挰挶昳挲攱㌴㐷㜴敤搱昷㝦㑢昲㈸㐵</t>
  </si>
  <si>
    <t>㜸〱捤㔸㕢㙣ㅣ㔷ㄹ摥㌳扢戳摥㔹慦㤳捤愵捥愵㘹攲㐴愱㙡㜰戲昱㈶㌱戹㐰㠸扤扢戱㘳攲搸㑥搶㜱愰㕣㔶攳㥤戳昶搴㜳㜱㘷㘶㙤㙦㡡戸㈵愴搰〷㐸㔱㈲㔵㐱〲〹㔱㤴㐶㠸㙢ㄵ㠴㠰㈲㄰ㄵㄴ㔱㜸㠰㠷㠲㕡ㄵ㈸㝤㠸捡〳㈰㠵㠷㐸㈸晣摦㤹㔹㘷㙦㙥㤳㄰愴㡣㍤晦㥥㜳晥㜳晥昳㥦晦㝥㈶挴㐲愱搰㑤㝡昰㡢㈷㠲挶㠶㝣挵昵戸㤹捡摡㠶挱㡢㥥㙥㕢㙥慡摦㜱搴捡戰敥㝡㘱㥡㄰㉤攸㠴㜷攵㠲慢㥦收戱挲ㅣ㜷㕣㥡㈴㠷㐲戱㤸㈲ㄱ扥晡㈶慢つ〵慢㤴〸㠱〴捤ち㡤㘷㌳愳㤳㡦ㄱ改扣㘷㍢㝣㝢搷㠴㑦攰㘰㍡㥤㑡愷昶昴愶㜷愵㝡戶㜷㘵换㠶㔷㜶昸㐱㡢㤷㍤㐷㌵戶㜷㡤㤵㈷つ扤㜸㤴㔷挶敤ㄹ㙥ㅤ攴㤳㍤扢㈷搵㍤晢搲㝢㝡㝢㑢晢昷敦㑢㐴㠹昲㔸㌶㜳㠴ㅢ戳㐴敦㕥㔱㙤㈳慡㈳搹捣㤸挳㑢昷㡡愶っ㘹愴㜳扣愸㐳㙣㥣㍢扡㌵㤵捡㘶攸扦㐶㉡搴摢㥢ㅡ捤攷戹攵敡㥥㍥愷㝢ㄵ㐸㑥㌱㐷㡢㤳ㄳ慡㔱收㔱㔳戰ㄴ㌳㈷㔴㘷㐴㌵㜹㠷㜹搲攵㈷㔴㙢㡡愳㈷㥢㠳㘵㕤㡢㤰㍡挳摢㕡㙤ㄴ〸㈹㌵㥡捤㘴愷㔵挷昳㐹搲〶㍢㕢捤ㄶ㍢愵㙡㔸ㄱ㙢挴㈸挴挳摡〳㠳挱㥥㠲换ㄸ㔸㔵〸㐴攳〴㔶搵慣散ㄲ㑢扢搲㉣㜲㥤捣慥㜶㘱㍢捤㤴ち慡㔴㤸㤴ち㐵愹愰㐹〵㉥ㄵ㑡㔲㘱㑡㉡㑣㑢〵㕤㉡㍣㈶ㄵ㘶㘸㑥昵㠹戵戵㐹挱㌳㤲ㅥ晢捤愹慦㙥敤晢晡㈵㘳攸敡愷㍦昳㙤〶㑢ㄳ㈶㤷愰㠶搲㐱㈰扡㡣㐰ぢ㐶㜶㌱昶㑦㘲〴捣扣戵㈹扢攵㤷㉢㜶㡥㥣昵㕥扢昲昲挳㝢㕦㑦㈴㘹挹〸㐹㈸㌵挲扤㝢㘴㑥㌲㈴㜳晢ㅡ〱晢戲改㉢㌴挷摤愲〲㙤て㔹ㅡ㕦㠸㔲㡢慣㈰㘱㘶㙤换攳ぢ㕥㑥昵搴㌶㜳㑣㜵戸攵㈹㌴愹㕢慣昲㕢㔸搹㈱挶慡慢攳㐱㡦㈸㈴㐵戳㠶㑡扢ㄸ昰㈹㌱ち〷攱㠸て㘳搱㔶㜱攱㠸敡㑥㝢敡愴挱户㌶ㄸづ攴㐶戶㝡搲搳つ㌷㐵㈴〷ㅤ扢㍣ぢ㠹摥㉢㍡㜰㜷〵收ㄵ㕤㐹㐰㐴㌱晣搲〶㝤捡㉡晡㠹ぢ愴〲㈴㈹昷㈶㌰户㜰㠹㌵搴㈱ㄶ㜳戶愹敡搶㍤㔲㙥㘲㉤ㄱ㍤ㅥ昸㐲捥㔱攷挹慦㙦㤱愶愰㠶扦㜷づ㙣ㄴ搷㑡扤愵扤愵㜴㕡敢敤㔱㜷慢㌲ㅣ改㑥晤㜲㌵慤㐹㤸愷㜴㑢戳攷㠵愳慥㌴挹ぢ㠵昳㡤㔷㘶戹ㄸ㑡㤴挶㔵㘷㡡㤳昳㍢㐳戹搵愵慣敤㌸摣㔰㍤慥㠹〱〴晢㌵昵㠳敥㠰㘳㥢ㄸ摦㤰㔱㕤㝥㉢〸㜴㤷晣㡤㌲㜶搹搲摣〷㕢㈳昳ㅥ㤱㕥摦㠸扢㐵愴㘹㔹㥥〲㈳㜷〵愷ㅢㅢ㤷〹攳敦㕦搰㝤昴㐳つ㘸ち㡤昶攴搲搸〱㠷㍦扥㠸㙤攲愸㥦㌲摥ㅣ〷扥改㤴㍥捡攷㡢〲㤹敤㜲㑢戰搷㙤㡥改挵ㄹ敥攴㌹昲㈵搷挴㔱ㅦ〰㡡㤳㍦ㄶ戹摢㍤ち搱㔳㙣搶戶搴㡥㤶づ㉦㜸㥣扣㔹㈳㝥㈹㘷㜹㤵㜱㜸㔲㘷摤ㄴ㝦㑦㐲慣慢ㅢㅥ戰㡢㘵ㄷ㕥敢搸㐶㍤愶㕦㥢㔳㘹㑦敤㤸慤昱㐸㐴ち㠷㈲愱〸㥥㄰攵㠲㌰戹㜲㑦㠳愳㡡挴〳摡㙥㙤㠴慦戱ㅣ㠴昸摤户戵愸摥扣戰慥㔵挸㔸㉣㈵搸摡㝡㕦㐹㥤㈰改㤱㤴っづ㐷㤲ㅡ㈳㑡つ愳户慣〶㥢戴㡣愷晥㠹㙡㘴〶扢挵散㐷㤶㍥㡡㈰扢㘸ㄹ晦摦挹㤲戴㉡㌸晤攱㌹㡡搹㐷㔴㑢㌳戸昳昶昲〲㐷捡㍡㠰昵〰て〲㙣㈰挰攴㌷㈸挲㉤㈹㑤㘴㐳戶挰㉡昲扣慥㜹搳搱㘹慥㑦㑤㝢㌴㐶攵㕡㉣〶㔱㍦㐳慦㐱㙦㠲㜲收ㄶ慡搹㤸戲㤱㝡捡㈶〲昱㜸㍣㈴㘲㘸㌴慥㙣愶㝥㜴ぢ㠱戶㐱㙥㜱慡挹攲㡣㈱㐳㠹㙣㡦晣摡ㅣ㙣摦㐵愳㜱攵㙤㜰っ挹ㄹ〱㑥搹〶昰㙥㠰㙥㠰敤〴ㄸ晢㍤㥤ぢ㘷㝢㤱㌸扢㐸挹攸㈱晡摤㡣慡㔲㐹〱散㈴㔰换㘱㥡晡搱㕤〴㘲㔹㠷㑡㔴㐷㔷攳㉣㠲㘴搰㑡慥㡢愹ぢ㘲㡤て摢慡㌶愰ㄶ愹㈰㙤ぢ捡搱㔸搶㌶㘷㈹愱㍡㐹捣捣㤲㍢㤱㥢捥改ㅡ㜷㘲ㄸ挸㔳敤ㅢ愱㙡搴㡤㡡㘰攴㔲愶っ㠷㘴戹㍤搶㙡慦愱㉡慤慤㠱搲㙢㙢敢愱㈶晡㝦㍦扥敦㄰㑥ㄹ㡦㡢㉡㘶㌷㌵㤵㍤〴㘴㈸晦㡥ㅤ㜸㌹㉤敡㌴昳搳昶晣ㄱ搲㍣㜷晤㙡捦㠵㠸搶㌴て㔳收㔷捤㜵㘲㝣搰攱ㄴ戳㥤㜱ち㕤攲㡣㔸戱扥㈵㐶㉣㕡㉦晣愷㈶㜲㜴㤷㈶㜴㍥㡦㝣戳愹ㄹ㐵攵㙡戶散㝡戶㈸㔴㌶㌶攳㜳昶㠸敤攵㜴㜷搶㔰㉢㕢㕢愰㝤捣愹㘹㙥㔱戸㜵㈸敡扥搳㈴㝢㜶㤶㙢㉤㜸捣摢㘵愷挸㠷㜲昷㐳挰㈶㑤昹てㄳ戱㥡挵㔸㔴㘲昴摣㕤慣㘰㌰㤷搰ㄳ慢扦㌵昸㤷搳㘷て㐵㈹〳戰㜸㕣改愵㌱昲㙡ㄹ㌱攴㙥攲㍡扣戵愳慥㥡㜸〰㜷㡦㘳㜴㕦搳㘷つ㥥㔱ㅤ㌲㙥摢㜱ㄵ戳摡昴㡤慦收ㄶ攰㝢捣晤㈰㜰㑡㡥㝥㕡㑣㉤㥤ㄶ㙡ㄸㄷ㜶〸㠳㐶捣㘰慢ㅢ昲㤷㌸㌷〲敡㕤敡㑢晥㌵㠵扡㍢㘴〴ㄷ昶戶㌹摣〵ち㠵㔰っ㙣攱㘱昲㑢㐴慡㈵㝦挸〶ㄱぢ㜷㐴戱㉡㍥㘳搹昳㤶攰㕣㜶㔱愲㠱愰搲搶㠶㘳愰扡ㄶ㑦慦㙦㍡戰ㅡ㈴㥤敥㔶戲昲㑢改挵㑢散㤰㐶㔹㉤戸戵㈶㜰㙢ㅤ㜷戸戸㥡挶㐴㠷㐴搸㘱㥥戲㥤㤹㐹摢㥥挱〵㘷㤹攸戹搳㥣㝢戸㐶戶㥢晥㕤ㄸ㙤戲晦㜰戸敥慡ㄸ挸ㅤ㐸ㄴ昲㝥㠲摡㑦慤昰㠰㔳ㄴ㍤昶㈲㥤ㅦ户扡㜳㘷㕦扢晥㑡㜶㈰昷㘴攷㔷慥晤攷㘶㘲ぢ晢㐵㠰㌰㕦ㅤ晥㑥㘶㙤㌲昷散捦戸㝡㍤㝤晥户㑣㘴㔲㔰㍢㐸〰搱ㄷ慦㡣㑣㜸㕢㤵〸敥㌶换㑢㡢㔱㙤㕣昷っ摥㕥昲つ〶敤㔸㠹攲ㄴ㔵㠹㕡㕢㘹㝣㥡㘴㤱敢㈸つ㍡扡㘶攸ㄶ㠷㐱㔱晤㡤㡢昸㌰㥦愲㡡㜰捣挶愵摦戶㍡㑡攳㡥㙡戹挸㐲㔶戱戲戲慥㈷㝣㐸㉥㘵㜴换愵㙤㐴㈴㐵㝢㜹〹㠱㥥昴㔹㌶慤㐱㜵搶扤ㅦ㥣㡣慣愷晡昸㘱㑤㘲㤲挴㘲㔲散㉥晤㈴ㄴ㝤㍦搱㕢㕦攳㤷〷扡昲挵㘹慥㤵つ摥㜵㐲㜷改㌳〱搱㐷昰㤳㔰っ愰㐴㈰换㐵㌹㜳晢愵㈲㔸㑥㠸㙦㉣㐱つㅦ㙥㤵搷ㄷ㙢㔹㔱㥡ㅤ愲㌵㙣㌳〰扤㑡㕦搰㐰㠷愱㄰㐲㈱搲㤰搹晢㘹㐸挹㘰〲捡ㅦ㜰捣㠴搳㌵挶散㉣㘱攸っっ昵ㄱ攲㌶晢㌱㔹㌱愲〵戵愹㑣晡ㄱ戵攰昰㉤ㅣ㤶愱㥡ㄲ㤵㈲㙥挲ち㥣挴㜷㤰ㅦ搰晣㤶づ㜲㌵㐰散扢昱㌷慤晣扢散昰㌷㙥㉣扦晣捡扦扥晦ㄶㄳ㈵ㄹ搶ㅦ㈵㠰挲〴㉦㐳㈱〶㈷〹㐵㠷〹㜴搶㈹㈵㙢扢摥㤲ち㘱愸摥愰ㄴ攵ㄸ〱㠶摡㑤挸㙤㈴㘸愰㤳㐴改〳㍦㡣㡥ㄲ㔸㤱捤ㄴ晣戰㔰㡤㉥搱㌱ㅡ㕥㐶挳㌵㠵㝥ㄲ㤵ㄲ搶㈸挷〱㤰慥ㄸ㜲㥥㈰㥥てㅡ㠲㌸ㅣㅤ攱㔰ㄹ〷㌸㐹愰㐳㘲㐲㠹攸㑦㄰愸㍥挹㍥㙡㠹愹愷愸搱ㄱ㑥昶搳㡦搸〳㝣㈹攰㈲〹㌵㡡愱㐷㌱㠴扡㤶㐱㙤㘲摢㡦〴つ戱㉤挴㈷㘸㝤㤴ㅡ捡挷〰ち〴攲㑣挸〱摤扡慤㈱て㌱㕤愵㐶㐷㤸攱㔴㔰㘸㜴ㄲ晤㝥挳攸慡挶㔱㌷㕡挴㔰晤㐷㍤㡤㠶ㅥ晥㠰㙡㜵敤敡搹戵愷㉢㥢㍦搱摦㐵ㅦ㙦愹慡昲挸㔷づ㑦昴散搸戱㈳㌷㥣㑦㉤ㄸ敥〲晢㜲愰晡搴挵昷慣㕡昱扤ぢ〳㔷愷㔶挵㥦摢㜶㜸㉦扢ㄴ㈰ㅡ扦戴㈵㈱㑦挱摣ㄴ㜶づ㌳㐸㜲搱摡愲㍡昵挲晤慥改㕢摣挵㠰挸捦攵捡搷昶㥤ぢ昵晤昰捤㥦慣㙣㝢改攵摤散㐲㠰戰晥戴攱ぢ㘷晥㜸㘱昴昲㠷㍢晢㌶㍣晥挶㜹〶㤵㉣㔲㔳㐰捤愷昴昴㔲㤴捥〷〸㘵攸㤱搱て㥤戱㌳捦㕦㌹搱昹收改昹ㄷ㤲㔵㠹捡搰摦㝢㕢攵慦愶ぢ㘳㜷攳敤晣㌰摤戶㉢搰㜰㤸捡㝥㔹挴摦㠸㜴攰敥㘸㔵㙢〸挴つ昹㡢挴昵晦㐰〷㐶㔵㕦〲〸慦㜲㘸㤸挱ㄶ㠵〴㘱㉣ち捣㐳㠱㐱戰愷〲㐱㌵㘹晡昳〱愲昱㙢㘸ㄲ㈶㉣㌴扤㐰つ搲㌴㡣户㤵㙥捥〶〴㥡戴㝣㈶㐰㍣搳ㅤ摦㝦昹㜳㡦收扥㈹㌹晦㜸攱㝤㤱㝦㌳㜸㐰㉢㑡㥦㕡㡡搲㈷〳挴㥦㌷摥昸挳昱㔷扦㜴攴戳慢㥦扥昶晣㠱扤敢ㄸ摣愸ㄵ愵㡦㉦㐵改㠹〰戱晤扢㍦晤搵敢愷晦㥡㌹㜷昰搲㤵㘷慦ㅤ㍡捡攰㙢㌰ㄵ㜶㥡㘶㐰㍦㐲愴㑦㘲〴㤶㉥㔰ぢ〱敡㠳㌴㄰㤳㤸っ㠱㌷㤶㕣戸㈵づ挰㘶ㅡ㉥摦敤敤㈸戰㥥㍢㜴慤敦ㄳ㝤㑦昵㌳挸㔴搰㥣慦愷挹戰㈳攸㔶㘷戶晦ㄷ愹敤搳ㅤ</t>
  </si>
  <si>
    <t>K1-Risk Dashboard (Cost)</t>
  </si>
  <si>
    <t>K2-Risk Dashboard (Schedule)</t>
  </si>
  <si>
    <t>Red box of instructions was too small to read; resized &amp; locked size.</t>
  </si>
  <si>
    <t>Global</t>
  </si>
  <si>
    <t>Sheet</t>
  </si>
  <si>
    <t>Change</t>
  </si>
  <si>
    <t>No.</t>
  </si>
  <si>
    <t>Cell C6 (Rounding of schedule duration); changed to 0.25 MO.</t>
  </si>
  <si>
    <t>Column AS (Check Schedule Impact); return blank if unrated risk.</t>
  </si>
  <si>
    <t>A-Quick Instructions</t>
  </si>
  <si>
    <t>D21:I25 - deleted some old data that was pulling back some #REF! errors.</t>
  </si>
  <si>
    <t>Column AP (check cost impact); had formula return blank if unrated risk.</t>
  </si>
  <si>
    <t>Column AQ (check schedule impact); had formula return blank if unrated risk.</t>
  </si>
  <si>
    <t>Fixed red arrow boxes to not resize (similar to K1 K2 risk dashboard problems).</t>
  </si>
  <si>
    <t>Spellchecked entire document and fixed a few mis-spellings.</t>
  </si>
  <si>
    <t>㜸〱敤㕣㕤㙣ㅣ搷㜵摥扢攴㉥㜷㤶愴㐸㑢戲㘴㈹㡥捤挴㜱晣㐳㤵ㄶ㘵㉢戶㔳㉢㉡㝦㐴㠹㌶㈵搲㈲㈵㍢㠸㔳㝡戸㍢㐳㡥戴㌳㑢捦捣㔲㘲㘲搴㑥㥡摦㈶㙤ㅡ㈷㝤㜰敢挲㍦㙤〲戴㘸ぢ攴愱㐶㠲愶慤つ戴㑤搱摡㘸ㅦ搲㠷〲㝤㜰㠳愰㝤㘸㔰〸敤㡢ㅦ〲戸摦㜷敥捣敥散㤲㍢愴搷㜶㑢ㄷㅣ㜹て敦㥣㝢敦捣扤昷晣摥㜳敥㌸愳㌲㤹捣㕢戸昸㤷㔷㌷ぢ㌷捥慦〷愱攵㡥㑣㔴㉢ㄵ慢ㄴ㍡㔵㉦ㄸㄹ昳㝤㜳㝤挶〹挲㉥㌴挸㉦㍡愸て㜲㡢㠱昳ㄹ慢戰戸㘶昹〱ㅡ攵㌲㤹㐲挱挸愲㥥て攱㙦㌰扥㌱搸慢慦ㅢ㘰㘱㘲㝣㜶改ㄲ㥥㍡ㅦ㔶㝤敢挸搰㐵摤昷挴攸攸挸攸挸㍤挷㐷㡦㡤ㅣ㍤㌲㌴㔱慢㠴㌵摦㍡攱㔹戵搰㌷㉢㐷㠶收㙡㑢ㄵ愷昴㤰戵扥㔰扤㙣㜹㈷慣愵愳㜷㉦㤹昷摣㌷㝡捦昱攳昶晤昷摦搷㠷㔷㘷捥㑤㡣捦昹㤶ㅤ扣㑢捦捣㜱挸昷㑣㕡㈵㠷㜳戳㉣摦昱㤶㐷㈶挶昱㕦㘲晣戸扢㜷㘴㝥挵戲㐲扥摡昲㉤慦㘴〵〶㍡昶扡㘳㐱㔰㜳㔷戹㜸㠶㍢㠵愹㤶捣㈰捣戹ㄳ㔶愵㘲戸昱㔳ぢ敥㉣搶慥㘲慥昷戹昳㤶ㄷ㌸愱戳收㠴敢㜹㜷〱て㉡昷扢ㄷ〲敢扣改㉤㕢攷㑣搷捡戹愷㙢㑥戹㕢㕦㤹慥摢攲㐷㈴〷㈶搳ㅦㄹぢ摣㠹ㄵ搳㤷ㄱ〵㕣㤸㤴戶㔳㝥愹戹敤㉤敤㥦换愱换ㅢ昸捣㕢摢户㐳捤㐵搳慦户ㅣ㙥摦㌲㥡㝣昳〸敥㙡摦㍥戱㐶捤㝤敥㘸摦㐷㤶戲戹戵敡㡤昸㕢㔶ㄴ㤳㌱昲〴㍤〴〵〲ㄲ搰㈸ㄲ昴ㄲ昴〱愸敥晦㠶㤴㈴㍢戲㉡扢㘸㘶ㄷ㤷戲㡢愵散㘲㌹扢㘸㘵ㄷ敤散攲㜲㜶㜱㈵扢攸㘴ㄷ㉦㘵ㄷ㉦愳㑤㝣ㄵ㝡㝡戲搱㜵昹㘲敤摢㕦扦㌶㜵敥搹㍦㝣攵扦㐶扥昷戳㥦昶敤㐱愳㠷愳㐱㑤晡收ㄵ戰㕡㠳㡢㈱ㄱ晣户戵㔴㐰㈸散攳昶扤昶攸㘸昹昸㔱昳㙥㌳挷㘹愵㄰扦㠹㔱〶搱戶捦㝥挴昱捡搵㉢㐲扢ㅢ挷捤挰㙡㉣摣㜰㔴㌷㕥慤㜹攵攰〳㥢㔷捥㠷㘶㘸ㅤ㙥慤㙢㍣㘴㐳户㜹㠸㤵ㄵ挸晢㙥㙡敤㜶搱慣搴慣戱慢㡥慥晥㘰㑢戵㍢攷㔷㤷摡搷㑥昹搶ㄳ昵摡つ㈳ㅡ㠳㔲㕢㤳㘷㙦㤸愵慥搲攳ㅡ㥡㔸愹〶㤶㈷挳ㅢ㜶攷㥣搲㘵换㥦户愸ㄲ慤戲㑣昵㝡㔶㐵㔲㍦㍣敢㘱愲㤰搶昲㠷㤳㔸晢搴搵㄰挲㙣㤵㌱摥㔵换て搷ㄷ捣愵㡡㜵愰愹㠹㝥㈷㉡づ㌵愱愷慡愵㕡㌰㔱昵㐲扦㕡㘹慥ㄹ㉢慦㤹搰㌴攵戳搵戲搵摤㥤ㄱ愵〰㠵摢搵愵㔴收捥昶戲㈰㠴㐸㤰㤸㠲㝣㐳㌳摢㡤㥣挷散㌰㡢㡡㐵㥥捣㝥㘴㡢㠷㜱扣愲㘳㔲㈴㌰㌱㈷摡て扥昴昶㉤ㅥ㕢愷摣㝢摢㌸㥢摤ㄷ捤晥搴㥡攵㠵㘷㑣慦㕣戱晣㔴敢愷㌸㈲㘳〰㈰㜷つち愱敤敡搱搴愹慢㙡㍤㜷挵㈹㠷㉢昹ㄵ换㔹㕥〹㠱㠳㠵㉣ㄴ戸戴ㅢ㉥攳㍡愰㡣扤〴晢〰㡡挵㑣㝥㍦ㅢ攵㡢戸㌲㌹㙡愷ㄴ㔹㙥㔲攴散搷㈴换㝤昶㤴㔳〹㉤慤㤴〷㙣㔰㐴㕢㌵㈱㕦㍦㔹搴㌷㑢摡㘰散户㈷挰愵愶攳㠵敢つ戹摤㈰㈵㥡㠹㜶㜵挱㡥搳〵㔴〵捤晡㈰㐵搶挰㌴㉤摡㈰扤㜱㠲㠹㈸〶㈹㤶ㅤ㑦㙥㘶㌲戶㑦搱ㄱ㘸㥦㘴㐲戶㍥摡㕥㐷㤰搹㌷㌲㈹㍢戵㤵挷㕤㙤戶㤹㉦慦戵搹昵㔸㌸攳〰挱㐱㠲ㅢ〸づ〱愸㝦㠳㠶愳㤶㐳戹昹㌲㍥㠰㝢攳㐶㠲て〲㐰㍦ㄹ搴㌹㤱慡愲て戵ㅤ㍦㤲敤晡攱㈷㡢㔳慣㔵ㄱ㍤攳扡㥦搹敦ち愱㈳慦㜳㘷搸摡㙥戱戱ㅦ㙤捦㥢挹改㤰㈳㔳㥡㈶攷扡㐵搳攴㐲戰㘹㠷㜶敢㘶㜴㌵㠶〸㍥〴㔰㌴㍥㑣〸攳㐲㠷㜷㝢ㅥ㍤㕤捡昷㠵㕢愴㥤愱づつ㝣挴挸摣〲愴㈸戹つ摢㤷㕤ㅦ㥡敥攰戰晤扥昷愱㡦戴㤷敦㠸攸㉤㜶㜳搷敥㌰㕥昴㌶扤攸㕢㈰㕥敡㕦摡摡㤸㕢㔱㙤㝣㤴攰㌶㠰ㄶㅢ挳摤昷摢㡤ㄴ㠸㕢散㈶㈸户㤷㔱ㄷ昱㜲ㄷ搶㔷㉤戱㐰㝤昶㠲改㉦㕢㈱㈲ㄸ搳㤳昰㠵慢扥㙦㔵戰愹㉤ぢ㠲晢㤷㠳捤挸㘰捡慦扡挴敦晡挸挱晢挲㌰㜴㜷㘷扢㌲㉤㍥㜲㡡慦㤹㠸㌹㈵㌸㠷㌶昸敥昶㑡㈲搱愹㤹扤搸㉦㝤㝦戹慢㐹㍡搰㈴㜷㘰㔹㡤㍢〱愰㈵搴㍦戵搵㈸㐷搸散ㄷ愴㔹戳挷捡〸㕦捡敥愴㈵㠶戸㐱㡦昴敡㠰敤㌸攲〷㐱扦㍢敦戸㜵㘵搱敢捥㔹㝥〹戱〵愷㘲ㄵ㜵㔸㤶慡㘶㔷㔷扣㑦㜴㐵㔷搷㠶晤㜴㑡㝣㑤昸愴㐵㑢愴㑡㝢㙡㘵捡㕥扣挱㔴っ㐳㔲愹愴㠴㠶敡ㅡ㠸㥣挷戶扢㉡愶〳ㄵ㜳ㄷㄶ捥㌸㑡㌰㑡㜰っ㈰昷㍡㌴捤㜶ㄷ㥥改戰㥥㌵㠶戴ㄷㄷ㌳〵㤲㐱㐲㠴慦戵㔵㔶挷昹㥡㡦ㄱ摣ぢ搰攲晥㌰〰㤹挲㠸㐲昲〴㈳㑡ㅡ挳扥攸㔸㔷挸〳㝢㙣㈴㤶㈶㙡㐱㔸㜵㤹㔹敡户㈷慢攷慡攱愴ㄳ慣㈲ㄳ戵捦㡥ち㡦慣㔸ㅥ戸换㠷敦搳㠲慢慥慥㕡㘵挳㥥慦搶愰摡愶㈷㜷挲挶ㅣ换〱㕦㔲昶收㔹㠵慢戳晤㌱ㅥ愱戰搲ㄲ㙦㘵㌴㜶㕢搱㙦㙥晡〶ㅡ㉢扡攰㠴ㄵ慢搷搶㐲挷㜲挱挶㉡㈲㜳㔰敥戱ㄷ㔶㝣换㥡散户㑦晢㑥戹攲㜸ㄶ㠹〱ㅦ㤳挹扡ㄹ㙢ㄹ㔹㠲戹㉡㜳㠰㔵慦摦㕥昰㑤㉦㔸㌵㤹㔰㕣摦摢㜴㈷㘹㤱㥣㍤敥㜸〱㕥㈳㔴㘴㜹挰㥥㕦愹㕥㐱挶戶收㝡愷捤搵㘰㐷㔰㠵㑣慦㉦㈱㡤捡慡㙣㔶ㄵ戲㠵㑥改挳つ㜹㈶㐳搹敢㈶㄰㕡㘵㜲㡣㤹愷㔸㙦晡昵㔱㡥㠶㝥㍡挷搴㠷散㔱ㅤ搹㤵慡㠵㈹愹挶晤散昳㜱㠰〷㑦㕦㤸㙥㘴收摥㔱捥㍡挷㈸㝦㡡㡥ㄷ戶愸㈷㐲ㄸ愳摢愳㔹㠵㌸㜲づ㈴㄰ㄴ攷㕤㉢晢ㄵ㙤㘹㐳敥摢搳㈸㑥㈱㤳搴㘷捦㤸㑢㔶〵昹㘸搷っ昷攸ㅢ扡戱慥㔹〹愲扡㠹慡敢㥡㘴㉤戲攵㝣挹㈴〷㡦搵挲敡㔹挷㌳㙣〰攱扦〸㘵㕥〵捡扣㉡愸㍥晢㍣㔳㠳㔲收戳慡换愶敦㠴㉢慥㔳㉡昰㠶改扢ㅤ挱㤳㄰㜲㙡摥昸㡡㜵挶㔰㡢㌷㝦〱㉥㕢㌰〲㜲㡦㐰㡦㜲改㐸㝥㜰㙥㔶攵昱㑦㜵ㄸ㔸㠲㠲㤱㐸愹昱〰㥥㤶㤳搳ㄱ㔰㌹㜲㕤㡢捦㘰㕣㝢ちㄸ慤㠴㐸昵ㄴㄶ㐱㔴㌰愱攴ㄹ攲捥摢ㄷ㍣㈷〴昵㐸戱㈹㈷㥣っ㐰㜲〰ㄴ㘵㝢㝢㔸愸㥡攸㌴㕣户ち㌷㙦慣㙡㌲ㄳ㌷㙤慣㑦摡㡤㡦㙣㔲慤㉤㑡挲㤰㙣搵㐸㉣换㈶㘳摣㐹愶㐶㠹攱㡥慤㡤㑡ぢ㥢㌶搶㥤㕡攴ㅤㄸ㈶攱㤹㡣昱〹㘱ㄴ㈴㝡㈳ㅢ挵㤸㝤㍡㝢㈴㌲㌶昴〱㡡戴㔳ㅡ搷ㅦ愵〴愷㜱散愴㙣ㄵ愳㍢挸昷㥥愸㌸㕢ぢ㥢㙡捣慢晢愲㥡戱㑡㘵搶㠳㤷㔰㌲晤昲づㄱ㘹捣㑤㕢ㄸ㤱捥㑥慤扦㕥摥㠴㈰㐶㘲挸戴㐸㑡ㅣㄸ㘲〸攱㑡㘴㔴改㥤昵㜳愹敢攸〲敦捥㕡愶㈷ㄴ㤸て换㤳搶㥡戸㘱つ㑦㝥㥦㜴愸敦ㄶ㐵㡦ㅡ昶搸㔲〰㤳ㅥ㔲㡦㐷㈵ㄱ㜰挳㍥捦戰ㄴづ㌱㐰敤㐶愵戹㔲㠸搴㙥晤〱摣ㄹ散ㅣ敡㘰㐵㜴敡㠴摥ㄹ㌵㘸㍥㠵㜱㥢㈷㐱搹改㤰愲㔰愴戶㕣晦㜹㔲晤昶戳扣晥攰㘴㈶㉥㐴㐲挴㜴㔷㡡昷〰攲㈶㌳㤳㤴愲㝤㜱挲㕣㙢㌶㔱㕡㝤㌱㡥㉥㐶㍦㕤㍥㍦挴㈹ㅥ收戲〶㈸㌶ㄵ㥣㜳ぢㅤ㔸搳捡晡ㅥ㝢摡㉢㔵㙡㘵㑢㑣㜱慣慢挵㈲敦〸㝡挹ㄱ㐰㉤㑤㈹敢ㄲ㉤捡㌴戶㔲㥣㌲㠹搴戹摦㙤㥣㐴㜷㔱㜲㜸㠶㌶㝤㑣㐰愶㠴攵㈴㈱戶攱㥣〲晤挳扤㡤〳っ㜲㜸づ㉡㙤〳㡡扡㙣〶攷昱敡㔹㘴㤱戶㐴戳㤹敡㑣㤵㍥㝢〲㜵挶搱愸ㅤ㐱㈳捣㔳㉢扣㝣ㅥ捥㐸㠷搲挱㠷㘴慥㐵搹摤㙢㑦挹㙤收ㅡ㐸㈱ㄴ㔰捣昱㜲ㄷ㤴挱慡㐲㤰攸㜰㘷ㅢ㕥户㘲昶㤷㥥户㌱〶愰㤸〶愶㐳㡢㤶摡挱㤹㐰㜹㙢〷攷㘶戴㑡挹㤰㈶㤳愹捣㔱敥㐳挰ㅥ㐴㠳㌴㜱㈳扤㔰㠵ㄱち昷换挱戰昸㙣攲戰㡢㉤㔰搵㍦搰㠲㥣㌳㐳ㅣ㝦昱づ戵愰挷捡㘵扡扢㠸捦敤〸慡攲攸㠶㜶㐷昷户ㅣ捡㤲㌹搱扦扢愵愵㈲㍡㉣㜸㙣㜲攴㡣ㄹ㤶㔶收挳㜵㝤㜰慢㔳㤶挸晤㄰昱㠸㑤摦㑥㥦戹摢攳㐱搴㌵慥㝤昱戲㔷扤攲挹戸㜲〱㑦晤㠱㐳㜰㠴戲㠷㠳㉣㘶摥挲㍦戹戲㤹摣㥦攱㠹摢ㄹ㌶ㅦ搰〸㤰昰㌹㜲ㄵ㡤㈹晣㘵㤲㝡〸㝦㔳㜸〵晥㝢晤攴〰㜹㘵㝦ぢ慦㠸㌲搸㘵ㄶ㙦昹㕤㘳ㄶ昵〳㤰㤶っ〳㠲挷㠷㐴戲ㄹ昵㝤摣㤰攸愰〱〸㘷㑣ㄳ㠲㝣ㅦ挲摦ㄴ昲㠹㐲㡦㡥㝡昰㘰挸晦ㅦ㑡挵㔲扤愹㔸晤㉦〸戵㝡ㄹ挴㄰㌲㠱㈶㜵戹㔴㝦摡㑣愶ㄹ㑤㈶挵㈳㈱㈲换㘷愳〲㙦㜲㑣搵扥慤愴㌸攷戵扢ㄹ㝤捦て晦晥ㅦ㙥㐶㘷㐱㘱㕥攲慦㈱敤㜶㉢捡㜵㜷愱㙢㠳扢挰㐴扥戸ぢ㜳散挳㡣扥㜶ㄷ愲㜸挸㜹㈰戶㜶ㄷ㤸攷㑢㜱ちㄳ㘹搷㐴㠸㠳扢戱〳㉥㘳㘵㘷㜰〸搷ち㤰摢㠷〱ぢ㈶㄰㥤㍡戸ㄱ㍤㘷晡愶㝢㐸昰愷㝤ぢ㠶捤㕦挰愹㙥改挲ㅥ㠷㌷慤㤱㑥㥢挴㉤攲㠸晢㙥㙣㘵㝢㘷搹㐱㈹㝤改㔰扥㉡愸晣㍢㠸㥡㈸敥㈱㌲㥦摤晦㈷愷晦昵㌳㕦㌸挹㤳㙢ㄱ慦收㤸㉡敥㈴㝤㑦扦〲〹摥挴愱㤱敢昹㤱捥㔹㝣慥攴慣㔶慣㜱搳ㄷ㡦㈸㌰摣戸愸ㄹ㉦挱㤸㥡昹㜶㠲扢㠹㌳㄰摡摤ㅣ㘹〹㝤捡㐷㑥ㄲ㉥ㅣ㐹っ㕣攲㝢㜱ち㔱戵㌵㘶ㅤ㝡㥥戹㍦㠶㌹㝡㥢〳㘹昶ㄸ戹〳攵愵搴ㅦ挵昶㑥㈳㌲㤹攳戰㘸㝡㕢愹㜸〴㈰搶㔲挸㐵㤰㐳㤲㥢ㅡㅥづ㄰㉤㜵〱㠵摣㕤〰㈹㔹戶搶㜴㉦㘳〳扢㑡挰慡ㅦ〰散昰㠳ㄶ慣㈲愸ㄸ挷攵㍢摤摤㌲ㄴ㄰㥢㈶愶㙤挵愷戹㠸㠲㙣㘴㠸ㄸ㡤戱㡦愰㄰㕦戹㘳㈸㙤㍢㌴挵㤷昴扢㍡〹愷〵㍢攷㌲敥㔶㜴㑦㜹㌵㥣〲㠱㥤挹㡢挱昰昶ㄲ㡤捤愹攴敢㜴搳愲㐶ㄱづ攸㘲扤㔳㙦㔴〵㥢攵ㅤ挲づㄵ㠹㐰㝥㌵挴晡攱挶愳慦㙦慤愱㡤昳㝡㌰㐱晥攰㝦摤㤴㈲搸㜸㉢㈵〶ㅡ㜶㕢慤ち晡愸昸愳攸挲㐹㘷㤴搱㈸捡扤㘲扥㍡㤶慣慥散〶晢捦㑣戶㐸搶㈷搹㥢㈹敤㈶晢晦㈹㈰戶戴晦敡㝥昶挵捦㜸㉣㉡㠸㜳捡㕣捡㤶改ㅢ慥〸愲摣㐸攴挸㈶搹㤰㈲搳摦扡㌴㡦て㔹㜵戵㘸㜰挴挰扡㕢㡦㐹搴晢搲户敤㙤慢〰㤹㈷捡晤ㅥ㔴㔰摢晥捤㝡㉢摥改收㝦ㄹㅤ昷㥦㜵㑡㝥㌵愸摡攱搰㍣ㄲ挰㐳晣づ捤㠶捦㌳愶㕥㙣㔵㙡户㘰㈵晡ㅥ㐷㥦㜳戳㔰搸攷慣昰摤捡㑢㌲换戰扤慣〶扦㐹ㅡ㑣愴㥡㘸ㅤ㠲敢散㠷㙢㘶〵㥦戱捥㈲敥ㄹㄲ戵㈳㡣㥤㡥㍥户㥥搶攰搲攱扣搶㐳㠸つ㔹㤵ㄱ㈴捡㘴ち㥦晡㌴搷戵㜵つ㥡摢㐶㜳ぢ搸戲戳昸㕢㌱昷㍣㘸扡扤户㌴戳っ摦挹慦㤳㡢挶ㄲ㈱㌶搷㈷昱㜷晢挱㕡㍥㙤ㅦ昸㍣晡戸㥢㐱戱攱ち㐲㘹摢挸㠴㤷搰㔵㡤ㄱ攰㘷㤴愳〲㙦ㄴ㈳㝥ㄴ㐵昵㍢㤸ㄶ〵〰㘵散〱〱摡㜳昵戳㘸愶㈳〸㙣㡣㡢㕣慤愶㔰㤰攷慦愰㐰㈶攳㑦㌱㤰㈰㔸㈷㠹攵扥㔵戰㤷ㄲ搸㐱㙥㕥㈹昱挶㘵㠰晥㉥挵捤ち昹扡愸扥㡤㌷㍥㡦㥦㕥㍦㤷㌸㙣㕥㘴㔳㠲戲㤱戴〵㡡㥢ㄲ㤹搱㌷搱愱㍥愳㔵㘰摢捦攸ㅢ㘸扡㜱㐶㜴㈷㘴㤴挹攷て挶收挸〸昸敡㤰愰㐶戰〶㌰ㄸ户ㅣ愰愲攵㕣昲㍡㜱昱〳搲ㅡ搷㍦㐶㝦摦㌸昹晡㙢扣㝥㜶㔲㠹㙡㐵㔵昳㉣愸㕡㘵ㄶ㕦㐹捥㘲ㅤ搸昶戳昸搲㘶戳ㄸ㝣っ㝤㘴㔵㍦㡢〲㔶㤵摣㈷戳㝡ㄲ〵㉥㈸㝦慡ㄴ㘳攳ㄹ攰㍥㌳㐸㔶㤱扥扦㠲㐲㝦搷㈰㐹换㌸㡦昱ㄴ挱搳〴㥦㈳昸㍣挱慦ㄲ㝣㠱攰㡢〰挵㐱㔲㕣ㅡ㝦㠹戸㉦ㄳ㝣㠵攰慢〴扦㐶昰㌵㠲慦〳ㄴ〷挹〸搲昸搷㠹晢つ㠲㙦㄰晣㈶挱㌷〹㥥㈱昸ㄶ㐰㌱㐷晥昸挵昶㘶㤲㕥㜰晣㝤㉦㌲ㅥ㑤ㅦ昲㥥挲㠷戹敢㔹昴敦挲晦㤷㈰㈷㌶扤㍢晢昱捥㥥ㄵ晢搵㌴挹戹ちㄶ晦ㅤ㍣㠷ㄴ㘹〴㔲昹挴挳昸ㄵ㈰㔷攴㜶愱搷㙦愱㄰搳㉢㐷收㑢昹㕣㑢扣㕣ㅥ㙤攵㥡收㜵㜸㍤慦㝤㥢㠲ㅢ挵搵㜷㠴㠶挷㤴昸晤㜳㕢挳㥣敦昰捣㠶扡ㄴぢ挳㤹㌳㔱㔴㌳㤳㡤戲㠸㄰㐶㥤㉣愱昰㜲㈱㤵ㄳ㌷晥摥换㡤㘰ㅢ㉡㜰㐱㘲㜵㘳ち戹㌴㕥㠹ㅢㅦ挳㜷㜶搲〶㑦搶搷ㅢ㜱㘳㉡〳㘹扣ㅣ㌷晥㡦㘳㠷敡㡤㘳搹搷㑦捥㔱㌰㔳㜶㉣戲㠷㑢㝣㜳㍦㠰收㌹㥢㕥㔰慦慤搱㘴㐴㌹っ㔰ㄱ㍦愸て挷㝢㝣㝣昵㍥㠳搳㙡㌸搴〳㔳愹晦攷ㄷ搳㌸挵㌶㘹㠶㈶㍥㙡㕦挳昱〱摦㤰㍢㜶捥摢戳㍥㄰㍤昶㜴㠰㥤㜱㜹㐷戱〸㥣扡㙥扤扥㕢愴㔹㔲㌶〰㡤昵㠸搳㥥㔹㥥ち敡捣〵㤰㔴㔹户戲㘲捡㘶㥥㙥昰㡣昱ㅣ㠸〳搳〴挸㠲昱扢㠰㍡戵挶昳攷㤹㐱敡㕣㔱愸捦戳攲〵㠲ㄷ〱㡡㡡ち㤶㝣㤰㝦〹㘰㈰晥㕦㡦っ慤㐹搴㉢慢㍥ㅤ扦㉣挹㐶挶敦戳挳㜷〰扡㄰㠸㔷ㄱㄳㄶ㡤敦〲㤳㜸愹愲戲愶捡㔴㡦攲㈹搴㔳搴㈲㐵昵㜴㡣㝥㈴㐲㜳㈳㔰㔴㥦㡢搱ㄷ㈳昴〱㐱㝦㍥㐶㕦㠸搰〷〵㑤愵㉦捦㕥㠸搰户ぢ㥡㘶㐰搰昳ㄱ晡づ㐱㝦㌱㐶㥦㡦搰㌴㝥㠵㍣〰慥㌷摦㔲戴ㄴ搲敤攱愸㕥㡦㤴戶㐳搰㜳ㄱ㕡㡦㤴搶㐴搰戳ㄱ㕡㡦㤴昶㐵搰攷㈲戴ㅥ㈹㉤㡥愰捦㐶㘸㍤搲慦挵攸㤹〸慤㐷㑡慢㈴慤ㅦ㡡搰ㅣ㘹㔱搱㍡〹晡挱〸慤〷㐸㝢㈵攸改〸慤〷㐸ぢ㈶㘸愸㈰㔹㜸㍤㐰摡㌴㐱㥦㡥搰㝡㠰戴㜲㠲㥥㡡搰㝡㠰戴㝢㠲㍥ㄵ愱昵〰扦ㄵ愳㈷㈳戴っ㜰㤰㐶㐲ㄸ散捦㔱㌰晥㠲攰㉦〱㡡㌹㌲收戶㈵㠴晣摢愱慦昹ち扡㉡戲㍤㥦㘱扣ㅡㄵ㜸愳挸昳㌲㤳㑦㐴㐳㝥〰㠸㐲㌶慦㕥㠸㉢㑥㐴ㄵ㈷愴㐲愹ㄷ攳㡡〷愲㡡㤳㐰ㄸ㝦つ愰挸晢㥣㤳昱㌷扣㈳换换ぢ㝦ㄴㄵ攴㠵㕣〳㜹攱㝤㉤㉦攴扡㐸挵扤㉤㉦攴㕡㐹挵挷㤲㉦晣㝢㍥昴ㄵ〲晣㥡晣戴挱㔷㠱㤱昵㝥ㅤ㠵晥慥〱㡥㡤㉥㔴昶慡㉡㍤㕥㝥晣昱㌷〷扡㠷づ㜷㍦晡㑢㝤捦扥昱㜷㍦㜹收挷㡦㥤昸昷㥦㍦昷摣㡦㝦晡捣㙢㍦晦攱搲㠹ㅦ扤昴搲㕦㍤昸晣㙢㍦搹㙢扦㤰㝤昹捤㤹ㄷ㥥ㅣ扤晣攴ㄳ昶㠵㍢㑦㍦昹挹㑢て㡦捥㕤㌷摣搵搵搳㜳摢扥扦扤攱昶挱愷㥦昸扥㝡昵㥦て㝡㑡愶㡢ㄷ㌴て㠳搳㤶㘱晣〳ちㄸ〶㐷晣㥥づ㠳搳㤵㠵㍡ㅡ㉤搴㌸㄰㜴㔷㌸〰愹戸慢戹愲昷㝦〰㠶㍥㝥㤰</t>
  </si>
  <si>
    <t>㜸〱敤㕣㕢㙣ㅣ搷㜹摥戳攴㉥㜷㤶愴㐸㡢戲㘴挹㡥捤挴㜱㝣愱㐲㡢戲ㄵ摢愹ㄵ㠵ㄷ㔱愲㑤㠹戴㐸挹づ攲㤴ㅥ敥捥㤰㈳敤捣搲㌳㐳㑡㜴㡣摡戹戹㘹搳㈴戵摤㍥戸㜵攱㑢㉦㐰㠱戶㐰㕢搴㜰搰戴㡤㠱戶㈹㕡ㅢ敤㐳晡㔰愰て㙥㔰戴てつち〱㝤㌱㡡〰敥昷晤㘷㘶㜷㜶挹ㅤ搲㙢扢愵ぢ㡥扣㍦捦晣攷㥣㤹㜳捥㝦㍤晦㝦挶ㄹ㤵挹㘴摥挵挵扦扣㍡㔹戸㘱㙥㍤〸㉤㜷㜸扣㕡愹㔸愵搰愹㝡挱昰愸敦㥢敢搳㑥㄰㜶愰㐱㝥挱㐱㝤㤰㕢〸㥣㈷慣挲挲㥡攵〷㘸㤴换㘴ち〵㈳㡢㝡㍥㠴扦晥昸挶㘰慦㥥㑥㠰昹昱戱㤹挵㡢㜸敡㕣㔸昵慤挳㠳ㄷ㜴摦攳㈳㈳挳㈳挳㜷ㅦㅢ㌹㍡㝣攴昰攰昸㙡㈵㕣昵慤攳㥥戵ㅡ晡㘶攵昰攰散敡㘲挵㈹㍤㘸慤捦㔷㉦㔹摥㜱㙢昱挸㕤㡢收摤昷㡥摣㝤散㤸㝤摦㝤昷昶攰搵㤹戳攳㘳戳扥㘵〷ㅦ搰㌳㜳ㅣ昲摤ㄳ㔶挹攱摣㉣换㜷扣愵攱昱㌱晣㤷ㄸ㍦敥敥ㄹ㥥㕢戶慣㤰慦戶㝣换㉢㔹㠱㠱㡥摤敥㘸㄰慣扡㉢㕣㍣挳㥤挴㔴㑢㘶㄰收摣㜱慢㔲㌱摣昸愹〵㜷〶㙢㔷㌱搷㝢摣㌹换ぢ㥣搰㔹㜳挲昵扣㍢㡦〷㤵㝢摤昳㠱㜵捥昴㤶慣戳愶㙢攵摣㔳慢㑥戹㔳㕦㤹㡥㕢攳㐷㈴〷㈶搳ㅦㅥつ摣昱㘵搳㤷ㄱ〵㕣㤸㤴戶㤳㝥愹戱敤捤慤㥦换愱换ㅢ昸捣㕢㕡户㐳捤〵搳慦戵ㅣ㙡摤㌲㥡㝣攳〸敥㙣摤㍥戱㐶㡤㝤㙥㙦摤㐷㤶戲戱戵敡㡥昸㕢㔶ㄴ㤳㌱昲〴㕤〴〵〲ㄲ搰㈸ㄲ㜴ㄳ昴〰愸捥晦㠲㤴㈴㍢戲㉡扢㘰㘶ㄷㄶ戳ぢ愵散㐲㌹扢㘰㘵ㄷ散散挲㔲㜶㘱㌹扢攰㘴ㄷ㉥㘶ㄷ㉥愱㑤㝣ㄵ扡扡戲搱㜵晤㑦晥攸昵㍦㝥攲搳㌳捦㍦昳摦捦㝥晥搲㉢㜶捦ㅥ㌴㝡㈸ㅡ搴㠴㙦㕥〶慢搵戹ㄸㄲ挱㝦㕢㑢〵㠴挲㍥㘶摦㘳㡦㡣㤴㡦ㅤ㌱敦㌲㜳㥣㔶ち昱ㅢㄸ愵ㅦ㙤㝢散㠷ㅤ慦㕣扤㉣戴扢㘱捣っ慣晡挲つ㐵㜵㘳搵㔵慦ㅣ㕣扦㜹攵㕣㘸㠶搶愱收扡晡㐳㌶㜴㥢㠳㔸㔹㠱扣敦挶收㙥ㄷ捣捡慡㌵㝡挵搱搵ㅦ㙢慡㜶㘷晤敡㘲敢摡㐹摦㝡扣㔶扢㘱㐴愳㔰㙡㙢昲散つ戳搴㔵㝡㕣㠳攳换搵挰昲㘴㜸㐳敥慣㔳扡㘴昹㜳ㄶ㔵愲㔵㤶愹㕥换慡㐸敡㠷㘶㍣㑣ㄴ搲㕡晥㐴ㄲ㙢㥦扣ㄲ㐲㤸慤㌲挶扢㘲昹攱晡扣戹㔸戱昶㌷㌴搱敦㐴挵挱〶昴㘴戵戴ㅡ㡣㔷扤搰慦㔶ㅡ㙢㐶换㙢㈶㌴㑤昹㑣戵㙣㜵㜶㘶㐴㈹㐰攱㜶㜴㈸㤵戹愳戵㉣〸㈱ㄲ㈴愶㈰㕦搷挸㜶挳攷㌰㍢捣愲㘲㤱㈷戳㥦摣攲㘱ㅣ慦攸㤸ㄴ〹㑣捣㠹昶㠳㉦扤㙤㡢挷搶㈸昷攱㌶捥㘶〷愲搹㥦㕣戳扣昰戴改㤵㉢㤶㥦㙡晤ㄴ㐷㘴昴〱攴慥㐲㈱戴㕣㍤㥡㍡㜵㐵慤攷㉥㍢攵㜰㌹扦㙣㌹㑢换㈱㜰戰㤰㠵〲㤷㜶挳㘵㕣〳㤴戱㤷㘰〰愰㔸捣攴昷戱㔱扥㠸㉢㤳愳㜶㑡㤱攵〶㐵捥㝥つ戲摣㘳㑦㍡㤵搰搲㑡戹捦〶㐵戴㔵ㄳ昲昵㤲㐵㝤戳愴つ挶㍥㝢ㅣ㕣㙡㍡㕥戸㕥㤷摢つ㔲愲㤹㘸㔷ㄷ散㌸㕤㐰㔵搰愸て㔲㘴つ㑣搳愴つ搲ㅢ㈷㤸㠸㘲㤰㘲搹昱攴㐶㈶㘳晢ㄴㅤ㠱昶㐹㈶㘴敢㈳慤㜵〴㤹㝤㈳㤳戲㔳㑢㜹摣搵㘶㥢昹昲㕡㥢㕤㡢㠵㌳昶ㄳㅣ㈰戸㡥攰㈰㠰晡㌷㘸㌸㙡㌹㤴ㅢ㉦攳㝡摣ㅢ㌷㄰㝣っ〰晡挹愰捥㠹㔴ㄵ㝤愸敤昸㤱㙣搷ぢ㍦㔹㥣㘲慤㡡攸ㄹ搷晣捣㕥㔷〸ㅤ㜹㥤㍢挳搶㜶㡡㡤晤㔴㙢摥㑣㑥㠷ㅣ㤹搲㌴㌹搷㉤㥡㈶ㄷ㠲㑤摢戴㕢㌷愱慢㌱㐸昰㜱㠰愲昱〹㐲ㄸㄷ㍡扣摢昳攸改㔲㝥㈴摣㈲敤っ戵㘹攰㈳㐶收ㄶ㈰㐵挹㙤搸扥散晡搰㜴〷㠷散㡦扣て㝤戸戵㝣㐷㐴㙦戲㥢扢㜶㠷昱愲昷攸㐵摦っ昱㔲晦摣搲挶摣㠲㙡攳㔳〴户〲㌴搹ㄸ敥扥摦㙢愴㐰摣㘲㌷㐱戹扤㡣扡㠸㤷㍢扦扥㘲㠹〵敡戱攷㑤㝦挹ちㄱ挱㤸㥡㠰㉦㕣昵㝤慢㠲㑤㙤㔹㄰摣扦ㅣ㘸㐴〶㤳㝥搵㈵㝥搷㐷づ㍥ㄲ㠶愱戳㌳摢㤱㘹昲㤱㔳㝣捤㐴捣㈹挱㌹戴挱㜷戵㔶ㄲ㠹㑥㡤散挵㝥改晢换㕤㑤搲㠶㈶戹ㅤ换㙡摣〱〰㉤愱晥戱愵㐶㌹捣㘶㥦㤶㘶㡤ㅥ㉢㈳㝣㈹扢㤳愶ㄸ攲〶㍤搲慤〳戶㘳㠸ㅦ〴扤敥㥣攳搶㤴㐵户㍢㙢昹㈵挴ㄶ㥣㡡㔵搴㘱㔹慡㥡㕤㕤昱ㄱ搱ㄵㅤㅤㅢ昶搳㈹昱㌵攱㤳㈶㉤㤱㉡敤愹㤵㈹㝢昱㍡㔳㌱っ㐹愵㤲ㄲㅡ慡㘹㈰㜲ㅥ摢敥慡㤸㌶㔴捣㥤㔸㌸攳〸挱〸挱㔱㠰摣㕢搰㌴摢㕤㜸愶挳扡搶ㄸ搲㕥㔸挸ㄴ㐸〶〹ㄱ扥搹㔲㔹ㅤ攳㙢㍥㐳㜰て㐰㤳晢挳〰㘴ち㈳ち挹ㄳ㡣㈸㘹っ晢㠲㘳㕤㈶て散戱㤱㔸ㅡ㕦つ挲慡换捣㔲慦㍤㔱㍤㕢つ㈷㥣㘰〵㤹愸〱㍢㉡㍣扣㙣㜹攰㉥ㅦ扥㑦ㄳ慥扡戲㘲㤵つ㝢慥扡ち搵㌶㌵戱ㄳ㌶收㔸づ昸㤲戲㌷捦㉡㕣敤敤㡦昱〸㠵㤵㤶㜸㉢愳戱摢㡡㝥㜳搳搷㔷㕦搱㜹㈷慣㔸摤戶ㄶ㍡㤶ぢ㌶㔶ㄱ㤹㠳㜲㤷㍤扦散㕢搶㐴慦㝤捡㜷捡ㄵ挷戳㐸っ昸㤸㑣搶㑤㕢㑢挸ㄲ捣㔶㤹〳慣㝡扤昶扣㙦㝡挱㡡挹㠴攲晡摥㠶㍢㐹㡢攴散㌱挷ぢ昰ㅡ愱㈲换㝤昶摣㜲昵㌲㌲戶慢慥㜷捡㕣〹㜶〴㔵挸昴晡ㄲ搲愸慣捡㘶㔵㈱㕢㘸㤷㍥摣㤰㘷㌲㤴扤㑥〲愱㔵㈶挷㤸㜹㡡昵愶㕦ㅦ攵㘸攸愷㜳㑣㍤挸ㅥ搵㤰ㅤ愹㕡㤸㤲㙡摣挷㍥㥦〵㜸攰搴昹愹㝡㘶敥㝤攵慣㜳㡣昲愷攸㜸㘱㡢㕡㈲㠴㌱扡㍤㥡㔵㠸㈳攷㐰〲㐱㜱摥㌵戳㕦搱㤶㌶攴扥㍤昵攲㈴㌲㐹㍤昶戴戹㘸㔵㤰㡦㜶捤㜰㡦扥愱ㅢ敢㥡㤵㈰慡ㅢ慦扡慥㐹搶㈲㕢捥㤵㑣㜲昰攸㙡㔸㍤攳㜸㠶つ㈰晣ㄷ愱捣㉢㐰㤹㔷〴搵㘳㥦㘳㙡㔰捡㝣㔶㜵挹昴㥤㜰搹㜵㑡〵摥㌰㝤户㈳㜸ㄲ㐲㑥捤ㅢ㕦戱捥ㄸ㙣昲收捦挳㘵ぢ㠶㐱敥㘱攸㔱㉥ㅤ挹て捥捤慡㍣晥愹㌶〳㑢㔰㌰ㄲ㈹㌵敥挷搳㜲㜲㍡〲㉡㐷慥慢昱ㄹ㡣慢㑦〱愳㤵㄰愹㥥挲㈲㠸ち㈶㤴㍣㐳摣㜹晢扣攷㠴愰ㅥ㈹㌶改㠴ㄳ〱㐸づ㠰愲㙣㙦て〹㔵ㄳ㥤㠶㙡㔶攱愶㡤㔵つ㘶攲挶㡤昵㐹扢昱挹㑤慡戵㐵㐹ㄸ㤲慤ㅡ㠹㘵搹㘴㡣㍢挹搴㈸㌱摣戱戵㔱㘹㘱搳晡扡㔳㡢扣て挳㈴㍣㤳㌱㍥㈷㡣㠲㐴㙦㘴愳ㄸ戳㑦㘷㡦㐴挶㠶㍥㐰㤱㜶㑡攳㝡愳㤴攰ㄴ㡥㥤㤴慤㘲㜴〷昹摥ㄳㄵ㘷㔶挳㠶ㅡ昳捡㐰㔴㌳㕡愹捣㜸昰ㄲ㑡愶㕦摥㈱㈲㡤戹㘹ぢ㈳搲搹慥昵搷换㥢㄰挴㐸っ㤹ㄶ㐹㠹〳㐳っ㈱㕣㠹㡣㉡扤戳㕥㉥㜵つ㕤攰摤ㄹ换昴㠴〲㜳㘱㜹挲㕡ㄳ㌷慣敥挹て㐸㠷摡㙥㔱昴愸㘱㡦㉥〶㌰改㈱昵㜸㔴ㄲ〱㌷散㜳っ㑢攱㄰〳搴㙥㔴㥡㉤㠵㐸敤搶ㅥ挰㥤挱捥愱づ㔶㐴愷㑥攸㥤㔱㠳收㔳ㄸ户㜱ㄲ㤴㥤㌶㈹ち㐵㙡换昵㥦㈷搴慦扤挰敢㜷㑦㘴攲㐲㈴㐴㑣㜷愵㜸て㈰㙥㌲㌳㐹㈹ㅡ㠸ㄳ收㕡戳㠹搲敡㠹㜱㜴㌱㝡改昲昹㈱㑥昱㌰㤷搵㐷戱愹攰㥣㕢攸挰㥡㔶搶昷搸㔳㕥愹戲㕡戶挴ㄴ挷扡㕡㉣昲㡥愰㤷ㅣ〱搴搲㤴戲㉥搱愲㑣㘱㉢挵㈹㤳㐸敤晢摤挶〹㜴ㄷ㈵㠷㘷㘸搳挷〴㘴㑡㔸㑥ㄲ㘲ㅢ捥㈹搰㍦摣㕢㍦挰㈰㠷攷愰搲㌶愰愸换愶㜱ㅥ慦㤶㐵ㄶ㘹㑢㌴㥢慥㑥㔷改戳㈷㔰愷ㅤ㡤摡ㄱ㌴挲㍣戵挲换攷攱㡣戴㈹ㅤ㝣㐸收㙡㤴摤扤晡㤴摣㘶慥㠲ㄴ㐲〱挵ㅣ㉦㜷㐱ㄹ慣㉡〴㠹づ㜷戶敥㜵㉢㘶㝦改㜹ㅢ愳〰㡡㘹㘰㍡戴㘸愹ㅤ㥣㜱㤴户㜶㜰㙥㐲慢㤴っ㘹㌲㤹捡ㅣ攵〰〲昶㈰ㅡ愴㠹ㅢ改昹㉡㡣㔰戸㑦づ㠶挵㘷ㄳ㠷㕣㙣㠱慡晥晥㈶攴慣ㄹ攲昸㡢㜷戰〹㍤㕡㉥搳摤㐵㝣㙥㐷㔰ㄵ㐷㌷戴㍢扡慦改㔰㤶捣㠹晥摤捤㑤ㄵ搱㘱挱愳ㄳ挳愷捤戰戴㍣ㄷ慥敢㠳㕢敤戲㐴敥晢㠸㐷㙣晡㜶晡捣㥤ㅥて愲慥㜱敤㡢㤷扣敡㘵㑦挶㤵ぢ㜸敡てㅣ㠲㈳㤴㕤ㅣ㘴㌱昳㉥晥挹㤵捤攴晥ㄴ㑦摣捥戰昹㠰㝡㠰㠴捦㤱慢㘸㑣攲㉦㤳搴㠳昸㥢挲㉢昰摦㙢㈷〷挸㉢晢㥡㜸㐵㤴挱㉥戳㜸㑢ㅦㄸ戳愸敦㠱戴㘴ㄸ㄰㍣㍥㈴㤲捤愸搷㜱㐳愲㠳〶㈰㥣㌱㐵〸昲㝤ㅣ㝦㔳挸㈷ち㍤㍡敡挱㠳㈱晦㝦㈸ㄵ㑢昵愶㘲昵扦㈰搴敡㌵㄰㐳挸〴㥡搴攴㔲晤㐹㈳㤹愶㌵㤹ㄴ㡦㠴㠸㉣㥦㠹ち扣挹㌱㔵晢㥥㤲攲㥣搷敥㘶昴㐳㍦晣晢㝦戸ㄹ㥤〱㠵㜹㠹扦㠶戴摢㉤㈸搷摣㠵㡥つ敥〲ㄳ昹攲㉥捣戲て㌳晡摡㕤㠸攲㈱攷㠰搸摡㕤㘰㥥㉦挵㈹㑣愴㕤ㄳ㈱づ敥挶昶扢㡣㤵㥤挶㈱㕣㉢㐰㙥ㅦ〶㉣ㄸ㐷㜴敡挰㐶昴慣改㥢敥㐱挱㥦昲㉤ㄸ㌶㝦ㅥ愷扡愵ぢ㝢ㅣ摡戴㐶㍡㙤ㄲ户㠸㈳敥扢戱㤵敤㥤㘵〷愵昴愵㐳昹慡愰昲敦㈳㙡愲戸㠷挸㝣㜹摦ㅦ㥣晡㤷㈷扥㝥㠲㈷搷㈲㕥捤㌱㔵摣㑥晡㥥㝥〵ㄲ扣㠹㐳㈳搷昲㈳㥤㌳昸㕣挹㔹愹㔸㘳愶㉦ㅥ㔱㘰戸㜱㔱㌳㕥㠲㌱㌵昳敤〴㜷ㄳ㘷㈰戴扢㌹摣ㄴ晡㤴㡦㥣㈴㕣㌸㥣ㄸ戸挴昷攲ㄴ愲㙡㘹捣摡昴㍣㜳扦て㜳昴ㅥ〷搲攸㌱㜲〷捡㑢愹摦㡢敤㥤㐶㘴㌲挷㘰搱昴戶㔲昱〸㐰慣愵㤰㡢㈰㠷㈴㌷㌵㍣ㅣ㈰㕡敡㍣ち戹㍢〱㔲戲㙣捤改㕥挶〶㜶㤵㠰㔵㍢〰搸收〷㉤㔸㐵㔰㌱㡥换户扢扢㘵㈸㈰㌶㑤㑣摢㡡㑦㜳〱〵搹挸㄰㌱ㄲ㘳ㅦ㐶㈱扥㜲㐷㔱摡㜶㘸㡡㉦改㜵㜵ㄲ㑥ぢ㜶捥㘵摣慤攸㥥昴㔶㜱ち〴㜶㈶㉦〶挳摢㑢㌴㌶愷㤲慦搳㑤㡢ㅡ㐵搸愷㡢戵㑥摤㔱ㄵ㙣㤶㜷㄰㍢㔴㈴〲昹搵㄰敢㠷敡㡦扥戶戹㠶㌶捥敢挲〴昹㠳晦㜵㘳㡡㘰攳慤㤴ㄸ㘸搸㙤戵㉡攸愳攲㡦愰ぢ㈷㥤㔱㐶扤㈸昷㡡昹敡㔸戲㍡戲ㅢ散㍦㌳搹㈲㔹㕦㘰㙦愶戴ㅢ散晦ㄷ㠱搸搲晥慢晢搸ㄷ㍦攳搱愸㈰捥㈹㜳㈹㕢愶㙦戸㈲㠸㜲㈳㤱㈳㥢㘴㐳㡡㑣㝦敢搲ㅣ㍥㘴搵搵愲挱ㄱ〳敢㙣㍥㈶㔱敢㑢摦戶扢愵〲㘴㥥㈸昷㥢㔰㐱㉤晢㌷敡慤㜸愷㥢晦㔹㜴摣㜷挶㈹昹搵愰㙡㠷㠳㜳㐸〰て昲㍢㌴ㅢ㍥捦愸㝡愵㔹愹摤㡣㤵攸㜹っ㝤捥捥㐰㘱㥦戵挲て㉡㉦挹㉣挳昶戲ㅡ晣㈶愹㍦㤱㙡愲㜵〸慥戱ㅦ㕡㌵㉢昸㡣㜵〶㜱捦㤰愸ㅤ㘱散㜴昴戹昹戴〶㤷づ攷戵ㅥ㐴㙣挸慡っ㈳㔱㈶㔳昸攲㤷戸慥捤㙢搰搸㌶㥡㕢挰㤶敤挵摦㡡戹㤷㐰搳敤扤愵㤱㘵昸㑥㝥㥤㕣㌴ㄶ〹戱戹㍥㠱扦摢て搶昲㘹〳攰昳攸攳㙥〶挵㠶㉡〸愵㙤㈳ㄳ㕥㐲㔷㌵㑡㠰㥦㔱㡥ち扣㔱㡣昸㔱ㄴ搵慦㘳㕡ㄴ〰㤴戱〷〴㘸捤搵㉦愰㤹㡥㈰戰㌱㉥㜲戵㥡㐴㐱㥥扦㡣〲㤹㡣㍦挵㐰㠲㘰㥤㈴㤶晢㔶挱㕥㑣㘰晢戹㜹愵挴ㅢ㤷〰㝡㍢ㄴ㌷㉢攴敢愲晡ㄵ扣昱㈵晣昴晡戹挴㘱昳㈲㥢ㄲ㤴㡤愴㉤㔰摣㤴挸㡣㥥㐵㠷摡㡣㔶㠰㙤㍤愳敦愲改挶ㄹ搱㥤㤰㔱㈶㥦摦ㅦ㥢㈳㈳攰慢㐳㠲㔵㠲㌵㠰晥戸㘵ㅦㄵ㉤攷㤲搷㠹㡢敦㤱搶戸晥㈱晡晢昶㠹户摥攴昵㤳ㄳ㑡㔴㉢慡ㅡ㘷㐱搵㉡戳昸㘶㜲ㄶ敢挰戶㥥挵㌳㥢捤愲晦㔱昴㤱㔵晤㌲ち㔸㔵㜲㥦捣敡㐹ㄴ戸愰晣愹㔲㡣㡤㘷㠰晢㑣㍦㔹㐵晡晥ㅣち扤ㅤ晤㈴㉤攳㍣挶㔳〴㑦ㄳ㝣㠵攰慢〴㕦㈳昸㍡挱㌷〰㡡晤愴戸㌴㝥㠶戸㥦㈷昸㈶挱㉦㄰晣㈲挱户〸㝥〹愰搸㑦㐶㤰挶摦㈶敥㍢〴摦㈵昸㘵㠲㘷〹㥥㈳㜸ㅥ愰㤸㈳㝦晣㑣㙢㌳㐹㉦㌸晥扥ㄷㄹ㡦㠶て㜹㑦攲挳摣昵㉣晡㜷攰晦㑢㤰ㄳ㥢摥㤹晤㙣㝢捦㡡晤㙡㥡攴㕣〵㡢晦㍥㥥㐳㡡搴〳愹㝣攲㈱晣ち㤰㉢㜲扢搰敢㔷㔱㠸改㤵㈳昳愵㝣慥㈵㕥㉥㡦戶㜲㑤昳㍡扣㥥搷扥㑤挱㡤攲敡㍢㐲挳㘳㑡晣晥戹愵㘱捥户㜹㘶㐳㕤㡣㠵攱昴改㈸慡㤹挹㐶㔹㐴〸愳㑥㤶㔰㜸戹㤰捡㠹ㅢ晦攱㙢昵㘰ㅢ㉡㜰㐱㘲㜵㘳ち戹㌴㕥㡥ㅢㅦ挵㜷㜶搲〶㑦搶搷摢㜱㘳㉡〳㘹扣ㄴ㌷晥㡦愳〷㙢㡤㘳搹搷㑦捥㔱㌰㔳㜶㉣戲㠷㑢㝣㜳摦㠷收㌹㥢㕥㔰户慤搱㘴㐴㌹っ㔰ㄱ㍦愸〷挷㝢㝣㝣昵㍥㡤搳㙡㌸搴〳㔳愹晦攷ㄷ㔳㌸挵㌶㘱㠶㈶㍥㙡㕦挳昱〱摦㤰㍢㜶捥摢㌳㍥㄰㕤昶㔴㠰㥤㜱㜹㐷戱〸㥣扡㑥扤扥㕢愴㔹㔲㌶〰昵昵㠸搳㥥㔹㥥ち㙡捦〵㤰㔴㔹愷戲㘲捡㘶㥥慥昳㡣昱㈲㠸〳搳〴挸㠲昱ㅢ㠰㍡戵挶昳攷㤹㝥敡㕣㔱愸㉦戱攲㘵㠲㔷〰㡡㡡ち㤶㝣㤰㝦ㄵ愰㉦晥㕦㡦っ慥㐹搴㉢慢扥ㄴ扦㉣挹㐶挶㙦戱挳㙦〳㜴㈰㄰慦㈲㈶㉣ㅡ扦〳㑣攲愵㡡捡㥡㉡㔳㍤㠲愷㔰㑦㔱㡢ㄴ搵搳㌱晡攱〸捤㡤㐰㔱㝤㈵㐶㕦㠸搰晢〵晤搵ㄸ㝤㍥㐲ㅦ㄰㌴㤵扥㍣㝢㍥㐲摦㈶㘸㥡〱㐱捦㐵攸摢〵晤㡤ㄸ㝤㉥㐲搳昸ㄵ昲〰戸摥㜹㔷搱㔲㐸户㠷愲㝡㍤㔲摡づ㐱捦㐶㘸㍤㔲㕡ㄳ㐱捦㐴㘸㍤㔲摡ㄷ㐱㥦㡤搰㝡愴戴㌸㠲㍥ㄳ愱昵㐸扦ㄵ愳愷㈳戴ㅥ㈹慤㤲戴㝥㌰㐲㜳愴㐵㐵敢㈴攸〷㈲戴ㅥ㈰敤㤵愰愷㈲戴ㅥ㈰㉤㤸愰愱㠲㘴攱昵〰㘹搳〴㝤㉡㐲敢〱搲捡〹㝡㌲㐲敢〱搲敥〹晡㘴㠴搶〳㝣㍥㐶㑦㐴㘸ㄹ㘰㍦㡤㠴㌰搸㥦愱㘰晣㌹挱㕦〰ㄴ㜳㘴捣㙤㑢〸昹户㑤㕦昳〷攸慡挸昶㝣㠶昱㐶㔴攰㡤㈲捦换㑣㍥ㄷつ昹㝥㈰ち搹扣㝡㌹慥㌸ㅥ㔵ㅣ㤷ち愵㕥㠹㉢敥㡦㉡㑥〰㘱晣ㄵ㠰㈲敦㜳㑥挶㕦昳㡥㉣㉦㉦晣㘱㔴㤰ㄷ㜲つ攴㠵昷㌶扤㤰敢㈲ㄵ昷㌴扤㤰㙢㈵ㄵ㥦㐹扥昰敦昸搰ㅦ㄰攰搷攰愷昵扦〱㡣慣昷㕢㈸昴㜶昴㜱㙣㜴愱戲㔷㔴改戱昲㘳㡦扤搳搷㌹㜸愸昳㤱捦昷扣昰昶摦晥昸戹ㅦ㍤㝡晣摦㝦晡攲㡢㍦晡搷攷摥晣改昷ㄷ㡦晦昰搵㔷晦昲㠱㤷摥晣昱㕥晢攵散㙢敦㑣扦晣攴挸愵㈷ㅦ户捦摦㜱敡挹㉦㕣㝣㘸㘴昶㥡愱㡥㡥慥慥㕢〷晥收扡摢晡㥦㝥晣㜵昵挶㍦ㅤ昰㤴㑣ㄷ㉦㘸ㅣ〶愷㉤挳昸㝢ㄴ㌰っ㡥昸㐳ㅤ〶愷㉢ぢ㜵㈴㕡愸㌱㈰攸慥㜰〰㔲㜱㘷㘳㐵昷晦〰㙥慢㝤㠲</t>
  </si>
  <si>
    <t>㜸〱敤㝤㜹㥣ㄴ搵ㄵ敥摣㘱愶㤸㙡㤶㘹㜱㐵つづ〸戸㠲扤㜷㡦ㄱ㔹㘵㔱㐰〵挴㕤攸㔵〶㘶挱㤹㘱㌳㡡㍢敥戸挴㠵戸㡢㠸㈸㐶攳扥愲㠰㠶㘸搴㐸ㄲ户愸㔱搴㘸㌴㌱㐸摣㘲㕣攲晢扥㔳㜵慢慢扢慢㠷㠹㉦昳㝢晥昱㥡改㐳摤㜳扦㜳敡搴昹㙥㔵摦扡㜵㙦㜷㠵慡愸愸昸ㅥ㉦晥捦㔷ㄵ㌷㜶㥤扡愸慤㍤摢㌴㜴㜴㑢㘳㘳㌶摤摥搰搲摣㌶㜴㘴㙢㙢㜲搱挴㠶戶昶㙥〰ㄸ㌳ㅡ㔰摦㔶㍤愳慤攱攴㙣捤㡣昹搹搶㌶㠰慡㉢㉡㙡㙡捣㑡搴昷戵摦㝥㕤㌰㘹㘵㔶㔱〰㔵㘱ㅡㄴ摤㈹㙡㈸㑣ちㅦ㐵て㡡㥥ㄴ扤㈸㝡㔳搴㔲昸㈹戶愱攸㐳戱㉤挵㜶ㄴ摢㔳散㐰戱㈳挵㑥ㄴ摣扦戹㌳挵㉥㄰㍤㜷㠵㤸㌶㝡搴愱愹搹㌸㥡愹敤㉤慤搹㝤敢愶㕢㌱てぢ〶㠷〶㠷㐶愲挱搰搰挰扥㜵愳攷㌵戶捦㙢捤づ㙢捥捥㙢㙦㑤㌶敥㕢㜷搸扣㔴㘳㐳晡㤰散愲㘹㉤㜳戲捤挳戲愹㐰㌸㤵㡣㈴㠲㤱㘸㌴㔷㕦㥦攸昹ㄳ㜸㥥㍣㝡搴㘱慤搹㕣摢晦捡㘷㍦晡㍣㜴昴愸愱㤳戳敤晦㉢㥦扢挱㈷㕣㡥㘹㘹㑡㌶㌴晦㡦㥣㔶㤳搳昰㤸㙣扡㠱攴㘷戳慤つ捤㈷づ㐵搸〵㠹㐶㈹㍥㜴㉣㌲㥥㑥戶戵㡦捥㌶㌶㑥挹收挸㝢捦㈶收㉣摢㥡㙤㑥㘷摢㝡㌷ㅤ戴㌰㥤㙤戴慢摢㙡㥡愶㈷㕢㈷㈷㥢戲㔵摣愸㙤戲㜸㥢㤰挹㌶户㌷戴㉦敡搵㜴㐴㕢㜶㑡戲昹挴㉣㈱搵㑤攳收㌵㘴慡慡㔴㔵㔵㐵户㍤扣㠲ㄱ㙥㠶㡥㙤㑤㡦㥥㤵㙣㙤㤷ㄲ㔹ぢ㝡㘱㕤㉤㐴〲㉦〸㡢慤愸慥挸㡡㌴㑤㙤㘸㍡㈴摢摡㥣㙤攴㑥㐸摥㍥㐵㈰挹㠹㤵㝡㈷㌹晡㘸㐸㡣敡㘱㥦㙦㍣ㄴ敥挵慣愳攸て㘱っ㠰昰てㅢ㜹挴挰㘰㝣昰㠰晤敢〶っㅥ㌸㌲㥥㌰㜷㘷晤㐰〸㔵昵〶㑥㕥户㍤㑦愰捡ㄹ挹捡ㄹ愹捡ㄹ改捡ㄹ㤹捡ㄹ搹捡ㄹ戹捡ㄹ㈷㔶捥㤸㔵㌹愳愱㜲挶散捡ㄹ㜳㠰搱慦㥡敥摤㉢敤搷捣㙥㙦ㅥ㝢散㜱㐷ㅣ㝡攱扤扦㍤攳昸㌵昷敦慣㜸扥捡㠹㍢ㄸㅢ收ㅥ㄰挶㥥㄰㐵昱㐴㠳收㕥慣摦ㅢ㐲愹㤷ㄱて㘳㍡攷㤹㍢㕢㙥㕤愵㐶摣攲慢扢昰戸㡡㔵㠶攲㜹㉦捥昶㈵㜸〸㠴㌱ㄴ愲挸㔹㈲㙣敥挷晡〰㠴㔲㉦摡捥捥㡤ㅤ搰昲搷愳攷㡦㍥㉦㜴晢ㅢ㡢㑦慥㜸㕦昱晡㈱捥㐲〴㠷㈱㡣〸㐴㤱戳㔸挲㡣戲㍥〶愱搴戳戶㌳搵愳㙦晦㐷扥摡㌰敥扡㙤捦㝡敦戹㙥㙤㑢ㄴ摢愳㌸㑢㄰㕣て㘱散て㔱攴㉣ㅥ㌶㝦捡晡〳㈰㤴㝡捡㜶㜶挹㔳慦㕥㜲挰捡搷挶慦ㅡ昴㝡晢㜱㐷㕦晦慣攲昵㑣㥣ㅤ㐸昰㜰〸㘳〴挴㌶㠵ㅣ〶㠳㔱㜳㈴〱愳㈰㤴㕡㘳㝢㥢㍥晢敦㍢挵晦戸搷愴㤵㍦㤹㜲㑣敢散㘱㈳ㄵ㉦㡣攲㙤っ挱〷㐱ㄸ㘳㈱㡡㐲㑢㐴捤㜱慣ㅦて愱搴㐳戶戳㙢〷㍣晦㠷挹搳收㡦㍡扢㑦扦ㄵ㡢捥昸㘰戹攲〵㔶㥣ㅤ㑣昰㈱㄰挶㐴㠸㙤㠶㡤ㅡ攵㙡㕥っ㙤ㄲ〱㤳㈱㤴扡挷昶㘶㉥换㕥晢晣挵收㈱ㄷ㑥㤸㜰晦㡢敤㉤㤳ㄵㅢ㥡㜸㍢㡣攰挳㈱㡣㈹㄰挵愱〵捤愹慣㥦〶愱搴㙡摢搹㕤挳捥㕤㍣㌳昴搹挸愵㕦㥣晡改收㘷㝡慥愹收ㄵ㍦敡㜵摡ㄴ㥦㤱㈳摢摡收㌵捤攵㐷㤲㝤戵㘰扥捤愶㌱㙤敤㠷㈵㕢㥢摡晥户㤷ㄵ㕣㔴戶㜶㕤ㄹ搹搶搴昵搷ㄵ散攴㝦㜲㕤㌱愶㈳㔹㐳愷戵㌶攰敡㌹慦㌱搹扡敦愴㠶收㘱㐳㐲搱〰㕥晢㑥㙣㤸㤳㙤㙣挸戶戵てぢ散㥢〸っㅡㄶづ㔳ㅤ㌰㡦㘴㠲㡦㠲㌰㡥㠶搸㘵搸挸㌱敥挶㤲ㄸ㍣愰㙥〸㉦㑢愳㠳〹昳ㄸ㐲㡦㠵㔰㙡㠵捤昴㥡〵戳晡㉤晦敥摥㐳敥㙤搹㜲挳挶㍦扤㌴㕤昱㘳㕤㥡捤昱〴㥦〰㘱捣㠰㈸㙡㌶昱㤰㌹㤳昵㐹〸愵㙥戰㥤㝤㌰㝢敡搲㐷〲慤愳ㅥ㕥㝤敥慤㈷㉦㑥晥㐶戱㝢㈰捥搲〴㘷㈰㡣㉣㐴㤱戳㐴挴捣戱晥㐴〸愵㤶搹捥搶敦㔷㥢㍡晤挱敤㈶㍤戰昴ㅦ㥢扥㔹㥡㥢愲搸捤㄰㘷つ〴捦㠶㌰㜸愱㉣㜲ㄶぢ㥢㡤慣㙦㠲㔰敡㜲摢搹㡥扦晤改敡㡦ㄶ捦ㅤ扢㙣搶㘷ㅦ㥤扤攷敦晢㈸㜶㔷挴㔹ぢ挱㜳㈱㡣㤳㈰㡡㥣㈵㐲㘶㉢敢摢㈰㤴扡挸㜶昶㡦㌵挳捥㝢慡晦㤵〷㥤愹㥥ㅡ㌱㉥ㄸ㤸慥搸敤ㄱ㘷昳〸㥥て㘱㉣㠰㈸㌹㜱㈳收㐲〲ㄶ㐱㈸戵挴昶搶㙦㜵敦㔷㤳㙦慦㤹㜰挵搲㤹て摦扡㔷㜳㐴戱晦㈴摥㝥㐶昰㈹㄰挶愹㄰㐵愱挵㘳收㘲搶㥦〶愱搴改戶戳捦㕦㤸昵㑤户㠷㕦ㅦ㝦昱㤰㡤㜳㥥戸昴扤㠳ㄵ晢㘱㍣㜹㡤㌳㈰㜶㉦㙥㕡挱㤲㔶ㄵ㌳捦〴搰㍣㡢㈶㘷㐳愰㍤㡤㉤摢㥥捥㈱㜴〹㠴㔲㡢散〰㡣㈱戵攷㙦扥搵㌷攲敡㉢ㅥ扢㙢户㈱㝤㍦㔳散〳捡搱㥣㐷昰昹㄰挶〵㄰㈵搷摢㠸㜹㈱〱ㄷ㐱㈸搵㘶㝢㥢ㄶ㍤昵收戳㝡㠴㈷慥㘹㝦敡愱つㄷ㝥㝣戶㘲㘷㔲扣㉤㈵昸ㄲ〸攳㔲㠸愲摣挴〲收㘵慣扦ㅣ㐲愹㈶摢搹㉤搷つ㝤攱攷ㅦ搵㡣戸收㤰改ㄳ晥㜸搷㤷慢ㄵ㍢愵攲散ち㠲慦㠴㌰慥㠲㈸㜲ㄶて㤸㔷戳㝥ㄹ㠴㔲㈷摡捥ㄲ㝢㍦㝥晦昹㑦㔷㡥㔹㜱敥ㄷㅢ〷㥦晣敥愷㡡㥤㕢㜱㜶つ挱搷㐲ㄸ搷㐱ㄴ㌹㡢挵捣敢㔹㝦〳㠴㔲㐹摢搹㤱㝤敢扦摣㜴捡昵攳㉥晦㙢捦挵搷㔵㍤扢㔸敤㠴㙡㜱㜶ㄳ挱㌷㐳ㄸ换㈱㡡㥣㈵〲收㉤慣㕦〱愱搴戱戶戳晤扦扥攷挳㌷摥愸ㅡ㜱敦㤲㙦攷挶挶㍥㌹㔸戱戳㉤捥㔶ㄲ㝣ㅢ㠴戱ち愲挸㔹㍣㙥摥捥晡㍢㈰㤴㍡挲㜶㌶㘸收收㡤㤷㙥搹㜰攸㈳㡦慤㔷敦ㅤ㝤捤㈰挵㑥扢㌸扢㤳攰㕦㐲ㄸ㜷㐱ㄴ㍢㡢㤸㜷戳晥㔷㄰㑡ㅤ㙡㍢㙢㝥戶㙤昷挹敦㝤㌰敡㠶愱搷昶㠹㜴㍦晡㌰戵ぢ慡挵搹扤〴摦〷㘱摣て㔱散㉣㙡㍥挰晡〷㈱㤴㥡㘰㍢㔳挹搵挷㜵扦㜲搰愸ㄵ㝦㍥敡㡦攳㔳㝤㉦攸昹㌰慡て户㍢㙡㘳㕡㤳ぢ搰摢捤㜷愴㜱昷挰㝦㕢扦㠳挰つ㐴㉥㥡㡢攷㠲挱㑣㌴㤰っ㈷慢敢攰戶戳晤㔶戶昵㥥戹㈳ㅢ㥡㌳㉤ぢ愴㈳摢㌳㌷戶愱戱㍤摢㉡㠵摡ㅣ晥戳㍡攳㔲敥㤵㍢㘸㈱敥㘲搲㔶㥦㜷扢摣攸㙣㙢㍢㝡晦敤㡢昲ㅦ㔸扢㡥㑡戶㘵昳挵㝤㙣摦愳㕡收㌵㘷摡㜶昱慥㥣摡㥥㙣捦敥㕣㕣㤷㜷㔲㘲㌶ㄵ㜷〶搹㌶〹愹㕦戱搹昴㘴攳扣散挸㠵つ㔶昵㑦㡡慡㜱㡦搰㤲㉡㕦㍢戶㌵㝢㤲㔳㕢ㄲ搱㐸摣戸捥ㄷ摦㈵㐷㘹㔵㔹㜱搵㡤㥥搵搲㤶㙤㤶昰昶㘹㍡慣㈱㍤㈷摢㍡㌵换摢摥㙣㐶づ㜵㝢㔶搹㌷㉡晢ㅣ摡㡣〳挵慤㐷㘶㠰㕢换㐴㘷㥢㌳搹っ攲㥤㡢㉣㉦㥡㤶㑣㌵㘶㜷㈸㠰㔸晢㐴㐵摦〲昵搸㤶昴扣戶搱㉤捤敤慤㉤㡤㠵㌵㈳㌳昳㤳戸㌹捡㑣㙡挹㘴慢攴㔵㘱㐹㔵搱慤㥢㔲ㄵ㝢㝡㜵㤷攸扢㡤昷㈱慥㐶挲扢㥤㡥挱慥㐶㐴戰攷晤㡢攳ㄹㅢ慥㐶㐶晣㕥ㅤ㐶攲㙥㠴㐴〷㍡㐴㝢㌴㔲ㅡ敤㔴㜸攲つ㥤〲㝥挰㐳㘳㤶㘷㘵攵挰昲㉥昳敤㜲㉢㤱扡㔸攱㈸〷搱ㅤ㈴㑤摣㍡㙤慦㙢挱㤵㤵摢摡㐷㝦搰㝣摣〲㡦㑦㌶㘷ㅡ戳慤ㅤ㡥搱㈸㐶㘴㍥㐲昱㈸挵㘳ㄴ㡦㔳慣㠱愸ㅥ㠵㙢㕣搹㡣㔶〱愱ㄶ慡㐵搵ぢㅡ㌲敤戳㡣㔹搹㠶ㄳ㘷戵㐳㠷戱㥤㥡ㅡ愶扢攴㘵㍥〹㤵戹㤶㘲ㅤ㠴捦㔷㘱慣挷晦ㄵ㠶捦㝣㡡晦㍤つ㔱慢挷〰敡慣㤶改㔳搵晤愱晥敦敦挲㉢㘱㘵捡㑤㍦㐶㘵摡慡㥢攰户慤㕢㌷慦㙣㡣㑦戶捤㙡攷㠹搸㜱㈵晤晤㥡㘲〳㐴捦摦㐰㑣ㅥ㥦㙤挴㘹晣扦ㅡ搰愹摥ㅤ㍥户㍡㜰挰㕥搹づ㑤㔳ㄷ㌵愷㘷戵戶㌴㘳㔸㙤㑣戲㍤㌹㌲㡤搱㤱㌶㤵㌴㥡㈶戶㡣㥥搷㙥㌴㡤㙦挰㝦㍤㥢愶㘴攷㘶㤳敤愳㜱㤹㙥敦搵㌴ㄱ㈳㉢㜲ㅤ㥤㤰㔹㔸摤㘴つ㡡㡣挹戶愵㑤㡥㥥㑣挰㘵㘹愱㠱㉤㕣㘷㝢㌶昱㐲㤳㕤搸㑥搷摤㥢㜰挳㠴收㘴〲戴㡦㔸㔹㕢戴散㈵㍡㙤敤戳㑢昰攰㤷㑤㤷㤷ㅥ愲戰㍣㔵戰攵攰ㄳㄴ㥦戹㔵戶㉣㍥㠳㡥㘸㙦㘸㙣ㅢ㙡愷㜷攸㤸ㄶ㡣慥㘵㘵㘰㤱㘹㌷っ㌴㌰愳㐳戲㡡㑦㜴づ扦ㅣ㥡㑥㔹㙥ㄱ捡戸搶㤶㜹㜳㜹慢昴扦昲㐳㕦ㄵ收㌳㄰㌷晥昳㡥㥦づ扡晥敥敦敤晦㑦挳㈹㈴㉦㜳〰ㄱ㙣敦㉣攲㍦㜹㤹捦攱㍦㕦㐷㜵搵〳㠱昰扣搲㤶ㄹ㈹慡〶扥㘷ㄳ㡥㜶㕡㙢㔶㠶扥㙡愴戰㘸㙥戶㔷搳㤱㉤慤㜳㔲㉤㉤㜳㐸㝥㙦㈹戵捤捡㘶摢㌹㥥搴挳ㅥ㍥攳戶㔲慡㕢户㠲挱㈲搷挰搳㙥昰㙦扣〸搱㙢㘴㘳㘳㥤昶搸㘶㙣㠴慡ㅢ㍥㔱㡣摦㘳㘳昰挱挹收扡㔰㈰ㄴ愹ㅢ㍤㜵捡挸㍡っ〲捦㙤㐴㜷愰㙥捡㐱搳〳㐳㠶っㄹ㌳㜱敡搰㠵㡤㙤ぢ搵㔰攴㠲愳㐰敢慢ㄷ㉤㑦㉣愹ㄸ昱挸晢㙢晡㜴㝦昶㠵戰ㅡ㘲㔷㤴㡣㌵つ㠶昷㍡扣捤㤷㈸㕥愶㜸㠵攲㔵㡡搷㈰搴ㅥ㌰攵㤵ぢ摢㠵㉦昳㜵㤴捤㌷㈸摥㠴挰昵㐷昸挰攵攷㉤敡㜸昹昱㈹戵〷晥攳㈵挷摣㐴昱づ㠴摡ぢ㠲㈷㘷㠵昹㉥㐴㔹㠶昷㈴愲㠴攱昷愱昵㤹ㅤ搴愹扤㠱㈰换㈶戳㙡㌲㡦㈶㜳愸戶戳㜳㔰㤲㥣㙤敤㡡㤲戱戳㝤㘱㔶㐷晢捤ㄴ㥦㔰㙣愱昸㈷挵愷㄰慡㔷搹攴㝣㑥捣ㄷㄴ㕦㐲戸㤲昳ㄵ㜵㜶㜲㠶㘰㕢㤲昳㌵㤵摦㐰愸晤㈰慣攴㝣㡢慤戲挹ㄹ㑡㠳㤲攴㤰㈴㥦搹㐱㥤ち〰攱㤵㥣慦晦㔳愶攵晣摢慥㈸ㄹぢっ挱㔳ㅤ摥㘶㡤㠲㌰㈹㝣ㄴ㍤㈸㝡㐲愸捦㘰敡摤㜲㝡ㄳ㔳㑢攱㠷㜰㈵愷て㜵㜶㜲挲㜰摥㥦㍢搸㡥捡敤㈱㔴ㄴ㐵㉢㌹㍢愰㔸㌶㌹ㄱ㕡㤵㈴愷㉦㑣㝣㘶〷㜵㉡〶㍢慦攴㙣㉡㤷㥣户敤㡡㤲戱捤〴㍣搵㌱㡡〱搸愹戹㍢挵㐰㡡㐱ㄴ㠳㈱搴㥦捡㈶㘷㑦㘲昶愲搸ㅢ挲㤵㥣㝤愹戳㤳㔳て攷晤戹㠳愱㔴敥〷愱㝥㡡愲㤵㥣〰㡡㘵㤳戳㍦慤㑡㤲ㄳ㠶㠹捦散愰㑥ㅤ〰㍢慦攴㙣㈸㤷㥣㕦摢ㄵ㈵㘳戵〷挲㔳ㅤ愳㌸〰㍢㌵㠷㔱ㅣ㐸㌱㥣㘲〴㠴㝡戲㙣㜲㐶ㄱ㌳㥡㘲っ㠴㉢㌹㘳愹戳㤳㌳ㅣ捥晢㜳〷攳愹㥣〰愱㐶愲㘸㈵攷㘰ㄴ换㈶㘷〴慤㑡㤲㌳〹㈶㍥戳㠳㍡㌵ち㜶㕥挹戹戳㕣㜲㔶摢ㄵ㈵㐳捦㘳攰愹づ㙦㜳㍡㜶㙡ㅥ㐹㜱ㄴ挵搱ㄴ挷㐰愸㕢换㈶攷㌸㘲㡥愷㌸〱挲㤵㥣㤹搴搹挹㌹〸捥晢㜳〷㈹㉡搳㄰㙡ㅣ㡡㔶㜲㌲㈸㤶㑤捥㔸㕡㤵㈴攷㐴㤸昸捣づ敡搴㜸搸㜹㈵攷昲㜲挹戹捣慥㈸ㄹ㑡㍦ㄸ㥥敡ㄸ挵㕣散搴㍣㠹愲㤵愲㡤愲ㅤ㐲㕤㔸㌶㌹昳㠹㔹㐰戱㄰挲㤵㥣㤳愹戳㤳㜳〸㥣昷攷づ㑥愱昲㔴〸㌵〹㐵㉢㌹㡢㔱㉣㥢㥣㠹戴㉡㐹捥ㄹ㌰昱㤹ㅤ搴愹挹戰昳㑡捥挲㜲挹㔹㘰㔷㤴㍣ㄹ㌸っ㥥敡ㄸ挵〵搸愹㜹㈱挵㐵ㄴㄷ㔳㉣㠵㔰㈷㤵㑤捥愵挴㕣㐶㜱㌹㠴㉢㌹㔷㔰㘷㈷攷㜰㌸敦捦ㅤ㕣㐵攵搵㄰㙡㉡㡡㔶㜲㤶愱㔸㌶㌹㔳㘸㔵㤲㥣㙢㘱攲㌳㍢愸㔳搳㘰攷㤵㥣ㄳ捡㈵攷㜸扢愲攴㐹挷㤱昰搴挱㜸㑦挱昳〴㍦戰〵攳㍤㈵㈳ㄹ搶捤搴晦ㅦ慦昹搱㡤搷ㄴ㡥搵散扤㤵〱㡡愲搱㥡戲昷收扣晤晥晦愳ㅤ挵㌳㔲慣搱㡥ㄵ扣っㅣ㕢昶挲戲ㄲ搵收㙤ㄴ慢㜸戶攷敦ㄱ敥戰㡡敡㈸攴戶㍦摥收㙡㠲敥㠴愸㍥〶挵㡥㙦摣㜱扡搶〲㔴挵〷㤰扤㥡挶㘴㜳㐹捣㈰㤱㥢㙤㤵晣㝦㜹㉦㕥㠵㠹㍣㌸〲㝤㈳摥昱㐱㈰㜶摥攷ㅡ挵攳㜸㠵㤳ㅢ㌰攵㈲㌳㉥摢㍣つ㌷㥣㙤㠴晦慦㙥戱晦㔷㝥ㄸ㤳昹㑢ㅣ戴㝥㔵㑦㐱㘳攸晣㌱搱戲晢㝣㡥㤳捣㤸㔱㔱㐳㙦搴㤸㐷㔳㤴㝣㘲摣㠳㍡㕦㐷㜵敡㔸搸㌹㥦ㄸ挶㠳挰㜷㐳㘳戱㙥〰挷㤷晢搴ㄸ㘷㔷㤴㍣㌵㍤ㅥ摥敡ㄸ挹愳㜰㘴㍥㐶昱㌸挵ㅡ㡡㈷㈰搴挸戲㉤㝦㉤㌱敢㈸搶㐳戸㕡晥搳搴搹ㅦ愹㈷挰㜹㝦敥㘰〳㤵扦㠱㔰㌳㔱戴㍥㔲㥦㐱戱散㐷敡っ㕡㤵㈴攸㌹㤸昸捣づ敡㔴ㄲ㜶㑥㠲㕣㜷挷㐳换㈵㘷㠸㕤㔱昲ㄴ㌸つ㑦㜵㡣攲㈵散搴㝣㤹攲ㄵ㡡㔷㈹㕥㠳㔰㝢㤴㑤捥敢挴扣㐱昱㈶㠴㉢㌹㙦㔱㘷㈷㈷〳攷晤戹㠳㑤㔴扥〳愱㜲㈸㕡挹㜹ㄷ挵戲挹挹搲慡㈴㌹敦挳挴㘷㜶㔰愷㑥㠴㥤㔷㜲戶㉢㤷㥣㙤㜵㐵昱㔳㙤㍥捣慥㘳ㄴ㥢戱㔳昳ㄳ㡡㉤ㄴ晦愴昸ㄴ㐲昵㉡㥢㥣捦㠹昹㠲攲㑢〸㔷㜲扥愲捥㑥捥㙣㌸敦捦ㅤ㝣㑤攵㌷㄰慡ㄱ㐵㉢㌹摦愲㔸㌶㌹㜳㘸㔵㤲ㅣ㑥㐵昴㤹ㅤ搴㈹㍥㝡昷㑡捥搷摦㤵ㅢ㍡戰㉢㑡㥥搲户挰㔳ㅤ愳愸愹㠴攰搴㐵搳㐷搱㠳愲㈷㠴晡っ愶㘵㠶づ㠸愹愵攰㉣㐷㔷㜲晡㔰㘷㈷㘷㉥㥣昷攷づ戶愳㜲㝢〸搵㡡愲㤵㥣ㅤ㔰㉣㥢㥣㤳㘸戵ㅥ〲〳㍢ㅣ㑤㤱㤷搹ㄷ㈶㍥戳㠳㍡搵〶愰㔷㜲㌶㤵㑢捥摢㜶㐵挹慣㠳㜹昰㔴㠷户㌹〰㍢㌵㜷愷ㄸ㐸㌱㠸㘲㌰㠴晡㔳搹攴散㐹捣㕥ㄴ㝢㐳戸㤲戳㉦㜵㜶㜲收挳戹㈴㘷㈸㤵晢㐱愸㠵㔰㔹挹〹愰㔸㌶㌹ぢㄸ搶㝡㠸㠲攴㠴㘱攲㌳㍢愸㔳㡢㘰攲㤵㥣つ攵㤲昳㙢扢愲㘴ㄲ挵捦攰愹づ㙦昳〰散搴ㅣ㐶㜱㈰挵㜰㡡ㄱ㄰敡挹戲挹ㄹ㐵捣㘸㡡㌱㄰慥攴㡣愵捥㑥捥㈹㜰㉥挹ㄹ㑦攵〴〸戵ㄸ㉡㉢㌹〷愳㔸㌶㌹愷㌲慣昵㄰〵挹㤹〴ㄳ㥦搹㐱㥤㍡つ㈶㕥挹戹戳㕣㜲㔶摢ㄵ㈵㤳㐲捥㠴㈷摥攷㤸搳戱㔳㜵㝢搹㐴ㅣ㠵㙡昳㘸㡡㘳㈰㕣㠹㌸捥㉡慡戳攰㐴㤲㜰㍣㐱㈷㐰愸㜳愰㘲扦捣㥣㠱㤲㝥愹㥢戰て㝥摣㉢搶㥣㑤戱ㅥ愲㈰〱㘹攰㝤ㅤ搵愹㈵㌰挹㈷㠰ㅦ搹搶挷昵㔵攵ㄲ㜰愵㕤㔱㌲㈹攵㍣㜸慡挳摢㙣挴㑥捤㈶㡡㘶㡡ㄶ㡡戹㄰敡㤲戲㐹㘹㈵愶㡤愲ㅤ挲㤵㤴昹㈸ㅡぢ㈰㝡㡥㥣搷摥㔲㘷㍦㔷挵挸㌶㈷扤㐸㤶ㄶ搲㙡ㄱ㠴扡㄰㉡慢愹㥣㡣㘲搹愶㜲〱㘳㕣て㔱㤰愹㔳㘱攲㌳㍢愸㔳ㄷ挱㈴㥦愹㡤昴昲㝢〸㜵㑡戹㑣晤捣慥㈸㤹㜰戳ㄴ㘶㜵戴㕦㠲㥤㥡攷㔲㥣㐷㜱㍥挵〵㄰㙡㕥搹㑣㕤㐴捣挵ㄴ㑢㈱㕣㤹扡㤴扡愷攱ㄵ挹戹〴晦㐹㜲㉥愷昲攷㄰敡㌲愸慣攴㕣㠱㘲搹攴㕣捡戰搶㐳ㄴ㈴攷㙡㤸昸捣づ敡搴攵㌰昱㑡㑥慡㕣㜲㤲㜶㐵挹〴愲㉢攰愹づ㙦昳㈶散搴扣㤹㘲㌹挵㉤ㄴ㉢㈰搴戱㘵㤳戳㤲㤸摢㈸㔶㐱戸㤲㜳〷㜵㜶㜲慥㠴㜳㐹捥㥤㔴晥ㄲ㐲㕤つ㤵㤵㥣扢㔰㉣㥢㥣慢ㄸ搶㝡㠸㠲攴摣〳ㄳ㥦搹㐱㥤㕡〶ㄳ慦攴㡣㉦㤷㥣㜱㜶㐵挹㠴愸㙢攰愹づ㙦昳㔱散搴㝣㡣攲㜱㡡㌵ㄴ㑦㐰愸㤱㘵㤳戳㤶㤸㜵ㄴ敢㈱㕣挹㜹㥡㍡㍢㌹搷挲戹㈴㘷〳㤵扦㠱㔰搷㐳㘵㈵攷ㄹㄴ换㈶攷㍡㠶戵ㅥ愲㈰㌹捦挱挴㘷㜶㔰愷㙥㠰㠹㔷㜲㠶㤶㑢捥㄰扢愲㘴㠲搷㑤昰㔴㠷户昹ㄲ㜶㙡扥㑣昱ち挵慢ㄴ慦㐱愸㍤捡㈶攷㜵㘲摥愰㜸ㄳ挲㤵㥣户愸戳㤳㜳㌳㥣㑢㜲㌶㔱昹づ㠴扡〵㉡㉢㌹敦愲㔸㌶㌹换ㄹ搶㝡㠸㠲攴扣てㄳ㥦搹㐱㥤㕡〱ㄳ慦攴㙣㔷㉥㌹摢摡ㄵ㈵ㄳ搶㔶挲㔳ㅤ摥收㘶散搴晣㠴㘲ぢ挵㍦㈹㍥㠵㔰扤捡㈶攷㜳㘲扥愰昸ㄲ挲㤵㥣慦愸戳㤳㜳ㅢ㥣㑢㜲扥愶昲ㅢ〸挵戹㙦㔶㜲扥㐵戱㙣㜲㔶㌱慣昵㄰〵挹昹ㅥ㈶㍥戳㠳㍡㜵〷㑣扣㤲昳昵户攵扡挴㜶㐵挹〴扣㍢攱愹づ㙦戳愶ㅢ〴搷敤㤸㍥㡡ㅥㄴ㍤㈱搴㘷㌰㉤搳㈵㈶愶㤶挲て攱㑡㑥ㅦ敡散攴㜰㑥㥦㈴㘷㍢㉡户㠷㔰㜷㐳戵㍢摥㔸挷㠳㘲搹攴摣㐵㐴㐹㜲晡挲挴㘷㜶㔰愷㝥〵㍢慦攴㙣㉡㤷㥣户敤㡡㤲〹㠵昷挲㔳ㅤ愳ㄸ㠰㥤㥡扢㔳っ愴ㄸ㐴㌱ㄸ㐲晤愹㙣㜲昶㈴㘶㉦㡡扤㈱㕣挹搹㤷㍡㍢㌹㥣愳㈸挹ㄹ㑡攵㝥㄰敡〱愸㜶挷ㅢ㙢㈲㔰㉣㥢㥣晢㠹㈸㐹㑥ㄸ㈶㍥戳㠳㍡昵㈰散扣㤲戳愱㕣㜲㝥㙤㔷ㄴ㑦㤰慣收㜴愳攲〹ㅦ戲昴挵㤹㍡收ㅡ收散つ戰㤱㍢愲戹愱扤慤㐷㡥晤㤹戱つ敤ㄸ㠷敡㤹㠳挰愶㤸散㉣戳慣㕣㐶晢攴愶㌷㘴ㄷ㜰〴㙡户搲㉡慣ちㅡ㍤慦慤扤㐵收戲昴㉢慤ㅦ搳㌲戹愵㝤㑣㐳ㅢ㈶㉣㉣ㅡ攸㔱㙤搵ㅣ㌹㉢摢㡣㘹㝦慤㤸晤户㌵㔰换摣戹搹㡣㐷㡣㔳㕢收戵愶戳ㄳ挶晣ㄸ㈶づ㉡㙢㔲㑥〵收㝤㈸㔵愱〶㤵ㅦ㠷㜶攵晤㈷攰愶ㄲ㜳㐵搴て㥣㜷挶㔶㠸㝢㈲㌴扤ち㌸㐱㔳㌷て㘴㌳昴㔵㔴㍦ち㔵挷㑤挴㌵ㄵ戱〷挰扥ㅣ㘸戵㜴扤散戹慥ㄳ㥡摢ㅡ㌲㔹㥦㕤挲ち㠶摥昶收愱昳摡ぢ㙡㤲ぢ户戵㙢㌰愱攵搰㘶㔰㥦㑥戶㘶㝥っ慣攰挰昰戲㈸㔱〶晥晤戰㐴㕢㙥㉡㉡戶攸搵㥢㕢㑥挳挹㍥摣捥昵㘳愸昶㥣㕦攴㥣㡥搸㜰捤攴攴㌸㜶㉦愶摢㔱搷戰㌴㈹㥢㙣ㄶㄶ愶戶㘷挶㘴攷昷ㄶ㐴ㄶつㅣ㡢昱ㅡ戳摢ㄶㄶ㘵攴摢捣㡤㑣戵戵㌴捥㙢捦昶㜶戶攴㐴㌷㜳㔳戲㤸㉤㠴㔹戹㍤㥤慤挳搲敤㤸户散昸攳㡣摢ㅦて㐳挸㐸㤵捤㤲ㄲ㥥㡣づㅡ㙦攱㐱昰ㅣ晡㠱慣慡㡡㡡㥣扣㌶て㔷搷晣㠲慦摢㠷㔷攸つㅦ㕦ㄵ搵㡦挳㝤昱搰㜶攱戵搶㍤敤㤶㘷搲戶㝡㌶戸㜵㠵㤳㡢㔷㑦慤攳㡣搷㕥㌹戹敥㘱㕡㍢㔷㔶搵昲搴㘹挴㈲搹昶㠶㜴戲戱㜱㔱敦摣㠴收㜴攳扣㑣㜶㘲㌲㤵㙤搴搷散㤶搶愶ㅦ〹㕦㔵挸㥡㝤㐶㜵㤰ㄷ㍢㈹ㄳ㌰㙦㑤㑦昲晤挱㤷㌹㘵㡥挰㤹㘶㡣㠴愸ㅥ㌶㜲㝡㍣㠱〰㝣收㈸晢散㕢㠳搲㝦㍤搳搹〷愳㍥昹㜹晡戲挸ㄵㄷ戸ㄲㄵ慦㙣㥣昵改㑣㤶㤶昳捥〵㥢搸㌲戱〵ㄳ搹㌳㉥搵昸〶㑢昵愳㌹扢攴挴㌲っ攳㠷㝥捣㈰㔷㜸㙤戱挷㐶㜱改戳捡挳昹㐹挳㔳攴㐹㤴㡢攷㡢扡㑥ㄱ改〱挸愵搰て㘰㉤慦㘳㔶昷㘱㕡㐳㝢㘳戶㐷㑥敡㘵扢㠶㈷〶戳搹㍤㌷㙤ㄶ收㕥㡥改㤵ㅢ搷摡㤰㘹㙣㘸捥戲㉢㠲㠵ㄵ㕣㔸㍣㌱㝢㈲㤶〰ㅣ搶搲搶挰挵㠹扤㜲搳㕡㤳捤㙤㜳㌹挵㌶扤愸㑦㐱㐹挸慡捥㡤㙡㘸挶㘹㘴敤㤳摢戵戹愹戳㕡ㄶ㘰挹晤扣愶收㜱挹戹㙤㍦ち愲㜸㔶㔹㉦敢㍡㔸愹㉡㉢㔵㑤㘵捤て晤挴㌲㐶攳晣搸㙤㜴㑢㕢㝢㥤㌳㈱㝣挱㝥㉤㜵㔳ㅡ摡收搴昱戴摣扦㉥ㄴ㐱户愱愲㈲㠴摤㔶㔲搸㜴慥挵㔶〷㘷㌶㤹戴ㄷ㘹昰捣㘶摣〵㙢㐱㍤㘷㠸㍢摦㘹挰慢戵㌹〶愱昵㍣〸攲攰㜱㐷㑣挸㉦敤昹扦晡㠲㠰敡㜵昰摣挱㠷㠶㌴ㅤ㘷ㅤ挱昶〰昷戶㥡ㄳ㜵㙣㕤愶戴ち㤶㡡㥢愸㉦㈷ㄸ戶㔶㝣捥ㄲ捥捤戱㤸攱摤ㄳㄷ〷㕣愴㤱㘰㕣㥤㝢㕢〵㜶晣㥡㤲㡤㙤㜶摤攸㤶愶愶㈴㥢ㅦ㥢敥㔴㕣攱戳㌵搲ぢ挷搵挶捣㐱㐸ㅢ戵㔵挹㠵㔰㈵ㄷ㡡ちㅦ摣㕣ㅢ㈴摢昴搵㜲㘲戲戵愱㝤㔶㔳㐳扡㠶〵慥摦昹㔱戴㕢㌴愱㉡㈴㔳扦愴昱愲㑢㕢晣ㅣ摣㥡㌸づ扡㠷攲㉥㠳愹㈳晤㘸摤㤵昲㘹慦㝥攰挲ぢ㌴㕦戹ㄳ㌳挷挱㕢㌵敥摤愵ㅢ㉣戱戸扡㙡㘸愲㜲愱㔲㑦ㄱ㠰户㌹ㅥ㜰㙥昰㕤昵㙢㠸づ攷挲㜷〷挰㌷戱㈵㤹ㄹ㡢㈵㕥㉤慤摤敤㉦戴愸〱戵扣散戴晡戹晥㘱㌴ㄶて㘱㔱搲㝣昴㤸㕢㙢愸㤸㡡㤵〵㔵㕣㌹㘱㔸ㅣ昲㐳戳愲扡扡㐷㡤搷扥㈶㘸㕦〳敤㜹攲敥㉦〴㤹㔰攲晦攳挳ㄳ㝣晣㠱挳挲㠱攰㤹〵愴㜹㌰㡦㘹〳㡡㍣㥥㈲挰㈱〴㑣㠴愸㝥〶㤵挵㘷㐹搹戵〲㌰愸愸㙥攲ㅡ㠶㥡㈶ㅥづ㍡㈶〶㔶㌶㘰㉤〴㔲㘲昴愸昹つ敡捤㐹㐰扤昰晣昳挳戰㕤愱㥥㠳搰晢㌷戱敤昳㌱㜹收㘴敥晦㔰〸昵ㄲ㡡扣㝤ㄵ摡戰㤸㥤扢戰㙦㕤愶㘰ㅢㅦ㈷敡㘵愸㜸晢愲㕦㉥㈶昱戱㍦搵㐶扤㠲㙡㜶扣挹攱搶㍡㜱敡㔵攰搸㤱㔳收㌴㤸ㅢ㐷㐰戰㈷ㄱつ㐲攷㌳愷摢㉥㕦㐳㠹扤〹敢㔵昶昳㑥扤づ〰㍦昳昰㘸〹㤶ㄲ㐱搱㌵㔴扤〱昵㕡扣捤愳㠰㔰㙦㘲㙢ㅤ摥㠸搵㙡慥挷㌰㠰慤㌶搷户挴〲㑥㡥愵ㄳ扢愰㌶㘱㐳愷搸搵〶㡥〳挶㍣㥥挰㜷扣〱㈷㄰㌰㠳㠰㜷〱㘰㍢㌰㘷愲攴㔰昷扥换捣㐵㕤㤲㘶㈹㥡㙤〶挰㐵㕤〶㍡㑤㕤ㄶ摢愴敥ㄳ愸捡㔳㤷戳㔱㕢㠰敡㌴㜵晦〴搸愲敥㐴㤸ㅢ戳㈰㐸㕤㠲㔳挵㝤㘶㠳敤昲㔳㤴㍡㐳摤攷挰㙤㠵扡㉦〰㔹㡢户㌹〷扥搵㤷搸㉡愰慥㠹〱㙣㤵扡慦㘰㐶挶捣㘶㍡戱ぢ敡㙢㙣㜸㔰搷〲㡣㌹㤷挰㙦扣〱㈷ㄱ搰㑡挰户〰〸㜵㙤㈸㌹搴㝤敦㌲㜳㔱挷㉦㄰㌲攷搱慣〶㈱戸愸㕢〰㥤愶㙥㈱戶㐹ㅤ㘷昳㤷愷㙥㤱㡤昲〱搵㘹敡戸㉣挰愲敥㘴㤸ㅢ㍦㠳㈰㜵㌱慢晦㝥㡡敤㤲敢〶㍡㐳ㅤㄷ㄰㙣㠵㍡㉥㉦㔸㡢㐳㌳ㄷ挳户昲愳戴づ㈵攷慣㍢㥤〱㙣㤵㍡慥㐷挰㕦㠵㜹〶㥤㠸㌹晥摦づ㕢ㅥ搴㥤〹㡣㜹ㄶ㠱㕣慣攰〱㌸㥢㠰㜳〸搸〱〰愱㙥〹㑡づ㜵㕣愱愰捤㕣搴㥤㑢戳昳㘸㌶〰〰ㄷ㜵ㄷ㐰愷愹扢㄰摢愴㙥㜷㐰捡㔳㜷㤱㡤ㅡ〸㔴愷愹攳愲〵㡢扡㡢㘱㙥㉣㠵㤰㕢㉦敢慣扢挴㜶㌹ㄸ愸捥㔰户㈷㜰㕢愱㡥㡢ㅦ搶㌲敢㤷挱户摡ㅢ愵㜵㈸㌹搴晤㥣〱㙣㤵㍡慥㤶挰㕦㠵㜹〵㥤㠸㌹晥攷㜲〹㥤㘲扡戰㍦㌴慦〴挶扣㡡㐰㉥愵昰〰㕣㑤挰㌲〲〲〰〸㜵扦㐰挹愱㡥敢㈷戴㤹㡢扡㙢㘸㜶㉤捤づ〰挰㐵摤昵搰㘹敡㙥挰㌶愹攳㑡㠸昲搴摤㘸愳づ〴慡搳搴㜱㐹㠵㐵摤㑤㌰㌷㙥愶挰㔹㠷㉦㥢攱戱㥢换㙤㥦㈳〰敢っ㜷愳㠰摢ち㜷愳〱㔹ぢ攷收ち昸㔶㘳㔰㕡㠷㤲挳摤㑡㘸户捥摤㔸㤸攱て㑦㔲改㐴捣昱晦㜸㙣改ㅣ扢戸㕢〵㡣㜹㍢㠱㕣改攱〱戸㠳㠰搵〴ㅣっ㠰㜰㜷㈷㑡づ㜷㕣摥愱捤㕣摣晤㤲㘶㜷搱㙣㍡〰㉥敥㝥〵㥤收敥ㅥ㙣㤳㍢㉥搴㈸捦摤扤㌶敡㈸愰㍡捤ㅤ㔷㝣㔸摣摤〷㜳攳㝥〸昹戰戳愸㝢挰㜶㜹っ㔰㥤愱敥㌸攰戶㐲ㅤ㔷㡥慣㘵搶ㅦ㠲㙦㜵〲㑡敢㔰㜲愸㝢㠴〱㙣昵戴㥢〹㌳晣攱昹㌰㥤㠸㌹晥㑦㘱㑢愷搸㐵摤㘳挰㤸㡦ㄳ挸㜵㈸ㅥ㠰㌵〴㍣㐱㐰〶〰愱敥㐹㤴ㅣ敡戸昸㐴㥢戹愸㕢㑢戳㜵㌴㥢ぢ㠰㡢扡愷愰搳搴㍤㡤㙤㔲挷㘵㈴攵愹晢戵㡤攲㍡㤳㑥㔳挷昵㈸ㄶ㜵ㅢ㘰㙥晣㠶㘲搸愸搱晡戴㝢挶昶挹晢攵捥㜰㌷ㅦ㌸攱づ㈳㔵搸㉣敥㕦㜲㔱换㕡愶晣㔹昸挵ㅡ昲㈲摥㥥㠳㜶敢扣㥤っ㌳晣㔵㤸捦〳慥㕦敡ㄴ愸㜴㝥㕤扣扤〰㡣昹㍢敥㡤㑢㘴㍣〰㉦ㄲ戰㤱㠰挵〰〸㙦扦㐷挹攱敤っ㤷㤹㡢户㍦搰散㡦㌴扢〰〰ㄷ㙦㉦㐳愷㜹㝢〵摢攴㡤㉢㕣捡昳昶慡㡤攲ㄲ㤸㑥昳挶愵㌲ㄶ㙦慦挱摣昸ㄳ㠴㥣㜲搶慤挱敢戶㑢慥愵改っ㙤㤷〲户㤵㔳㡥㑢㙥搶攲搰捣㌷攱㕢㜱敤捤㍡收㕥摦ㅡ扣挵〰戶㝡捡㕤〱㌳晣㔵㤸㙦搳㠹㤸攳晦慢戰攵挱捣㈶㘰捣㜷〸攴〲ㅥて挰扢〴扣㐷挰㌲〰㠴扡扦愰攴㔰挷㔵㍢摡捣㐵摤晢㌴晢〰愲㝡〵〰晦挵捡ぢ㡥㤲㥢捥ㄳ㐶㜹搰㤱㝦愰搸㉢攷㝥㝥戸㙤捥㝥㤰攸㝡㕣㔸愴㤳〱㜶㡣摥晣㠸ㅥ〶攲昸㤰㑣㍤ㄶ昲㠳挷㕤慤ㅢ㘳㡥戱慡㤵挸戰㌴㉣攳慦㐸昸㡥昹慦㝦慡㐳㝥摡㕢ㅢ㔲昳㌸ㄸ㉡晢攵戵愲㡡〲愷っ㑤戹ㄴ㘳㉤㑡收㠷戰㔴慢㔰㕡挷㑡愵慣㝢搱扦㤱挰慤㌶戸㍢㘰㠶扦ち昳敦㜴㐲㜳扥戹㠰㐳㌷㡣㙡㈸散摢晤㡦㠱㌱晦㐱㈰ㄷ㜷㜸〰㌶ㄳ昰〹㐴㌵㤷ㄱㄴ㡦ㄵㄵ慥㠶挰攳㔲戶戹㉡昹㥡㑡㝥㘷㐲つ扥㝥㐰扥㙣愱㕡〶㔶㝡戸扥㈴挱戰扥ㅦ愱〶㌶搸㙡㙡㌳愶㘲搴㉤㥢昱㔹慤㡢〳ㄹ㜸㑡㕡㔱㔹㔹㠵愱㈷愳㜸㙤㔸挹㙥改㘲㙡㔶㔶㙣愸㝥〸挱搸㠲㠸户攱㈳㜴昸㥦㈱㐳慢ㅣ㑤㤵㌴扡㘷㤱攰㌱散愷㐰㘲㑥ㅣㄷ㉦攸挳摦㐵昲戳つ愴昹ㄹて晦㜳〸昵㈸〰慥㙢摥㤷㌴戳㠷㐳晥㠵㙤搲挷㈵〸攵慦㜹㕦搹愸挷㠱敡昴㌵㡦㙢ㄹ慣㙢摥扦㘱㙥㝣つ㈱扤㝢㌶ㅡ㥦昹㡤敤昲〹愰㍡㜳捤㕢ぢ摣㔶慥㜹敢〰㔹换㈳晦づ扥搵㝡㤴搶愱㠴㌶㘴㌵挱敦ㄹ挰㔶㥢攰搳㌰挳㕦㠵挹㈷敤摣㤰昷〶㐸㥤㘲搷挷ㄵ〷㈵㑤昰㕣愱戸挲挲〳搰㡤〰㝣㤵㘹㠵㝡〶〰戹收㔵愳攴㕣昳戸慣㐲㥢戹慥㜹〶捤扡搳散㈵〰㕣搴挹㔷敥摡搴昹㔰㑦敡戸㐰愲㍣㜵㍤㙣搴㉢㐰㜵㥡㍡慥戴戰愸敢〹㜳愳ㄷ㠴㝣㕣㘱㈸ㅦ搴昵戶㕤扥〶㔴㘷愸㝢ㅤ戸慤㔰挷ㄵㅢ㙢㤹㜵㍦㝣慢㌷㔱㕡㠷㤲㐳㕤ㅦ〶戰㔵敡摥㠲ㄹ晥昰㘵挲㜴㈲收昸㝦ㄳ戶㜴㡡㕤搴㙤〷㡣戹㍤㠱敦㜸〳㜶㈰㘰㐷〲摥〵㐰愸摢〹㈵㠷㍡㉥晡搰㝥㕤搴昵愵搹捥㌴攳〲つㄷ㜵扢㐲愷捦扡㥦㘰㥢搴㜱昹㐶㜹敡晡搹愸㉤㐰㜵㥡㍡慥〳戱愸摢つ收㐶ㅤ〴愹㡢㔹昷搴晤㙤㤷㕣㈸搲ㄹ敡㍥〷㙥㉢搴㜱㍤挹㕡㘶㝤㜷昸㔶㕦愲戴づ㈵㠷扡㐱っ㘰慢搴㝤〵㌳晣㘱搲ㄵ㥤㠸㌹晥晦ㅡ㕢㍡挵㉥敡昶〰挶摣㤳㐰慥㑥昱〰散㐵挰摥〴㝣ぢ㠰㔰户て㑡づ㜵㥣㕦愱捤㕣搴敤㑢戳㈱㌴慢挱摥㕣搴敤〷㥤愶㉥㠰㙤㔲挷挵㈵攵愹ぢ摡㈸ㅦ㔰㥤愶㡥慢㔴㉣敡㐲㌰㌷挲㄰㜲搶㔹ㄷ捣㠸敤戲㈷㔰㥤愱慥㌷㜰㕢愱慥ㄶ㤰戵捣㝡っ扥㤵ㅦ愵㜵㈸㌹搴㈵ㄸ〰㤴㜲攸慣㜰捦㑣㐱ち慤て㝥㉥㡦㐱〱㕦戴㑢㈷搸㤰昷㜶搰敡ㄴ搳㠵㍤ㅣ戲㍦㌰收㑦〹攴摡ㄹて挰〱〴っ㈳㘰〷〰㠴扡〳㔱㜲愸攳㠲ㄹ㙤收愲㙥㌸捤㐶搰㙣〰〰㉥敡㐶㐱愷愹ㅢ㡤㙤㔲挷愵㉦攵愹ㅢ㘳愳戸㌶愶搳搴つ〲搸愲敥㈰㤸ㅢ㘳㈹攴扥捣扡㘲㡥戳㝤づ〶慣㌳摣敤〹㥣㜰攷㝤㕦挶㠵㌸㙢㜱㕣收㜸昸㔵㝢愳戴づ㈵㠷户㠳愱摤㍡㙦晢挲㑣㜸㉢戸㉦ㅢち慤捥㉦㌶㌵㙦ㄳ攱搲㥣挴扤敤攷つ㤸㑣挰愱〴〴〰㄰摥づ㐳挹攱㡤㙢㜹戴㕦ㄷ㙦㠷搳㙣ち捤づ〰挰挵摢㌴攸㌴㙦㐷㘰㥢扣㜱㔵㑥㜹摥愶摢㈸㉥摢改㌴㙦㝣扥㘵昱㜶㈴捣㡤愳㈰愴㡦ㄲ攳愱㥢㐷摢㉥戹晥愷㌳戴㡤〲㙥㉢愷ㅣ㤷〹慤㠵㜳昳㔸昸㔶㕣㉦㔴㐰摤昱っ〰捡㡥㑦戹戱㐰〸㜵㈷搰〹搱㝣㡦㠷㔶愷㤸㉥散㔳㙥〶㌰收㑣〲戹攸挸〳㤰㈴㈰㐵挰挱〰〸㜵㘹㤴ㅣ敡戸搲㐸㥢戹愸换搰㉣㑢戳改〰昰摥捣收㑢㙥〷戸ㄴ㐸㔲㘱攴〰昹慦敥㈴戸㠰㘸㉤扣㤹㈷搲昹㌱㈸慤㐳〹捥慤㙥㕣〳戴㕢㑦搱㜱㌰㘳㐸收㙣㍡愱㌹摦㕣㜶愴て愵ㅡち晢㑥㘲づ㌰㘶㈳㠱㕣㤲攴〱㘸㈲愰㤹〰慥㔲攲摤㠴搱㠲搲昶扡㤷㍥㌵㍤㉢㥢㤹搷㠸敦捤㉡搳㔳㍦〹㘸昴搴戹㘶㐹扢摦㐵昶㉦㍤昵㔶扡㙦愳晢㐶〰㕣㘷挱㍣㥡搹摤扤昹搸收㔹挰搵㐷攵捦㠲〵㌶慡ㄹ愸㑥㥦〵㉤〰㕢㘷挱㐲㤸ㅢ㡢㈸㘴㌰搷扡㝡㥤㙣晢㥣ぢ㔸㘷㑥〳慥㜸摡捡㘹挰昵㔰㙢㜱㙣收㈹昰慤摡㔱㕡㠷ㄲ㐸戲㌸㕥っ敤搶㌹㥥て㌳搲㙡㥥㐶㈷㘲㡥晦戹㘸㑡攷ㄸ㥢晡㌴㌸ㅤㄸ昳っ〲戹愰捡〳㜰㈶〱㘷ㄱ㜰㌲〰㜲ㅡ㥣㡤㤲㜳ㅡ㜰ㄵ㤵㌶㜳㥤〶攷搰㙣〹捤㤶〰攰攲敥㍣攸㌴㜷攷㘳㥢摣㜱㍤㔴㜹敥㉥戰㔱攷〱搵㘹敥戸戰捡攲敥㐲㤸ㅢㄷ㐱㐸㝦㉦挰㐳㌷㉦戶㕤㕥〰㔴㘷愸扢〸戸慤㔰挷〵㕡㙢攱摣扣〴扥搵㔲㤴ち愸扢㡣〱㐰㈹㠷㡥晦扣㍢つ㤷〲㈱搴㕤㑥㈷㐴昳捤㈵㕤㍡挵㜴㘱㕦挱㝥づ㡣㜹〵㠱㕣敥攵〱戸㤲㠰慢〸戸〲〰愱敥㙡㤴ㅣ敡戸挶㑢㥢戹愸㕢㐶戳㕦搰㡣敢戱㕣搴㕤ぢ㥤愶敥㍡㙣㤳㍡慥搶㉡㑦摤昵㌶㙡㌹㔰㥤愶㡥换扥㉣敡㙥㠰戹㜱㈳㠴㝣昸㔸搴摤㘴扢攴扡戰捥㔰户ㄲ戸慤㔰挷攵㘳㙢㜱㘸收㜲昸㔶慢㔰㉡愰㙥〵〳㠰戲㘳敡敥〰㐲愸扢㤵㑥㠸收晢㑥㘸㜵㡡改挲愶㙥㈵㌰收㙤〴㜲㌱㥡〷㘰ㄵ〱户ㄳ㜰ㄷ〰㐲摤ㅤ㈸㌹搴㜱〵㥡㌶㜳㔱户㥡㘶㜷搲散㔱〰㕣搴摤〵㥤愶敥㙥㙣㤳㍡慥㈵㉢㑦摤慦㙣搴攳㐰㜵㥡㍡㉥㑡戳愸扢〷收挶扤㄰㜲搶㔹晤㠶晢㙣㤷㕣戵搶ㄹ敡戸㝣㙤㉢搴㜱㜱摢㕡ㅣ㥡昹〰㝣慢昵㈸ㄵ㔰昷㄰〳㠰戲㘳敡戸ㅡ㑥愸㝢㤸㑥㠸收㝢〳戴㍡挵㜴㘱㔳昷〸㌰收愳〴㜲愹㥣〷攰㌱〲ㅥ㈷攰ㄹ〰㠴扡㌵㈸㌹搴㜱㝤㥣㌶㜳㔱昷〴捤㥥愴搹㑢〰戸愸㕢〷㥤愶㙥㍤戶㐹ㅤ㔷扡㤵愷敥㈹ㅢ昵ち㔰㥤愶㡥㑢收㉣敡㥥㠶戹昱㙢〸㔲㤷戰捥扡つ戶㑢慥愹敢っ㜵慦〳户ㄵ敡戸昴㙥㉤づ捤㝣〶扥搵㥢㈸ㄵ㔰昷㕢〶〰㘵挷搴㜱慤㥥㔰昷ㅣ㥤㄰捤㌷ㄷ敢改ㄴ搳㠵㑤摤昳挰㤸㉦㄰挸㠵㝣ㅥ㠰摦ㄱ昰㈲〱敦〲㈰搴㙤㐴挹愱敥㝤㤷㤹㡢扡摦搳散て㌴摢っ㠰㡢扡㤷愰搳搴扤㡣㙤㔲昷〹㈰攵愹㝢挵㐶㙤〱慡搳搴㜱㐱㥦㐵摤慢㌰㌷㕥㠳㤰ぢ㘶㥣㠷㙥晥挹㜶挹ㄵ㝦㥤愱敥㜳攰戶㐲ㅤㄷ〶慥㠵㜳昳つ昸㔶㕦愲㔴㐰摤㥦ㄹ〰㤴ㅤ㔳挷㤵㠴㐲摤㕢㜴㐲㌴摦㕦㐳敢挱捣摢挰㤸㥢〸攴㌲㐳て挰㍢〴扣㑢挰户〰〸㜵敦愱攴㔰挷戵㠵摡捣㐵摤㕦㘸昶㍥捤㙡㌰っ敡愲敥慦搰㘹敡㍥挴㌶愹㌳〱㈹㑦摤㐷㌶捡〷㔴愷愹敢〱戰㐵摤摦㘰㙥晣ㅤ㐲愸戳㝡㤸ㅦ摢㉥㝢〲搵ㄹ敡㝡〳户ㄵ敡㙡〱㔹㡢㐳㌳㌷挳户昲愳㔴㐰摤ㄶ〶㠰㔴㜵㑣㕤ㅦ㤸〹㜵晦愴ㄳ愲昹摥づ㕡㥤㘲扡戰捦扡㑦㠱㌱㍦㈳㜰㝢㙦挰攷〴㝣㐱挰づ〰〸㜵㕦愲攴㔰搷搷㘵收愲敥㕦㌴晢㡡㘶〳〰㜰㔱昷㌵㜴㥡扡㙦戰㑤敡㜶〷愴㍣㜵摦摡愸㠱㐰㜵㥡扡㐱〰㕢搴㝤〷㜳攳㍦㄰㐲㥤㌵㕤攰㝢摢攵㘰愰㍡㐳摤㥥挰㙤㠵扡扤〰㔹㡢㐳㌳昹ㅢ㔳㙡㙦㤴ち愸敢〶敤搶愹摢ㄷ㘶㐲㕤ㄵ㥤㌰㔱㝣て㠵搶㠳扡㙡㘰㑣㠳挰晤扣〱摤〹愸㈱㈰〰㠰㔰挷ㅦ扥㜳愸ぢ扢捣㕣搴昹㘸搶〳愲㝡ㄸ〰㥤㕢慤挷愹慣㝥搷ㄲ㑡昹㠲慥㙤㜲㠷捦㑢㌶攲搷搲づ挵㍡㥥㜶慡㝥っ搳戲慢慣搵㔴㕢㝤挴㈵㠷㜰散昱㝣扡㔵㥣㠳挲挷㘱昶戱挹昷㤱晤戰搵㔶扥敡捦扦晥晥晢捥敤㠵㉤愲昰ㅢ挲㐰ㄲ㍥㐸㝡㠱㌰㥥㑢〷愲㈸㑤愸㘰㠴㙣戸㤷戶㝡〴戴ㅤ㉣㘷㈸㕡愸㐴慦摢收㈷㕦㜳㥡晤㍥㡤㜸挲摡㠹㔵つ戵〸㑥㡤昲㡡㐱㡤搱摡㙤㠸挱㉥昸慥ㅥ〷㙤昱戳捦㤲㜹昲㌸㠹戱㌶㤳㌳收愷戶㉦㙡挴㉡〵㙥昲㔹愸戵挵㘹搹㔶㌵㠲㙥㘹慤挲㌲搴攲敦㌴㜴㙣ㅦ㠶慢ㅥ摢ㄵ晤扥㠳㤸戱收㈰㐴㔳扤ㄹㄴ㤵戵㘷搰㜹㔶㘸挳㤷戱㉤㡥㘹扢㐹つ改搶㤶戶㤶㕣㝢摤㔴慣挶愹攳㉦㝥攴㉡㉡〲㈳慢㍦㠶㐷捦㝤昲挰慡㥡昹挳㠲昳昹㔵㜰扥㌹捤㉤ぢ㥡㈵㥡敡㌶晥昰〹昷㘶㜶敦捥摤㜰戵㤶扣㜶㐷攲晣攳ㄱ㈸㡤捤敤戱攳㕥摤晣ㄳ㔰收挵摥搸〱攵㐱愳㐷㡤㥥㌲㈳ㄵ慥㑦搷搷㘷㘳戹㐰㉥ㅢ㠹㈴戲愹㐸㝤㉡ㅡ㡢㠴㈲戹㑣㉡㤶挹㠴㡤ㅤㅤ㘸㍡㤱㑣㘶愳搱㔴㌴ㄱ捤㐴挲愹晡晡㔴㌸㤰㠸搷攷愲㠱㐸㉡㤳づ㈴晤〷摢敥捤㥤㘰㘳昶㠵昰ㅦ愲㔵㍢㔳戵ぢ㔵ㄳ戵捡㐱搵㑥㠲㡡㤱ㅢㄲ晡晦㔰昸㈷挳㌳晥㉡㡣㝥搸㜵捦搱愳㘶挸㠳昰㈹昸㐱ㄲ㘳㌷㘸戶㠱愶昰㤷ㅣ㡤㍡愸㝢㐳敤㕡扣攳㍦搴昶㘲昶㠷㉢㜳〰㄰㘶ㅤ戶搴攱搰昳愲攸㔳㙦㠲㍢㥥戴摣㤷捦ㅣ〴〴㑦扥㈹㈸ち㌹〵㈷摦㔴㑦敤㌴㘸㜹〲㥡㝢挰㔸㑤昷挴ㅣ愵戵㝢ㄱ挳〸昸㍥〶㕡㥥㈰敡ㄵ〴挰㘶〹㈵㥥ㅦ〲挲㘶愵㕥㠲㠶㑤慢戰㘹ㅣぢ〳㘹ㅡ㐳㠰㐳搳攰愴㜸㘹ㅡ㐳㔱戶㥡㐶㉣㤰㑤搶㈷戳愹㜸㈰ㄹ㡡㘴戳愹㈴攸㑥愴㐲戹㜰㌴ㅥづ㈷㈲㔱㘳㍦〷㥡捡㠵㤳搹㐸㈰㥥挹㠵㜲㤱㜴㈶㤲っ愴挳㠹㐰㈲ㅣ㐹挰㈲ㄸ㑡昸㡦户摤㥢〱搸㤸㐱〸晦〹㕡㤵㙦ㅡ㌳戴㡡〰㠱搶捥㠴慡㙢㥡㐶ㄲ㥥昱㔷㘱戲㘹㤸㙣つ㈶戹昷愷戴㝥て㔶敥㑦晤㘰㙣愹っ昴ㄶ搹㑦㈳㥢㜹戲㠷〱㐱戲戳愸㉦㈵㍢攷愹㍤ㄱ㕡㈱㝢㌸㡣㔵㠳㈷㘶㡥搶㡥㈴㠶ㄱ昰摤〴慤㤰晤〴㠲㈸㈵晢㜱㑦戲㥢㘱㈴㘴ㅦ〴㔷㈰扢〵㘵㈱㝢㉣捡昶㜵㈰ㄳ㡣㈷㠳昱㔰ㄲ㘷㜵㈴ㄲ㑤㈷㈲愹ㄴㄸつ㐴㈲挱㕣㈰㥣㠹ㅡ攳ㅣ㘸㌶ㅥち㐴㠳戱㕣㈸ぢ㈴慥ㅤ愹㐴〰㜶挱㐸㉥ㄵち愶㜲改㤰㝦慥敤摥ㅣてㅢ㜳〲㠴晦㈴慤捡㤳摤慡㔵〴〸戴戶つ慡慥㈱扢ㅤ㥥昱㔷㐲昶㍣慤攷㡦つ㤸㔳ㄸ挹扥㑣昳〲攸㉤戲敦㉣㈰晢〸㈰㐸昶㐲搴㤷㤲扤挸㔳㝢㌲戴㐲昶㤱㌰㔶㥣捣㕦㙡戹㔸㙢㡦㈶㠶ㄱ昰㝤㍡戴㐲昶㑡㑦戲㔷㜸㤲㝤〶㡣㠴散攳攱ち㘴㥦㠹戲㤰㝤〲捡ㄶ搹㤹㜰㌴ㄱ㡢㐷㤳攱ㄴ捥攳㑣㈴㤱捣〶㌲挱㐰㉡ㄱ捤〶挲㐱搴ㄹ㌳ㅣ㘸〲㑣挷㔲挱㐸㉣㠹搳㍡ㄶ〹㈷㐳ㄹ戴㠷㜴㍡㤴㡡㈴㜲㤱㘴搶捦㈹晤㜴㙦捥㠴㡤㤹㠴昰㥦慤㔵㜹戲捦搱㉡〷㔵扢〴慡慥㈱晢㕣㜸挶㕦〹搹攷㘹㍤攷ㄱ㤸戳ㄹ㉦ㅦ㑢慢ぢ愰户挸扥愲㠰散㈶㈰㐸昶㠵愸㉦愵散㈲㑦敤挵搰ち搹㉤㌰㔶㤷㜸㘲㉥搳摡㤳㠸㘱〴㝣晦ㅣ㕡㈱㝢愹㈷搹ㄷ㜹㤲㝤〵㡣㠴散㜹㜰〵戲慦㐴㔹挸㥥㡦戲㐵㜶㌰㤷㑣收敡愳㤹慣㕣挶㠳愱㔴㌸ㄸ㑣挵㜲㤹㑣㈰㤳捣㠶愲㌱㘳㠱〳捤〶㜲改ㄴ㔸つ攷㐲昵㤱㜸㌰㤳〸挵㔳搱晡㕣㈶㕤㥦㑣㐴㜲戱㠸晦㉡摢扤戹㄰㌶收㈲〸晦搵㕡㤵㈷㝢㤹㔶㌹愸摡㕦㐰搵㌵㘴㕦〳捦昸㉢㈱㥢敢ち㐴㕦捦捡㌳ㄹ㙦㠲㘹扥ㅥ㑡㡢散㔳ち挸㍥〷〸㤲㝤〳敡㑢挹扥搱㔳㝢ㄳ戴㐲昶戹㌰㔶换㍤㌱㉢戴昶㝣㘲ㄸ〱摦㉢愱ㄵ戲攷㝢㤲摤敥㐹昶㙤㌰ㄲ戲㉦㠶㉢㤰扤ち㘵㈱㝢㈹捡ㄶ搹昵愰㉥㄰捦㘵㠳挹㐴㈶㤲㑤挷ㄳ戸㑡攷㤲戱㙣㌲ㄹっ挶㜳戱愸㜱㠹〳㑤㐷敢挳戱㜰㝤㌶㤸㡥愱搳ㄷぢ愴搲搱㘴〰攷㜶㈴㠷捦晣㔴㍡改扦摤㜶㙦㕥ちㅢ昳㌲〸晦ㅤ㕡㤵㈷㝢戵㔶ㄱ㈰搰摡㍢愱敡ㅡ戲㝦〹捦昸㉢㈱晢㉥慤ㅦ捥捡㙢ㄸ挹㠱㑣昳慦愰户挸捥ㄴ㤰㝤㍤㄰㈴晢ㅥ搴㤷㤲㝤慦愷昶㍥㘸㠵散ㅢ㘱慣ㅥ昰挴㍣愴戵㌷ㄳ挳〸昸㝥〴㕡㈱晢〴㑦戲㡦昳㈴晢㔱ㄸ〹搹户挲ㄵ挸收㙡〰㈱㝢㈵捡ㄶ搹戱㜴㌰ㅡ㑤搶〷ㄲ昵戱ㅣ㍥㝤㤳愹㌸㍥戰㘳昵愱㘰㉥㔲ㅦつ攴㘲挶㙤づ㌴㤵㐹愷㈳挹㔴㈲ㄷ㡤〷㈲搹㔴愸㍥㤱慢て㠴愲昱㙣㈴〳ㄷ㠹㠰㥦敢っ攴㌲扥ち㌶收敤㄰晥㌵㕡㤵㈷晢〹慤㈲挰㈴戴昶㐹愸扡㠶散戵昰㡣扦ㄲ戲戹㜴㐱昴〷戱昲㕥㐶㌲㠶㘹收昲〵㡢散㠹〵㘴㍦〰〴挹㝥ㅡ昵愵㘴晦摡㔳扢〱㕡㈱晢㈱ㄸ慢㘷㍣㌱捦㙡敤㈳挴㌰〲扥㥦㠳㔶挸ㅥ敢㈲摢㜸っ㤰戲㜷㝥㙡㡣㘷ぢ搰㌷つ晥ㄷ攰㔲愸㕦〳㉦ㄶ昵昱㔸㈰㠸敢㜹㄰ㅤ昴㔴㈴ㄶ㡡愵〲改㔰㌶㤳㠹搷㠷敢敢㜱戹づㅢ㑦㌸㔰愸昰㤳挹攱㔰㈶ㅣ㑢㐷㌲搹ㄸ晢昳昵愱㐴㉡ㅡ㡤㐴搲挱晡㤰晦㜷戶㝢昳㐹搸㤸㙢㈱晣㉦㙡搵㍡慡搶㔳戵㔱慢〸㄰㘸敤敦愱敡ㅡ敡晦〰捦昸㉢愱晥㡦㕡㝦〸㉢㥦㘵㈴〷㌳改㉦㐳㙦㔱ㅦ㉤愰晥㜹㈰㐸晤㉢愸㉦愵晥㔵㑦敤㙢搰ち昵扦㠳戱㝡摤ㄳ㈳ぢㄲㄸ挲㐶㘲ㄸ〱摦㙦〱㉢搴敦攷愲㍥㝦㈳㌶挴㤳攵户㘱㈴攷昹㑢㜰㠵昳㝣ㄳ捡㐲昶换㈸㕢㘴攷愲昵昱㙣〶ㄷ改㜴〶㘷㜸㍣㕤㥦㑥㠶挲戹㘰ㄴ㝦昵㠹㜸㉡㘲扣攲㐰㤳㤹㐰㍣㔱㕦ㅦ㑤〵搳愹㐸㌸ㄱ㑢挶㔳昱㜴㈰ㅣつ㈷搲搹〴摡㡡㥦㡢ㅢ攴㍣㝦ㄵ㌶收㙢㄰晥㜷戵㉡㝦㥥㜳㠵㐳㈱慡昶㉦㔰㜵つ搹敦挳㌳晥㑡挸晥㐰敢て㘷攵㍢㡣昷㌰愶昹㐳攸㠵捣昷愰㜲㤲晦㌷㘸㈵昹扢扡㤲㙦扣て㐸昹昳㙥㘷㑦㐶晥づ㑦挲挸㕦㘱っ㐶㍥戶换挶㠷㈸㕢㡣㐴攳戱㜸㈲ㅣ㑤㘶㘳㤱晡㐸㌰㕥㥦挰㍢㡢捥㔲㝤㈰㥤㑥愵㔳㔱攳㈳〷㥡〸攳〶㉡㤹ぢ㘶㠲挹㐸㈴ㅥ挳敤㜰㈲㤹づ愰㐷ㄵち㠷㤳㠱㜸捣昸㥢〳㡤愰㔷㥥换㠶〳搱㕣㈴ㅡ㠹愶攲㠹㘴㈶ㅥ㑦㠱搰㘰㉣㕡ㅦ捡挴㡣扦㍢搰㔸㉥ㅥ㡣㠶敢㠳戸戹㡥㐷挲㤹晡晡㔸㝤㈰㥢㑢〴㜲ㄹ㜴搷挲昵㜱晦㍦昴㐱㝣っㅢ昳ㅦㄴ㥢㈹㍥㠱昰㙦搶㤵㕢愸晡㈷挵愷ㄴ㥦戱昲ㄳ㕤㈹㐶㘲敥㔸㔶㝦㡡捡慤づ㤵摡慢〱㤸㐳慣㙤㑢㘳㜵㕡戶慡㝢昷㤲㉦㝡㉢ㅣ㌶挵㐲〱ㄹ㘲㤵攵〳〶㘵㜵つ攸改㜸ㄴ㔴ㅢ戱ㄵ攴挷摢㘸㉣慤昷摦㍣愸慦㈱㝣晥捦散愳㌲扥㐱戱て挶㜷昰挳〷晡昷〴㌹㐶㘸㝣ぢ扤挷㜰搰㜷㔰ㄷ㡥ㅢ晤〷㥡攲〱愲捦㜵捥㝥㡦㕤㥢ㅣ挷㤲㕦愷㤷摦愹㔷㕦愲搲扡㌸㝤昷㙦昷挰㐱ㄵ㘰扣㌸晤ぢ昵搲㥥昵〵ㅦ㍥㉡搴㔷㥥摡㝦㐳㉢ㄷ㈷〳挶㡡敢て㑡㉤扦搳摡ㅡ㘲攸㡢敦敦愱㤵昳攳㕦〸愲㜴攰攰ぢ㘸㑢㐷㠹㜸ㅥ挸愹搰ㄳ慥㜰㉡㈸ㄴ攴攲搴ぢ㘵晢㤳〸户晣搱っ㍥㔹搰愲㈳㐹㝣戶挴搳㈹㝣〴挵㤲挱㘴㌸ㅥて攵㡣摥づ㌴ㄷ㐸〷㈲㠱㜴ㅣ㔷愴㜸㈴ㄸ捤攲慣〸挵挲愱晡㔴〲ㅥ㌰攸攰慦戴摤㥢戵戰㌱晤㄰晥㙥㕡㤵扦㌸㔵㘹㤵㠳慡慤㠶慡㙢㉥㑥〶㍣㈳㜳㈵ㄷ愷敥㕡㝦〲㉢晢㌲摥攳㤹㘶ㄳ㝡㡢散昷ぢ挸摥ㄵ〸㤲敤㐳㝤㈹㘵㍤㍣戵㍤愱ㄵ戲晢挱㔸昵昶挴昸戵戶㡥ㄸ㐶挰㜷ㅦ㘸㠵散户㍤挹晥戳㈷搹摢挲〸㝦昸晡㔰戸〲搹摢愱㈰㘴て㐲搹㈲㍢㥣㑢攰攳㈷㥡っ㠶㌰㌰㤴〸㘴ㄳ㐱㕣㙢攲搹㜴づ攳挲搹㘴㍡㘹っ㜶愰㔹㜴㔱㘲挹㔸㝤㈶㠸㙥㐷戰㍥㤶㠸㠴ㄲ搸〸㠴㘳昵㌱㕣㍤㌳晥敤㙤昷收ㅥ戰㌱昷㠴昰敦愰㔵㜹戲㜷搴㉡〲〴㕡扢ㄳ㔴㕤㐳㜶㕦㜸昶㈲㝢㘷慤捦㌰㍤㐱㐶㤲㘶㥡㜷㠵摥㈲晢㠵〲戲㈳㐰㤰散㥦愰扥㤴散㝥㥥摡摤愰ㄵ戲㘳㌰㔶晤㍤㌱扢㙢㙤㠲ㄸ㐶挰昷㈰㘸㠵散摦㜸㤲晤㙢㑦戲〷挳〸㝦昸慤〰戸〲搹㝢愰㈰㘴て㐳搹㈲㍢㄰㡡〵昱〹㤳㡣㘶㌰搸㔳ㅦ㑥搴〷㘳搹㑣㌶ㅢ〶戳㠹㘰㝤㝤捥㌸搰㠱㘶㔲昱㘰㍣ㄵち〷搳搹㘰㠴㐳㐳㤱㙣㈲ㅢ㑦㠴㠲改㘰ㄲ㘳挲昵晥㍤㙤昷收㜰搸㤸㈳㈰晣㝢㘹㔵㥥散扤戵捡㐱搵敥〳㔵搷㤰扤㉦㍣㝢㤱㍤㐴敢㘷㌳㍤ㄳㄸ㙦〳搳扣ㅦ昴ㄶ搹てㄴ㤰㍤ㄱ〸㤲ㅤ㐰㝤㈹搹㐱㑦㙤〸㕡㈱㝢㌲㡣㔵挴ㄳㄳ搳摡挳㠸㘱〴㝣㈷愰ㄵ戲敦昶㈴晢㤷㥥㘴搷挳〸㝦ㄵ收㌴戸〲搹晢愳㈰㘴ㅦ㠱戲㐵㜶㉡㥥捡㠶㜱㌵づ攳ㄶ㌱ㄲぢ愶㔲㠹㐴㈸㥢つ愴㤲㈱っつ挶㐳㜱㘳㝡ㅥ㡡ㅢ挷ㄸ慥昳㤹㘸戰ㅥ〳挰㤹㔴㝤㉡捤㍢㠹㐰㉥〷收㤳㈱晦㑦㙤昷收㤱戰㌱㡦㠲昰ㅦ愰㔵㜹戲㠷㘹ㄵ〱〲慤㍤㄰慡慥㈱㝢㌸㍣㝢㤱㍤㐲敢攷㌲㍤㐹㐶搲挲㌴㡦㠲摥㈲晢晡〲戲㌳㐰㤰散搱愸㉦㈵㝢㡣愷昶㈰㘸㠵散ㅣ㡣搵㌸㑦捣㜸慤㥤㐵っ㈳攰晢㘰㘸㠵散慢摤㘴昳㕥㔲㥥散㕣改㐹昶㐴ㄸ〹戹㡤㜰㘵㤱ㅢ慡捦挶搱つつ攳㡡ㅣ㡢攴㌰㕥㄰捤挴昰愹㡢敢㜶㝤っ㑦敦昰㔵㔵づ㌴ㄹ㡡㈵㘲愹㜰㉣ㄲ挴昰㝦㠲摤搴㙣㉥㠸㉢㝥㌸㡥戱攱㔰㍡敥㥦㘴扢㌷㥢㘱㘳戶㐰昸㈷㙢㔵晥㙥昱㔰慤㈲㐰愰戵㠷㐱搵㌵攴ㅥづ捦㕥攴㑥搱晡昹挸㤷戹㤰㤱捣㘳㕡愷㐱㙦㤱扢愴㠰摣㥦〱㐱㜲㡦㐰㝤㈹戹搳㍤戵㐷㐲㉢攴㥥ち㘳㜵戴㈷收㔸慤㍤㡤ㄸ㐶挰昷昱搰ち戹愷扢挹㜵ㅥ摢㉤昶㈴昷〴ㄸ攱慦挲㍣ぢ慥㜰㈶捦㐰㐱挸㍥ㅢ㘵㥢散㙣㝤㍣㤳挲戹ㄹ㑡攱㈱づ㙥っㄲㄹ㍣㥤挱捤㝦㝤㈶ㄶ㑣〴㐲挶㌹づ㌴ㄹ〸㈷㌱㠶ㅦて㈶搳搱㐸㉥ㄸ挶〳摥㜸㈴㤴㑥㠶敢㘳㤹〰㉥〴晥㤹戶㝢㜳〹㙣捣㜳㈱晣㐹慤捡㥦挹㈹慤㜲㔰戵㘹愸扡㠶散っ㍣㝢㤱㥤搵晡㔳㤸㥥㑢ㄹ敦捦㤸收ㄳ愱ㄷ㌲㉦㠷㡡ㅢ㌴㔶つ搰㑡昲㥢摣挹攷摤愲㥣㔹㜳㍣㤳㍦ㅢ㐶昸挳㌴㙤戸㐲昲攷搸㘵攳㙡㤴慤攴愳㈷㤴㠹㘵㜳〱㥣㍦昵㤱㈴㠶㔷挳昵搱㘰㉥㤱㡡愱㝢㠴捦捦㠰戱捣㠱挶挳昱ㅣ㍢扥戹㑣㄰㑦摥㜳㌹摥捣攱㐹っ㥥愰愲晦ㅣ捡〴㡤㕦㌸搰㝡㡣摢攴㘲昵ㄱ㥣㡢搹㐸㉣ㄳ㑥挵㜳搱ㅣ㥥扥㠳攳㐸㈰ㄶてㄸ搷㌸㔰㍣慣挹愴戳㠱㐸㌸㐶昶戳挹㔴㉣ㅣ㐵㙦㉤ㄹ〸㠵㠲攱㜰㉡攳㙦搴〷㜱㉤㙣捣敢㈸慥愷戸〱挲摦愴㉢㙦愴敡㈶㡡㥢㈹㤶戳戲㔹㔷收㡤挴〷㉤搵㐹愸攴捤愱㍡ㅡ愹攳㡤ㅢ㕢愵戹㡡挶户㐳昸晣慤摡㥡㌷㘰㈶敦戶㑣摥㕢㤹扣㥤昲户改㑡戹㝦扡㥢㔶㘷搱晥㑣〸㌵て㤵搶改㍡ㄹ扥昳て㕥敦愳㕦㥣慥昳㔱㉦っㄷ摣㍦㉤昰搴㉥㠴㔶㑥搷〷㘰慣㑥昶挴㥣愲戵てㄱ挳〸昸㕥っ慤戴㤸昱敥ㄶ攳㥣慥㘳㍤㕢捣㘹㌰挲ㅦ㝥ち〴慥搰㘲㑥㐷㐱㑥搷挷㔱戶㕡㑣㈰㡥㈱搹㜰㈲㠱㐶㄰㡤愴㘲愹晡㘰㈸㥤〹挷㠳搹㔰㌲〲㤲㔳挶ㅡ〷㥡挴捣㡢㙣㝤㝤㝤㌰㡡㉥㜵㈲㤲㑣㘲搰户㍥㡣㈷㌶愱ㄸㄸ㑥〵晤㘷搸敥捤㈷㘰㘳㍥〹攱㍦㔳慢昲愷敢㔹㕡㐵㠰㐰㙢捦㠶慡㙢㑥搷㜳攰搹敢㜴㕤愲昵攷㌳㍤捦㌰㤲昳㤸收昳愰户挸㡥ㄵ㤰晤ㅣ㄰㈴晢㝣搴㤷㤲㝤㠱愷昶㐲㘸㠵散ㄷ㘰慣㉥昶挴㕣愲戵㉦ㄲ挳〸昸扥っ㕡㈱㍢攰㐹昶㔰㑦戲㉦㠷ㄱ晥昰ㅤ㉤㜰〵戲㝦㡥㠲㤰晤ㄲ捡ㄶ搹ㄸ愳㑦昲㜹㕣㍣ㄹ挲〸㑦㌲㤴〸㈵昸〴㈶ㄱ㑥挷挳㌱㑣㥡㌰㕥㜶愰㤱㑣㈰㥢つ㐶㤳昸㐰挶㜳昸㔰㄰㌳㌱㈲搱㉣ㅥ挳㠵愳戱㑣㈴㤵昰㕦㘱扢㌷㕦㠱㡤昹㉡㠴晦㑡慤捡㤳㝤㤵㔶㌹愸摡慢愱敡ㅡ戲㤷挱戳ㄷ搹扦搰晡㑢㤸㥥㑤㡣㜷㈹搳㝣㉤昴ㄶ搹晤ち挸㝥て〸㤲㝤ㅤ敡㑢挹扥摥㔳㝢〳戴㐲昶晢㌰㔶㌷㜹㘲㤶㙢敤㕦㠹㘱〴㝣慦㠰㔶挸摥挹㤳散ㅤ㍣挹扥ㄵ㐶昸挳户㝣挰ㄵ挸㕥㠹㠲㤰晤㌱捡ㄶ搹㌸㔹攳ㄸ搷挰㙣㠹㜰㌸㔲ㅦ捡㈵愲戸戶㘷㜹㌷㠵㥥ㄸ㍥㥣㡤㝦攴愱昸扣挶攳昷㑣㈰㠰㜱㤰㐴㌴㡣晢收㜴㍣ㄶ㡡愴㔳㤸㜲㠵〹㔷晥摢㙣昷收㘶搸㤸㥦㐰昸㔷㘹㔵㥥散摢戵㡡〰㠱搶摥〱㔵搷㤰扤ㅡ㥥扤挸扥㔳敢慦㘴㝡扥㘲㈴㔷㌰捤㜷㐱㙦㤱㙤ㄴ㤰晤つ㄰㈴晢㙥搴㤷㤲晤㉢㑦敤㍤搰ち搹摦挱㔸摤攷㠹㜹㐰㙢扦㈷㠶ㄱ昰晤㄰戴㐲㜶㠵㈷搹晦昹捡㙢ㄸ散㘱ㄸ攱慦挲散㠶㠹慤㈰晢ㄱㄴ㠴散㉡㤴㉤戲㘳㠱㐴㈶㥡挵戴ㄹ摣〰㐷敡㜱㌵挶挴〹っ摤愲㜷㠵挷敤愱㘸挰愸㜶愰㜸散㤲攲㕤ㄵ㥥扢㘶㈲〱っ昴收㜲㘱摣㑦㜳戴扥ㅥ㥡慣晦㔱摢扤㘹挰〶ㄳ晢㐰昶㘳㕡㤵㈷晢㜱慤㈲㐰愰戵㙢愰敡ㅡ戲㥦㠰㘷㉦戲㥦搴晡㙢㤹ㅥ㍦㈳戹㠶㘹㕥〷扤㐵昶㘶㘴㌴晦㤹扤㉤㄰㈴㝢㍤敡㑢挹㝥捡㔳晢㌴戴㐲昶昶㌰㔶ㅢ㍣㌱捦㘸敤㡥挴㌰〲扥㝦ぢ慤㤰晤㈱㠲㈸ㅤ昳晣挰㤳散攷㘰㠴㍦捣㔶㠴㉢㤰晤㍣ち㐲昶慥㈸摢㘷㜶㍡㥢挲〸㘷㈶ㅥ捡㈴㈳昱㜰〰㐳㈴〱㑣㥤㑣挷㜱ㅦ㥣づ㘷戲挶㑦ㅣ㈸〷挸敡愳攱っ㥥愸愷㈲搹㐸㌲㠱慥㌸慥散㜱㜴昶昰㔴㉥ㄴ昲扦㘰扢㌷晢挱挶摣つ挲晦㍢慤捡㤳晤愲㔶㌹愸摡㡤㔰㜵つ搹扦㠷㘷㉦戲晦愰昵㌷㌳㍤㝢㌲摥㥢㤸收㤷愰户挸㝥愵㠰散㝤㠰㈰搹㉦愳扥㤴散㔷㍣戵慦㐲㉢㘴て㠱戱晡㤳㈷收つ慤摤㡦ㄸ㐶挰昷㥦愱ㄵ戲㌷㝡㤲晤㍢㑦戲摦㠲ㄱ晥㉡捣㌰㕣㠱散户㔱㄰戲㈳㈸㕢㘴攳㈱㝢ㅣ愳摢㌹㝣㑡攷搰㑦挷㐳㤹㔴㈶㡡㕥ㄷ㑥摦㄰㙥㤳愲㐶搴㠱攲㠹㔰㉡㡣愹戰㤸㙢ㄱ挲戳㥥㔴㈲㤶㐸挷ㄲ搹㈴㠶捣㜰昱捦愶晤㥢㙣昷㘶っ㌶㘶ㅣ挲晦㡥㔶攵挹㝥㔷慢ㅣ㔴敤㝢㔰㜵つ搹㝦㠱㘷㉦戲摦搷晡摢㤸㥥ㄱ㡣㜷㈵搳晣㔷攸㉤戲㥦㈸㈰㝢㌴㄰㈴晢㐳搴㤷㤲晤㤱愷昶㙦搰ち搹〷挱㔸㝤散㠹搹慣戵攳㠸㘱〴㝣㙦㠱㔶挸㝥搸㤳散〷㍤挹晥㈷㡣昰㔷㘱ㅥ〲㔷㈰晢㔳ㄴ㠴散㠹㈸㕢㘴㘷㌰晢㌱㤵挱㤰ㄶ收㌱㐶㈲㈹㝣㑡㘳ㄲ㑤〸㥤昱㔸〶㡦捣搳㜱㘳㤲〳㑤㜳㠸㉣㄰挳散㠹㌸挶戶㔳愹㘴㉣㤳捤攰摥㌹ㄲ㡤㈵愰慢昷㝦㘶扢㌷㈷挳挶㍣ㄴ挲晦戹㔶攵挹晥㐲慢ㅣ㔴敤㤷㔰㜵つ搹晦㠲㘷㉦戲扦搲㝡晥㄰㥡㜹ㄴ攳攵㙦慥愹慦愱户挸㕥㔹㐰昶戱㐰㤰散㙦㔰㕦㑡昶户㥥摡敦愰ㄵ戲㡦㠷戱晡摥ㄳ愳㜰㌳㈸晥㘶㄰挳〸昸收㘲ㄹ㈱晢㈶㑦戲㙦昰㈴㥢㑢㘶戰て㡣搴挳ㄵ挸慥㐶㔹挸捥愰㙣㤱㥤挵㉢㤸挶挳昴㜸㍣㠷㍢散㐰㝤ㄶて㜱㔳ㄸ挴っ搵㐷攳㜸㠸㙥㘴ㅤ㈸ㅥ昷挶㤲㌹捣㡤换挵挳㤱㜰㌸㤴捡㈶昰㙣ㄶㄳ攵㌰愶ㄶ挶挷戶㥦ぢ㙦攸摥捣挱挶㍣ㄱ挲摦㕤慢昲㘴搷㘸㤵㠳慡㌵愱敡ㅡ戲戹㜰挷㡢㙣慥攵ㄱ晤㝤㡣㜷㉥攳扤㤷㘹敥〵扤㈴扦ㄵ㉡〲昸㔶戵㕡摢〶慤愶挴扦つ戴㤲㕤㝥扦㝤慦㙥搵摢愳晣搳昲㍦攴攵㥡㑣扦て㤶㤱攰㐷㐹戲ㄹ晣〴挰㕣晣㤴捦愲㠳㥡摢㕢昹㜵〶ㄵ摤昰ㄳ〰搶ㄷ搵㔵㔵敥晦挳㝣昱〹昲㑦攰㡡敦敡ぢ搱㉥晥㉦晣昰㔸昳捦㤴改㜱㌷扣捤昹㌸攰㙡㉥㕤昰晣㈵ㅤ㙢㌱挱㔴晣昶㐱㜶攸攸㔱昱愱〷㉤㑣㘷ㅢ昹摢㐵㔳戲ㅣ晤慤搸扥㘹㐲ㅢ㌶戳慤㙤搳㕡㐶捡㙦改昰攱昳㌶㝡㔵挲㍥㑤攳收㌵㘴㤰㠷㐱㜹㡤晥攱㉡㙤㜶㘸慢㘳搷㉢㡦挲て㙢㙣㥦㉦戹扥攸㙦㤷扣ㄶ扦㔲㠶㠴㘷㌳摡㘳ㅢㄶ摥㔵㔵㜶㔳㐳捡㈷㝢㙣㙢摡㕥昶愳摤戴㌱ㄳ扢㜸晣昶挲愸㠶㜶昹敤㤲㕤㔱慦㑣慥㌰㌱ㄶ㈲㔷摤㠷つㅣ㌹㝤㘰㍣㔱㝤㉥攸昸敦昶㔴捡〰㕣㘳㜹挵挹㙣㠹㝤戱〳搲愰捣ㅤ戹慢㔳愰敢㠳㕤ㅤ㌱㌰ㄸㅦ㍣㘰晦扡〱㠳〷㡥攴㕥捦挲㕥㍤扦㙦㜳㑣㑢㔳戲愱㜹㈸づ㔰ㅦ搹㐱捤昳㥡ち㜷㐹挲昹昲㤹㡢戹㑢㥥挷㍣ち慡搴㉥㈸搰戹ㄴ戸㈴㘴㈰戶捣ㄷ㈹㌶㔲㜰㈴㑢㉤〶攰つ㝣攱攱晡敡㐵换ㄳ㑢㉡㐶㍣昲晥㥡㍥摤㥦㝤㈱慣㑥戵㉢㘶㜶㝢昳搸㘳㡦㍢攲搰ぢ敦晤敤ㄹ挷慦戹㝦㘷㌵〸㥥ㄸ㠴㜹㌶昶攸㥣㠴㝢㘸敤㌹㡣㠳㥥昱昶敦〵慤㥣㠴㑢愰敤〵ㅥ㔱收㠹愸ㄶ挱㍢㕢扦㌴搸昳㘸挲㘵ㄷ㔶戶㠶㘲换戸〰扡㤲㙣㐵㠳㙡ㅥ㡣昴㐱昹捣㡢㘸ㄹ㜴㉣昷愳攵㔲攸㉣㑡〱㍦〹㜰㥤㄰晣晥㌰攱晢〳攴㤵㠹㐶㐰㍤㌳㌱挷慥㌸攷㤹㍢㕢㙥㕤愵㐶摣攲慢扢昰戸㡡㔵㠶ㅡ〶㑦㤲㠹慢攰搷挹㠴㉣㤸㘰㝥慥收摥㜴㈶㐶〲㉢㤹㔸〶㉤㌲㜱㄰捡㤲㠹ㄳ攱摤挹挴㌵㌴ㄹ㡦㉡㉢ㄳ㕣晣㘰㕣〷㕤㐹㈶ㄲ㘱㤵㠶㘱㍥ㄳ㌷搰㜲㠲㘳㌹㡥㤶㌷㐱㘷㘵〲昰ㄹ㠰攷㌳戱㥣㜰㉥㈶昰捡挴㌱昶〱㤷戴㠹愳敤㡡㜳㘳〷戴晣昵攸昹愳捦ぢ摤晥挶攲㤳㉢摥㔷㐷挰㤳㘴㘲ㄵ晣㍡㤹㌸㔲㙢㙦攷摥㜴㈶㡥㠶㔶㌲㜱〷戴挸挴昱㈸㑢㈶㡥㠰㜷㈷ㄳ㜷搲㠴㔳昱慤㑣㜰㘵㠰㜱ㄷ㜴搶昱挴ㄲ敡昰㠲攳昹ㄵ攱㐹〷捥搵〱挶扤搰㤵㈴づ㤶㤳㘰㤹㑦摣晤戴攴㑣㝢慦㑣㡣户て戸㈴ㄳ攳散ち搵愳㙦晦㐷扥摡㌰敥扡㙤捦㝡敦戹㙥㙤㑢㔴ㄳ㍣㐹㈶ㅥ㠵㕦㈷ㄳ㉤㕡晢ㄸ昷愶㌳㜱ㄲ戴㤲㠹挷愱㐵㈶收愱㉣㤹ㄸつ敦㑥㈶㥥愰挹㐲㔴㔹㤹攰戴㜹㘳㉤㜴昶㘵㉢慣㠶〳㥤㘷㜶㍤攱㡢ㅣ昸〲挲㥦㠶慥㈴ㄳ昱戰晡㈹㉣昳㤹搸㐰㑢㑥㐳昷捡㐴捣㍥攰㤲㑣㐴敤㡡㑢㥥㝡昵㤲〳㔶扥㌶㝥搵愰搷摢㡦㍢晡晡㘷搵㌹昰㈴㤹㜸ㅥ㝥㥤㑣㥣慢戵㉦㜰㙦㍡ㄳ攷㐳㉢㤹昸ㅤ戴挸挴挵㈸㑢㈶㠲昰敥㘴㘲㈳㑤㌸搵摢捡挴㔲㙣ㄹ㝦㠰㙥摢攲慢㉡扥愸㕢つ㈹㌸戶㤷㘸㝡㤹㘳㝡〹㑤㕦㠱慥㐶慥晤挴敦〵㝣㍥㡢慦ㄱ㝦つ㔰㕥戹ㄸ㘸ㅦ㜲㐹㉥㜶户㉢愶捦晥晢㑥昱㍦敥㌵㘹攵㑦愶ㅣ搳㍡㝢搸㐸㜵㍤㍣㐹㉥摥㠲㕦㈷ㄷ㌲㑤ㅢ㈹㌰摦收摥㜴㉥㙥〶㔶㜲戱〹㕡攴攲㔶㤴㈵ㄷ扢挱扢㤳㡢㜷㘹挲改捤㔶㉥㌸攵摡昸ぢ㜴㈵㌴㈷愲㙡ㄷㄸ收㘹晥㠰㤶户㍢㤶户搱昲㐳攸散㉢㐵㔴敤〸㜸㍥ㄳ㝦㈳㥣㔳㤸扤㌲搱挷㍥攰㤲㑣㙣㘳㔷㕣㍢攰昹㍦㑣㥥㌶㝦搴搹㝤晡慤㔸㜴挶〷换搵〳昰㈴㤹搸〲扦㑥㈶ㅥ搲摡㝦㜲㙦㍡ㄳ㡦㐰㉢㤹昸ㄴ㕡㘴㠲戳㝦慤挳㕤㠳㉤攳㜳㘸㐱晤愸㔱敥て㔴㔲搹愳攰㜸扦愴㑢㑥〹戶㑣㌹敤搸昸ち㍡㔰㍦㙡昴㐰攲扢ㄷㅣ昰搷挴慦〳㑡攷㐰㜱㜶戱捥㥦㝡ㄶ〵慦㔴㔴㤶㑢㠵戲㉢捣㘵搹㙢㥦扦搸㍣攴挲〹ㄳ敥㝦戱扤㘵戲攲搴㕦㐹㐵㐵㡤㉢ㄵ扦搳㕡〵慤㤳ち捥攲㤵㔴㔴㐲㡢㔴㜰㉡慥㌴㡡敦晥攵㙡ㄴ㔵㌴㜹ㄵ㔵搶愱扥㡣㉤挳㠰捥愶㌶愸晥つ戴㍥㉣㥦㔹㐳昸㙢づ㥣㜳㜴つㅦ㜴愵㙤㈸愸扥㠰愵捥㠱捦散㐹换㜷㠰昷捡挴ㄶ㐰㍤㍦㐸㍦戱㉢敥ㅡ㜶敥攲㤹愱捦㐶㉥晤攲搴㑦㌷㍦搳㜳㡤㥦搳㘴攵攸晡挰㉦㡥敥慦㈸换搱晤〳ㄶ㑥㤳摦㡥㍢攵㙣㑦敢攸㌸搷搵搸〱㍡ㅥㅤ摡㐰愲晡㈳愰㡢㝦て㑢㝥扢搰敥㐹㜱搶㈷晢㥤慤㉤㡤ㄳ㌲㑣㙤扥昳捣㝥〸㕢愳捦摣㠹㝢昹㠷戳㤷㡦戸㤷㥤敤扤愰戹㈴搴晢搸ぢ昷挴㠰㝤收慥㠴㜳昶愹ㄵㄴ愷捡ㅡ晤㙣昸㐸挲摦戱攱扣㝦昰㤹㜵㠴㝦攲挰㌹㕤搶ㄸ〰㕤㍦ㅣ挳㤸㠲㜶㥣ㄸ㍣愰㙥〸㍢㠹摣㘹昵㥦攱愵愳㑥㈲收㡡㜶愶㤳㌸㤰扢攷㤴㕡㝤〰敡㥦㜶㠱〷慦㌸挵㤶㌵㡣㔵㜱慡㉤㜷㡢敤㡡摡㝦愳挰扢〳扥㕤慦㉤挳敤挲〸敢晦ㅡ晢㝦晦〸敢㤷㔷㍦ㅡ㕥晢戵戶㍣㕥昵扦㝣㘴昵愶搳㡡㝦㡢㥢㤶愷㥦摤㝢㥤攵挱㤲㠷つ㤹㌰㔲㜱㘷昹昶昵㈰〸戳扡慣慦㈱㈸捦昶昵慡㕤戱㘶挱慣㝥换扦扢昷㤰㝢㕢戶摣戰昱㑦㉦㑤㔷㥣挷㑡扥捤扤㜱晣捥㐵挷搰摡㝤㤸ㄵ㔴昳敤慦㠱㔶摡攲扥搰愲㉤昶㐴㔹摡攲ㅦ攱摤㘹㡢㐳㘹㔲㡢㉡㡢㜶㑥㌶㌵〲搰搹ㅦ捡㈱昵㈲搰昹㌳㉤㐴㌸㘷㡢㕡㜰㑥㌸㌵㈲搰㤵㥣㘹昱㤰㝡づ㤶昹㌳㉤㐶㑢㑥摥捣㘷㈲摦㜹摦㘰ㅦ㜰挹攵昷搷㜶挵〷戳愷㉥㝤㈴搰㍡敡攱搵攷摥㝡昲攲攴㙦搴慥昰㈴㤹㌸〰㝥㥤㑣昴搳摡㘱摣㥢捥㐴ㅤ戴㤲㠹〳愱㐵㈶㌸改㔲㌲戱づ摥㥤㑣㡣愰〹㈷㐸㕡㠷挶㤹㤸挶㈸攸㑡づ㉤ㄱ㔱㙢ちづ㙤っ㉤昷㜴㉣〷搳㜲㉣㜴昶搵㉡愲ㅥ〱㍣㥦挳昱㠴㜳㘶愳㔷㈶敥户て戸㈴ㄳ昷改㡡晤㙡㔳愷㍦戸摤愴〷㤶晥㘳搳㌷㑢㜳㔳ㄴ㘷㐰㑡㈶㈶挳慦㤳㠹㤸搶ㅥ捡扤改㑣㈴愰㤵㑣ㅣ〶㉤㌲㜱〰捡㤲㠹扢攱摤挹挴ㄴ㥡っ㐷㤵㤵㠹㘱搸㌲愶㐱㘷ㅤ㑦㉣慣㔶ㄷㅣ捦㜴挲㐷㌸昰〳〹㍦ち扡㤲挴挱昲㌶㔸收摢挴㌱戴攴戴㍦慦㑣㉣搷〷㕣㝣㐳㜷戳㕤戱攳㙦㝦扡晡愳挵㜳挷㉥㥢昵搹㐷㘷敦昹晢㍥㙡㈲㍣㐹㈶㘶挲慦㤳〹㤹昷㠷〴㤸㐹敥㑤㘷㠲㌳晤㈴ㄳ㈹㘸㤱〹㑥搷㤳㑣㕣て敦㑥㈶㌲㌴攱搴㍡㉢ㄳ㥣挳㘷攴愰㉢㌹戴㐴㐸晤愲攰搰㘶搱昲㈸挷㜲㍡㉤㘷㐳㘷户㠹㤰扡ㄲ昰㝣㥢㘸㈴㥣㜳攲扣㌲㜱愹㝤挰㈵㙤攲ㄲ扢攲ㅦ㙢㠶㥤昷㔴晦㉢て㍡㔳㍤㌵㘲㕣㌰㌰㕤㜱敥㥣㘴愲ㄵ㝥㥤㑣㜰㔸㐴戴㙤摣㥢捥挴㉣㘸㈵ㄳ敤搰㈲ㄳ㥣㙣㘶ㅤ㙥㈳戶㡣昹搰㝡㜴㑥㈲敡晣㠲攳㕤㐸㤷㉤㡥㈹㘷戹ㄹ㈷㐳愷㍢㈷ㄱ㜵㑥挱〱㥦㐲晣㐲愰扣づ昸昴㜲〷㝣㥡㕤搱㙦㜵敦㔷㤳㙦慦㤹㜰挵搲㤹て摦扡㔷㜳㐴晤っ㥥攴搰捥㠴㕦攷㠰㑦搵摡戳戸㌷㝤挰愷㐱㉢〷㝣㌶戴㌸㘰捥敦ㄲ敡㝦〶敦づ昵㑢㘸戲〴㔵㔶㉥㌸改换㌸て㍡晢挲ㄸ㔳ぢち㡥攷〲挲㌹㙢换㠲㜳攲㤷㜱ㄱ㜴㈵㉤㈵ㅥ㔳㙤戰捣㥦〴㑢㘹挹㐹㔴㕥㤹㘸戶て戸㠴晡㈶扢攲昳ㄷ㘶㝤搳敤攱搷挷㕦㍣㘴攳㥣㈷㉥㝤敦㘰㍦攷㕥挹搱㕤〱扦㌸扡慢㔰㤶愳㥢〳ぢ攷攸慥攲㑥㌹愵挸ち㤷戳慡㡣㘵搰ㄹ挳〶㑥攵㠷晤㠹〰敢て㔰㥦㜹つ搱搷㌹攸㘵㐴㕦㘷愱㌱〸㤴㔰㘹ㅢ捤晤晡捣ㅢ㠸扥摥㐱㜳㙥㤵㜱㤳㠵㥥㐶昴っㅢ㑤㥡昰搳㕦㐴㜳㕥㤳ㄵ〹愷㔷ㄹ㉢愰㘳㐷㘲㙣昹㡥㠴㍡ㄶ㕥昴愷扡捦㕣㐹㉦㌷挲搶改て摣㘴ㄷ戸ㄷ挵㤹㔵晡㜰ㄴ㘷㔸㘹换摡㔵㈸攰㑦摥昸㑦扦㍡搱ㅦ攰㕣㉢戱散愸㍦㠰慦㌳㝤㔲晢戴晥摦㘹㠴扡ㅢ㘶㜹戲昳晤㠱改㌸㈴捦晥挰ㄱ㜶㠵㌱愴昶晣捤户晡㐶㕣㝤挵㘳㜷敤㌶愴敦㘷㡡昳戲愴搹摦㠹攳㜷㥡扤㑣戸挲摥捣㕦㌲㉢搸㘰㡤㥦㔳慣愴㘱摣〵㉤ㅡ〶攷㐹㐹挳㌸ㅣ摥㥤㠶昱㉢㥡㜰㑥㤳㐵挷攳搸㌲敥㠵捥攳搶㌴愲㈶挱㌲摦㤰敦愷改㤳㡥改ㅡ㥡㍥〸㥤扥㌵㡤愸〹挰攷慦㜹てㄳ晦っ㔰昹㕣攴㝢〴㘳散㐳㉥㘹昸愳敤㡡㘹搱㔳㙦㍥慢㐷㜸攲㥡昶愷ㅥ摡㜰攱挷㘷㉢㑥㕢㤲㕣㍣〱扦㑥㉥㘴㍥ㄲ㜳昱㈴昷㠶つ扥晤㉦〲㉢戹㔸ぢ㉤㜲挱㘹㐴㤲㡢攱昰敥攴㘲㍤㑤㌸㤹挷捡〵攷ㄶㄹ㑦㐳㘷㝦づ〶搴㑦ぢ㡥㘷〳攱㥣ㅣ㘴挱㌹扦挸㜸〶扡㤲㑢㐰㉣愰攲戰捣㘷敥户戴摣〴扣㔷㈶㐲昶〱㤷㘴㈲㘸㔷摣㜲摤搰ㄷ㝥晥㔱捤㠸㙢づ㤹㍥攱㡦㜷㝤戹㕡㜱㑥㡦㘴㘲㈳晣㍡㤹㤰挹㍡捣挴敦戹㌷㥤〹㑥捦㤱㑣晣〱㕡㘴㠲㜳㙣㈴ㄳ㐳攰摤挹挴㑢㌴攱㝣ㄸ敢搰㍥挶㤶昱ち㜴㈵㠷ㄶて愸扤ちづ敤㌵㕡㝥攲㔸㜲ㅥ㡥昱㍡㜴昶㘵㌴愰〶〱㥥㙦ㄳ㙦ㄲ晥ㄵ㐰㕥㤹愸戳て戸㈴ㄳ扢搹ㄵ㠹扤ㅦ扦晦晣愷㉢挷慣㌸昷㡢㡤㠳㑦㝥昷㔳挵〹㉦㤲㠹㜷攱搷挹挴㜷㕡晢ㅥ昷愶㌳昱㍤戴㤲㠹扦㐰㡢㑣㜰〲㡡㘴㘲ㄷ㜸㜷㌲昱〱㑤っ㔴㔹㤹愸挲㤶昱㈱㜴㈵㤹㠸挵搴㡥㌰捣㤳晣㌷㕡㜲〲㠹㘵挹㐹㉡挶挷搰搹慤㈹愶戶〵㍣㥦㠹捤㠴晢〱昲捡㐴㙦晢㠰㑢㌲搱换慥㌸戲㙦晤㤷㥢㑥戹㝥摣攵㝦敤戹昸扡慡㘷ㄷ㉢捥〶㤱㑣㝣づ扦㑥㈶㘴㥡〷摢挴ㄷ摣㥢捥〴㈷㜶㐸㈶扥㠴ㄶ㤹攰散っ挹㠴〹敦㑥㈶扥愲㐹㍦㔴㔹挷挳㈹ㅢ挶搷搰㔹挷㤳〸愸敡㠲攳昹㤶㜰捥戹戰攰㥣戶㘱晣〷扡㤲挴挱㔲挱㌲㥦㌸慣昲㐳昷ㅡ㜸慦㑣㝣晢㘵㤹㙢收㌷㜶挵晥㕦摦昳攱ㅢ㙦㔴㡤戸㜷挹户㜳㘳㘳㥦ㅣ慣㌸㔵㐲㌲㘱挰慦㤳〹㤹〳挱㑣㜴攷摥㜴㈶㌸敢㐱㌲㔱〳㉤㌲挱愹ぢ㤲㠹㝦挱扢㤳〹ㅦ㑤㘲愸戲づ㉤㠲㉤愳㈷㜴㜶ㅢ㡦慢捦㠰捥㌳摢㥢㜰㑥㐸戰攰㥣搳㘰昸愱㉢挹㐴㍣慥㍥㠱㘵㍥ㄳ㝤㘸㌹〲㜸慦㑣晣捤㍥攰㤲㌶昱㤱㕤㌱㘸收收㡤㤷㙥搹㜰攸㈳㡦慤㔷敦ㅤ㝤捤㈰挵㜹〴㤲㠹㥤攰搷挹㠴㑣㄰㘰㈶晡㜲㙦㍡ㄳ㥣ㄲ㈰㤹搸ㄹ㕡㘴㠲捦昵㈵ㄳ敦挳扢㤳㠹㕤㘹挲愷敢搶愱昱㘱扦搱て㍡㍢ㄳㄱ昵づ搰昹㑣搴ㄱ捥愷昵ㄶ㥣て晣㡤〱搰㤵㘶㈲愲晥っ换㝣㈶〶搲昲㈸攰扤㌲昱㥡㝤挰㈵㤹㜸搵慥㘸㝥戶㙤昷挹敦㝤㌰敡㠶愱搷昶㠹㜴㍦晡㌰挵㠷散㤲㠹扤攱搷挹㠴㍣㍤㘷㈶昶攱摥㜴㈶昸扣㕣㌲戱㉦戴挸〴ㅦ㝡㑢㈶晥〸敦㑥㈶㠶搲㈴㠷㉡敢搰㌲搸㌲〲搰搹㤹㠸慡ㄷ㠱捥㘷㈲㐴㌸ㅦ㘵㕢㜰㍥つ㌷㈲搰㤵㘶㈲慡㥥㠳㘵㍥ㄳ㌱㕡捥〵摥㉢ㄳㅢ散〳㉥挹挴慦敤ち㤵㕣㝤㕣昷㉢〷㡤㕡昱攷愳晥㌸㍥搵昷〲㍦ㅦ㐸换搱ㅤ〰扦收㌰㡡〳㈱㝣㝥㍥㤳㤶㡡攱㈸攲㌱㜴㍢捡㥥〳㌹㝣〰摤㌶㜴㌴㝥攳慣㥤㕦戸㤷㙤ㄳ㐵㉤搲㔷㥤攳ㄳ搸ㅥ㌹㑢捤〷挸昸㤲挰㠶挶㐶昹㝥扤㥥戹㐹挹搶㌹搹搶㠹つ捤搹戶㥥戹愹つ㑤昶户挵㡤挱㙦敦攱㌷搲昴捦搸㥢㔲愲戱㤱㍢戴ㄵ扦㙢摦㍤㌷愱敤㠸戶㙣愶愶改戰㘴㝢㝢戶戵昹挷昰㔵㤷昸挶挳㉡づ㍥愱㌵㜵挳慦扢㔵㝡㝥搹㈰扦㐵搰㜳㤸捦㑡㘱㍥ㅦㄳ昱㕤㡦㝣ㄶ㕣㔹㔹愳㉡㝦搸ㄷ㕤ㅡ㈳㐰㕢㉤ㅥ㕤㘷搳挹戶昶扡昹晣㜶挳戶㑡昵㈴摡㠱慣㐵晥㝢愸慦っ㤰㜱㙡㠵㌹ち㔸㘳㌴㐴㌷㍣戳㔵㜲ㅣち㕤昵㌱搰㔸㍦戸戰㥥㐷㔶㍤ㅦ㑤愰昸挰昸搵㡦㘳㘹㔱扤愰㈱搳㍥换㤸㤵㙤㌸㜱㔶㍢扥攲戱㠷晥㙡㐶㥡㔶昱戹㜲㐷㑦戶㜹づ㜶㙦㥡㤱㙣㙤㑤㉥慡㘹㥡搱㤸㙤㍥戱㝤㔶捤㡣昹㜸㥡㡦㕦ㄴ㠴㜱㑤㑤㡤㌹ㄶ昱㜰㔷㝣慢挵㔰搲慢㌹づ㕡㌶㔴㙡晤㘷㐳㈳慤㜶㍣㘳㥦㐰㜱㌰㠴捦捦愷扢㔲㜱〸㡡㌸㡢㤷愰捣㈶㙤㌲㑦㤵敡㍥捦扣㑣愶㍤昳㤲捦挹㘱㔴慤挷慥㐴㘰㔲㍤㝣㌰㉦晡愵昸㘴㔷攲㥡〲愴㡥㑢㕤慡戵㔳愱搵挷攰扦ち㕡〹㙡ㅡ扤ㅥ㐱㌱ㅤ挲攷攷ㄳ㔸愹㌸ㄲ㐵㐴换㘷慦慥㘸㙦昳㡣昶ㄸ摡ㄷ㐶㝢ㅣ㔵慥㘸慦㠱㥦㠲㘸㙦㠰㐲愲㍤〱㐸㈷㕡㍥㘴ㄵ敤っ㘸㥤㘸昹㠸㔴㠲㥡㐹慦㐹㡡ㄴ㠴捦捦愷愴㔲㤱㐶ㄱ搱昲昹愸㉢摡㙢㍤愳捤搱扥㌰摡㔹㔴戹愲攵愳搴㠲㘸㝦〵㠵挴㌵ㅢ㐸ㅤ㤷扡㕦㙢攷㐰慢㡦挱晦㈸戴ㄲ㔴㈳扤㌶㔱㌴㐳昸晣㝣㤲㈹ㄵ㉤㈸㈲㕡㍥挳㜴㐵㝢㠹㘷戴慤戴㉦㡣㤶㍦〸改㡥昶〹昸㈹㠸㤶て㌴㈵摡昹㐰㍡搱㙥搰摡〵搰㍡搱昲㔱愳〴戵㤰㕥ㄷ㔱㥣っ攱昳昳㘹愳㔴晣っ㐵㐴换攷㡣慥㘸捦昲㡣㜶㌱敤ぢ愳㍤㥤㉡㔷㙥㌷挲㑦㐱戴㉦㐱㈱搱㥥〹愴㡥㑢昱㜱愲㘸捦㠲㔶ㅦ㠳晦㉤㘸㈵愸戳改昵ㅣ㡡㈵㄰㍥㍦㥦〷㑡挵戹㈸㈲㕡㍥〹㜴㐵扢挰㌳摡ぢ㘸㕦ㄸ敤㐵㔴戹愲攵㐳挳㠲㘸㍦㠰㐲攲㕡ち愴ㄳ㉤ㅦ昹㠹昶ㄲ㘸㥤㘸户㐰㉢㐱㕤㑡慦㤷㔱㕣づ攱昳昳㤹㥤㔴晣ㅣ㐵㐴换愷㜵慥㘸攷㜸㐶㝢ㄵ敤ぢ愳㕤㐶㤵㉢摡㉦㜵ㄸ搷愰挲〹敥㙢慤扤ㄶ㕡㈷戸ち㜴㠹㈵㠶敢攸攴㝡㡡ㅢ㈰㝣㝥㍥㐵㤳㡡ㅢ㔱㐴㜰㤵㈸扢㠲㥢攱ㄹ摣㜲摡ㄷ〶户㠲㉡㔷㜰㔵昰㔳㤰捡ㅡ㈸㈴㘹㉢㠱搴㜱愹㥥㕡㝢ㅢ戴捥㌱昴戱㠳㌰㔶㐱敢晥搵愶㡣敢昷㕦慢搴㤱㍡戸㡡搳㉢昲㥦㌲㜷挰挶㔸つ搱つて㝤愴㝦〵攱㌳敦㠴挶ㅤ攰㜶挵〱敥愴㐳戹ぢ㐸㈷挰㕤戵昶㙥户戶㑥㙢㝦攵搶づ搴摡㝢愰挵㙤㥦㜴昹晣㝢㐳㉢ㄹ扥ㄷ㕡昳㍥㡡晢㈱㝣㝥㍥㔶㤱㡡〷㔰㐴敡昷㐵搹㤵晡〹晡攸ち㍥㐳ㅦ愶㝤㘱敡ㅦ愵捡㤵晡愱昰㔳㤰晡㄰ㄴ㤲晡挷㠱㜴㡥㉣愶戵㙢愰搵愹昷ㅦ〰慤〴昵〴扤㍥㐹戱ㄶ挲攷攷愳て愹㔸㠷㈲愲攵㐳て㔷戴挳㍣愳㝤㥡昶㠵搱㙥愰捡ㄵ敤〸昸㈹㠸㜶っㄴㄲ敤㌳㐰敡戸搴㜸慤㝤ㄶ㕡㝤っ晥挹搰㑡㔰扦愵搷攷㈸㥥㠷昰昹昹㜸㐲㉡㕥㐰ㄱ搱昲挱㠴㉢摡愰㘷戴ㅢ㘹㕦ㄸ敤ㅦ愸㜲㐵㍢〵㝥ち愲㥤づ㠵㐴晢ㄲ㤰㍡㉥㜵㡣搶扥っ慤㍥〶晦㑣㘸㈵愸㔷攸昵㔵㡡搷㈰㝣㝥㍥㐲㤰㡡㍦愱㠸㘸㔳㈸扢愲ㅤ攴ㄹ敤㥢戴㉦㡣昶㉤慡㕣搱㘶攰愷㈰摡㔹㔰㐸戴㥢㠰搴㜱愹㐶慤㝤〷㕡㝤っ晥㔶㘸㈵愸㜷改昵㍤㡡扦㐰愰换慥㉢摥㐷ㄱ搱戶愳散㡡戶慦㘷戴ㅦ搲扥㌰摡扦㔱攵㡡㜶愱づ攳㘳㔴㌸挱㥤愲戵晦㠰搶〹敥㑣ㅤ挳㘶㍡昹㠴㘲ぢ㠴捦捦㈱㜹㠹晡㥦㈸㈲戸戳㔱㜶〵搷换㌳戸捦㘹㕦ㄸ摣㤷㔴戹㠲攳戸㝤㐱㉡㌹㌲㉦愹晣ち㐸ㅤ㤷㕡慡戵晦㠶搶㌹㠶㉢散㈰㡣慦愱㉤㝦㍤慢搶挱㔵戸慦㘷摦㌲ㄲ㕥捦昲搷戲晦㔰攵ち敥慡攲攰㌸戲㉥挱㜱㘲戲ㄳㅣ㐷搰㐵慢摣摡攵㕡㕢改搶㜲攴㕢戰摤愰㜵慥㘵㜷㐲㉢搹慤㠲搶慣愶㌰㈰㝣㝥づ〹㑢㐵㜷ㄴ㤱昶扢㔰㜶愵晤㕦㕦㜸摤て㘰晥㜹㜱摡㝢㔲攵㍡㌲㡥ㅢㄷ愴晤㝥㈸㈴慥摥㐰㍡〹㝥㔸㙢㙢愱搵挷敢攷㠸慤〴攵愷搷㙤㈸晡㐰昸晣ㅣ戴㤵㡡㙤㔱㐴戴㙢㔱㜶㐵晢㜷捦㘸㜷愰㝤㘱㈳搹㠹㉡㔷戴敢攱愷㈰㕡㡥摤㑡戴㍢〳愹攳㔲ㅣ㤷ㄵ敤㉥搰敡㘳昰㜳㔴㔵㠲摡㤵㕥㝦㐲搱て挲攷攷挰慡㔴散㠶㈲愲晤〳捡慥㘸摦昶㡣㜶〰敤ぢ愳ㅤ㐸㤵㉢摡㤷攰愷㈰摡搷愰㤰戸〶〳愹攳㔲㙦㙡敤ㅥ搰敡㘳昰扦ぢ慤〴戵㈷扤敥㐵戱㌷㠴捦捦挱㑦愹搸〷㐵㐴晢ㄷ㤴㕤搱晥搱㌳摡愱戴㉦㡣㌶㐰㤵㉢㕡㡥㤰ㄶ㐴换㠱㑦㠹㌶〴愴ㄳ敤㘶慤つ㐳敢㐴晢㌹戴ㄲ㔴㠴㕥愳ㄴ㌱〸㥦㥦〳㤴㔲ㄱ㐷ㄱ搱㜲㘸搲ㄵ敤㙦㍣愳摤㥦昶㠵搱ㅥ㐰㤵㉢摡慦攰愷㈰摡㙦愱㤰㘸て〴㔲挷㠵ㅦㅡ戴戵挳愱搵挷攰㌷愰㤵愰㐶搰敢㐸㡡㔱㄰㍥㍦〷ㄱ愵㘲㌴㡡㠸戶〶㘵㔷戴㡦㜹㐶㍢㤶昶㠵搱㡥愷捡ㄵ慤て㝥ち愲敤つ㠵㐴㝢㌰㤰㑥戴㝤戴昶㄰㘸㥤㘸㜷㠲㔶㠲㥡㐸慦㤳㈸㈶㐳昸晣ㅣ攸㤳㡡㐳㔱㐴戴㍢愳散㡡昶㙥捦㘸愷搰扥㌰摡㘹㔴戹愲摤ㄵ㝥ち愲慤㠳㐲愲㥤づ愴ㄳ敤㐰慤㍤ㄲ㕡㈷摡扤愱㤵愰㡥愲搷愳㈹㡥㠱㐰㙦㑣㔷ㅣ㡢㈲愲摤ㄷ㘵㔷戴户㜸㐶㝢〲敤ぢ愳㥤㐹㤵㉢摡愱昰㔳㄰㙤〸ち㠹㌶〵愴ㄳ㙤㑣㙢搳搰敡㘸搵〱搰捡㈰攰㜵搸㍤〷〱て挰挷㐰㑤㈵愶㔶敢㡡㙢敤㡡㘱㔲愱搴㠱扡攲ㅡ扢㠲㌳㤰捣ㄳ攱戴㥡㈳㙣挵㕦挶㈷搳扦慣㜱㈱搷㡦㠳愰慤攲㕥㜶㉡㝥㤹㠲㐳㐴扥㈶捥慢㤷改㔳㐶搳搴㔹昸攵㡡㙤㙣散㍥づ愶㡦愳㜱戰扤ㅤ㤵搸昴ㅤ摤搲㌴㌷搹㥡㑣㌵㘶〹搹㈷敦㜴晢攲ㅡ挱㈳〷㑣㐳挵㠰昲㑢ㅢ㜴㠰ㅣ挳慡㔱㥤〶搶㈸ㅡ㤸戳㤰㤳㕥搸㔰昹㉤㈹㔶㡦㐲㥥㍡㍤㝥挶昱摢ㅦ昸ㅢ㉡つ〸㐰㡤挱捥㘴㠸㜸㌶㑡扡㌵搴㡥戵戵㌵ㅣ戰慡攵搰ㄳ㌱㍣摤㌱晤ㅤ㔲摡挴㤵㐵㙤㠲挳㔰㔲㜱㐵㔱㥢㌸㔸㔷晣摣摤㈶㥡戹晢㐳㔰挵㜶㤱捦㐱㝥㑢戲愱㈶愳㤶ㄹ㌱攷ㄲ㝦ㄸ戶㈴摣㤳摣攱㑥戱戵ㄲ㘰㉤挷㥥㈴㕣〶慦愶愱㈴㔱㉤㉤ち㤷攳㔰㔲㜱㜱㔱戸搳㜵挵㐵敥㜰攷㜱昷ㅣ愷敡㌸摣㘳㠰㤰㜰ㄷ㄰㝦ㅣ㑡ㄲ敥㐲㜷戸㈷搸㕡㉢摣ㄹ扡㈴攱捥㐴㐹愲㍡户㈸㕣づ㐴㐹挵㤲愲㜰㔳扡攲ㅣ㜷戸愷㜰昷㘹㔴㜵ㅣ㙥づ〸〹㜷㌱昱戳㔰㤲㜰㑦㜳㠷㍢摢搶㕡㡤㘱㡥㉥攱㝦晣㔲㉦愴㐴㜵㝡㔱戸ㅣ㠹㤲㡡搳㡡挲㙤搶ㄵ㡢摤攱㥥挵摤㜳愴慡攳㜰㕢㠱㤰㜰捦㈱扥ㅤ㈵〹㜷㠹㍢摣昹戶搶ち㤷挳㑦搲ㄸ昰㍦㘶收㐰㑡㔴㡢㡡挲攵㔰㤴㔴㉣㉣ち昷㘴㕤戱挰ㅤ敥〵摣㍤㠷慡㍡づ㜷㌱㄰ㄲ敥㐵挴㥦㡥㤲㠴㝢戱㍢摣㌳㙤慤搵ㄸ捥搲㈵㘹っ㘷愳㈴㔱戵ㄶ㠵换戱㈸愹㌸愹㈸摣㈵扡㘲慥㍢摣换戸㝢㡥㔵㜵ㅣ敥〵㐰㐸戸㍦㈷晥㈲㤴㈴摣㉢摣攱㉥戵戵㔶戸ㅣ㠰㤲散㑡戸㤷愲㈴㔱捤㈹ち㤷㠳㔱㔲㌱扢㈸摣换㜵㐵㠳㍢摣㘵摣㍤〷慢㈴摣㕦愰㘴㕤㈷㥤㉤敢捡㜰ㄵ㄰ㄲ敥㌵挴㉦㐳㐹挲扤搶ㅤ敥㌵戶搶ち㤷㐳㔲昹㜰慦㐳㐹愲捡ㄴ㠵换攱㈹愹㐸ㄷ㠵㝢㠳慥㐸戹挳扤㤱扢扦ㄱ㔵ㅤ㘷㜷㌹㄰ㄲ敥捤挴慦㐰㐹挲㕤敥づ㜷愵慤戵摡㉥挷愴㈴㕣晣㕦愱敥㠰ㄴ晢㕢㘸㝦愷㕤㘷慥㘰㠹昵㜸搷摥愵㉤挸㐷㉤㠷㡣挴㕥㑡扦㉡㈸㜱㠸㐸敡昶愲敤扤㈸挹ㄱㅦ㕢㤴ちづㄷ㐹挵㌱㐵愹戸㕦㔷ㅣ敤㑥挵㉡〶挳攱愴㡥㔳昱㌰㄰㜲㈸㜷㄰晦㈸㑡っ挵㕣㡤㤲昳ㄱ昴戸慤戵㔲挱㌱㈲〹ㄷ晦㘳㈲て愴㐴㌵慤㈸摣㈷㜵挵搴愲㜰搷敡㡡㈹敥㜰敦收敥㌹㥥搴㜱戸㑦〳㈱攱摥㐳晣〶㤴㈴摣㝢摤攱㍥㘳㙢慤㠶挶㐱㈲〹㔷捥㡢摦愲㈴攱㑥㉡ち昷㌹㕤㌱戱㈸摣攷㜵挵㈱敥㜰ㅦ攴敥㌹愰搴㜱戸ㅢ㠱㤰㜰ㅦ㈶晥て㈸㐹戸㡦戸挳㝤挹搶㕡搹攵㈸㔱㍥扢慦愰㈴攱㡥㉤ち㤷㈳㐶㔲㜱㔰㔱戸慦改㡡㌱敥㜰搷㜰昷ㅣ㔱敡㌸摣㌷㠱㤰㜰㥦㈴晥㉤㤴㈴摣戵敥㜰㌷搹㕡㉢扢ㅣ㈶捡㘷昷㕤㤴㈴慡攱㐵攱扥愷㉢づ㉣ち昷㉦扡㘲㤸㍢摣愷戹㝢づ㈹㐹戸捥戵挶㜴戶慣慢捥㠷㐰㐸戸ㅢ㠸晦ㅢ㑡ㄲ敥㙦摣攱㝥㙣㙢慤㜰㌹㜰㤴て㜷㌳㑡ㄲ㙥愲㈸㕣づ㈲㐹㐵扣㈸摣㉤扡㈲收づ昷㌹敥㥥㠳㑣ㅤ㘷昷㜳㈰㈴摣ㄷ㠸晦ㄲ㈵〹昷㜷敥㜰扦戲戵㔶㘳攰挸㤱㠴㡢晦昱昳慡㤰㘲晦㈲敤晦㘳搷㤹ㅢ㔹㘲㍤摥戵ㅣ攴ㄱぢ戹捥㜰㜰㈷㕦慡㉣㈸㜵搳愵扤㘸换㐱ㅣ㌹攲晤㡡㔲挱㠱ㅤ愹ㄸ㕡㤴ち㐳㔷っ㜱愷攲㈵㝡攵挰㡦愴攲㘵㙣㔸㥦ㄷ捥㤶挵㥣てㄵ㜲㈸慦㄰捦㤱ㅥ㠶㘹扥㡡つ攷慡搳摢搶㕡捣㜱㌴挷㌹ㄴ挵㔱ㅣ㠹㙡捦愲㜰㌹戲㈳ㄵ㝢ㄴ㠵换搱ㅥ愹ㄸ散づ昷つ㝡攵挸㑦挷捣敤〰㠴㠴晢㘷攲㜷愲㘰戸㙦㘱挳〹㤷挳㍡㑥㠰戵ㅣ捥㤱㤲㌰挷㘱ㅣ搹㜹晦愲㜰㌹戴㈳ㄵ㜵㐵攱昶搳ㄵ扢戹挳㝤㤷㕥㜷㠳攸㌸摣〱㐰㐸戸㝦㈱㝥㈰〵挳㝤ㅦㅢ㑥戸㠳㙤慤㤵㕤㡥攷㌸挱㉢㡥攳㐸㔴㍢ㄷ㠵换戱ㅤ愹攸㕢ㄴ敥摥扡㘲㈷㜷戸ㅦ搱㉢挷㝥㍡づ㜷㈸㄰ㄲ敥摦㠹攷㘰㡦㠴晢㌱㌶㥣㜰㌹戰攳攴戳㤶〳㍡昹㜰㌹㤰㈳㔱㙤㕢ㄴ㉥〷㜷愴愲㑦㔱戸㌱㕤戱㡤㍢摣㉤昴捡挱㥦㡥挳攵㤰㡦㠴晢㈹昱ㅣ敤㤱㜰㍦挳㠶ㄳ敥㠱戶搶㍡㡤㠷敢㤲㌴〶㡥攴㐸㔴㍤㡢挲攵攸㡥㔴昴㈸ち㜷㤴慥昰戹挳晤ㄷ扤㡥㠶攸㌸摣戱㐰㐸戸晦㈶㥥挳㍤ㄲ敥搷搸㜰挲㍤搸搶㕡攱ㅥ愲㑢ㄲ㉥㠷㜲㈴慡敡愲㜰㌹扣㈳ㄵ㔵㐵攱㑥搶ㄵ摤摣攱晥㠷㕥㌹晣搳㜱戸㔳㠰㤰㜰㉢㝡〰捦昱ㅥ〹㔷愱攴㠴㍢摤搶㕡攱ㅥ愹㑢ㄲ敥㔱㈸㐹㔴晦昹扣㜰㤸攴㘸㕤昱㥤㕤愱㠷㐹㡥搱ㄵ摦摡ㄵ㌲㑣㔲捤摤㜳晣愷攳㜰㑦〰㐲挲敤㑥㍣〷㝣㈴摣ㅡ㜷戸㈹㕢㙢㠵㥢搶㈵㠶㕢换搱㤸㈳戱㔱戹㔰愵㘷㘶㘶捥晣慡戶慡㙥攷慡愳㐶昴晣挵愶摦扥㝢昹㑢挷つ晢敢户搷㕤昷搲㕦㉥㝦晥摢挷㔳挳㝥戳㝣昹搳〷摦昸晣扢㝤㜲㌷㔵㍥昸搵挴㥢㑥〹捥㌹攵愴摣ㄱ㝢㡦㍢攵攸搹㠷〷て摢㘶㥦㙥摤扡㜷摦㘳摢㘷㜶摡搳㝦晡㐹て慢㜵㝦摡戱戹㥡㐳ㅢ㥤ㄸづ㘱搴㍦㜰散挲攴㤱换〰〶㉦㌲㍥㤴昸攲戸㤱㝦㌶㜶㉥㈳㙣㍤愰㌵㝢㐲昴慡慣㙤敥攲㐳㔶㜳戱〳㘱愱㤷㍢ㄶ㡥㔲㐸㉣扤ㄹ㑢慤ㄵぢ㐷ㄲ扡㌲晤㙡㠱㡥挵敦㡥㘵愱㡥㘵ㅢ挶搲挷㡡㠵挳〴㕤ㅡ换㘲ㅤ换戶敥㔸㑥搳戱㙣挷㔸戶户㘲㌹慢慢㘳㤱㐱〳㌴ㄱ㜳〷㜷㉣㑢㜴㉣㍢㌲㤶㥤慣㔸㉥攸敡㔸㘴㐴㠰戱昴㜵挷挲㤱〱㘹㉦㍢㌳㤶㕤慣㔸㜸昷摥愵ㅣ挹敤㍥㘳搹搵ㅤぢ㙦晢㈵㤶㥦㌰㤶㝥㔶㉣换扡㍡ㄶ昶戶㜹昹㌰㜷挳づ搵㌵搸㤲戳慡捥ㅤㄹ敦昰㈵戲晥㡣㙣㠰ㄵ搹㡤㔰㜶㘹㤶攴戶㥤㔹摡摤ㅤ换㜲ㅤ换㐰挶㌲㐸㘲㔱户攸戰〷摢㔰㤸㔵昸㔷㘸攸ㅥ㐴㜵慢㕤搵搵ㄱ摦愱挳搸搳づ㐳慥㡦慢㜵ㄸ㝢㐱㙢敥捤㔸㉡㙢㜹㈷摣愵搹㤳㕢㘷㘶㙦ㅦ㜷㉣昷敡㔸昶㘵㉣㐳慣㔸ㅥ散敡㔸ㅥ挶づ愴㔵つ㜵挷昲㠸㡥㘵㍦挶ㄲ戰㘲攱㍤㙣㤷收攵㐹ㅤ㑢搰ㅤぢ㙦㝥愵㠵㠷ㄸ㑢搸㡡攵改慥㡥㘵㠳㡥㈵攲㡥㠵㜷戶ㄲ㑢㤴戱挴慣㔸㥥敢敡㔸攴㜶㤵敤㈵敥㡥攵㜷㍡㤶〴㘳愹㤷㔸㤴摣㤹ㄲ扡扦つ挵㌶㝥㙤㑥㐳㝦㑡㔴户㕡摥㈴㜶㈹㤳扣摢㤴㉢搷〱搸愱㝡〵㈵㘹㘳挳散愰攴摣㝢㔵〷㜵㈰戴收㜰㐶㔶㔹换晢挱㉥㡤㑣㙥㈰㤹愰ㄱ敥㔸摥搲戱㡣㘴㉣愳慣㔸摥敤敡㔸攴敥㤰戱㡣㜶挷挲扢㐴㘹㘳㘳ㄸ换㐱㔶㉣扣㤳敢搲扣挸慤ㅦ㘳ㄹ敢㡥㠵户㠰ㄲ换㌸挶㌲摥㡡㠵户㘹㕤ㅡ㡢摣搷㌱㤶〹敥㔸㜸㝦㈷戱ㅣ捣㔸づ戱㘲攱㍤㔸㤷挶㈲㌷㙤㡣㘵愲㍢ㄶ摥扣㐹㉣㤳ㄸ换㘴㉢ㄶ摥㘰㜵㘹㉣㜲㐷挶㔸づ㜵挷挲㍢㌳㠹攵㌰挶㜲戸ㄵぢ敦㥥扡㌴ㄶ戹摤㘲㉣㔳戰㈷扥攴㥣收㙤㤷挴㌲ㄵㅢ收㌴㠸㕥㤵㑡敥㑦㠰㌰㡦㐰㤹搷〱扥晤扣㑦㈱戴㔷㤵攲捤㠹摣㌲摥㘱摦〰㡥㠲扥㐶㘱㕣㑡㔷摣㙥㔷昸㔱㘱ㅥ〵慤㥦户ㄶ戶㌹敦㈷挴晣戶㈲㜳摥㘳㐸挵㑡户昹戱㌴攷摤㠰㙤捥㕢〰㐱慤㈸㌲攷㙤㠱㔴摣攲㌶㍦㠱收散挰摢收散戵ぢ敡收㈲㜳昶攴愵攲㈶户㜹㤲收散㜳摢收散㘸ぢ敡㠶㈲㜳㜶扥愵攲㝡户㜹㠶收散㈶摢收散ㅢぢ敡摡㈲㜳昶㤷愵攲ㅡ户昹㠹㌴㘷捦搶㌶㘷㜷㔶㔰换㡡捣搹挵㤵㡡慢摤收戳愱㔵搲ㄹ㈵て㜳㔸挲㠶搰挹㑥愹敤㤴㍤㔱戱扤愲挸㈹㝢愷㔲昱㜳户搳㘶㘸晤散㐷摡收散㍣ち敡戲㈲㜳㜶㈸愵攲㔲户昹㐹㌴搷㝤㑢挵敥愴㘰㤶ㄶㅡ晢搹敤戳㜷挰扥㥥㘰㉥㉥挴㈸昶晦愴攲㈲昷づ收㐱敢㘷㑦捤㌶㘷昷㑣㔰ㄷㄴ㤹戳换㈶ㄵ攷扢捤ㄷ搲㥣㥤㉢摢㥣㍤㉡㐱㥤㕢㘴捥㕥㤶㔴㉣㜱㥢晦㡣收散て搹收散〴〹敡散㈲㜳㜶㡣愴攲㉣户昹㘲㥡戳ぢ㘳㥢戳摦㈲愸㌳㡡捣搹㤷㤱㡡搳摤收㘷搰㥣扤づ摢㥣㕤つ㐱㉤㉥㌲㘷昷㐳㉡㑥㜵㥢㥦㑤㜳摤ㄳ㔱散㝣〸收㘷㐵挶搲㐹㘰㡢㕡〲㠴搳愲搸㔹戰㜷换ㅥ㠲㔸㉥㉡戲㘴慦㐱㉡ㄶ扡㜷㝢㍥戴㝥㝥扥摢收㈳㌵㙡㝥㤱㌹㍦攸挵㝣㥥摢晣㈲㥡昳㈳搹㌶攷攷戰愰摡㡡捣昹搹㉣ㄵ慤㙥昳㑢㘸捥㑦㔱摢㥣ㅦ㥤㠲㥡㕢㘴捥㡦㔳愹㘸㜱㥢㕦㑥㜳㝥昰搹收晣戴ㄳ㔴㔳㤱㌹㍦〱愵愲搱㙤㝥㈵捤昹㔹㘵㥢昳〳㑡㔰戳㡢捣昹愱㈵ㄵつ㙥昳㘵㌴攷挷㡢㙤捥捦ㄴ㐱㥤㔸㘴捥捦ㄹ愹挸戹捤慦愵㌹㍦ㄱ㙣㜳㝥っ〸㉡㔳㘴捥㡦〶愹㐸扢捤㙦愰昹ㄱ戶戹㜹㈳㌶㌰昹敢㈸晣㈷㈳㝣㌷㘱㐳ㅤ慢㑢㌷戳㜴㠲㉥㉤㘷㈹愹㑢户戰挴㑢愵搸慤㘰㠹㔷㍥㈹摤捡ㄲ㉦㘴㔲㕡㠹つ㍦㉦㘴っ搸扣つㅢ搸㈳慦㐸㔲扢ちㅢ㡡ㄷㄸ㈹摤捥ㄲ慦〶㔲扡㠳㈵㥥摣㔲㕡捤ㄲ捦㔵㈹摤挹ㄲ㑦㍤㈹晤㤲㈵㥥㐹㔲扡㡢㈵㥥ㄸ㔲扡ㅢㅢ㝥㌶㝢搹扦㝤挴㙣扦㔲㝢て㌶ㄴ㥢愳㤴敥㘵㠹慤㑢㑡昷戱挴挶㈲愵晢㔹㈲昷㔲㝡㠰㈵㔲㈹愵〷㔹㈲㌳㔲㝡㠸㈵㈶㕡㑡て㘳愳㥡扢敤㘰㤲搵㘱搹搶㜴戶戹扤愱㌱换㐹㕥攸攴㔴昴㙡ㅡ㍤慦慤扤挵㥡㠷搶㔶㉤㌳捦㑡㘷愶昵㈱㝣㥦〲愸捦㔲㔱搶㕡㥢捥ㄴ戵ㅥ㜶ㄵ攷戴晤户昳搳扡㈳㝢㝣㘳㜶㜴扦㡥愷愸㔹搳搳㍡㠷戲攷愶㍤㠲散昸㌸敢㕡㤹昹㑤㈹㉢㘹㤱愸㌱ぢ㝥㉢㐹㕡㘶㠹㔶㕡㘸㠹㔶㕡㙡㠹㔶㕡㙣㠹㔶㕡㙥㠹㤶㉤㤸搷捣挲ㄸ搸㤲㐹慢昹㔸㍥晡晣愶ㄵ扤戴敥ㄲ㑢㘹攵㈵㕡㘹敤㈵㕡㘹昵㈵㕡㘹晤㈵㕡㌹ぢ㑡戴㜲㌶㤴㘸㜹㔶㤴ㅥ㤳㥣つ㈵㔸㌹㉢㑡戴㜲㜶㤴㘸攵㉣㈹搱捡搹㔲愲㤵戳愶㐴㉢㘷㑦㠹㤶㘷㔱㐹扣戵㙣㉤㝣ち捣㙣攳戵㘹戸晥㥥戹ㄷ㥥攷敢攳攱戵㘴愴㐳㐴㡦晦〳愹慦搷昱</t>
  </si>
  <si>
    <t>Shoreline Projection Surveying</t>
  </si>
  <si>
    <t>Removed old data in cells P14:U14 which used the INDIRECT formula to pull information from the detail sheets on the old template.</t>
  </si>
  <si>
    <t>DLS (Dustin Sawyers) changes per review on JAN 26-29, 2024</t>
  </si>
  <si>
    <t>0 -Change Control Log</t>
  </si>
  <si>
    <t>Edited red box to remove "1:  Example risk detail sheet.".</t>
  </si>
  <si>
    <t>• 'H- Risk Model' - Cleared Template of example data only leaving enough to check it will run.
• 'H- Risk Model' - Added naming syntax notes over cells where Calculations and Crystal Ball Data are entered.
• 'H- Risk Model' - Highlighted the headers blue for calculated data and green to remind people where to start.
• Added Min Likely 80% to 1 Drop Down tab list on Risks and deleted the numerous extraneous risk types from drop down risk naming selections that we 99% of time do not use.
• Turned off auto display on the charts on all of the forecasts for the pareto analysis.
• Added a note on the D-Project Data  tab that shows where to enter the PROGRAMMED AMOUNT if you want to display it on the I-Project Contingency Tab.
• Added a note on the H-Risk Register- Model tabs as to where to change rounding of the  rages for the Cost &amp; Schedule impacts.
• Added a note on D-Project Data as where to set the confidence level for all of the charts/displayed values…i.e. CIVIL WORKS VS MILCON.</t>
  </si>
  <si>
    <t>If risk detail sheets are needed to help document complex risk items, recommend copying &amp; pasting the '", REF Risk Detail Template,"' tab and then renaming the new tab to the risk ID being evaluated (ex. '1', '2', '3', etc.).  Values from the detail sheets can be quickly referenced in the modeling fields of the risk register model.  Also, make sure to evaluate the cost impacts related to the schedule delays if not factored in on the detail sheet.</t>
  </si>
  <si>
    <t>Re-ran the CSRA so the results/charts reflect the current risk item &amp; results from modeling.  Had to adjust the best case to be a cost savings b/c model would not run otherwise (triangle assumption logic was +, 0, + which CB would not run.</t>
  </si>
  <si>
    <t>1-Drop Down List</t>
  </si>
  <si>
    <t>Unhid this sheet so folks can see the drop-down list.  Added Triangular back in b/c there are instances it is used if good historical information is available or for opportunities modeled as a triangular.</t>
  </si>
  <si>
    <t>Triangular</t>
  </si>
  <si>
    <t>The team needs to identify suggested risk reduction measures...Avoid, Escalate, Exploit, Transfer/Share, Mitigate/Enhance, or Accept.</t>
  </si>
  <si>
    <t>Recommend documenting risk quantification discussions if risk detail sheets are not used.  Recommend discussing logic on LV, ML, and HV assumptions regarding scope, cost, and schedule impacts.
Example:  Assume additional FOOH + EDC + CM costs during construction.</t>
  </si>
  <si>
    <t>This is a test risk.
Recommended best practices is to document what the risk is if it happens (if/then statement).</t>
  </si>
  <si>
    <t>REF 16 &amp; 30, column Y, had 50% and 30% for the TWO STEP.  Changed this to 100%.</t>
  </si>
  <si>
    <r>
      <rPr>
        <u/>
        <sz val="11"/>
        <color theme="1"/>
        <rFont val="Calibri"/>
        <family val="2"/>
        <scheme val="minor"/>
      </rPr>
      <t>Risk Event Description, PDT Discussion, &amp; Risk Quantification Discussions.</t>
    </r>
    <r>
      <rPr>
        <sz val="11"/>
        <color theme="1"/>
        <rFont val="Calibri"/>
        <family val="2"/>
        <scheme val="minor"/>
      </rPr>
      <t xml:space="preserve">  Added sentence on recommended best practice for documentation to help get the risk adequately discussed/documented.  This seemed to help folks get an idea on how to document.
</t>
    </r>
    <r>
      <rPr>
        <u/>
        <sz val="11"/>
        <color theme="1"/>
        <rFont val="Calibri"/>
        <family val="2"/>
        <scheme val="minor"/>
      </rPr>
      <t>Suggested Risk Reduction Measures.</t>
    </r>
    <r>
      <rPr>
        <sz val="11"/>
        <color theme="1"/>
        <rFont val="Calibri"/>
        <family val="2"/>
        <scheme val="minor"/>
      </rPr>
      <t xml:space="preserve">  Added sentence to emphasize getting with the team to document this information.</t>
    </r>
  </si>
  <si>
    <t>Enter first risk in this row .. IF YOU DELETE THIS ROW IT COULD MAKE SOME OF THE FORMULAS NOT WORK.
Recommended best practice is to state what the current design, estimate, and schedule assumptions are and challenge your team on the Low Variance (LV) and High Variance (HV) ranges.</t>
  </si>
  <si>
    <t>2)  Attendees list and attendance documentation</t>
  </si>
  <si>
    <t>3)  Intro to Risk (maybe use the "cost risk quick" template</t>
  </si>
  <si>
    <t>4)  Basis of Design/Scope, Basis of Estimate/Schedule, Changes to Estimate/Schedule Basis</t>
  </si>
  <si>
    <t>Mike Jacobs (USACE) DQC Dustin</t>
  </si>
  <si>
    <t>jhn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</si>
</sst>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2">
    <numFmt numFmtId="6" formatCode="&quot;$&quot;#,##0_);[Red]\(&quot;$&quot;#,##0\)"/>
    <numFmt numFmtId="42" formatCode="_(&quot;$&quot;* #,##0_);_(&quot;$&quot;* \(#,##0\);_(&quot;$&quot;* &quot;-&quot;_);_(@_)"/>
    <numFmt numFmtId="44" formatCode="_(&quot;$&quot;* #,##0.00_);_(&quot;$&quot;* \(#,##0.00\);_(&quot;$&quot;* &quot;-&quot;??_);_(@_)"/>
    <numFmt numFmtId="164" formatCode="000"/>
    <numFmt numFmtId="165" formatCode="0#"/>
    <numFmt numFmtId="166" formatCode="mmmm\ yyyy"/>
    <numFmt numFmtId="167" formatCode="&quot;$&quot;#,###\k"/>
    <numFmt numFmtId="168" formatCode="&quot;$&quot;#,##0"/>
    <numFmt numFmtId="169" formatCode="0%\ &quot;Total&quot;"/>
    <numFmt numFmtId="170" formatCode="0%\ &quot;Confidence ($)&quot;"/>
    <numFmt numFmtId="171" formatCode="0%\ &quot;Confidence&quot;"/>
    <numFmt numFmtId="172" formatCode="0%\ &quot;Finish Date&quot;"/>
    <numFmt numFmtId="173" formatCode="0.0\ &quot;Months&quot;"/>
    <numFmt numFmtId="174" formatCode="&quot;$&quot;#,##0.00"/>
    <numFmt numFmtId="175" formatCode="0.0%"/>
    <numFmt numFmtId="176" formatCode="&quot;$&quot;#,##0.00,,\ &quot;M&quot;"/>
    <numFmt numFmtId="177" formatCode="[$-409]mmmm\ d\,\ yyyy;@"/>
    <numFmt numFmtId="178" formatCode="#,##0.00\ &quot;MO&quot;"/>
    <numFmt numFmtId="179" formatCode="0\ &quot;Mo&quot;"/>
    <numFmt numFmtId="180" formatCode="0\ &quot;Months&quot;"/>
    <numFmt numFmtId="181" formatCode="0.00\ &quot;MO&quot;"/>
    <numFmt numFmtId="182" formatCode="#,##0\ ;\(#,##0\)"/>
    <numFmt numFmtId="183" formatCode="#,##0.0000"/>
    <numFmt numFmtId="184" formatCode="0%\ &quot;Confidence Project Schedule&quot;"/>
    <numFmt numFmtId="185" formatCode="0%\ &quot;Confidence Project Cost&quot;"/>
    <numFmt numFmtId="186" formatCode="&quot; -&gt;&quot;"/>
    <numFmt numFmtId="187" formatCode="&quot;Base Estimate w/ Contingency (&quot;0%&quot; Confidence)&quot;"/>
    <numFmt numFmtId="188" formatCode="&quot;Base Schedule w/ Contingency (&quot;0%&quot; Confidence)&quot;"/>
    <numFmt numFmtId="189" formatCode="&quot;Base Finish Date w/ Contingency (&quot;0%&quot; Confidence)&quot;"/>
    <numFmt numFmtId="190" formatCode="&quot;Cost&quot;"/>
    <numFmt numFmtId="191" formatCode="0000"/>
    <numFmt numFmtId="192" formatCode="#,##0.0\ &quot;MO&quot;"/>
  </numFmts>
  <fonts count="44" x14ac:knownFonts="1">
    <font>
      <sz val="11"/>
      <color theme="1"/>
      <name val="Calibri"/>
      <family val="2"/>
      <scheme val="minor"/>
    </font>
    <font>
      <sz val="11"/>
      <color theme="1"/>
      <name val="Calibri"/>
      <family val="2"/>
      <scheme val="minor"/>
    </font>
    <font>
      <sz val="11"/>
      <color rgb="FF3F3F76"/>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6"/>
      <color theme="1"/>
      <name val="Calibri"/>
      <family val="2"/>
      <scheme val="minor"/>
    </font>
    <font>
      <b/>
      <sz val="11"/>
      <name val="Calibri"/>
      <family val="2"/>
      <scheme val="minor"/>
    </font>
    <font>
      <b/>
      <u/>
      <sz val="11"/>
      <name val="Calibri"/>
      <family val="2"/>
      <scheme val="minor"/>
    </font>
    <font>
      <b/>
      <sz val="14"/>
      <name val="Calibri"/>
      <family val="2"/>
      <scheme val="minor"/>
    </font>
    <font>
      <b/>
      <sz val="16"/>
      <name val="Calibri"/>
      <family val="2"/>
      <scheme val="minor"/>
    </font>
    <font>
      <i/>
      <sz val="11"/>
      <name val="Calibri"/>
      <family val="2"/>
      <scheme val="minor"/>
    </font>
    <font>
      <b/>
      <sz val="11"/>
      <color theme="4"/>
      <name val="Calibri"/>
      <family val="2"/>
      <scheme val="minor"/>
    </font>
    <font>
      <sz val="14"/>
      <color theme="1"/>
      <name val="Calibri"/>
      <family val="2"/>
      <scheme val="minor"/>
    </font>
    <font>
      <sz val="16"/>
      <name val="Calibri"/>
      <family val="2"/>
      <scheme val="minor"/>
    </font>
    <font>
      <sz val="16"/>
      <color theme="1"/>
      <name val="Calibri"/>
      <family val="2"/>
      <scheme val="minor"/>
    </font>
    <font>
      <b/>
      <sz val="11"/>
      <color theme="4" tint="-0.249977111117893"/>
      <name val="Calibri"/>
      <family val="2"/>
      <scheme val="minor"/>
    </font>
    <font>
      <b/>
      <sz val="11"/>
      <color rgb="FF0000FF"/>
      <name val="Calibri"/>
      <family val="2"/>
      <scheme val="minor"/>
    </font>
    <font>
      <i/>
      <sz val="11"/>
      <color theme="1"/>
      <name val="Calibri"/>
      <family val="2"/>
      <scheme val="minor"/>
    </font>
    <font>
      <sz val="9"/>
      <name val="Calibri"/>
      <family val="2"/>
      <scheme val="minor"/>
    </font>
    <font>
      <sz val="11"/>
      <color rgb="FF000000"/>
      <name val="Calibri"/>
      <family val="2"/>
      <scheme val="minor"/>
    </font>
    <font>
      <i/>
      <sz val="9"/>
      <color theme="1"/>
      <name val="Calibri"/>
      <family val="2"/>
      <scheme val="minor"/>
    </font>
    <font>
      <b/>
      <sz val="11"/>
      <color indexed="9"/>
      <name val="Calibri"/>
      <family val="2"/>
      <scheme val="minor"/>
    </font>
    <font>
      <b/>
      <sz val="14"/>
      <color theme="0"/>
      <name val="Calibri"/>
      <family val="2"/>
      <scheme val="minor"/>
    </font>
    <font>
      <sz val="11"/>
      <color indexed="8"/>
      <name val="Calibri"/>
      <family val="2"/>
      <scheme val="minor"/>
    </font>
    <font>
      <sz val="11"/>
      <color indexed="9"/>
      <name val="Calibri"/>
      <family val="2"/>
      <scheme val="minor"/>
    </font>
    <font>
      <sz val="16"/>
      <color indexed="9"/>
      <name val="Calibri"/>
      <family val="2"/>
      <scheme val="minor"/>
    </font>
    <font>
      <sz val="11"/>
      <color theme="0" tint="-0.499984740745262"/>
      <name val="Calibri"/>
      <family val="2"/>
      <scheme val="minor"/>
    </font>
    <font>
      <sz val="11"/>
      <color rgb="FFFFFFCC"/>
      <name val="Calibri"/>
      <family val="2"/>
      <scheme val="minor"/>
    </font>
    <font>
      <b/>
      <sz val="14"/>
      <color theme="0" tint="-0.14999847407452621"/>
      <name val="Calibri"/>
      <family val="2"/>
      <scheme val="minor"/>
    </font>
    <font>
      <b/>
      <u/>
      <sz val="11"/>
      <color theme="1"/>
      <name val="Calibri"/>
      <family val="2"/>
      <scheme val="minor"/>
    </font>
    <font>
      <b/>
      <i/>
      <sz val="11"/>
      <color theme="1"/>
      <name val="Calibri"/>
      <family val="2"/>
      <scheme val="minor"/>
    </font>
    <font>
      <b/>
      <i/>
      <sz val="11"/>
      <name val="Calibri"/>
      <family val="2"/>
      <scheme val="minor"/>
    </font>
    <font>
      <b/>
      <sz val="11"/>
      <color theme="0" tint="-0.14999847407452621"/>
      <name val="Calibri"/>
      <family val="2"/>
      <scheme val="minor"/>
    </font>
    <font>
      <sz val="11"/>
      <color theme="0" tint="-0.14999847407452621"/>
      <name val="Calibri"/>
      <family val="2"/>
      <scheme val="minor"/>
    </font>
    <font>
      <b/>
      <u/>
      <sz val="11"/>
      <color theme="0" tint="-0.14999847407452621"/>
      <name val="Calibri"/>
      <family val="2"/>
      <scheme val="minor"/>
    </font>
    <font>
      <u/>
      <sz val="11"/>
      <color theme="10"/>
      <name val="Calibri"/>
      <family val="2"/>
      <scheme val="minor"/>
    </font>
    <font>
      <sz val="11"/>
      <color rgb="FF0000FF"/>
      <name val="Calibri"/>
      <family val="2"/>
      <scheme val="minor"/>
    </font>
    <font>
      <b/>
      <u/>
      <sz val="11"/>
      <color rgb="FF0000FF"/>
      <name val="Calibri"/>
      <family val="2"/>
      <scheme val="minor"/>
    </font>
    <font>
      <b/>
      <u/>
      <sz val="11"/>
      <color rgb="FF000000"/>
      <name val="Calibri"/>
      <family val="2"/>
      <scheme val="minor"/>
    </font>
    <font>
      <sz val="11"/>
      <color rgb="FFFF0000"/>
      <name val="Calibri"/>
      <family val="2"/>
      <scheme val="minor"/>
    </font>
    <font>
      <b/>
      <sz val="14"/>
      <color theme="1"/>
      <name val="Calibri"/>
      <family val="2"/>
      <scheme val="minor"/>
    </font>
    <font>
      <u/>
      <sz val="11"/>
      <color theme="1"/>
      <name val="Calibri"/>
      <family val="2"/>
      <scheme val="minor"/>
    </font>
  </fonts>
  <fills count="43">
    <fill>
      <patternFill patternType="none"/>
    </fill>
    <fill>
      <patternFill patternType="gray125"/>
    </fill>
    <fill>
      <patternFill patternType="solid">
        <fgColor theme="0" tint="-0.14999847407452621"/>
        <bgColor theme="0" tint="-0.14999847407452621"/>
      </patternFill>
    </fill>
    <fill>
      <patternFill patternType="solid">
        <fgColor theme="6"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F2F2F2"/>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1"/>
        <bgColor indexed="64"/>
      </patternFill>
    </fill>
    <fill>
      <patternFill patternType="solid">
        <fgColor indexed="9"/>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rgb="FFFFFFCC"/>
        <bgColor indexed="64"/>
      </patternFill>
    </fill>
    <fill>
      <patternFill patternType="solid">
        <fgColor theme="0"/>
        <bgColor theme="4" tint="0.79998168889431442"/>
      </patternFill>
    </fill>
    <fill>
      <gradientFill degree="90">
        <stop position="0">
          <color theme="6" tint="0.80001220740379042"/>
        </stop>
        <stop position="1">
          <color theme="6" tint="0.40000610370189521"/>
        </stop>
      </gradientFill>
    </fill>
    <fill>
      <patternFill patternType="solid">
        <fgColor rgb="FF00FFFF"/>
        <bgColor indexed="64"/>
      </patternFill>
    </fill>
    <fill>
      <patternFill patternType="solid">
        <fgColor rgb="FFFFC000"/>
        <bgColor indexed="64"/>
      </patternFill>
    </fill>
    <fill>
      <patternFill patternType="solid">
        <fgColor theme="1"/>
        <bgColor theme="4"/>
      </patternFill>
    </fill>
    <fill>
      <patternFill patternType="solid">
        <fgColor rgb="FFFF0000"/>
        <bgColor auto="1"/>
      </patternFill>
    </fill>
    <fill>
      <patternFill patternType="solid">
        <fgColor theme="6" tint="0.39994506668294322"/>
        <bgColor indexed="64"/>
      </patternFill>
    </fill>
    <fill>
      <patternFill patternType="solid">
        <fgColor rgb="FFFFFF00"/>
        <bgColor indexed="64"/>
      </patternFill>
    </fill>
    <fill>
      <patternFill patternType="solid">
        <fgColor indexed="42"/>
        <bgColor indexed="64"/>
      </patternFill>
    </fill>
    <fill>
      <gradientFill degree="90">
        <stop position="0">
          <color rgb="FFFFFFCC"/>
        </stop>
        <stop position="1">
          <color rgb="FFFFFF99"/>
        </stop>
      </gradientFill>
    </fill>
    <fill>
      <patternFill patternType="solid">
        <fgColor theme="9" tint="0.59999389629810485"/>
        <bgColor indexed="64"/>
      </patternFill>
    </fill>
    <fill>
      <patternFill patternType="solid">
        <fgColor theme="8" tint="0.59999389629810485"/>
        <bgColor auto="1"/>
      </patternFill>
    </fill>
    <fill>
      <patternFill patternType="solid">
        <fgColor theme="0" tint="-0.14996795556505021"/>
        <bgColor auto="1"/>
      </patternFill>
    </fill>
    <fill>
      <patternFill patternType="solid">
        <fgColor theme="8" tint="0.39997558519241921"/>
        <bgColor indexed="64"/>
      </patternFill>
    </fill>
    <fill>
      <patternFill patternType="solid">
        <fgColor rgb="FFFFC000"/>
        <bgColor auto="1"/>
      </patternFill>
    </fill>
    <fill>
      <patternFill patternType="solid">
        <fgColor theme="0" tint="-0.14999847407452621"/>
        <bgColor auto="1"/>
      </patternFill>
    </fill>
    <fill>
      <patternFill patternType="solid">
        <fgColor theme="2" tint="-9.9978637043366805E-2"/>
        <bgColor indexed="64"/>
      </patternFill>
    </fill>
    <fill>
      <patternFill patternType="solid">
        <fgColor rgb="FFA29791"/>
        <bgColor indexed="64"/>
      </patternFill>
    </fill>
    <fill>
      <patternFill patternType="solid">
        <fgColor indexed="65"/>
        <bgColor indexed="64"/>
      </patternFill>
    </fill>
    <fill>
      <patternFill patternType="solid">
        <fgColor theme="2" tint="-0.499984740745262"/>
        <bgColor indexed="64"/>
      </patternFill>
    </fill>
    <fill>
      <patternFill patternType="solid">
        <fgColor theme="0" tint="-0.14999847407452621"/>
        <bgColor theme="4" tint="0.79998168889431442"/>
      </patternFill>
    </fill>
    <fill>
      <patternFill patternType="solid">
        <fgColor rgb="FF00B050"/>
        <bgColor indexed="64"/>
      </patternFill>
    </fill>
    <fill>
      <patternFill patternType="solid">
        <fgColor rgb="FF00FF00"/>
        <bgColor indexed="64"/>
      </patternFill>
    </fill>
    <fill>
      <patternFill patternType="solid">
        <fgColor rgb="FF00B0F0"/>
        <bgColor indexed="64"/>
      </patternFill>
    </fill>
  </fills>
  <borders count="112">
    <border>
      <left/>
      <right/>
      <top/>
      <bottom/>
      <diagonal/>
    </border>
    <border>
      <left style="thin">
        <color rgb="FF7F7F7F"/>
      </left>
      <right style="thin">
        <color rgb="FF7F7F7F"/>
      </right>
      <top style="thin">
        <color rgb="FF7F7F7F"/>
      </top>
      <bottom style="thin">
        <color rgb="FF7F7F7F"/>
      </bottom>
      <diagonal/>
    </border>
    <border>
      <left/>
      <right/>
      <top style="thin">
        <color theme="1"/>
      </top>
      <bottom style="thin">
        <color theme="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top/>
      <bottom style="double">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style="thin">
        <color indexed="64"/>
      </bottom>
      <diagonal/>
    </border>
    <border>
      <left style="medium">
        <color indexed="64"/>
      </left>
      <right/>
      <top style="thin">
        <color auto="1"/>
      </top>
      <bottom style="thin">
        <color auto="1"/>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style="thin">
        <color auto="1"/>
      </bottom>
      <diagonal/>
    </border>
    <border>
      <left/>
      <right style="thin">
        <color indexed="64"/>
      </right>
      <top/>
      <bottom/>
      <diagonal/>
    </border>
    <border>
      <left/>
      <right style="thin">
        <color indexed="64"/>
      </right>
      <top/>
      <bottom style="thin">
        <color auto="1"/>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thin">
        <color auto="1"/>
      </top>
      <bottom/>
      <diagonal/>
    </border>
    <border>
      <left style="thin">
        <color indexed="9"/>
      </left>
      <right/>
      <top style="thin">
        <color indexed="9"/>
      </top>
      <bottom style="thin">
        <color indexed="9"/>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auto="1"/>
      </top>
      <bottom style="thin">
        <color auto="1"/>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right style="medium">
        <color indexed="64"/>
      </right>
      <top style="thin">
        <color auto="1"/>
      </top>
      <bottom style="thin">
        <color indexed="64"/>
      </bottom>
      <diagonal/>
    </border>
    <border>
      <left style="medium">
        <color indexed="64"/>
      </left>
      <right/>
      <top style="thin">
        <color auto="1"/>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right/>
      <top style="thin">
        <color theme="1"/>
      </top>
      <bottom/>
      <diagonal/>
    </border>
    <border>
      <left/>
      <right/>
      <top style="thin">
        <color theme="1"/>
      </top>
      <bottom style="medium">
        <color theme="1"/>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diagonal/>
    </border>
    <border>
      <left/>
      <right/>
      <top style="medium">
        <color theme="1"/>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top style="medium">
        <color theme="1"/>
      </top>
      <bottom style="medium">
        <color theme="1"/>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auto="1"/>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double">
        <color indexed="64"/>
      </bottom>
      <diagonal/>
    </border>
    <border>
      <left/>
      <right/>
      <top style="medium">
        <color auto="1"/>
      </top>
      <bottom style="thin">
        <color theme="0"/>
      </bottom>
      <diagonal/>
    </border>
    <border>
      <left style="medium">
        <color indexed="64"/>
      </left>
      <right style="medium">
        <color indexed="64"/>
      </right>
      <top/>
      <bottom style="thin">
        <color indexed="64"/>
      </bottom>
      <diagonal/>
    </border>
    <border>
      <left/>
      <right/>
      <top/>
      <bottom style="thin">
        <color indexed="64"/>
      </bottom>
      <diagonal/>
    </border>
    <border>
      <left style="thin">
        <color indexed="64"/>
      </left>
      <right/>
      <top style="medium">
        <color indexed="64"/>
      </top>
      <bottom style="medium">
        <color indexed="64"/>
      </bottom>
      <diagonal/>
    </border>
    <border>
      <left style="thin">
        <color indexed="23"/>
      </left>
      <right/>
      <top/>
      <bottom/>
      <diagonal/>
    </border>
    <border>
      <left style="thin">
        <color indexed="23"/>
      </left>
      <right style="thin">
        <color indexed="23"/>
      </right>
      <top style="thin">
        <color indexed="23"/>
      </top>
      <bottom style="thin">
        <color indexed="23"/>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9"/>
      </right>
      <top/>
      <bottom style="thin">
        <color indexed="9"/>
      </bottom>
      <diagonal/>
    </border>
    <border>
      <left style="thin">
        <color indexed="9"/>
      </left>
      <right style="thin">
        <color indexed="9"/>
      </right>
      <top/>
      <bottom style="thin">
        <color indexed="9"/>
      </bottom>
      <diagonal/>
    </border>
    <border>
      <left style="thin">
        <color indexed="9"/>
      </left>
      <right/>
      <top/>
      <bottom style="thin">
        <color indexed="9"/>
      </bottom>
      <diagonal/>
    </border>
    <border>
      <left/>
      <right/>
      <top style="medium">
        <color indexed="64"/>
      </top>
      <bottom style="double">
        <color indexed="64"/>
      </bottom>
      <diagonal/>
    </border>
    <border>
      <left style="medium">
        <color indexed="64"/>
      </left>
      <right/>
      <top style="medium">
        <color indexed="64"/>
      </top>
      <bottom style="double">
        <color indexed="64"/>
      </bottom>
      <diagonal/>
    </border>
  </borders>
  <cellStyleXfs count="8">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18" borderId="1" applyNumberFormat="0" applyFont="0" applyBorder="0" applyAlignment="0" applyProtection="0"/>
    <xf numFmtId="0" fontId="3" fillId="14" borderId="0" applyNumberFormat="0" applyBorder="0" applyAlignment="0" applyProtection="0">
      <alignment horizontal="left"/>
    </xf>
    <xf numFmtId="0" fontId="3" fillId="38" borderId="0" applyNumberFormat="0" applyBorder="0" applyAlignment="0" applyProtection="0">
      <alignment horizontal="left"/>
    </xf>
    <xf numFmtId="0" fontId="3" fillId="36" borderId="0" applyNumberFormat="0" applyBorder="0" applyAlignment="0" applyProtection="0">
      <alignment horizontal="left"/>
    </xf>
    <xf numFmtId="0" fontId="37" fillId="0" borderId="0" applyNumberFormat="0" applyFill="0" applyBorder="0" applyAlignment="0" applyProtection="0"/>
  </cellStyleXfs>
  <cellXfs count="1072">
    <xf numFmtId="0" fontId="0" fillId="0" borderId="0" xfId="0"/>
    <xf numFmtId="0" fontId="1" fillId="0" borderId="0" xfId="0" applyFont="1"/>
    <xf numFmtId="0" fontId="5" fillId="0" borderId="0" xfId="0" applyFont="1" applyAlignment="1">
      <alignment horizontal="center"/>
    </xf>
    <xf numFmtId="164" fontId="6" fillId="0" borderId="0" xfId="0" applyNumberFormat="1" applyFont="1" applyAlignment="1">
      <alignment horizontal="center" vertical="top"/>
    </xf>
    <xf numFmtId="14" fontId="6" fillId="0" borderId="0" xfId="0" applyNumberFormat="1" applyFont="1" applyAlignment="1">
      <alignment horizontal="center" vertical="top"/>
    </xf>
    <xf numFmtId="0" fontId="6" fillId="0" borderId="0" xfId="0" applyFont="1" applyAlignment="1">
      <alignment horizontal="left" vertical="top" wrapText="1"/>
    </xf>
    <xf numFmtId="0" fontId="6" fillId="0" borderId="0" xfId="0" applyFont="1" applyAlignment="1">
      <alignment horizontal="center" vertical="top"/>
    </xf>
    <xf numFmtId="0" fontId="7" fillId="0" borderId="0" xfId="0" applyFont="1"/>
    <xf numFmtId="0" fontId="6" fillId="0" borderId="0" xfId="0" applyFont="1"/>
    <xf numFmtId="0" fontId="8" fillId="0" borderId="0" xfId="0" applyFont="1" applyAlignment="1">
      <alignment horizontal="center"/>
    </xf>
    <xf numFmtId="0" fontId="8" fillId="0" borderId="0" xfId="0" applyFont="1" applyAlignment="1">
      <alignment horizontal="center" vertical="top"/>
    </xf>
    <xf numFmtId="0" fontId="6" fillId="3" borderId="0" xfId="0" applyFont="1" applyFill="1" applyAlignment="1">
      <alignment horizontal="left" vertical="center" indent="1"/>
    </xf>
    <xf numFmtId="0" fontId="6" fillId="3" borderId="0" xfId="0" applyFont="1" applyFill="1" applyAlignment="1">
      <alignment horizontal="left" vertical="center" indent="5"/>
    </xf>
    <xf numFmtId="0" fontId="6" fillId="3" borderId="0" xfId="0" applyFont="1" applyFill="1"/>
    <xf numFmtId="0" fontId="6" fillId="3" borderId="3" xfId="0" applyFont="1" applyFill="1" applyBorder="1" applyAlignment="1">
      <alignment horizontal="center" vertical="center"/>
    </xf>
    <xf numFmtId="0" fontId="6" fillId="3" borderId="0" xfId="0" applyFont="1" applyFill="1" applyAlignment="1">
      <alignment vertical="center"/>
    </xf>
    <xf numFmtId="0" fontId="6" fillId="0" borderId="6" xfId="0" applyFont="1" applyBorder="1" applyAlignment="1">
      <alignment horizontal="center" vertical="top" wrapText="1"/>
    </xf>
    <xf numFmtId="0" fontId="6" fillId="4" borderId="5" xfId="0" applyFont="1" applyFill="1" applyBorder="1" applyAlignment="1">
      <alignment horizontal="center" vertical="top" wrapText="1"/>
    </xf>
    <xf numFmtId="165" fontId="6" fillId="0" borderId="5" xfId="0" applyNumberFormat="1" applyFont="1" applyBorder="1" applyAlignment="1">
      <alignment horizontal="center" vertical="top" wrapText="1"/>
    </xf>
    <xf numFmtId="0" fontId="6" fillId="0" borderId="4" xfId="0" applyFont="1" applyBorder="1" applyAlignment="1">
      <alignment horizontal="left" vertical="center" wrapText="1"/>
    </xf>
    <xf numFmtId="0" fontId="6" fillId="0" borderId="4" xfId="0" applyFont="1" applyBorder="1" applyAlignment="1">
      <alignment horizontal="left" vertical="center" wrapText="1" indent="1"/>
    </xf>
    <xf numFmtId="0" fontId="6" fillId="0" borderId="4" xfId="0" applyFont="1" applyBorder="1" applyAlignment="1">
      <alignment horizontal="left" vertical="top" wrapText="1"/>
    </xf>
    <xf numFmtId="0" fontId="6" fillId="0" borderId="4" xfId="0" applyFont="1" applyBorder="1" applyAlignment="1">
      <alignment horizontal="left" vertical="top" wrapText="1" indent="1"/>
    </xf>
    <xf numFmtId="0" fontId="6" fillId="0" borderId="4" xfId="0" applyFont="1" applyBorder="1" applyAlignment="1">
      <alignment wrapText="1"/>
    </xf>
    <xf numFmtId="0" fontId="6" fillId="0" borderId="4" xfId="0" applyFont="1" applyBorder="1" applyAlignment="1">
      <alignment horizontal="left" wrapText="1" indent="1"/>
    </xf>
    <xf numFmtId="0" fontId="8" fillId="0" borderId="4" xfId="0" applyFont="1" applyBorder="1" applyAlignment="1">
      <alignment horizontal="left" vertical="center" wrapText="1"/>
    </xf>
    <xf numFmtId="0" fontId="8" fillId="0" borderId="4" xfId="0" applyFont="1" applyBorder="1" applyAlignment="1">
      <alignment horizontal="left" vertical="top" wrapText="1"/>
    </xf>
    <xf numFmtId="0" fontId="6" fillId="0" borderId="0" xfId="0" applyFont="1" applyAlignment="1">
      <alignment wrapText="1"/>
    </xf>
    <xf numFmtId="0" fontId="6" fillId="4" borderId="0" xfId="0" applyFont="1" applyFill="1"/>
    <xf numFmtId="0" fontId="6" fillId="4" borderId="0" xfId="0" applyFont="1" applyFill="1" applyAlignment="1">
      <alignment horizontal="right" vertical="center" indent="1"/>
    </xf>
    <xf numFmtId="0" fontId="6" fillId="4" borderId="0" xfId="0" applyFont="1" applyFill="1" applyAlignment="1">
      <alignment horizontal="right" vertical="center"/>
    </xf>
    <xf numFmtId="0" fontId="14" fillId="0" borderId="0" xfId="0" applyFont="1"/>
    <xf numFmtId="0" fontId="15" fillId="4" borderId="0" xfId="0" applyFont="1" applyFill="1"/>
    <xf numFmtId="0" fontId="11" fillId="4" borderId="7" xfId="0" applyFont="1" applyFill="1" applyBorder="1"/>
    <xf numFmtId="0" fontId="15" fillId="4" borderId="7" xfId="0" applyFont="1" applyFill="1" applyBorder="1"/>
    <xf numFmtId="0" fontId="16" fillId="0" borderId="0" xfId="0" applyFont="1"/>
    <xf numFmtId="1" fontId="0" fillId="0" borderId="0" xfId="0" applyNumberFormat="1"/>
    <xf numFmtId="1" fontId="0" fillId="8" borderId="0" xfId="0" applyNumberFormat="1" applyFill="1" applyAlignment="1">
      <alignment horizontal="center"/>
    </xf>
    <xf numFmtId="0" fontId="0" fillId="8" borderId="0" xfId="0" applyFill="1"/>
    <xf numFmtId="1" fontId="0" fillId="9" borderId="4" xfId="0" applyNumberFormat="1" applyFill="1" applyBorder="1" applyAlignment="1">
      <alignment horizontal="center" vertical="center"/>
    </xf>
    <xf numFmtId="1" fontId="0" fillId="8" borderId="23" xfId="0" applyNumberFormat="1" applyFill="1" applyBorder="1" applyAlignment="1">
      <alignment horizontal="center" vertical="center"/>
    </xf>
    <xf numFmtId="1" fontId="0" fillId="8" borderId="0" xfId="0" applyNumberFormat="1" applyFill="1" applyAlignment="1" applyProtection="1">
      <alignment horizontal="center"/>
      <protection hidden="1"/>
    </xf>
    <xf numFmtId="0" fontId="0" fillId="3" borderId="13" xfId="0" applyFill="1" applyBorder="1" applyAlignment="1">
      <alignment horizontal="center"/>
    </xf>
    <xf numFmtId="0" fontId="0" fillId="3" borderId="20" xfId="0" applyFill="1" applyBorder="1" applyAlignment="1">
      <alignment horizontal="center"/>
    </xf>
    <xf numFmtId="0" fontId="0" fillId="8" borderId="13" xfId="0" applyFill="1" applyBorder="1" applyAlignment="1">
      <alignment horizontal="right"/>
    </xf>
    <xf numFmtId="0" fontId="0" fillId="8" borderId="0" xfId="0" applyFill="1" applyAlignment="1">
      <alignment horizontal="left"/>
    </xf>
    <xf numFmtId="167" fontId="0" fillId="8" borderId="0" xfId="0" applyNumberFormat="1" applyFill="1"/>
    <xf numFmtId="0" fontId="8" fillId="8" borderId="0" xfId="0" applyFont="1" applyFill="1" applyAlignment="1">
      <alignment horizontal="right"/>
    </xf>
    <xf numFmtId="0" fontId="4" fillId="8" borderId="0" xfId="0" applyFont="1" applyFill="1" applyAlignment="1" applyProtection="1">
      <alignment horizontal="right"/>
      <protection locked="0"/>
    </xf>
    <xf numFmtId="0" fontId="4" fillId="8" borderId="0" xfId="0" applyFont="1" applyFill="1" applyAlignment="1">
      <alignment horizontal="right"/>
    </xf>
    <xf numFmtId="0" fontId="0" fillId="8" borderId="0" xfId="0" applyFill="1" applyAlignment="1">
      <alignment horizontal="center"/>
    </xf>
    <xf numFmtId="0" fontId="19" fillId="8" borderId="0" xfId="0" applyFont="1" applyFill="1" applyAlignment="1">
      <alignment horizontal="right" vertical="top"/>
    </xf>
    <xf numFmtId="0" fontId="19" fillId="8" borderId="0" xfId="0" applyFont="1" applyFill="1" applyAlignment="1">
      <alignment horizontal="center" vertical="top"/>
    </xf>
    <xf numFmtId="9" fontId="18" fillId="3" borderId="15" xfId="0" applyNumberFormat="1" applyFont="1" applyFill="1" applyBorder="1" applyAlignment="1" applyProtection="1">
      <alignment horizontal="center" vertical="center"/>
      <protection locked="0"/>
    </xf>
    <xf numFmtId="0" fontId="18" fillId="8" borderId="17" xfId="0" applyFont="1" applyFill="1" applyBorder="1" applyAlignment="1" applyProtection="1">
      <alignment vertical="center"/>
      <protection locked="0"/>
    </xf>
    <xf numFmtId="0" fontId="8" fillId="13" borderId="17" xfId="0" applyFont="1" applyFill="1" applyBorder="1" applyAlignment="1">
      <alignment vertical="center"/>
    </xf>
    <xf numFmtId="0" fontId="5" fillId="8" borderId="0" xfId="0" applyFont="1" applyFill="1" applyProtection="1">
      <protection hidden="1"/>
    </xf>
    <xf numFmtId="0" fontId="8" fillId="8" borderId="0" xfId="0" applyFont="1" applyFill="1"/>
    <xf numFmtId="0" fontId="4" fillId="8" borderId="20" xfId="0" applyFont="1" applyFill="1" applyBorder="1"/>
    <xf numFmtId="168" fontId="18" fillId="8" borderId="0" xfId="0" applyNumberFormat="1" applyFont="1" applyFill="1"/>
    <xf numFmtId="168" fontId="0" fillId="8" borderId="8" xfId="0" applyNumberFormat="1" applyFill="1" applyBorder="1"/>
    <xf numFmtId="168" fontId="4" fillId="12" borderId="10" xfId="0" applyNumberFormat="1" applyFont="1" applyFill="1" applyBorder="1"/>
    <xf numFmtId="168" fontId="0" fillId="3" borderId="5" xfId="0" applyNumberFormat="1" applyFill="1" applyBorder="1" applyAlignment="1">
      <alignment vertical="center"/>
    </xf>
    <xf numFmtId="168" fontId="0" fillId="3" borderId="14" xfId="0" applyNumberFormat="1" applyFill="1" applyBorder="1" applyAlignment="1">
      <alignment vertical="center"/>
    </xf>
    <xf numFmtId="168" fontId="0" fillId="3" borderId="0" xfId="0" applyNumberFormat="1" applyFill="1"/>
    <xf numFmtId="168" fontId="0" fillId="3" borderId="12" xfId="0" applyNumberFormat="1" applyFill="1" applyBorder="1"/>
    <xf numFmtId="168" fontId="0" fillId="3" borderId="8" xfId="0" applyNumberFormat="1" applyFill="1" applyBorder="1"/>
    <xf numFmtId="168" fontId="0" fillId="3" borderId="19" xfId="0" applyNumberFormat="1" applyFill="1" applyBorder="1"/>
    <xf numFmtId="168" fontId="0" fillId="3" borderId="16" xfId="0" applyNumberFormat="1" applyFill="1" applyBorder="1"/>
    <xf numFmtId="168" fontId="4" fillId="3" borderId="10" xfId="0" applyNumberFormat="1" applyFont="1" applyFill="1" applyBorder="1"/>
    <xf numFmtId="168" fontId="4" fillId="3" borderId="9" xfId="0" applyNumberFormat="1" applyFont="1" applyFill="1" applyBorder="1"/>
    <xf numFmtId="0" fontId="0" fillId="10" borderId="10" xfId="0" applyFill="1" applyBorder="1"/>
    <xf numFmtId="42" fontId="4" fillId="10" borderId="10" xfId="0" applyNumberFormat="1" applyFont="1" applyFill="1" applyBorder="1" applyAlignment="1">
      <alignment horizontal="right"/>
    </xf>
    <xf numFmtId="168" fontId="4" fillId="10" borderId="10" xfId="0" applyNumberFormat="1" applyFont="1" applyFill="1" applyBorder="1" applyAlignment="1">
      <alignment horizontal="right"/>
    </xf>
    <xf numFmtId="168" fontId="4" fillId="10" borderId="9" xfId="0" applyNumberFormat="1" applyFont="1" applyFill="1" applyBorder="1" applyAlignment="1">
      <alignment horizontal="right"/>
    </xf>
    <xf numFmtId="0" fontId="11" fillId="8" borderId="0" xfId="0" applyFont="1" applyFill="1" applyAlignment="1">
      <alignment horizontal="center" vertical="center"/>
    </xf>
    <xf numFmtId="0" fontId="0" fillId="0" borderId="0" xfId="0" applyAlignment="1">
      <alignment horizontal="center"/>
    </xf>
    <xf numFmtId="0" fontId="5" fillId="0" borderId="0" xfId="0" applyFont="1"/>
    <xf numFmtId="0" fontId="21" fillId="0" borderId="0" xfId="0" applyFont="1" applyAlignment="1">
      <alignment horizontal="left" vertical="top"/>
    </xf>
    <xf numFmtId="0" fontId="6" fillId="0" borderId="0" xfId="0" applyFont="1" applyAlignment="1">
      <alignment horizontal="left" vertical="center" wrapText="1"/>
    </xf>
    <xf numFmtId="0" fontId="6" fillId="15" borderId="0" xfId="0" applyFont="1" applyFill="1"/>
    <xf numFmtId="0" fontId="8" fillId="0" borderId="28" xfId="0" applyFont="1" applyBorder="1" applyAlignment="1">
      <alignment horizontal="right" indent="1"/>
    </xf>
    <xf numFmtId="0" fontId="6" fillId="15" borderId="0" xfId="0" applyFont="1" applyFill="1" applyAlignment="1">
      <alignment horizontal="center"/>
    </xf>
    <xf numFmtId="0" fontId="6" fillId="15" borderId="0" xfId="0" applyFont="1" applyFill="1" applyAlignment="1">
      <alignment horizontal="left" indent="1"/>
    </xf>
    <xf numFmtId="0" fontId="6" fillId="8" borderId="0" xfId="0" applyFont="1" applyFill="1" applyAlignment="1">
      <alignment horizontal="right"/>
    </xf>
    <xf numFmtId="0" fontId="6" fillId="15" borderId="0" xfId="0" applyFont="1" applyFill="1" applyAlignment="1">
      <alignment horizontal="left"/>
    </xf>
    <xf numFmtId="0" fontId="8" fillId="8" borderId="0" xfId="0" applyFont="1" applyFill="1" applyAlignment="1">
      <alignment horizontal="left" vertical="top"/>
    </xf>
    <xf numFmtId="0" fontId="8" fillId="8" borderId="0" xfId="0" applyFont="1" applyFill="1" applyAlignment="1">
      <alignment horizontal="right" vertical="top" wrapText="1"/>
    </xf>
    <xf numFmtId="0" fontId="15" fillId="0" borderId="0" xfId="0" applyFont="1"/>
    <xf numFmtId="0" fontId="8" fillId="16" borderId="0" xfId="0" applyFont="1" applyFill="1" applyAlignment="1">
      <alignment horizontal="center" vertical="center"/>
    </xf>
    <xf numFmtId="0" fontId="6" fillId="0" borderId="0" xfId="0" applyFont="1" applyAlignment="1">
      <alignment horizontal="left" vertical="center"/>
    </xf>
    <xf numFmtId="0" fontId="6" fillId="15" borderId="0" xfId="0" applyFont="1" applyFill="1" applyAlignment="1">
      <alignment vertical="top"/>
    </xf>
    <xf numFmtId="0" fontId="6" fillId="0" borderId="22" xfId="0" applyFont="1" applyBorder="1"/>
    <xf numFmtId="0" fontId="0" fillId="8" borderId="0" xfId="0" applyFill="1" applyAlignment="1" applyProtection="1">
      <alignment horizontal="center"/>
      <protection locked="0"/>
    </xf>
    <xf numFmtId="0" fontId="0" fillId="8" borderId="0" xfId="0" applyFill="1" applyAlignment="1" applyProtection="1">
      <alignment horizontal="right" vertical="center" indent="1"/>
      <protection locked="0"/>
    </xf>
    <xf numFmtId="0" fontId="6" fillId="0" borderId="17" xfId="0" applyFont="1" applyBorder="1"/>
    <xf numFmtId="0" fontId="6" fillId="0" borderId="23" xfId="0" applyFont="1" applyBorder="1"/>
    <xf numFmtId="0" fontId="6" fillId="0" borderId="0" xfId="0" applyFont="1" applyAlignment="1">
      <alignment vertical="center"/>
    </xf>
    <xf numFmtId="0" fontId="12" fillId="15" borderId="0" xfId="0" applyFont="1" applyFill="1" applyAlignment="1">
      <alignment vertical="center" wrapText="1"/>
    </xf>
    <xf numFmtId="0" fontId="6" fillId="8" borderId="0" xfId="0" applyFont="1" applyFill="1"/>
    <xf numFmtId="0" fontId="6" fillId="0" borderId="13" xfId="0" applyFont="1" applyBorder="1" applyAlignment="1">
      <alignment horizontal="left" vertical="center" indent="2"/>
    </xf>
    <xf numFmtId="0" fontId="6" fillId="0" borderId="26" xfId="0" applyFont="1" applyBorder="1" applyAlignment="1">
      <alignment horizontal="left" vertical="center" indent="2"/>
    </xf>
    <xf numFmtId="9" fontId="6" fillId="0" borderId="0" xfId="2" applyFont="1" applyBorder="1" applyAlignment="1">
      <alignment horizontal="center" vertical="center"/>
    </xf>
    <xf numFmtId="0" fontId="6" fillId="15" borderId="0" xfId="0" applyFont="1" applyFill="1" applyAlignment="1">
      <alignment horizontal="left" vertical="center" wrapText="1" indent="1"/>
    </xf>
    <xf numFmtId="0" fontId="6" fillId="0" borderId="20" xfId="0" applyFont="1" applyBorder="1" applyAlignment="1">
      <alignment horizontal="left" vertical="center" indent="2"/>
    </xf>
    <xf numFmtId="0" fontId="12" fillId="0" borderId="0" xfId="0" applyFont="1"/>
    <xf numFmtId="0" fontId="12" fillId="0" borderId="0" xfId="0" applyFont="1" applyAlignment="1">
      <alignment horizontal="left"/>
    </xf>
    <xf numFmtId="0" fontId="12" fillId="15" borderId="24" xfId="0" applyFont="1" applyFill="1" applyBorder="1" applyAlignment="1">
      <alignment vertical="center" wrapText="1"/>
    </xf>
    <xf numFmtId="9" fontId="0" fillId="0" borderId="0" xfId="2" applyFont="1" applyBorder="1" applyAlignment="1"/>
    <xf numFmtId="0" fontId="0" fillId="0" borderId="0" xfId="2" applyNumberFormat="1" applyFont="1" applyBorder="1" applyAlignment="1"/>
    <xf numFmtId="0" fontId="3" fillId="23" borderId="55" xfId="0" applyFont="1" applyFill="1" applyBorder="1" applyAlignment="1">
      <alignment horizontal="center" vertical="center" wrapText="1"/>
    </xf>
    <xf numFmtId="0" fontId="4" fillId="20" borderId="8" xfId="0" applyFont="1" applyFill="1" applyBorder="1" applyAlignment="1">
      <alignment vertical="center"/>
    </xf>
    <xf numFmtId="0" fontId="4" fillId="20" borderId="8" xfId="0" applyFont="1" applyFill="1" applyBorder="1" applyAlignment="1">
      <alignment vertical="center" wrapText="1"/>
    </xf>
    <xf numFmtId="0" fontId="0" fillId="20" borderId="8" xfId="0" applyFill="1" applyBorder="1" applyAlignment="1">
      <alignment vertical="center" wrapText="1"/>
    </xf>
    <xf numFmtId="0" fontId="4" fillId="20" borderId="8" xfId="0" applyFont="1" applyFill="1" applyBorder="1" applyAlignment="1">
      <alignment horizontal="left" vertical="center" wrapText="1"/>
    </xf>
    <xf numFmtId="0" fontId="8" fillId="4" borderId="0" xfId="0" applyFont="1" applyFill="1" applyAlignment="1">
      <alignment horizontal="right" vertical="center"/>
    </xf>
    <xf numFmtId="0" fontId="6" fillId="4" borderId="0" xfId="0" applyFont="1" applyFill="1" applyAlignment="1">
      <alignment horizontal="left" vertical="center"/>
    </xf>
    <xf numFmtId="0" fontId="6" fillId="4" borderId="0" xfId="0" applyFont="1" applyFill="1" applyAlignment="1">
      <alignment vertical="center"/>
    </xf>
    <xf numFmtId="0" fontId="6" fillId="4" borderId="0" xfId="0" applyFont="1" applyFill="1" applyAlignment="1">
      <alignment wrapText="1"/>
    </xf>
    <xf numFmtId="168" fontId="0" fillId="2" borderId="55" xfId="0" applyNumberFormat="1" applyFill="1" applyBorder="1" applyAlignment="1">
      <alignment horizontal="center" vertical="center"/>
    </xf>
    <xf numFmtId="168" fontId="0" fillId="0" borderId="46" xfId="0" applyNumberFormat="1" applyBorder="1" applyAlignment="1">
      <alignment horizontal="center" vertical="center"/>
    </xf>
    <xf numFmtId="168" fontId="0" fillId="2" borderId="46" xfId="0" applyNumberFormat="1" applyFill="1" applyBorder="1" applyAlignment="1">
      <alignment horizontal="center" vertical="center"/>
    </xf>
    <xf numFmtId="168" fontId="0" fillId="2" borderId="47" xfId="0" applyNumberFormat="1" applyFill="1" applyBorder="1" applyAlignment="1">
      <alignment horizontal="center" vertical="center"/>
    </xf>
    <xf numFmtId="168" fontId="0" fillId="0" borderId="0" xfId="0" applyNumberFormat="1"/>
    <xf numFmtId="179" fontId="0" fillId="0" borderId="0" xfId="0" applyNumberFormat="1"/>
    <xf numFmtId="0" fontId="0" fillId="0" borderId="0" xfId="0" applyAlignment="1">
      <alignment horizontal="center" vertical="center"/>
    </xf>
    <xf numFmtId="0" fontId="0" fillId="0" borderId="0" xfId="0" applyAlignment="1">
      <alignment wrapText="1"/>
    </xf>
    <xf numFmtId="0" fontId="0" fillId="0" borderId="0" xfId="0" applyAlignment="1">
      <alignment horizontal="center" vertical="center" wrapText="1"/>
    </xf>
    <xf numFmtId="180" fontId="0" fillId="0" borderId="0" xfId="0" applyNumberFormat="1"/>
    <xf numFmtId="0" fontId="0" fillId="20" borderId="8" xfId="0" applyFill="1" applyBorder="1" applyAlignment="1">
      <alignment horizontal="center" vertical="center"/>
    </xf>
    <xf numFmtId="0" fontId="0" fillId="20" borderId="8" xfId="0" applyFill="1" applyBorder="1" applyAlignment="1">
      <alignment horizontal="center" vertical="center" wrapText="1"/>
    </xf>
    <xf numFmtId="168" fontId="4" fillId="20" borderId="71" xfId="1" applyNumberFormat="1" applyFont="1" applyFill="1" applyBorder="1" applyAlignment="1">
      <alignment horizontal="center" vertical="center" wrapText="1"/>
    </xf>
    <xf numFmtId="9" fontId="0" fillId="20" borderId="8" xfId="2" applyFont="1" applyFill="1" applyBorder="1" applyAlignment="1">
      <alignment vertical="center"/>
    </xf>
    <xf numFmtId="0" fontId="0" fillId="20" borderId="8" xfId="2" applyNumberFormat="1" applyFont="1" applyFill="1" applyBorder="1" applyAlignment="1">
      <alignment vertical="center"/>
    </xf>
    <xf numFmtId="168" fontId="4" fillId="24" borderId="71" xfId="1" applyNumberFormat="1" applyFont="1" applyFill="1" applyBorder="1" applyAlignment="1">
      <alignment horizontal="center" vertical="center" wrapText="1"/>
    </xf>
    <xf numFmtId="9" fontId="0" fillId="25" borderId="8" xfId="2" applyFont="1" applyFill="1" applyBorder="1" applyAlignment="1">
      <alignment vertical="center"/>
    </xf>
    <xf numFmtId="0" fontId="8" fillId="4" borderId="0" xfId="0" applyFont="1" applyFill="1" applyAlignment="1">
      <alignment horizontal="left" vertical="center"/>
    </xf>
    <xf numFmtId="0" fontId="8" fillId="4" borderId="0" xfId="0" applyFont="1" applyFill="1"/>
    <xf numFmtId="0" fontId="8" fillId="8" borderId="66" xfId="0" applyFont="1" applyFill="1" applyBorder="1" applyAlignment="1">
      <alignment horizontal="center" vertical="center"/>
    </xf>
    <xf numFmtId="0" fontId="8" fillId="8" borderId="65" xfId="0" applyFont="1" applyFill="1" applyBorder="1" applyAlignment="1">
      <alignment horizontal="center" vertical="center"/>
    </xf>
    <xf numFmtId="0" fontId="8" fillId="8" borderId="70" xfId="0" applyFont="1" applyFill="1" applyBorder="1" applyAlignment="1">
      <alignment horizontal="center" vertical="center"/>
    </xf>
    <xf numFmtId="0" fontId="6" fillId="4" borderId="0" xfId="0" applyFont="1" applyFill="1" applyAlignment="1">
      <alignment horizontal="center" vertical="center"/>
    </xf>
    <xf numFmtId="168" fontId="6" fillId="4" borderId="0" xfId="0" applyNumberFormat="1" applyFont="1" applyFill="1"/>
    <xf numFmtId="180" fontId="6" fillId="4" borderId="0" xfId="0" applyNumberFormat="1" applyFont="1" applyFill="1"/>
    <xf numFmtId="9" fontId="6" fillId="4" borderId="0" xfId="2" applyFont="1" applyFill="1" applyBorder="1" applyAlignment="1"/>
    <xf numFmtId="0" fontId="6" fillId="4" borderId="0" xfId="2" applyNumberFormat="1" applyFont="1" applyFill="1" applyBorder="1" applyAlignment="1"/>
    <xf numFmtId="179" fontId="6" fillId="4" borderId="0" xfId="0" applyNumberFormat="1" applyFont="1" applyFill="1"/>
    <xf numFmtId="166" fontId="8" fillId="4" borderId="0" xfId="0" applyNumberFormat="1" applyFont="1" applyFill="1" applyAlignment="1">
      <alignment horizontal="left" vertical="center"/>
    </xf>
    <xf numFmtId="9" fontId="6" fillId="8" borderId="69" xfId="0" applyNumberFormat="1" applyFont="1" applyFill="1" applyBorder="1" applyAlignment="1">
      <alignment horizontal="center" vertical="center"/>
    </xf>
    <xf numFmtId="9" fontId="6" fillId="8" borderId="68" xfId="0" applyNumberFormat="1" applyFont="1" applyFill="1" applyBorder="1" applyAlignment="1">
      <alignment horizontal="center" vertical="center"/>
    </xf>
    <xf numFmtId="9" fontId="6" fillId="8" borderId="34" xfId="0" applyNumberFormat="1" applyFont="1" applyFill="1" applyBorder="1" applyAlignment="1">
      <alignment horizontal="center" vertical="center"/>
    </xf>
    <xf numFmtId="0" fontId="8" fillId="8" borderId="57" xfId="0" applyFont="1" applyFill="1" applyBorder="1" applyAlignment="1">
      <alignment horizontal="center"/>
    </xf>
    <xf numFmtId="0" fontId="8" fillId="8" borderId="56" xfId="0" applyFont="1" applyFill="1" applyBorder="1" applyAlignment="1">
      <alignment horizontal="center"/>
    </xf>
    <xf numFmtId="0" fontId="8" fillId="8" borderId="38" xfId="0" applyFont="1" applyFill="1" applyBorder="1" applyAlignment="1">
      <alignment horizontal="center"/>
    </xf>
    <xf numFmtId="0" fontId="8" fillId="8" borderId="37" xfId="0" applyFont="1" applyFill="1" applyBorder="1" applyAlignment="1">
      <alignment horizontal="center" vertical="center"/>
    </xf>
    <xf numFmtId="0" fontId="8" fillId="8" borderId="33" xfId="0" applyFont="1" applyFill="1" applyBorder="1" applyAlignment="1">
      <alignment horizontal="center" vertical="center"/>
    </xf>
    <xf numFmtId="0" fontId="4" fillId="0" borderId="53"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52" xfId="0" applyFont="1" applyBorder="1" applyAlignment="1">
      <alignment horizontal="center" vertical="center" wrapText="1"/>
    </xf>
    <xf numFmtId="0" fontId="8" fillId="8" borderId="32" xfId="0" applyFont="1" applyFill="1" applyBorder="1" applyAlignment="1">
      <alignment horizontal="center" vertical="center"/>
    </xf>
    <xf numFmtId="0" fontId="4" fillId="0" borderId="50"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48" xfId="0" applyFont="1" applyBorder="1" applyAlignment="1">
      <alignment horizontal="center" vertical="center" wrapText="1"/>
    </xf>
    <xf numFmtId="0" fontId="8" fillId="0" borderId="43" xfId="0" applyFont="1" applyBorder="1" applyAlignment="1">
      <alignment horizontal="center" vertical="top" wrapText="1"/>
    </xf>
    <xf numFmtId="168" fontId="0" fillId="0" borderId="43" xfId="1" applyNumberFormat="1" applyFont="1" applyFill="1" applyBorder="1" applyAlignment="1">
      <alignment horizontal="center" vertical="center" wrapText="1"/>
    </xf>
    <xf numFmtId="181" fontId="0" fillId="0" borderId="43" xfId="1" applyNumberFormat="1" applyFont="1" applyFill="1" applyBorder="1" applyAlignment="1">
      <alignment horizontal="center" vertical="center" wrapText="1"/>
    </xf>
    <xf numFmtId="168" fontId="0" fillId="0" borderId="43" xfId="2" applyNumberFormat="1" applyFont="1" applyFill="1" applyBorder="1" applyAlignment="1">
      <alignment horizontal="center" vertical="center" wrapText="1"/>
    </xf>
    <xf numFmtId="181" fontId="0" fillId="0" borderId="43" xfId="2" applyNumberFormat="1" applyFont="1" applyFill="1" applyBorder="1" applyAlignment="1">
      <alignment horizontal="center" vertical="center" wrapText="1"/>
    </xf>
    <xf numFmtId="168" fontId="6" fillId="0" borderId="0" xfId="0" applyNumberFormat="1" applyFont="1"/>
    <xf numFmtId="180" fontId="6" fillId="0" borderId="0" xfId="0" applyNumberFormat="1" applyFont="1"/>
    <xf numFmtId="9" fontId="6" fillId="0" borderId="0" xfId="2" applyFont="1" applyBorder="1" applyAlignment="1"/>
    <xf numFmtId="0" fontId="6" fillId="0" borderId="0" xfId="2" applyNumberFormat="1" applyFont="1" applyBorder="1" applyAlignment="1"/>
    <xf numFmtId="179" fontId="6" fillId="0" borderId="0" xfId="0" applyNumberFormat="1" applyFont="1"/>
    <xf numFmtId="0" fontId="8" fillId="0" borderId="0" xfId="0" applyFont="1"/>
    <xf numFmtId="0" fontId="4" fillId="20" borderId="8" xfId="0" applyFont="1" applyFill="1" applyBorder="1" applyAlignment="1">
      <alignment horizontal="right" vertical="center"/>
    </xf>
    <xf numFmtId="0" fontId="7" fillId="20" borderId="8" xfId="0" applyFont="1" applyFill="1" applyBorder="1" applyAlignment="1">
      <alignment vertical="center"/>
    </xf>
    <xf numFmtId="178" fontId="4" fillId="24" borderId="71" xfId="0" applyNumberFormat="1" applyFont="1" applyFill="1" applyBorder="1" applyAlignment="1">
      <alignment horizontal="center" vertical="center"/>
    </xf>
    <xf numFmtId="181" fontId="4" fillId="20" borderId="71" xfId="0" applyNumberFormat="1" applyFont="1" applyFill="1" applyBorder="1" applyAlignment="1">
      <alignment horizontal="center" vertical="center"/>
    </xf>
    <xf numFmtId="0" fontId="6" fillId="0" borderId="63" xfId="0" applyFont="1" applyBorder="1" applyAlignment="1">
      <alignment horizontal="left" vertical="center" wrapText="1" indent="1"/>
    </xf>
    <xf numFmtId="0" fontId="6" fillId="0" borderId="27" xfId="0" applyFont="1" applyBorder="1" applyAlignment="1">
      <alignment horizontal="left" vertical="center" wrapText="1" indent="1"/>
    </xf>
    <xf numFmtId="0" fontId="27" fillId="0" borderId="72" xfId="0" applyFont="1" applyBorder="1" applyAlignment="1">
      <alignment horizontal="center" vertical="center" wrapText="1"/>
    </xf>
    <xf numFmtId="9" fontId="0" fillId="0" borderId="0" xfId="0" applyNumberFormat="1" applyAlignment="1">
      <alignment horizontal="center"/>
    </xf>
    <xf numFmtId="3" fontId="0" fillId="0" borderId="0" xfId="0" applyNumberFormat="1"/>
    <xf numFmtId="4" fontId="0" fillId="0" borderId="0" xfId="0" applyNumberFormat="1"/>
    <xf numFmtId="183" fontId="0" fillId="0" borderId="0" xfId="0" applyNumberFormat="1"/>
    <xf numFmtId="9" fontId="0" fillId="0" borderId="0" xfId="0" applyNumberFormat="1"/>
    <xf numFmtId="168" fontId="8" fillId="27" borderId="8" xfId="0" applyNumberFormat="1" applyFont="1" applyFill="1" applyBorder="1" applyAlignment="1">
      <alignment horizontal="center"/>
    </xf>
    <xf numFmtId="168" fontId="8" fillId="27" borderId="19" xfId="0" applyNumberFormat="1" applyFont="1" applyFill="1" applyBorder="1" applyAlignment="1">
      <alignment horizontal="center"/>
    </xf>
    <xf numFmtId="168" fontId="8" fillId="21" borderId="43" xfId="0" applyNumberFormat="1" applyFont="1" applyFill="1" applyBorder="1" applyAlignment="1">
      <alignment horizontal="right"/>
    </xf>
    <xf numFmtId="168" fontId="8" fillId="27" borderId="0" xfId="0" applyNumberFormat="1" applyFont="1" applyFill="1" applyAlignment="1">
      <alignment horizontal="center"/>
    </xf>
    <xf numFmtId="9" fontId="8" fillId="27" borderId="12" xfId="2" applyFont="1" applyFill="1" applyBorder="1" applyAlignment="1">
      <alignment horizontal="center"/>
    </xf>
    <xf numFmtId="173" fontId="8" fillId="21" borderId="43" xfId="0" applyNumberFormat="1" applyFont="1" applyFill="1" applyBorder="1" applyAlignment="1">
      <alignment horizontal="right"/>
    </xf>
    <xf numFmtId="168" fontId="8" fillId="27" borderId="24" xfId="0" applyNumberFormat="1" applyFont="1" applyFill="1" applyBorder="1" applyAlignment="1">
      <alignment horizontal="center"/>
    </xf>
    <xf numFmtId="168" fontId="8" fillId="27" borderId="34" xfId="0" applyNumberFormat="1" applyFont="1" applyFill="1" applyBorder="1" applyAlignment="1">
      <alignment horizontal="center"/>
    </xf>
    <xf numFmtId="14" fontId="8" fillId="0" borderId="0" xfId="0" applyNumberFormat="1" applyFont="1" applyAlignment="1">
      <alignment horizontal="center"/>
    </xf>
    <xf numFmtId="0" fontId="8" fillId="0" borderId="27" xfId="0" applyFont="1" applyBorder="1" applyAlignment="1">
      <alignment horizontal="center"/>
    </xf>
    <xf numFmtId="0" fontId="8" fillId="0" borderId="0" xfId="0" applyFont="1" applyAlignment="1">
      <alignment vertical="center"/>
    </xf>
    <xf numFmtId="0" fontId="29" fillId="0" borderId="0" xfId="0" applyFont="1"/>
    <xf numFmtId="3" fontId="29" fillId="0" borderId="0" xfId="0" applyNumberFormat="1" applyFont="1"/>
    <xf numFmtId="9" fontId="6" fillId="0" borderId="50" xfId="0" applyNumberFormat="1" applyFont="1" applyBorder="1" applyAlignment="1">
      <alignment horizontal="center" vertical="center"/>
    </xf>
    <xf numFmtId="0" fontId="8" fillId="0" borderId="0" xfId="0" applyFont="1" applyAlignment="1">
      <alignment horizontal="center" vertical="center"/>
    </xf>
    <xf numFmtId="3" fontId="8" fillId="0" borderId="0" xfId="0" applyNumberFormat="1" applyFont="1" applyAlignment="1">
      <alignment horizontal="center" vertical="center"/>
    </xf>
    <xf numFmtId="0" fontId="8" fillId="0" borderId="25" xfId="0" applyFont="1" applyBorder="1" applyAlignment="1">
      <alignment horizontal="center" vertical="center" wrapText="1"/>
    </xf>
    <xf numFmtId="0" fontId="8" fillId="0" borderId="11" xfId="0" applyFont="1" applyBorder="1" applyAlignment="1">
      <alignment horizontal="center" vertical="center" wrapText="1"/>
    </xf>
    <xf numFmtId="0" fontId="8" fillId="26" borderId="11" xfId="0" applyFont="1" applyFill="1" applyBorder="1" applyAlignment="1">
      <alignment horizontal="center" vertical="center" wrapText="1"/>
    </xf>
    <xf numFmtId="9" fontId="8" fillId="0" borderId="25" xfId="0" applyNumberFormat="1" applyFont="1" applyBorder="1" applyAlignment="1">
      <alignment horizontal="center" vertical="center" wrapText="1"/>
    </xf>
    <xf numFmtId="9" fontId="6" fillId="0" borderId="72" xfId="0" applyNumberFormat="1" applyFont="1" applyBorder="1" applyAlignment="1">
      <alignment horizontal="center"/>
    </xf>
    <xf numFmtId="168" fontId="6" fillId="0" borderId="72" xfId="0" applyNumberFormat="1" applyFont="1" applyBorder="1" applyAlignment="1">
      <alignment horizontal="center" wrapText="1"/>
    </xf>
    <xf numFmtId="168" fontId="6" fillId="22" borderId="37" xfId="0" applyNumberFormat="1" applyFont="1" applyFill="1" applyBorder="1" applyAlignment="1">
      <alignment horizontal="center" wrapText="1"/>
    </xf>
    <xf numFmtId="168" fontId="6" fillId="26" borderId="18" xfId="0" applyNumberFormat="1" applyFont="1" applyFill="1" applyBorder="1" applyAlignment="1">
      <alignment horizontal="center" wrapText="1"/>
    </xf>
    <xf numFmtId="168" fontId="8" fillId="0" borderId="72" xfId="0" applyNumberFormat="1" applyFont="1" applyBorder="1" applyAlignment="1">
      <alignment horizontal="center" wrapText="1"/>
    </xf>
    <xf numFmtId="9" fontId="8" fillId="0" borderId="41" xfId="0" applyNumberFormat="1" applyFont="1" applyBorder="1" applyAlignment="1">
      <alignment horizontal="center" wrapText="1"/>
    </xf>
    <xf numFmtId="9" fontId="6" fillId="0" borderId="63" xfId="0" applyNumberFormat="1" applyFont="1" applyBorder="1" applyAlignment="1">
      <alignment horizontal="center"/>
    </xf>
    <xf numFmtId="168" fontId="6" fillId="22" borderId="42" xfId="0" applyNumberFormat="1" applyFont="1" applyFill="1" applyBorder="1" applyAlignment="1">
      <alignment horizontal="center" wrapText="1"/>
    </xf>
    <xf numFmtId="9" fontId="8" fillId="0" borderId="63" xfId="0" applyNumberFormat="1" applyFont="1" applyBorder="1" applyAlignment="1">
      <alignment horizontal="center"/>
    </xf>
    <xf numFmtId="9" fontId="6" fillId="0" borderId="60" xfId="0" applyNumberFormat="1" applyFont="1" applyBorder="1" applyAlignment="1">
      <alignment horizontal="center"/>
    </xf>
    <xf numFmtId="168" fontId="6" fillId="0" borderId="51" xfId="0" applyNumberFormat="1" applyFont="1" applyBorder="1" applyAlignment="1">
      <alignment horizontal="center" wrapText="1"/>
    </xf>
    <xf numFmtId="168" fontId="6" fillId="22" borderId="32" xfId="0" applyNumberFormat="1" applyFont="1" applyFill="1" applyBorder="1" applyAlignment="1">
      <alignment horizontal="center" wrapText="1"/>
    </xf>
    <xf numFmtId="168" fontId="6" fillId="26" borderId="26" xfId="0" applyNumberFormat="1" applyFont="1" applyFill="1" applyBorder="1" applyAlignment="1">
      <alignment horizontal="center" wrapText="1"/>
    </xf>
    <xf numFmtId="168" fontId="8" fillId="0" borderId="51" xfId="0" applyNumberFormat="1" applyFont="1" applyBorder="1" applyAlignment="1">
      <alignment horizontal="center" wrapText="1"/>
    </xf>
    <xf numFmtId="9" fontId="8" fillId="0" borderId="30" xfId="0" applyNumberFormat="1" applyFont="1" applyBorder="1" applyAlignment="1">
      <alignment horizontal="center" wrapText="1"/>
    </xf>
    <xf numFmtId="168" fontId="8" fillId="0" borderId="0" xfId="0" applyNumberFormat="1" applyFont="1" applyAlignment="1">
      <alignment horizontal="center" vertical="center"/>
    </xf>
    <xf numFmtId="9" fontId="6" fillId="0" borderId="0" xfId="0" applyNumberFormat="1" applyFont="1" applyAlignment="1">
      <alignment vertical="center"/>
    </xf>
    <xf numFmtId="9" fontId="6" fillId="0" borderId="72" xfId="0" applyNumberFormat="1" applyFont="1" applyBorder="1" applyAlignment="1">
      <alignment horizontal="center" vertical="center"/>
    </xf>
    <xf numFmtId="173" fontId="6" fillId="0" borderId="72" xfId="0" applyNumberFormat="1" applyFont="1" applyBorder="1" applyAlignment="1">
      <alignment horizontal="center" vertical="center" wrapText="1"/>
    </xf>
    <xf numFmtId="173" fontId="6" fillId="22" borderId="37" xfId="0" applyNumberFormat="1" applyFont="1" applyFill="1" applyBorder="1" applyAlignment="1">
      <alignment horizontal="center" vertical="center" wrapText="1"/>
    </xf>
    <xf numFmtId="173" fontId="6" fillId="26" borderId="18" xfId="0" applyNumberFormat="1" applyFont="1" applyFill="1" applyBorder="1" applyAlignment="1">
      <alignment horizontal="center" vertical="center" wrapText="1"/>
    </xf>
    <xf numFmtId="173" fontId="8" fillId="0" borderId="72" xfId="0" applyNumberFormat="1" applyFont="1" applyBorder="1" applyAlignment="1">
      <alignment horizontal="center" vertical="center" wrapText="1"/>
    </xf>
    <xf numFmtId="9" fontId="8" fillId="0" borderId="16" xfId="0" applyNumberFormat="1" applyFont="1" applyBorder="1" applyAlignment="1">
      <alignment horizontal="center" vertical="center" wrapText="1"/>
    </xf>
    <xf numFmtId="9" fontId="6" fillId="0" borderId="63" xfId="0" applyNumberFormat="1" applyFont="1" applyBorder="1" applyAlignment="1">
      <alignment horizontal="center" vertical="center"/>
    </xf>
    <xf numFmtId="173" fontId="6" fillId="22" borderId="42" xfId="0" applyNumberFormat="1" applyFont="1" applyFill="1" applyBorder="1" applyAlignment="1">
      <alignment horizontal="center" vertical="center" wrapText="1"/>
    </xf>
    <xf numFmtId="173" fontId="6" fillId="26" borderId="42" xfId="0" applyNumberFormat="1" applyFont="1" applyFill="1" applyBorder="1" applyAlignment="1">
      <alignment horizontal="center" vertical="center" wrapText="1"/>
    </xf>
    <xf numFmtId="173" fontId="8" fillId="0" borderId="63" xfId="0" applyNumberFormat="1" applyFont="1" applyBorder="1" applyAlignment="1">
      <alignment horizontal="center" vertical="center" wrapText="1"/>
    </xf>
    <xf numFmtId="9" fontId="8" fillId="0" borderId="41" xfId="0" applyNumberFormat="1" applyFont="1" applyBorder="1" applyAlignment="1">
      <alignment horizontal="center" vertical="center" wrapText="1"/>
    </xf>
    <xf numFmtId="9" fontId="6" fillId="0" borderId="60" xfId="0" applyNumberFormat="1" applyFont="1" applyBorder="1" applyAlignment="1">
      <alignment horizontal="center" vertical="center"/>
    </xf>
    <xf numFmtId="173" fontId="6" fillId="0" borderId="51" xfId="0" applyNumberFormat="1" applyFont="1" applyBorder="1" applyAlignment="1">
      <alignment horizontal="center" vertical="center" wrapText="1"/>
    </xf>
    <xf numFmtId="173" fontId="6" fillId="22" borderId="32" xfId="0" applyNumberFormat="1" applyFont="1" applyFill="1" applyBorder="1" applyAlignment="1">
      <alignment horizontal="center" vertical="center" wrapText="1"/>
    </xf>
    <xf numFmtId="173" fontId="6" fillId="26" borderId="32" xfId="0" applyNumberFormat="1" applyFont="1" applyFill="1" applyBorder="1" applyAlignment="1">
      <alignment horizontal="center" vertical="center" wrapText="1"/>
    </xf>
    <xf numFmtId="173" fontId="8" fillId="0" borderId="60" xfId="0" applyNumberFormat="1" applyFont="1" applyBorder="1" applyAlignment="1">
      <alignment horizontal="center" vertical="center" wrapText="1"/>
    </xf>
    <xf numFmtId="9" fontId="8" fillId="0" borderId="30" xfId="0" applyNumberFormat="1" applyFont="1" applyBorder="1" applyAlignment="1">
      <alignment horizontal="center" vertical="center" wrapText="1"/>
    </xf>
    <xf numFmtId="168" fontId="6" fillId="0" borderId="49" xfId="0" applyNumberFormat="1" applyFont="1" applyBorder="1" applyAlignment="1">
      <alignment horizontal="right" vertical="center" indent="1"/>
    </xf>
    <xf numFmtId="173" fontId="6" fillId="0" borderId="49" xfId="0" applyNumberFormat="1" applyFont="1" applyBorder="1" applyAlignment="1">
      <alignment horizontal="right" vertical="center" indent="1"/>
    </xf>
    <xf numFmtId="168" fontId="8" fillId="29" borderId="8" xfId="0" applyNumberFormat="1" applyFont="1" applyFill="1" applyBorder="1" applyAlignment="1">
      <alignment horizontal="center"/>
    </xf>
    <xf numFmtId="168" fontId="8" fillId="29" borderId="19" xfId="0" applyNumberFormat="1" applyFont="1" applyFill="1" applyBorder="1" applyAlignment="1">
      <alignment horizontal="center"/>
    </xf>
    <xf numFmtId="168" fontId="8" fillId="29" borderId="0" xfId="0" applyNumberFormat="1" applyFont="1" applyFill="1" applyAlignment="1">
      <alignment horizontal="center"/>
    </xf>
    <xf numFmtId="9" fontId="8" fillId="29" borderId="12" xfId="2" applyFont="1" applyFill="1" applyBorder="1" applyAlignment="1">
      <alignment horizontal="center"/>
    </xf>
    <xf numFmtId="168" fontId="8" fillId="29" borderId="24" xfId="0" applyNumberFormat="1" applyFont="1" applyFill="1" applyBorder="1" applyAlignment="1">
      <alignment horizontal="center"/>
    </xf>
    <xf numFmtId="168" fontId="8" fillId="29" borderId="34" xfId="0" applyNumberFormat="1" applyFont="1" applyFill="1" applyBorder="1" applyAlignment="1">
      <alignment horizontal="center"/>
    </xf>
    <xf numFmtId="177" fontId="8" fillId="7" borderId="8" xfId="0" applyNumberFormat="1" applyFont="1" applyFill="1" applyBorder="1" applyAlignment="1">
      <alignment horizontal="center"/>
    </xf>
    <xf numFmtId="173" fontId="8" fillId="7" borderId="19" xfId="0" applyNumberFormat="1" applyFont="1" applyFill="1" applyBorder="1" applyAlignment="1">
      <alignment horizontal="center"/>
    </xf>
    <xf numFmtId="177" fontId="8" fillId="7" borderId="0" xfId="0" applyNumberFormat="1" applyFont="1" applyFill="1" applyAlignment="1">
      <alignment horizontal="center"/>
    </xf>
    <xf numFmtId="173" fontId="8" fillId="7" borderId="12" xfId="0" applyNumberFormat="1" applyFont="1" applyFill="1" applyBorder="1" applyAlignment="1">
      <alignment horizontal="center"/>
    </xf>
    <xf numFmtId="173" fontId="8" fillId="7" borderId="0" xfId="0" applyNumberFormat="1" applyFont="1" applyFill="1" applyAlignment="1">
      <alignment horizontal="center"/>
    </xf>
    <xf numFmtId="9" fontId="8" fillId="7" borderId="12" xfId="2" applyFont="1" applyFill="1" applyBorder="1" applyAlignment="1">
      <alignment horizontal="center"/>
    </xf>
    <xf numFmtId="177" fontId="8" fillId="7" borderId="24" xfId="0" applyNumberFormat="1" applyFont="1" applyFill="1" applyBorder="1" applyAlignment="1">
      <alignment horizontal="center"/>
    </xf>
    <xf numFmtId="173" fontId="8" fillId="7" borderId="34" xfId="0" applyNumberFormat="1" applyFont="1" applyFill="1" applyBorder="1" applyAlignment="1">
      <alignment horizontal="center"/>
    </xf>
    <xf numFmtId="9" fontId="0" fillId="0" borderId="0" xfId="2" applyFont="1"/>
    <xf numFmtId="0" fontId="8" fillId="0" borderId="13" xfId="0" applyFont="1" applyBorder="1"/>
    <xf numFmtId="0" fontId="0" fillId="0" borderId="24" xfId="0" applyBorder="1"/>
    <xf numFmtId="0" fontId="0" fillId="0" borderId="34" xfId="0" applyBorder="1"/>
    <xf numFmtId="0" fontId="6" fillId="0" borderId="0" xfId="0" applyFont="1" applyAlignment="1">
      <alignment horizontal="left"/>
    </xf>
    <xf numFmtId="0" fontId="9" fillId="0" borderId="0" xfId="0" applyFont="1" applyAlignment="1">
      <alignment horizontal="center" vertical="center"/>
    </xf>
    <xf numFmtId="9" fontId="6" fillId="0" borderId="0" xfId="0" applyNumberFormat="1" applyFont="1"/>
    <xf numFmtId="0" fontId="8" fillId="0" borderId="75" xfId="0" applyFont="1" applyBorder="1" applyAlignment="1">
      <alignment vertical="top" wrapText="1"/>
    </xf>
    <xf numFmtId="0" fontId="8" fillId="0" borderId="0" xfId="0" applyFont="1" applyAlignment="1">
      <alignment vertical="top" wrapText="1"/>
    </xf>
    <xf numFmtId="176" fontId="6" fillId="0" borderId="0" xfId="0" applyNumberFormat="1" applyFont="1"/>
    <xf numFmtId="181" fontId="6" fillId="0" borderId="0" xfId="0" applyNumberFormat="1" applyFont="1"/>
    <xf numFmtId="176" fontId="3" fillId="14" borderId="11" xfId="0" applyNumberFormat="1" applyFont="1" applyFill="1" applyBorder="1" applyAlignment="1">
      <alignment horizontal="center" vertical="center" wrapText="1"/>
    </xf>
    <xf numFmtId="176" fontId="3" fillId="14" borderId="10" xfId="0" applyNumberFormat="1" applyFont="1" applyFill="1" applyBorder="1" applyAlignment="1">
      <alignment horizontal="center" vertical="center" wrapText="1"/>
    </xf>
    <xf numFmtId="176" fontId="3" fillId="14" borderId="9" xfId="0" applyNumberFormat="1" applyFont="1" applyFill="1" applyBorder="1" applyAlignment="1">
      <alignment horizontal="center" vertical="center" wrapText="1"/>
    </xf>
    <xf numFmtId="0" fontId="6" fillId="0" borderId="13" xfId="0" applyFont="1" applyBorder="1" applyAlignment="1">
      <alignment horizontal="center"/>
    </xf>
    <xf numFmtId="176" fontId="6" fillId="0" borderId="12" xfId="0" applyNumberFormat="1" applyFont="1" applyBorder="1" applyAlignment="1">
      <alignment horizontal="right"/>
    </xf>
    <xf numFmtId="0" fontId="6" fillId="0" borderId="26" xfId="0" applyFont="1" applyBorder="1" applyAlignment="1">
      <alignment horizontal="center"/>
    </xf>
    <xf numFmtId="0" fontId="6" fillId="0" borderId="24" xfId="0" applyFont="1" applyBorder="1" applyAlignment="1">
      <alignment horizontal="center"/>
    </xf>
    <xf numFmtId="0" fontId="6" fillId="0" borderId="24" xfId="0" applyFont="1" applyBorder="1"/>
    <xf numFmtId="176" fontId="6" fillId="0" borderId="24" xfId="0" applyNumberFormat="1" applyFont="1" applyBorder="1"/>
    <xf numFmtId="176" fontId="6" fillId="0" borderId="34" xfId="0" applyNumberFormat="1" applyFont="1" applyBorder="1"/>
    <xf numFmtId="181" fontId="6" fillId="0" borderId="12" xfId="0" applyNumberFormat="1" applyFont="1" applyBorder="1" applyAlignment="1">
      <alignment horizontal="right"/>
    </xf>
    <xf numFmtId="181" fontId="6" fillId="0" borderId="24" xfId="0" applyNumberFormat="1" applyFont="1" applyBorder="1"/>
    <xf numFmtId="0" fontId="0" fillId="16" borderId="0" xfId="0" applyFill="1"/>
    <xf numFmtId="0" fontId="0" fillId="31" borderId="0" xfId="0" applyFill="1"/>
    <xf numFmtId="0" fontId="0" fillId="31" borderId="0" xfId="0" applyFill="1" applyAlignment="1">
      <alignment horizontal="center" vertical="center"/>
    </xf>
    <xf numFmtId="0" fontId="10" fillId="31" borderId="0" xfId="0" applyFont="1" applyFill="1"/>
    <xf numFmtId="0" fontId="10" fillId="16" borderId="0" xfId="0" applyFont="1" applyFill="1"/>
    <xf numFmtId="0" fontId="8" fillId="31" borderId="0" xfId="0" applyFont="1" applyFill="1"/>
    <xf numFmtId="0" fontId="6" fillId="16" borderId="0" xfId="0" applyFont="1" applyFill="1" applyAlignment="1">
      <alignment horizontal="left" vertical="top"/>
    </xf>
    <xf numFmtId="0" fontId="8" fillId="31" borderId="0" xfId="0" applyFont="1" applyFill="1" applyAlignment="1">
      <alignment horizontal="left" vertical="top"/>
    </xf>
    <xf numFmtId="0" fontId="6" fillId="31" borderId="0" xfId="0" applyFont="1" applyFill="1" applyAlignment="1">
      <alignment horizontal="right" vertical="center" indent="1"/>
    </xf>
    <xf numFmtId="0" fontId="6" fillId="31" borderId="0" xfId="0" applyFont="1" applyFill="1"/>
    <xf numFmtId="0" fontId="8" fillId="16" borderId="0" xfId="0" applyFont="1" applyFill="1"/>
    <xf numFmtId="0" fontId="9" fillId="0" borderId="0" xfId="0" applyFont="1"/>
    <xf numFmtId="0" fontId="6" fillId="8" borderId="50" xfId="0" applyFont="1" applyFill="1" applyBorder="1" applyAlignment="1">
      <alignment horizontal="center" vertical="top"/>
    </xf>
    <xf numFmtId="9" fontId="8" fillId="32" borderId="13" xfId="0" applyNumberFormat="1" applyFont="1" applyFill="1" applyBorder="1"/>
    <xf numFmtId="9" fontId="8" fillId="32" borderId="0" xfId="0" applyNumberFormat="1" applyFont="1" applyFill="1"/>
    <xf numFmtId="9" fontId="8" fillId="32" borderId="0" xfId="0" applyNumberFormat="1" applyFont="1" applyFill="1" applyAlignment="1">
      <alignment horizontal="right"/>
    </xf>
    <xf numFmtId="177" fontId="8" fillId="32" borderId="8" xfId="0" applyNumberFormat="1" applyFont="1" applyFill="1" applyBorder="1" applyAlignment="1">
      <alignment horizontal="center"/>
    </xf>
    <xf numFmtId="9" fontId="6" fillId="32" borderId="0" xfId="0" applyNumberFormat="1" applyFont="1" applyFill="1"/>
    <xf numFmtId="177" fontId="8" fillId="32" borderId="0" xfId="0" applyNumberFormat="1" applyFont="1" applyFill="1" applyAlignment="1">
      <alignment horizontal="center"/>
    </xf>
    <xf numFmtId="173" fontId="8" fillId="32" borderId="0" xfId="0" applyNumberFormat="1" applyFont="1" applyFill="1" applyAlignment="1">
      <alignment horizontal="center"/>
    </xf>
    <xf numFmtId="177" fontId="8" fillId="32" borderId="24" xfId="0" applyNumberFormat="1" applyFont="1" applyFill="1" applyBorder="1" applyAlignment="1">
      <alignment horizontal="center"/>
    </xf>
    <xf numFmtId="9" fontId="8" fillId="29" borderId="13" xfId="0" applyNumberFormat="1" applyFont="1" applyFill="1" applyBorder="1"/>
    <xf numFmtId="9" fontId="8" fillId="29" borderId="0" xfId="0" applyNumberFormat="1" applyFont="1" applyFill="1"/>
    <xf numFmtId="9" fontId="8" fillId="29" borderId="0" xfId="0" applyNumberFormat="1" applyFont="1" applyFill="1" applyAlignment="1">
      <alignment horizontal="right"/>
    </xf>
    <xf numFmtId="0" fontId="14" fillId="31" borderId="0" xfId="0" applyFont="1" applyFill="1"/>
    <xf numFmtId="0" fontId="30" fillId="31" borderId="0" xfId="0" applyFont="1" applyFill="1"/>
    <xf numFmtId="0" fontId="10" fillId="31" borderId="0" xfId="0" applyFont="1" applyFill="1" applyAlignment="1">
      <alignment horizontal="left" vertical="top"/>
    </xf>
    <xf numFmtId="0" fontId="14" fillId="16" borderId="0" xfId="0" applyFont="1" applyFill="1"/>
    <xf numFmtId="0" fontId="4" fillId="0" borderId="40" xfId="0" applyFont="1" applyBorder="1" applyAlignment="1">
      <alignment horizontal="center" vertical="center" wrapText="1"/>
    </xf>
    <xf numFmtId="0" fontId="20" fillId="8" borderId="49" xfId="0" applyFont="1" applyFill="1" applyBorder="1" applyAlignment="1">
      <alignment horizontal="left" vertical="top" wrapText="1" indent="1"/>
    </xf>
    <xf numFmtId="0" fontId="0" fillId="4" borderId="0" xfId="0" applyFill="1"/>
    <xf numFmtId="0" fontId="0" fillId="4" borderId="50" xfId="0" applyFill="1" applyBorder="1" applyAlignment="1">
      <alignment horizontal="center"/>
    </xf>
    <xf numFmtId="0" fontId="0" fillId="4" borderId="49" xfId="0" applyFill="1" applyBorder="1" applyAlignment="1">
      <alignment horizontal="center"/>
    </xf>
    <xf numFmtId="0" fontId="0" fillId="4" borderId="48" xfId="0" applyFill="1" applyBorder="1" applyAlignment="1">
      <alignment horizontal="center"/>
    </xf>
    <xf numFmtId="0" fontId="6" fillId="4" borderId="0" xfId="0" applyFont="1" applyFill="1" applyAlignment="1">
      <alignment horizontal="center"/>
    </xf>
    <xf numFmtId="0" fontId="4" fillId="22" borderId="78" xfId="0" applyFont="1" applyFill="1" applyBorder="1" applyAlignment="1">
      <alignment horizontal="center" vertical="center" wrapText="1"/>
    </xf>
    <xf numFmtId="0" fontId="21" fillId="0" borderId="67" xfId="0" applyFont="1" applyBorder="1" applyAlignment="1">
      <alignment horizontal="left" vertical="top" wrapText="1"/>
    </xf>
    <xf numFmtId="0" fontId="21" fillId="0" borderId="80" xfId="0" applyFont="1" applyBorder="1" applyAlignment="1">
      <alignment horizontal="left" vertical="top" wrapText="1"/>
    </xf>
    <xf numFmtId="0" fontId="21" fillId="0" borderId="60" xfId="0" applyFont="1" applyBorder="1" applyAlignment="1">
      <alignment horizontal="left" vertical="top" wrapText="1"/>
    </xf>
    <xf numFmtId="3" fontId="31" fillId="0" borderId="0" xfId="0" applyNumberFormat="1" applyFont="1"/>
    <xf numFmtId="0" fontId="0" fillId="16" borderId="0" xfId="0" applyFill="1" applyAlignment="1">
      <alignment horizontal="center"/>
    </xf>
    <xf numFmtId="9" fontId="0" fillId="16" borderId="0" xfId="0" applyNumberFormat="1" applyFill="1" applyAlignment="1">
      <alignment horizontal="center"/>
    </xf>
    <xf numFmtId="9" fontId="8" fillId="16" borderId="0" xfId="0" applyNumberFormat="1" applyFont="1" applyFill="1" applyAlignment="1">
      <alignment horizontal="right"/>
    </xf>
    <xf numFmtId="168" fontId="8" fillId="16" borderId="0" xfId="0" applyNumberFormat="1" applyFont="1" applyFill="1" applyAlignment="1">
      <alignment horizontal="center"/>
    </xf>
    <xf numFmtId="0" fontId="8" fillId="16" borderId="0" xfId="0" applyFont="1" applyFill="1" applyAlignment="1">
      <alignment horizontal="center"/>
    </xf>
    <xf numFmtId="0" fontId="0" fillId="16" borderId="0" xfId="0" applyFill="1" applyAlignment="1">
      <alignment horizontal="left"/>
    </xf>
    <xf numFmtId="185" fontId="8" fillId="16" borderId="0" xfId="0" applyNumberFormat="1" applyFont="1" applyFill="1" applyAlignment="1">
      <alignment horizontal="center"/>
    </xf>
    <xf numFmtId="9" fontId="8" fillId="16" borderId="0" xfId="2" applyFont="1" applyFill="1" applyBorder="1" applyAlignment="1">
      <alignment horizontal="center"/>
    </xf>
    <xf numFmtId="184" fontId="8" fillId="16" borderId="0" xfId="0" applyNumberFormat="1" applyFont="1" applyFill="1" applyAlignment="1">
      <alignment horizontal="center"/>
    </xf>
    <xf numFmtId="173" fontId="8" fillId="16" borderId="0" xfId="0" applyNumberFormat="1" applyFont="1" applyFill="1" applyAlignment="1">
      <alignment horizontal="center"/>
    </xf>
    <xf numFmtId="0" fontId="10" fillId="16" borderId="0" xfId="0" applyFont="1" applyFill="1" applyAlignment="1">
      <alignment horizontal="center" vertical="center"/>
    </xf>
    <xf numFmtId="0" fontId="28" fillId="16" borderId="0" xfId="0" applyFont="1" applyFill="1"/>
    <xf numFmtId="3" fontId="5" fillId="16" borderId="0" xfId="0" applyNumberFormat="1" applyFont="1" applyFill="1"/>
    <xf numFmtId="0" fontId="10" fillId="16" borderId="0" xfId="0" quotePrefix="1" applyFont="1" applyFill="1" applyAlignment="1">
      <alignment horizontal="center" vertical="center"/>
    </xf>
    <xf numFmtId="1" fontId="29" fillId="16" borderId="0" xfId="0" applyNumberFormat="1" applyFont="1" applyFill="1"/>
    <xf numFmtId="14" fontId="8" fillId="16" borderId="0" xfId="0" applyNumberFormat="1" applyFont="1" applyFill="1" applyAlignment="1">
      <alignment horizontal="center"/>
    </xf>
    <xf numFmtId="0" fontId="8" fillId="0" borderId="84" xfId="0" applyFont="1" applyBorder="1"/>
    <xf numFmtId="0" fontId="8" fillId="0" borderId="85" xfId="0" applyFont="1" applyBorder="1" applyAlignment="1">
      <alignment horizontal="center"/>
    </xf>
    <xf numFmtId="0" fontId="0" fillId="0" borderId="12" xfId="0" applyBorder="1"/>
    <xf numFmtId="9" fontId="6" fillId="0" borderId="81" xfId="0" applyNumberFormat="1" applyFont="1" applyBorder="1" applyAlignment="1">
      <alignment horizontal="center" vertical="center"/>
    </xf>
    <xf numFmtId="0" fontId="0" fillId="0" borderId="13" xfId="0" applyBorder="1"/>
    <xf numFmtId="0" fontId="9" fillId="0" borderId="0" xfId="0" applyFont="1" applyAlignment="1">
      <alignment horizontal="center"/>
    </xf>
    <xf numFmtId="0" fontId="0" fillId="0" borderId="26" xfId="0" applyBorder="1" applyAlignment="1">
      <alignment horizontal="left"/>
    </xf>
    <xf numFmtId="0" fontId="4" fillId="22" borderId="50" xfId="0" applyFont="1" applyFill="1" applyBorder="1" applyAlignment="1">
      <alignment horizontal="center" vertical="center" wrapText="1"/>
    </xf>
    <xf numFmtId="0" fontId="4" fillId="22" borderId="49" xfId="0" applyFont="1" applyFill="1" applyBorder="1" applyAlignment="1">
      <alignment horizontal="center" vertical="center" wrapText="1"/>
    </xf>
    <xf numFmtId="168" fontId="4" fillId="22" borderId="49" xfId="0" applyNumberFormat="1" applyFont="1" applyFill="1" applyBorder="1" applyAlignment="1">
      <alignment horizontal="center" vertical="center" wrapText="1"/>
    </xf>
    <xf numFmtId="9" fontId="4" fillId="22" borderId="49" xfId="2" applyFont="1" applyFill="1" applyBorder="1" applyAlignment="1">
      <alignment horizontal="center" vertical="center" wrapText="1"/>
    </xf>
    <xf numFmtId="0" fontId="4" fillId="22" borderId="49" xfId="2" applyNumberFormat="1" applyFont="1" applyFill="1" applyBorder="1" applyAlignment="1">
      <alignment horizontal="center" vertical="center" wrapText="1"/>
    </xf>
    <xf numFmtId="179" fontId="4" fillId="22" borderId="49" xfId="0" applyNumberFormat="1" applyFont="1" applyFill="1" applyBorder="1" applyAlignment="1">
      <alignment horizontal="center" vertical="center" wrapText="1"/>
    </xf>
    <xf numFmtId="179" fontId="4" fillId="22" borderId="48" xfId="0" applyNumberFormat="1" applyFont="1" applyFill="1" applyBorder="1" applyAlignment="1">
      <alignment horizontal="center" vertical="center" wrapText="1"/>
    </xf>
    <xf numFmtId="176" fontId="6" fillId="0" borderId="40" xfId="0" applyNumberFormat="1" applyFont="1" applyBorder="1" applyAlignment="1">
      <alignment horizontal="center" vertical="center" wrapText="1"/>
    </xf>
    <xf numFmtId="178" fontId="6" fillId="0" borderId="40" xfId="0" applyNumberFormat="1" applyFont="1" applyBorder="1" applyAlignment="1">
      <alignment horizontal="center" vertical="center" wrapText="1"/>
    </xf>
    <xf numFmtId="0" fontId="4" fillId="22" borderId="86" xfId="0" applyFont="1" applyFill="1" applyBorder="1" applyAlignment="1">
      <alignment horizontal="center" vertical="center" wrapText="1"/>
    </xf>
    <xf numFmtId="0" fontId="4" fillId="22" borderId="79" xfId="0" applyFont="1" applyFill="1" applyBorder="1" applyAlignment="1">
      <alignment horizontal="center" vertical="center" wrapText="1"/>
    </xf>
    <xf numFmtId="168" fontId="6" fillId="21" borderId="87" xfId="0" applyNumberFormat="1" applyFont="1" applyFill="1" applyBorder="1" applyAlignment="1">
      <alignment horizontal="center" vertical="top"/>
    </xf>
    <xf numFmtId="168" fontId="6" fillId="0" borderId="87" xfId="0" applyNumberFormat="1" applyFont="1" applyBorder="1" applyAlignment="1">
      <alignment horizontal="center" vertical="top"/>
    </xf>
    <xf numFmtId="181" fontId="0" fillId="21" borderId="87" xfId="0" applyNumberFormat="1" applyFill="1" applyBorder="1" applyAlignment="1">
      <alignment horizontal="center" vertical="top"/>
    </xf>
    <xf numFmtId="181" fontId="0" fillId="0" borderId="87" xfId="0" applyNumberFormat="1" applyBorder="1" applyAlignment="1">
      <alignment horizontal="center" vertical="top"/>
    </xf>
    <xf numFmtId="178" fontId="0" fillId="0" borderId="87" xfId="0" applyNumberFormat="1" applyBorder="1" applyAlignment="1">
      <alignment horizontal="center" vertical="top"/>
    </xf>
    <xf numFmtId="168" fontId="0" fillId="0" borderId="87" xfId="0" applyNumberFormat="1" applyBorder="1" applyAlignment="1">
      <alignment horizontal="center" vertical="top"/>
    </xf>
    <xf numFmtId="3" fontId="0" fillId="0" borderId="87" xfId="0" applyNumberFormat="1" applyBorder="1" applyAlignment="1">
      <alignment horizontal="center" vertical="top"/>
    </xf>
    <xf numFmtId="0" fontId="6" fillId="0" borderId="87" xfId="0" applyFont="1" applyBorder="1" applyAlignment="1">
      <alignment horizontal="center" vertical="top" wrapText="1"/>
    </xf>
    <xf numFmtId="168" fontId="4" fillId="35" borderId="10" xfId="0" applyNumberFormat="1" applyFont="1" applyFill="1" applyBorder="1"/>
    <xf numFmtId="0" fontId="0" fillId="0" borderId="5" xfId="0" applyBorder="1" applyAlignment="1">
      <alignment horizontal="left" vertical="top"/>
    </xf>
    <xf numFmtId="1" fontId="0" fillId="8" borderId="0" xfId="0" applyNumberFormat="1" applyFill="1"/>
    <xf numFmtId="0" fontId="0" fillId="8" borderId="0" xfId="0" applyFill="1" applyAlignment="1">
      <alignment horizontal="right"/>
    </xf>
    <xf numFmtId="0" fontId="17" fillId="8" borderId="0" xfId="0" applyFont="1" applyFill="1" applyProtection="1">
      <protection locked="0"/>
    </xf>
    <xf numFmtId="0" fontId="8" fillId="8" borderId="0" xfId="0" applyFont="1" applyFill="1" applyAlignment="1" applyProtection="1">
      <alignment horizontal="left" indent="1"/>
      <protection locked="0"/>
    </xf>
    <xf numFmtId="0" fontId="8" fillId="8" borderId="0" xfId="0" applyFont="1" applyFill="1" applyAlignment="1" applyProtection="1">
      <alignment horizontal="left" vertical="top" wrapText="1" indent="1"/>
      <protection locked="0"/>
    </xf>
    <xf numFmtId="14" fontId="8" fillId="8" borderId="0" xfId="0" applyNumberFormat="1" applyFont="1" applyFill="1" applyAlignment="1" applyProtection="1">
      <alignment horizontal="left" vertical="center" indent="1"/>
      <protection locked="0"/>
    </xf>
    <xf numFmtId="0" fontId="0" fillId="11" borderId="10" xfId="0" applyFill="1" applyBorder="1" applyAlignment="1">
      <alignment horizontal="right"/>
    </xf>
    <xf numFmtId="14" fontId="8" fillId="8" borderId="73" xfId="0" applyNumberFormat="1" applyFont="1" applyFill="1" applyBorder="1" applyAlignment="1" applyProtection="1">
      <alignment horizontal="left" vertical="center" indent="1"/>
      <protection locked="0"/>
    </xf>
    <xf numFmtId="173" fontId="8" fillId="8" borderId="89" xfId="0" applyNumberFormat="1" applyFont="1" applyFill="1" applyBorder="1" applyAlignment="1">
      <alignment horizontal="left" indent="1"/>
    </xf>
    <xf numFmtId="9" fontId="4" fillId="8" borderId="89" xfId="0" applyNumberFormat="1" applyFont="1" applyFill="1" applyBorder="1" applyAlignment="1">
      <alignment horizontal="left" indent="1"/>
    </xf>
    <xf numFmtId="0" fontId="8" fillId="8" borderId="73" xfId="0" applyFont="1" applyFill="1" applyBorder="1" applyAlignment="1" applyProtection="1">
      <alignment horizontal="left" vertical="top" wrapText="1" indent="1"/>
      <protection locked="0"/>
    </xf>
    <xf numFmtId="0" fontId="8" fillId="8" borderId="89" xfId="0" applyFont="1" applyFill="1" applyBorder="1" applyAlignment="1" applyProtection="1">
      <alignment horizontal="left" vertical="top" wrapText="1" indent="1"/>
      <protection locked="0"/>
    </xf>
    <xf numFmtId="0" fontId="8" fillId="8" borderId="89" xfId="0" applyFont="1" applyFill="1" applyBorder="1" applyAlignment="1" applyProtection="1">
      <alignment horizontal="left" indent="1"/>
      <protection locked="0"/>
    </xf>
    <xf numFmtId="9" fontId="8" fillId="8" borderId="89" xfId="0" applyNumberFormat="1" applyFont="1" applyFill="1" applyBorder="1" applyAlignment="1" applyProtection="1">
      <alignment horizontal="left" indent="1"/>
      <protection locked="0"/>
    </xf>
    <xf numFmtId="166" fontId="18" fillId="8" borderId="89" xfId="0" applyNumberFormat="1" applyFont="1" applyFill="1" applyBorder="1" applyAlignment="1" applyProtection="1">
      <alignment horizontal="left" indent="1"/>
      <protection locked="0"/>
    </xf>
    <xf numFmtId="166" fontId="8" fillId="8" borderId="89" xfId="0" applyNumberFormat="1" applyFont="1" applyFill="1" applyBorder="1" applyAlignment="1" applyProtection="1">
      <alignment horizontal="left" indent="1"/>
      <protection locked="0"/>
    </xf>
    <xf numFmtId="0" fontId="0" fillId="10" borderId="11" xfId="0" applyFill="1" applyBorder="1" applyAlignment="1">
      <alignment horizontal="right"/>
    </xf>
    <xf numFmtId="0" fontId="0" fillId="10" borderId="10" xfId="0" applyFill="1" applyBorder="1" applyAlignment="1">
      <alignment horizontal="right"/>
    </xf>
    <xf numFmtId="0" fontId="0" fillId="10" borderId="9" xfId="0" applyFill="1" applyBorder="1"/>
    <xf numFmtId="0" fontId="0" fillId="8" borderId="26" xfId="0" applyFill="1" applyBorder="1" applyAlignment="1">
      <alignment horizontal="right"/>
    </xf>
    <xf numFmtId="0" fontId="0" fillId="8" borderId="24" xfId="0" applyFill="1" applyBorder="1" applyAlignment="1">
      <alignment horizontal="right"/>
    </xf>
    <xf numFmtId="168" fontId="0" fillId="8" borderId="34" xfId="0" applyNumberFormat="1" applyFill="1" applyBorder="1"/>
    <xf numFmtId="0" fontId="18" fillId="8" borderId="89" xfId="0" applyFont="1" applyFill="1" applyBorder="1" applyAlignment="1" applyProtection="1">
      <alignment vertical="center"/>
      <protection locked="0"/>
    </xf>
    <xf numFmtId="0" fontId="3" fillId="14" borderId="0" xfId="4" applyAlignment="1">
      <alignment horizontal="left"/>
    </xf>
    <xf numFmtId="0" fontId="3" fillId="14" borderId="0" xfId="4" applyAlignment="1"/>
    <xf numFmtId="9" fontId="3" fillId="14" borderId="0" xfId="4" applyNumberFormat="1" applyAlignment="1"/>
    <xf numFmtId="0" fontId="3" fillId="14" borderId="3" xfId="4" applyBorder="1" applyAlignment="1">
      <alignment horizontal="center" vertical="center" wrapText="1"/>
    </xf>
    <xf numFmtId="0" fontId="3" fillId="14" borderId="3" xfId="4" applyBorder="1" applyAlignment="1">
      <alignment horizontal="center" vertical="center"/>
    </xf>
    <xf numFmtId="0" fontId="6" fillId="3" borderId="0" xfId="0" applyFont="1" applyFill="1" applyAlignment="1">
      <alignment horizontal="right" vertical="top" wrapText="1"/>
    </xf>
    <xf numFmtId="0" fontId="3" fillId="14" borderId="20" xfId="4" applyBorder="1" applyAlignment="1">
      <alignment horizontal="left"/>
    </xf>
    <xf numFmtId="0" fontId="3" fillId="14" borderId="8" xfId="4" applyBorder="1" applyAlignment="1">
      <alignment horizontal="center"/>
    </xf>
    <xf numFmtId="0" fontId="3" fillId="14" borderId="8" xfId="4" applyBorder="1" applyAlignment="1">
      <alignment horizontal="right"/>
    </xf>
    <xf numFmtId="0" fontId="3" fillId="14" borderId="19" xfId="4" applyBorder="1" applyAlignment="1">
      <alignment horizontal="center"/>
    </xf>
    <xf numFmtId="0" fontId="3" fillId="14" borderId="10" xfId="4" applyBorder="1" applyAlignment="1">
      <alignment horizontal="right"/>
    </xf>
    <xf numFmtId="168" fontId="18" fillId="8" borderId="88" xfId="0" applyNumberFormat="1" applyFont="1" applyFill="1" applyBorder="1" applyAlignment="1" applyProtection="1">
      <alignment vertical="center"/>
      <protection locked="0"/>
    </xf>
    <xf numFmtId="0" fontId="18" fillId="8" borderId="31" xfId="0" applyFont="1" applyFill="1" applyBorder="1" applyAlignment="1" applyProtection="1">
      <alignment vertical="center"/>
      <protection locked="0"/>
    </xf>
    <xf numFmtId="168" fontId="18" fillId="8" borderId="30" xfId="0" applyNumberFormat="1" applyFont="1" applyFill="1" applyBorder="1" applyAlignment="1" applyProtection="1">
      <alignment vertical="center"/>
      <protection locked="0"/>
    </xf>
    <xf numFmtId="0" fontId="0" fillId="11" borderId="11" xfId="0" applyFill="1" applyBorder="1" applyAlignment="1">
      <alignment horizontal="left"/>
    </xf>
    <xf numFmtId="0" fontId="18" fillId="8" borderId="42" xfId="0" applyFont="1" applyFill="1" applyBorder="1" applyAlignment="1" applyProtection="1">
      <alignment horizontal="left" vertical="center" indent="1"/>
      <protection locked="0"/>
    </xf>
    <xf numFmtId="0" fontId="18" fillId="8" borderId="32" xfId="0" applyFont="1" applyFill="1" applyBorder="1" applyAlignment="1" applyProtection="1">
      <alignment horizontal="left" vertical="center" indent="1"/>
      <protection locked="0"/>
    </xf>
    <xf numFmtId="168" fontId="8" fillId="8" borderId="89" xfId="0" applyNumberFormat="1" applyFont="1" applyFill="1" applyBorder="1" applyAlignment="1" applyProtection="1">
      <alignment horizontal="right" vertical="top"/>
      <protection locked="0"/>
    </xf>
    <xf numFmtId="168" fontId="18" fillId="8" borderId="89" xfId="0" applyNumberFormat="1" applyFont="1" applyFill="1" applyBorder="1" applyAlignment="1" applyProtection="1">
      <alignment horizontal="right" vertical="top"/>
      <protection locked="0"/>
    </xf>
    <xf numFmtId="168" fontId="18" fillId="8" borderId="31" xfId="0" applyNumberFormat="1" applyFont="1" applyFill="1" applyBorder="1" applyAlignment="1" applyProtection="1">
      <alignment horizontal="right" vertical="top"/>
      <protection locked="0"/>
    </xf>
    <xf numFmtId="168" fontId="4" fillId="12" borderId="0" xfId="0" applyNumberFormat="1" applyFont="1" applyFill="1" applyAlignment="1">
      <alignment horizontal="right"/>
    </xf>
    <xf numFmtId="168" fontId="0" fillId="8" borderId="24" xfId="0" applyNumberFormat="1" applyFill="1" applyBorder="1" applyAlignment="1">
      <alignment horizontal="right"/>
    </xf>
    <xf numFmtId="0" fontId="18" fillId="8" borderId="37" xfId="0" applyFont="1" applyFill="1" applyBorder="1" applyAlignment="1" applyProtection="1">
      <alignment horizontal="left" vertical="center" indent="1"/>
      <protection locked="0"/>
    </xf>
    <xf numFmtId="0" fontId="18" fillId="8" borderId="36" xfId="0" applyFont="1" applyFill="1" applyBorder="1" applyAlignment="1" applyProtection="1">
      <alignment vertical="center"/>
      <protection locked="0"/>
    </xf>
    <xf numFmtId="168" fontId="18" fillId="8" borderId="36" xfId="0" applyNumberFormat="1" applyFont="1" applyFill="1" applyBorder="1" applyAlignment="1" applyProtection="1">
      <alignment horizontal="right" vertical="top"/>
      <protection locked="0"/>
    </xf>
    <xf numFmtId="168" fontId="18" fillId="8" borderId="35" xfId="0" applyNumberFormat="1" applyFont="1" applyFill="1" applyBorder="1" applyAlignment="1" applyProtection="1">
      <alignment vertical="center"/>
      <protection locked="0"/>
    </xf>
    <xf numFmtId="0" fontId="18" fillId="8" borderId="37" xfId="0" applyFont="1" applyFill="1" applyBorder="1" applyAlignment="1" applyProtection="1">
      <alignment horizontal="left" vertical="top" wrapText="1" indent="1"/>
      <protection locked="0"/>
    </xf>
    <xf numFmtId="0" fontId="18" fillId="8" borderId="36" xfId="0" applyFont="1" applyFill="1" applyBorder="1" applyAlignment="1" applyProtection="1">
      <alignment horizontal="left" vertical="top" wrapText="1"/>
      <protection locked="0"/>
    </xf>
    <xf numFmtId="0" fontId="18" fillId="8" borderId="32" xfId="0" applyFont="1" applyFill="1" applyBorder="1" applyAlignment="1" applyProtection="1">
      <alignment horizontal="left" vertical="center" wrapText="1" indent="1"/>
      <protection locked="0"/>
    </xf>
    <xf numFmtId="168" fontId="18" fillId="8" borderId="31" xfId="0" applyNumberFormat="1" applyFont="1" applyFill="1" applyBorder="1" applyAlignment="1" applyProtection="1">
      <alignment vertical="top"/>
      <protection locked="0"/>
    </xf>
    <xf numFmtId="9" fontId="19" fillId="8" borderId="30" xfId="0" applyNumberFormat="1" applyFont="1" applyFill="1" applyBorder="1" applyAlignment="1">
      <alignment horizontal="left" wrapText="1" indent="1"/>
    </xf>
    <xf numFmtId="0" fontId="8" fillId="8" borderId="42" xfId="0" applyFont="1" applyFill="1" applyBorder="1" applyAlignment="1" applyProtection="1">
      <alignment horizontal="left" vertical="center" indent="1"/>
      <protection locked="0"/>
    </xf>
    <xf numFmtId="9" fontId="32" fillId="8" borderId="88" xfId="0" applyNumberFormat="1" applyFont="1" applyFill="1" applyBorder="1" applyAlignment="1">
      <alignment horizontal="left" wrapText="1" indent="1"/>
    </xf>
    <xf numFmtId="168" fontId="4" fillId="8" borderId="0" xfId="0" applyNumberFormat="1" applyFont="1" applyFill="1" applyAlignment="1">
      <alignment horizontal="right"/>
    </xf>
    <xf numFmtId="0" fontId="4" fillId="11" borderId="10" xfId="0" applyFont="1" applyFill="1" applyBorder="1" applyAlignment="1">
      <alignment horizontal="right"/>
    </xf>
    <xf numFmtId="0" fontId="4" fillId="11" borderId="9" xfId="0" applyFont="1" applyFill="1" applyBorder="1" applyAlignment="1">
      <alignment horizontal="right"/>
    </xf>
    <xf numFmtId="168" fontId="4" fillId="8" borderId="12" xfId="0" applyNumberFormat="1" applyFont="1" applyFill="1" applyBorder="1" applyAlignment="1">
      <alignment horizontal="right"/>
    </xf>
    <xf numFmtId="173" fontId="18" fillId="8" borderId="0" xfId="0" applyNumberFormat="1" applyFont="1" applyFill="1" applyAlignment="1">
      <alignment horizontal="right"/>
    </xf>
    <xf numFmtId="0" fontId="22" fillId="8" borderId="0" xfId="0" applyFont="1" applyFill="1" applyAlignment="1">
      <alignment horizontal="left" wrapText="1"/>
    </xf>
    <xf numFmtId="172" fontId="4" fillId="8" borderId="0" xfId="0" applyNumberFormat="1" applyFont="1" applyFill="1" applyAlignment="1">
      <alignment horizontal="right"/>
    </xf>
    <xf numFmtId="0" fontId="3" fillId="38" borderId="11" xfId="5" applyBorder="1" applyAlignment="1">
      <alignment horizontal="left" vertical="top" wrapText="1" indent="1"/>
    </xf>
    <xf numFmtId="0" fontId="3" fillId="38" borderId="9" xfId="5" applyBorder="1" applyAlignment="1">
      <alignment horizontal="center" vertical="center"/>
    </xf>
    <xf numFmtId="0" fontId="3" fillId="14" borderId="11" xfId="4" applyBorder="1" applyAlignment="1" applyProtection="1">
      <alignment horizontal="left" vertical="center"/>
      <protection locked="0"/>
    </xf>
    <xf numFmtId="0" fontId="3" fillId="14" borderId="10" xfId="4" applyBorder="1" applyAlignment="1" applyProtection="1">
      <alignment horizontal="center" vertical="center" wrapText="1"/>
      <protection locked="0"/>
    </xf>
    <xf numFmtId="0" fontId="3" fillId="14" borderId="10" xfId="4" applyBorder="1" applyAlignment="1" applyProtection="1">
      <alignment vertical="center" wrapText="1"/>
      <protection locked="0"/>
    </xf>
    <xf numFmtId="0" fontId="3" fillId="14" borderId="10" xfId="4" applyBorder="1" applyAlignment="1"/>
    <xf numFmtId="9" fontId="3" fillId="14" borderId="10" xfId="4" applyNumberFormat="1" applyBorder="1" applyAlignment="1">
      <alignment vertical="center" wrapText="1"/>
    </xf>
    <xf numFmtId="0" fontId="3" fillId="14" borderId="10" xfId="4" applyNumberFormat="1" applyBorder="1" applyAlignment="1">
      <alignment vertical="center" wrapText="1"/>
    </xf>
    <xf numFmtId="0" fontId="3" fillId="14" borderId="10" xfId="4" applyBorder="1" applyAlignment="1">
      <alignment horizontal="left" vertical="center" wrapText="1"/>
    </xf>
    <xf numFmtId="0" fontId="3" fillId="14" borderId="9" xfId="4" applyBorder="1" applyAlignment="1">
      <alignment horizontal="left" vertical="center" wrapText="1"/>
    </xf>
    <xf numFmtId="0" fontId="3" fillId="14" borderId="81" xfId="4" quotePrefix="1" applyBorder="1" applyAlignment="1">
      <alignment horizontal="center" vertical="center" wrapText="1"/>
    </xf>
    <xf numFmtId="0" fontId="3" fillId="14" borderId="83" xfId="4" applyBorder="1" applyAlignment="1">
      <alignment horizontal="center" vertical="center"/>
    </xf>
    <xf numFmtId="0" fontId="3" fillId="14" borderId="11" xfId="4" applyBorder="1" applyAlignment="1">
      <alignment horizontal="left"/>
    </xf>
    <xf numFmtId="0" fontId="3" fillId="14" borderId="25" xfId="4" applyBorder="1" applyAlignment="1">
      <alignment horizontal="left"/>
    </xf>
    <xf numFmtId="1" fontId="3" fillId="38" borderId="5" xfId="5" applyNumberFormat="1" applyBorder="1" applyAlignment="1">
      <alignment horizontal="center"/>
    </xf>
    <xf numFmtId="0" fontId="3" fillId="38" borderId="5" xfId="5" applyBorder="1" applyAlignment="1"/>
    <xf numFmtId="0" fontId="3" fillId="38" borderId="15" xfId="5" applyBorder="1" applyAlignment="1">
      <alignment horizontal="center"/>
    </xf>
    <xf numFmtId="0" fontId="3" fillId="38" borderId="5" xfId="5" applyBorder="1" applyAlignment="1">
      <alignment horizontal="center"/>
    </xf>
    <xf numFmtId="0" fontId="3" fillId="38" borderId="14" xfId="5" applyBorder="1" applyAlignment="1"/>
    <xf numFmtId="168" fontId="3" fillId="38" borderId="5" xfId="5" applyNumberFormat="1" applyBorder="1" applyAlignment="1"/>
    <xf numFmtId="168" fontId="3" fillId="38" borderId="5" xfId="5" applyNumberFormat="1" applyBorder="1" applyAlignment="1">
      <alignment horizontal="center"/>
    </xf>
    <xf numFmtId="168" fontId="3" fillId="38" borderId="14" xfId="5" applyNumberFormat="1" applyBorder="1" applyAlignment="1"/>
    <xf numFmtId="16" fontId="24" fillId="14" borderId="0" xfId="4" applyNumberFormat="1" applyFont="1" applyAlignment="1">
      <alignment horizontal="center" wrapText="1"/>
    </xf>
    <xf numFmtId="3" fontId="6" fillId="0" borderId="50" xfId="0" applyNumberFormat="1" applyFont="1" applyBorder="1" applyAlignment="1">
      <alignment horizontal="center" vertical="center" wrapText="1"/>
    </xf>
    <xf numFmtId="0" fontId="25" fillId="0" borderId="90" xfId="0" applyFont="1" applyBorder="1" applyAlignment="1">
      <alignment horizontal="center" vertical="center" wrapText="1"/>
    </xf>
    <xf numFmtId="168" fontId="4" fillId="22" borderId="11" xfId="0" applyNumberFormat="1" applyFont="1" applyFill="1" applyBorder="1" applyAlignment="1">
      <alignment horizontal="center" vertical="center" wrapText="1"/>
    </xf>
    <xf numFmtId="168" fontId="4" fillId="22" borderId="78" xfId="0" applyNumberFormat="1" applyFont="1" applyFill="1" applyBorder="1" applyAlignment="1">
      <alignment horizontal="center" vertical="center" wrapText="1"/>
    </xf>
    <xf numFmtId="168" fontId="4" fillId="22" borderId="86" xfId="0" applyNumberFormat="1" applyFont="1" applyFill="1" applyBorder="1" applyAlignment="1">
      <alignment horizontal="center" vertical="center" wrapText="1"/>
    </xf>
    <xf numFmtId="168" fontId="4" fillId="22" borderId="79" xfId="0" applyNumberFormat="1" applyFont="1" applyFill="1" applyBorder="1" applyAlignment="1">
      <alignment horizontal="center" vertical="center" wrapText="1"/>
    </xf>
    <xf numFmtId="168" fontId="4" fillId="22" borderId="74" xfId="0" applyNumberFormat="1" applyFont="1" applyFill="1" applyBorder="1" applyAlignment="1">
      <alignment horizontal="center" vertical="center" wrapText="1"/>
    </xf>
    <xf numFmtId="168" fontId="4" fillId="22" borderId="10" xfId="0" applyNumberFormat="1" applyFont="1" applyFill="1" applyBorder="1" applyAlignment="1">
      <alignment horizontal="center" vertical="center" wrapText="1"/>
    </xf>
    <xf numFmtId="0" fontId="6" fillId="0" borderId="69" xfId="0" applyFont="1" applyBorder="1" applyAlignment="1">
      <alignment horizontal="center" wrapText="1"/>
    </xf>
    <xf numFmtId="0" fontId="6" fillId="0" borderId="68" xfId="0" applyFont="1" applyBorder="1" applyAlignment="1">
      <alignment horizontal="center" wrapText="1"/>
    </xf>
    <xf numFmtId="0" fontId="4" fillId="0" borderId="68" xfId="0" applyFont="1" applyBorder="1" applyAlignment="1">
      <alignment horizontal="center" vertical="center" wrapText="1"/>
    </xf>
    <xf numFmtId="6" fontId="6" fillId="0" borderId="69" xfId="0" applyNumberFormat="1" applyFont="1" applyBorder="1" applyAlignment="1">
      <alignment horizontal="center" vertical="center"/>
    </xf>
    <xf numFmtId="6" fontId="6" fillId="0" borderId="68" xfId="0" applyNumberFormat="1" applyFont="1" applyBorder="1" applyAlignment="1">
      <alignment horizontal="center" vertical="center"/>
    </xf>
    <xf numFmtId="6" fontId="6" fillId="0" borderId="92" xfId="0" applyNumberFormat="1" applyFont="1" applyBorder="1" applyAlignment="1">
      <alignment horizontal="center" vertical="center"/>
    </xf>
    <xf numFmtId="173" fontId="6" fillId="0" borderId="69" xfId="0" applyNumberFormat="1" applyFont="1" applyBorder="1" applyAlignment="1">
      <alignment horizontal="center" vertical="center"/>
    </xf>
    <xf numFmtId="173" fontId="6" fillId="0" borderId="68" xfId="0" applyNumberFormat="1" applyFont="1" applyBorder="1" applyAlignment="1">
      <alignment horizontal="center" vertical="center"/>
    </xf>
    <xf numFmtId="173" fontId="6" fillId="0" borderId="92" xfId="0" applyNumberFormat="1" applyFont="1" applyBorder="1" applyAlignment="1">
      <alignment horizontal="center" vertical="center"/>
    </xf>
    <xf numFmtId="0" fontId="4" fillId="0" borderId="92" xfId="0" applyFont="1" applyBorder="1" applyAlignment="1">
      <alignment horizontal="center" vertical="center" wrapText="1"/>
    </xf>
    <xf numFmtId="0" fontId="4" fillId="0" borderId="93" xfId="0" applyFont="1" applyBorder="1" applyAlignment="1">
      <alignment horizontal="center" vertical="center" wrapText="1"/>
    </xf>
    <xf numFmtId="0" fontId="4" fillId="0" borderId="77"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69" xfId="0" applyFont="1" applyBorder="1" applyAlignment="1">
      <alignment horizontal="center" vertical="center" wrapText="1"/>
    </xf>
    <xf numFmtId="168" fontId="8" fillId="11" borderId="10" xfId="0" applyNumberFormat="1" applyFont="1" applyFill="1" applyBorder="1" applyAlignment="1" applyProtection="1">
      <alignment horizontal="right"/>
      <protection locked="0"/>
    </xf>
    <xf numFmtId="168" fontId="4" fillId="11" borderId="9" xfId="0" applyNumberFormat="1" applyFont="1" applyFill="1" applyBorder="1" applyAlignment="1">
      <alignment horizontal="right"/>
    </xf>
    <xf numFmtId="168" fontId="6" fillId="4" borderId="0" xfId="0" applyNumberFormat="1" applyFont="1" applyFill="1" applyAlignment="1">
      <alignment horizontal="center"/>
    </xf>
    <xf numFmtId="0" fontId="4" fillId="0" borderId="31" xfId="0" applyFont="1" applyBorder="1" applyAlignment="1">
      <alignment horizontal="center" vertical="center"/>
    </xf>
    <xf numFmtId="175" fontId="0" fillId="0" borderId="0" xfId="2" applyNumberFormat="1" applyFont="1"/>
    <xf numFmtId="174" fontId="0" fillId="0" borderId="0" xfId="0" applyNumberFormat="1"/>
    <xf numFmtId="0" fontId="8" fillId="0" borderId="31" xfId="0" applyFont="1" applyBorder="1"/>
    <xf numFmtId="168" fontId="8" fillId="0" borderId="31" xfId="0" applyNumberFormat="1" applyFont="1" applyBorder="1"/>
    <xf numFmtId="191" fontId="0" fillId="0" borderId="0" xfId="0" applyNumberFormat="1"/>
    <xf numFmtId="168" fontId="18" fillId="8" borderId="5" xfId="0" applyNumberFormat="1" applyFont="1" applyFill="1" applyBorder="1" applyAlignment="1" applyProtection="1">
      <alignment horizontal="right" vertical="top"/>
      <protection locked="0"/>
    </xf>
    <xf numFmtId="168" fontId="18" fillId="13" borderId="5" xfId="0" applyNumberFormat="1" applyFont="1" applyFill="1" applyBorder="1" applyAlignment="1" applyProtection="1">
      <alignment horizontal="right" vertical="top"/>
      <protection locked="0"/>
    </xf>
    <xf numFmtId="9" fontId="8" fillId="3" borderId="18" xfId="0" applyNumberFormat="1" applyFont="1" applyFill="1" applyBorder="1" applyAlignment="1" applyProtection="1">
      <alignment horizontal="right" vertical="top"/>
      <protection locked="0"/>
    </xf>
    <xf numFmtId="168" fontId="0" fillId="3" borderId="17" xfId="0" applyNumberFormat="1" applyFill="1" applyBorder="1" applyAlignment="1">
      <alignment horizontal="right" vertical="top"/>
    </xf>
    <xf numFmtId="168" fontId="0" fillId="3" borderId="16" xfId="0" applyNumberFormat="1" applyFill="1" applyBorder="1" applyAlignment="1">
      <alignment horizontal="right" vertical="top"/>
    </xf>
    <xf numFmtId="0" fontId="3" fillId="38" borderId="0" xfId="5" applyBorder="1" applyAlignment="1">
      <alignment horizontal="left" vertical="center"/>
    </xf>
    <xf numFmtId="0" fontId="3" fillId="38" borderId="0" xfId="5" applyBorder="1" applyAlignment="1">
      <alignment horizontal="center" vertical="center"/>
    </xf>
    <xf numFmtId="0" fontId="6" fillId="0" borderId="0" xfId="0" applyFont="1" applyAlignment="1">
      <alignment horizontal="center"/>
    </xf>
    <xf numFmtId="0" fontId="4" fillId="0" borderId="0" xfId="0" applyFont="1"/>
    <xf numFmtId="0" fontId="0" fillId="0" borderId="0" xfId="0" quotePrefix="1"/>
    <xf numFmtId="176" fontId="6" fillId="0" borderId="0" xfId="0" applyNumberFormat="1" applyFont="1" applyAlignment="1">
      <alignment horizontal="right"/>
    </xf>
    <xf numFmtId="181" fontId="6" fillId="0" borderId="0" xfId="0" applyNumberFormat="1" applyFont="1" applyAlignment="1">
      <alignment horizontal="right"/>
    </xf>
    <xf numFmtId="181" fontId="6" fillId="0" borderId="34" xfId="0" applyNumberFormat="1" applyFont="1" applyBorder="1"/>
    <xf numFmtId="0" fontId="3" fillId="38" borderId="11" xfId="5" applyBorder="1" applyAlignment="1">
      <alignment horizontal="center" vertical="center"/>
    </xf>
    <xf numFmtId="0" fontId="3" fillId="38" borderId="10" xfId="5" applyBorder="1" applyAlignment="1">
      <alignment horizontal="center" vertical="center"/>
    </xf>
    <xf numFmtId="0" fontId="8" fillId="37" borderId="43" xfId="0" applyFont="1" applyFill="1" applyBorder="1" applyAlignment="1">
      <alignment horizontal="center" vertical="top" wrapText="1"/>
    </xf>
    <xf numFmtId="0" fontId="4" fillId="37" borderId="43" xfId="0" applyFont="1" applyFill="1" applyBorder="1" applyAlignment="1">
      <alignment horizontal="center" vertical="center" wrapText="1"/>
    </xf>
    <xf numFmtId="168" fontId="0" fillId="37" borderId="43" xfId="1" applyNumberFormat="1" applyFont="1" applyFill="1" applyBorder="1" applyAlignment="1">
      <alignment horizontal="center" vertical="center" wrapText="1"/>
    </xf>
    <xf numFmtId="181" fontId="0" fillId="37" borderId="43" xfId="1" applyNumberFormat="1" applyFont="1" applyFill="1" applyBorder="1" applyAlignment="1">
      <alignment horizontal="center" vertical="center" wrapText="1"/>
    </xf>
    <xf numFmtId="168" fontId="0" fillId="37" borderId="43" xfId="2" applyNumberFormat="1" applyFont="1" applyFill="1" applyBorder="1" applyAlignment="1">
      <alignment horizontal="center" vertical="center" wrapText="1"/>
    </xf>
    <xf numFmtId="181" fontId="0" fillId="37" borderId="43" xfId="2" applyNumberFormat="1" applyFont="1" applyFill="1" applyBorder="1" applyAlignment="1">
      <alignment horizontal="center" vertical="center" wrapText="1"/>
    </xf>
    <xf numFmtId="0" fontId="6" fillId="37" borderId="0" xfId="0" applyFont="1" applyFill="1"/>
    <xf numFmtId="168" fontId="6" fillId="37" borderId="87" xfId="0" applyNumberFormat="1" applyFont="1" applyFill="1" applyBorder="1" applyAlignment="1">
      <alignment horizontal="center" vertical="top"/>
    </xf>
    <xf numFmtId="181" fontId="0" fillId="37" borderId="87" xfId="0" applyNumberFormat="1" applyFill="1" applyBorder="1" applyAlignment="1">
      <alignment horizontal="center" vertical="top"/>
    </xf>
    <xf numFmtId="178" fontId="0" fillId="37" borderId="87" xfId="0" applyNumberFormat="1" applyFill="1" applyBorder="1" applyAlignment="1">
      <alignment horizontal="center" vertical="top"/>
    </xf>
    <xf numFmtId="168" fontId="0" fillId="37" borderId="87" xfId="0" applyNumberFormat="1" applyFill="1" applyBorder="1" applyAlignment="1">
      <alignment horizontal="center" vertical="top"/>
    </xf>
    <xf numFmtId="3" fontId="0" fillId="37" borderId="87" xfId="0" applyNumberFormat="1" applyFill="1" applyBorder="1" applyAlignment="1">
      <alignment horizontal="center" vertical="top"/>
    </xf>
    <xf numFmtId="0" fontId="6" fillId="37" borderId="87" xfId="0" applyFont="1" applyFill="1" applyBorder="1" applyAlignment="1">
      <alignment horizontal="center" vertical="top" wrapText="1"/>
    </xf>
    <xf numFmtId="0" fontId="0" fillId="37" borderId="0" xfId="0" applyFill="1"/>
    <xf numFmtId="1" fontId="0" fillId="13" borderId="94" xfId="0" applyNumberFormat="1" applyFill="1" applyBorder="1" applyAlignment="1">
      <alignment horizontal="center" vertical="center"/>
    </xf>
    <xf numFmtId="0" fontId="4" fillId="11" borderId="11" xfId="0" applyFont="1" applyFill="1" applyBorder="1" applyAlignment="1">
      <alignment horizontal="right"/>
    </xf>
    <xf numFmtId="0" fontId="4" fillId="10" borderId="26" xfId="0" applyFont="1" applyFill="1" applyBorder="1" applyAlignment="1">
      <alignment horizontal="right"/>
    </xf>
    <xf numFmtId="0" fontId="4" fillId="10" borderId="10" xfId="0" applyFont="1" applyFill="1" applyBorder="1" applyAlignment="1">
      <alignment horizontal="right"/>
    </xf>
    <xf numFmtId="0" fontId="4" fillId="11" borderId="11" xfId="0" applyFont="1" applyFill="1" applyBorder="1" applyAlignment="1">
      <alignment horizontal="left"/>
    </xf>
    <xf numFmtId="9" fontId="0" fillId="3" borderId="18" xfId="0" applyNumberFormat="1" applyFill="1" applyBorder="1" applyAlignment="1">
      <alignment horizontal="right"/>
    </xf>
    <xf numFmtId="10" fontId="0" fillId="3" borderId="13" xfId="0" applyNumberFormat="1" applyFill="1" applyBorder="1" applyAlignment="1">
      <alignment horizontal="right"/>
    </xf>
    <xf numFmtId="0" fontId="18" fillId="8" borderId="95" xfId="0" applyFont="1" applyFill="1" applyBorder="1" applyAlignment="1" applyProtection="1">
      <alignment horizontal="left" vertical="top" wrapText="1" indent="1"/>
      <protection locked="0"/>
    </xf>
    <xf numFmtId="0" fontId="18" fillId="8" borderId="5" xfId="0" applyFont="1" applyFill="1" applyBorder="1" applyAlignment="1" applyProtection="1">
      <alignment vertical="center"/>
      <protection locked="0"/>
    </xf>
    <xf numFmtId="168" fontId="18" fillId="8" borderId="41" xfId="0" applyNumberFormat="1" applyFont="1" applyFill="1" applyBorder="1" applyAlignment="1" applyProtection="1">
      <alignment vertical="center"/>
      <protection locked="0"/>
    </xf>
    <xf numFmtId="168" fontId="18" fillId="13" borderId="41" xfId="0" applyNumberFormat="1" applyFont="1" applyFill="1" applyBorder="1" applyAlignment="1" applyProtection="1">
      <alignment vertical="center"/>
      <protection locked="0"/>
    </xf>
    <xf numFmtId="0" fontId="18" fillId="8" borderId="96" xfId="0" applyFont="1" applyFill="1" applyBorder="1" applyAlignment="1" applyProtection="1">
      <alignment horizontal="left" vertical="top" wrapText="1" indent="1"/>
      <protection locked="0"/>
    </xf>
    <xf numFmtId="0" fontId="18" fillId="8" borderId="97" xfId="0" applyFont="1" applyFill="1" applyBorder="1" applyAlignment="1" applyProtection="1">
      <alignment vertical="center"/>
      <protection locked="0"/>
    </xf>
    <xf numFmtId="168" fontId="18" fillId="8" borderId="97" xfId="0" applyNumberFormat="1" applyFont="1" applyFill="1" applyBorder="1" applyAlignment="1" applyProtection="1">
      <alignment horizontal="right" vertical="top"/>
      <protection locked="0"/>
    </xf>
    <xf numFmtId="168" fontId="18" fillId="13" borderId="98" xfId="0" applyNumberFormat="1" applyFont="1" applyFill="1" applyBorder="1" applyAlignment="1" applyProtection="1">
      <alignment vertical="center"/>
      <protection locked="0"/>
    </xf>
    <xf numFmtId="0" fontId="6" fillId="0" borderId="99" xfId="0" applyFont="1" applyBorder="1" applyAlignment="1">
      <alignment horizontal="center" vertical="center"/>
    </xf>
    <xf numFmtId="176" fontId="6" fillId="0" borderId="99" xfId="0" applyNumberFormat="1" applyFont="1" applyBorder="1" applyAlignment="1">
      <alignment horizontal="center" vertical="center" wrapText="1"/>
    </xf>
    <xf numFmtId="10" fontId="6" fillId="0" borderId="99" xfId="0" applyNumberFormat="1" applyFont="1" applyBorder="1" applyAlignment="1">
      <alignment horizontal="center" vertical="center"/>
    </xf>
    <xf numFmtId="0" fontId="6" fillId="37" borderId="99" xfId="0" applyFont="1" applyFill="1" applyBorder="1" applyAlignment="1">
      <alignment horizontal="center" vertical="center"/>
    </xf>
    <xf numFmtId="176" fontId="6" fillId="37" borderId="99" xfId="0" applyNumberFormat="1" applyFont="1" applyFill="1" applyBorder="1" applyAlignment="1">
      <alignment horizontal="center" vertical="center" wrapText="1"/>
    </xf>
    <xf numFmtId="10" fontId="6" fillId="37" borderId="99" xfId="0" applyNumberFormat="1" applyFont="1" applyFill="1" applyBorder="1" applyAlignment="1">
      <alignment horizontal="center" vertical="center"/>
    </xf>
    <xf numFmtId="0" fontId="3" fillId="14" borderId="56" xfId="4" applyBorder="1" applyAlignment="1">
      <alignment horizontal="left" vertical="center" wrapText="1"/>
    </xf>
    <xf numFmtId="0" fontId="3" fillId="14" borderId="38" xfId="4" applyBorder="1" applyAlignment="1">
      <alignment horizontal="left" vertical="center" wrapText="1"/>
    </xf>
    <xf numFmtId="0" fontId="3" fillId="14" borderId="102" xfId="4" applyBorder="1" applyAlignment="1">
      <alignment horizontal="left" vertical="center" wrapText="1"/>
    </xf>
    <xf numFmtId="0" fontId="3" fillId="14" borderId="103" xfId="4" applyBorder="1" applyAlignment="1">
      <alignment horizontal="left" vertical="center" wrapText="1"/>
    </xf>
    <xf numFmtId="9" fontId="4" fillId="3" borderId="11" xfId="2" applyFont="1" applyFill="1" applyBorder="1" applyAlignment="1">
      <alignment horizontal="right"/>
    </xf>
    <xf numFmtId="0" fontId="8" fillId="31" borderId="0" xfId="0" applyFont="1" applyFill="1" applyAlignment="1">
      <alignment horizontal="left" indent="1"/>
    </xf>
    <xf numFmtId="0" fontId="6" fillId="8" borderId="81" xfId="0" applyFont="1" applyFill="1" applyBorder="1" applyAlignment="1">
      <alignment horizontal="center" vertical="top"/>
    </xf>
    <xf numFmtId="0" fontId="20" fillId="8" borderId="99" xfId="0" applyFont="1" applyFill="1" applyBorder="1" applyAlignment="1">
      <alignment horizontal="left" vertical="top" wrapText="1" indent="1"/>
    </xf>
    <xf numFmtId="0" fontId="4" fillId="0" borderId="99" xfId="0" applyFont="1" applyBorder="1" applyAlignment="1">
      <alignment horizontal="center" vertical="center" wrapText="1"/>
    </xf>
    <xf numFmtId="0" fontId="34" fillId="0" borderId="0" xfId="0" applyFont="1" applyAlignment="1">
      <alignment wrapText="1"/>
    </xf>
    <xf numFmtId="0" fontId="34" fillId="0" borderId="0" xfId="0" applyFont="1"/>
    <xf numFmtId="0" fontId="35" fillId="0" borderId="12" xfId="0" applyFont="1" applyBorder="1"/>
    <xf numFmtId="0" fontId="35" fillId="0" borderId="0" xfId="0" applyFont="1"/>
    <xf numFmtId="0" fontId="34" fillId="0" borderId="0" xfId="0" applyFont="1" applyAlignment="1">
      <alignment horizontal="center"/>
    </xf>
    <xf numFmtId="182" fontId="35" fillId="0" borderId="0" xfId="0" applyNumberFormat="1" applyFont="1" applyAlignment="1">
      <alignment horizontal="right"/>
    </xf>
    <xf numFmtId="182" fontId="35" fillId="8" borderId="0" xfId="0" applyNumberFormat="1" applyFont="1" applyFill="1" applyAlignment="1">
      <alignment horizontal="right"/>
    </xf>
    <xf numFmtId="1" fontId="35" fillId="0" borderId="12" xfId="0" applyNumberFormat="1" applyFont="1" applyBorder="1"/>
    <xf numFmtId="192" fontId="35" fillId="0" borderId="0" xfId="0" applyNumberFormat="1" applyFont="1" applyAlignment="1">
      <alignment horizontal="right"/>
    </xf>
    <xf numFmtId="0" fontId="3" fillId="14" borderId="83" xfId="4" applyBorder="1" applyAlignment="1">
      <alignment horizontal="center" vertical="center" wrapText="1"/>
    </xf>
    <xf numFmtId="9" fontId="6" fillId="0" borderId="99" xfId="0" applyNumberFormat="1" applyFont="1" applyBorder="1" applyAlignment="1">
      <alignment horizontal="center" vertical="center"/>
    </xf>
    <xf numFmtId="173" fontId="6" fillId="0" borderId="99" xfId="0" applyNumberFormat="1" applyFont="1" applyBorder="1" applyAlignment="1">
      <alignment horizontal="right" vertical="center" indent="1"/>
    </xf>
    <xf numFmtId="0" fontId="3" fillId="14" borderId="99" xfId="4" applyBorder="1" applyAlignment="1">
      <alignment horizontal="center" vertical="center" wrapText="1"/>
    </xf>
    <xf numFmtId="173" fontId="6" fillId="0" borderId="83" xfId="0" applyNumberFormat="1" applyFont="1" applyBorder="1" applyAlignment="1">
      <alignment horizontal="right" vertical="center" indent="1"/>
    </xf>
    <xf numFmtId="9" fontId="6" fillId="0" borderId="49" xfId="0" applyNumberFormat="1" applyFont="1" applyBorder="1" applyAlignment="1">
      <alignment horizontal="center" vertical="center"/>
    </xf>
    <xf numFmtId="173" fontId="6" fillId="0" borderId="48" xfId="0" applyNumberFormat="1" applyFont="1" applyBorder="1" applyAlignment="1">
      <alignment horizontal="right" vertical="center" indent="1"/>
    </xf>
    <xf numFmtId="0" fontId="35" fillId="0" borderId="24" xfId="0" applyFont="1" applyBorder="1"/>
    <xf numFmtId="0" fontId="35" fillId="0" borderId="34" xfId="0" applyFont="1" applyBorder="1"/>
    <xf numFmtId="168" fontId="6" fillId="0" borderId="99" xfId="0" applyNumberFormat="1" applyFont="1" applyBorder="1" applyAlignment="1">
      <alignment horizontal="right" vertical="center" indent="1"/>
    </xf>
    <xf numFmtId="168" fontId="6" fillId="0" borderId="83" xfId="0" applyNumberFormat="1" applyFont="1" applyBorder="1" applyAlignment="1">
      <alignment horizontal="right" vertical="center" indent="1"/>
    </xf>
    <xf numFmtId="168" fontId="6" fillId="0" borderId="48" xfId="0" applyNumberFormat="1" applyFont="1" applyBorder="1" applyAlignment="1">
      <alignment horizontal="right" vertical="center" indent="1"/>
    </xf>
    <xf numFmtId="9" fontId="6" fillId="0" borderId="8" xfId="0" applyNumberFormat="1" applyFont="1" applyBorder="1" applyAlignment="1">
      <alignment horizontal="center" vertical="center"/>
    </xf>
    <xf numFmtId="173" fontId="6" fillId="0" borderId="8" xfId="0" applyNumberFormat="1" applyFont="1" applyBorder="1" applyAlignment="1">
      <alignment horizontal="right" vertical="center" indent="1"/>
    </xf>
    <xf numFmtId="0" fontId="35" fillId="8" borderId="0" xfId="0" applyFont="1" applyFill="1"/>
    <xf numFmtId="0" fontId="34" fillId="8" borderId="0" xfId="0" applyFont="1" applyFill="1" applyAlignment="1">
      <alignment horizontal="center"/>
    </xf>
    <xf numFmtId="3" fontId="35" fillId="8" borderId="0" xfId="0" applyNumberFormat="1" applyFont="1" applyFill="1" applyAlignment="1">
      <alignment horizontal="right"/>
    </xf>
    <xf numFmtId="0" fontId="36" fillId="0" borderId="0" xfId="0" applyFont="1" applyAlignment="1">
      <alignment horizontal="center"/>
    </xf>
    <xf numFmtId="0" fontId="8" fillId="22" borderId="83" xfId="0" applyFont="1" applyFill="1" applyBorder="1" applyAlignment="1">
      <alignment horizontal="center" vertical="top" wrapText="1"/>
    </xf>
    <xf numFmtId="0" fontId="8" fillId="22" borderId="83" xfId="0" applyFont="1" applyFill="1" applyBorder="1" applyAlignment="1">
      <alignment horizontal="center" vertical="center" wrapText="1"/>
    </xf>
    <xf numFmtId="3" fontId="7" fillId="0" borderId="0" xfId="0" applyNumberFormat="1" applyFont="1"/>
    <xf numFmtId="4" fontId="7" fillId="0" borderId="0" xfId="0" applyNumberFormat="1" applyFont="1"/>
    <xf numFmtId="0" fontId="8" fillId="16" borderId="13" xfId="0" applyFont="1" applyFill="1" applyBorder="1" applyAlignment="1">
      <alignment horizontal="center"/>
    </xf>
    <xf numFmtId="0" fontId="8" fillId="16" borderId="12" xfId="0" applyFont="1" applyFill="1" applyBorder="1" applyAlignment="1">
      <alignment horizontal="center"/>
    </xf>
    <xf numFmtId="0" fontId="8" fillId="16" borderId="13" xfId="0" applyFont="1" applyFill="1" applyBorder="1"/>
    <xf numFmtId="0" fontId="8" fillId="16" borderId="12" xfId="0" applyFont="1" applyFill="1" applyBorder="1" applyAlignment="1">
      <alignment horizontal="center" vertical="center"/>
    </xf>
    <xf numFmtId="173" fontId="26" fillId="16" borderId="0" xfId="0" applyNumberFormat="1" applyFont="1" applyFill="1"/>
    <xf numFmtId="0" fontId="8" fillId="16" borderId="13" xfId="0" applyFont="1" applyFill="1" applyBorder="1" applyAlignment="1">
      <alignment horizontal="center" vertical="center"/>
    </xf>
    <xf numFmtId="173" fontId="0" fillId="16" borderId="0" xfId="0" applyNumberFormat="1" applyFill="1"/>
    <xf numFmtId="0" fontId="0" fillId="16" borderId="26" xfId="0" applyFill="1" applyBorder="1"/>
    <xf numFmtId="0" fontId="0" fillId="16" borderId="24" xfId="0" applyFill="1" applyBorder="1"/>
    <xf numFmtId="9" fontId="0" fillId="16" borderId="24" xfId="0" applyNumberFormat="1" applyFill="1" applyBorder="1" applyAlignment="1">
      <alignment horizontal="center"/>
    </xf>
    <xf numFmtId="0" fontId="0" fillId="16" borderId="34" xfId="0" applyFill="1" applyBorder="1"/>
    <xf numFmtId="0" fontId="8" fillId="16" borderId="26" xfId="0" applyFont="1" applyFill="1" applyBorder="1" applyAlignment="1">
      <alignment horizontal="center" vertical="center"/>
    </xf>
    <xf numFmtId="173" fontId="0" fillId="16" borderId="24" xfId="0" applyNumberFormat="1" applyFill="1" applyBorder="1"/>
    <xf numFmtId="0" fontId="8" fillId="16" borderId="24" xfId="0" applyFont="1" applyFill="1" applyBorder="1" applyAlignment="1">
      <alignment horizontal="center"/>
    </xf>
    <xf numFmtId="0" fontId="8" fillId="16" borderId="24" xfId="0" applyFont="1" applyFill="1" applyBorder="1" applyAlignment="1">
      <alignment horizontal="center" vertical="center"/>
    </xf>
    <xf numFmtId="0" fontId="8" fillId="16" borderId="34" xfId="0" applyFont="1" applyFill="1" applyBorder="1" applyAlignment="1">
      <alignment horizontal="center" vertical="center"/>
    </xf>
    <xf numFmtId="0" fontId="3" fillId="38" borderId="26" xfId="5" applyBorder="1" applyAlignment="1">
      <alignment horizontal="center" vertical="center"/>
    </xf>
    <xf numFmtId="0" fontId="4" fillId="22" borderId="102" xfId="0" applyFont="1" applyFill="1" applyBorder="1" applyAlignment="1">
      <alignment horizontal="center" vertical="center" wrapText="1"/>
    </xf>
    <xf numFmtId="0" fontId="4" fillId="33" borderId="106" xfId="0" applyFont="1" applyFill="1" applyBorder="1" applyAlignment="1">
      <alignment horizontal="center" vertical="center" wrapText="1"/>
    </xf>
    <xf numFmtId="0" fontId="6" fillId="0" borderId="99" xfId="0" applyFont="1" applyBorder="1" applyAlignment="1">
      <alignment horizontal="left" vertical="top" wrapText="1" indent="1"/>
    </xf>
    <xf numFmtId="0" fontId="20" fillId="0" borderId="99" xfId="0" applyFont="1" applyBorder="1" applyAlignment="1">
      <alignment horizontal="left" vertical="top" wrapText="1" indent="1"/>
    </xf>
    <xf numFmtId="0" fontId="20" fillId="0" borderId="99" xfId="0" applyFont="1" applyBorder="1" applyAlignment="1">
      <alignment horizontal="center" vertical="top" wrapText="1"/>
    </xf>
    <xf numFmtId="0" fontId="6" fillId="0" borderId="49" xfId="0" applyFont="1" applyBorder="1" applyAlignment="1">
      <alignment horizontal="left" vertical="top" wrapText="1" indent="1"/>
    </xf>
    <xf numFmtId="0" fontId="20" fillId="0" borderId="49" xfId="0" applyFont="1" applyBorder="1" applyAlignment="1">
      <alignment horizontal="left" vertical="top" wrapText="1" indent="1"/>
    </xf>
    <xf numFmtId="0" fontId="20" fillId="0" borderId="49" xfId="0" applyFont="1" applyBorder="1" applyAlignment="1">
      <alignment horizontal="center" vertical="top" wrapText="1"/>
    </xf>
    <xf numFmtId="190" fontId="4" fillId="22" borderId="102" xfId="0" applyNumberFormat="1" applyFont="1" applyFill="1" applyBorder="1" applyAlignment="1">
      <alignment horizontal="center" vertical="center" wrapText="1"/>
    </xf>
    <xf numFmtId="0" fontId="6" fillId="8" borderId="57" xfId="0" applyFont="1" applyFill="1" applyBorder="1" applyAlignment="1">
      <alignment horizontal="center" vertical="top"/>
    </xf>
    <xf numFmtId="0" fontId="6" fillId="0" borderId="56" xfId="0" applyFont="1" applyBorder="1" applyAlignment="1">
      <alignment horizontal="left" vertical="top" wrapText="1" indent="1"/>
    </xf>
    <xf numFmtId="0" fontId="20" fillId="8" borderId="56" xfId="0" applyFont="1" applyFill="1" applyBorder="1" applyAlignment="1">
      <alignment horizontal="left" vertical="top" wrapText="1" indent="1"/>
    </xf>
    <xf numFmtId="0" fontId="20" fillId="0" borderId="56" xfId="0" applyFont="1" applyBorder="1" applyAlignment="1">
      <alignment horizontal="left" vertical="top" wrapText="1" indent="1"/>
    </xf>
    <xf numFmtId="0" fontId="20" fillId="0" borderId="56" xfId="0" applyFont="1" applyBorder="1" applyAlignment="1">
      <alignment horizontal="center" vertical="top" wrapText="1"/>
    </xf>
    <xf numFmtId="0" fontId="4" fillId="0" borderId="56" xfId="0" applyFont="1" applyBorder="1" applyAlignment="1">
      <alignment horizontal="center" vertical="center" wrapText="1"/>
    </xf>
    <xf numFmtId="0" fontId="4" fillId="16" borderId="37" xfId="0" applyFont="1" applyFill="1" applyBorder="1" applyAlignment="1">
      <alignment horizontal="center" vertical="center"/>
    </xf>
    <xf numFmtId="0" fontId="4" fillId="15" borderId="95" xfId="0" applyFont="1" applyFill="1" applyBorder="1" applyAlignment="1">
      <alignment horizontal="center" vertical="center"/>
    </xf>
    <xf numFmtId="0" fontId="4" fillId="16" borderId="95" xfId="0" applyFont="1" applyFill="1" applyBorder="1" applyAlignment="1">
      <alignment horizontal="center" vertical="center"/>
    </xf>
    <xf numFmtId="0" fontId="4" fillId="16" borderId="96" xfId="0" applyFont="1" applyFill="1" applyBorder="1" applyAlignment="1">
      <alignment horizontal="center" vertical="center"/>
    </xf>
    <xf numFmtId="0" fontId="4" fillId="15" borderId="96" xfId="0" applyFont="1" applyFill="1" applyBorder="1" applyAlignment="1">
      <alignment horizontal="center" vertical="center"/>
    </xf>
    <xf numFmtId="0" fontId="3" fillId="38" borderId="24" xfId="5" applyBorder="1" applyAlignment="1">
      <alignment horizontal="center" vertical="center" wrapText="1"/>
    </xf>
    <xf numFmtId="0" fontId="3" fillId="38" borderId="34" xfId="5" applyBorder="1" applyAlignment="1">
      <alignment horizontal="center" vertical="center" wrapText="1"/>
    </xf>
    <xf numFmtId="0" fontId="23" fillId="0" borderId="107" xfId="0" applyFont="1" applyBorder="1" applyAlignment="1">
      <alignment horizontal="center" vertical="center"/>
    </xf>
    <xf numFmtId="0" fontId="23" fillId="0" borderId="108" xfId="0" applyFont="1" applyBorder="1" applyAlignment="1">
      <alignment horizontal="center" vertical="center"/>
    </xf>
    <xf numFmtId="0" fontId="23" fillId="0" borderId="109" xfId="0" applyFont="1" applyBorder="1" applyAlignment="1">
      <alignment horizontal="center" vertical="center"/>
    </xf>
    <xf numFmtId="0" fontId="6" fillId="0" borderId="91" xfId="0" applyFont="1" applyBorder="1" applyAlignment="1">
      <alignment horizontal="left" vertical="top" wrapText="1"/>
    </xf>
    <xf numFmtId="0" fontId="0" fillId="0" borderId="0" xfId="0" applyAlignment="1">
      <alignment horizontal="left" vertical="top"/>
    </xf>
    <xf numFmtId="0" fontId="8" fillId="0" borderId="91" xfId="0" applyFont="1" applyBorder="1" applyAlignment="1">
      <alignment horizontal="center" vertical="top"/>
    </xf>
    <xf numFmtId="0" fontId="6" fillId="0" borderId="27" xfId="0" applyFont="1" applyBorder="1" applyAlignment="1">
      <alignment horizontal="left" vertical="top" wrapText="1"/>
    </xf>
    <xf numFmtId="0" fontId="6" fillId="0" borderId="73" xfId="0" applyFont="1" applyBorder="1" applyAlignment="1">
      <alignment horizontal="left" vertical="top" wrapText="1"/>
    </xf>
    <xf numFmtId="0" fontId="8" fillId="0" borderId="27" xfId="0" applyFont="1" applyBorder="1" applyAlignment="1">
      <alignment horizontal="center" vertical="top"/>
    </xf>
    <xf numFmtId="0" fontId="8" fillId="0" borderId="0" xfId="0" applyFont="1" applyAlignment="1">
      <alignment horizontal="left" vertical="top" wrapText="1"/>
    </xf>
    <xf numFmtId="0" fontId="0" fillId="0" borderId="5" xfId="0" applyBorder="1" applyAlignment="1">
      <alignment horizontal="left" vertical="top" wrapText="1"/>
    </xf>
    <xf numFmtId="0" fontId="6" fillId="0" borderId="91" xfId="0" applyFont="1" applyBorder="1" applyAlignment="1">
      <alignment horizontal="left" vertical="top" wrapText="1" indent="1"/>
    </xf>
    <xf numFmtId="0" fontId="0" fillId="0" borderId="0" xfId="0" applyAlignment="1">
      <alignment vertical="center"/>
    </xf>
    <xf numFmtId="9" fontId="18" fillId="28" borderId="99" xfId="2" applyFont="1" applyFill="1" applyBorder="1" applyAlignment="1">
      <alignment horizontal="left" indent="1"/>
    </xf>
    <xf numFmtId="1" fontId="3" fillId="14" borderId="37" xfId="4" applyNumberFormat="1" applyBorder="1" applyAlignment="1">
      <alignment horizontal="center"/>
    </xf>
    <xf numFmtId="0" fontId="3" fillId="14" borderId="36" xfId="4" applyBorder="1" applyAlignment="1">
      <alignment horizontal="center"/>
    </xf>
    <xf numFmtId="171" fontId="3" fillId="14" borderId="37" xfId="4" applyNumberFormat="1" applyBorder="1" applyAlignment="1">
      <alignment horizontal="center" wrapText="1"/>
    </xf>
    <xf numFmtId="170" fontId="3" fillId="14" borderId="36" xfId="4" applyNumberFormat="1" applyBorder="1" applyAlignment="1">
      <alignment horizontal="center" wrapText="1"/>
    </xf>
    <xf numFmtId="169" fontId="3" fillId="14" borderId="35" xfId="4" applyNumberFormat="1" applyBorder="1" applyAlignment="1">
      <alignment horizontal="center" wrapText="1"/>
    </xf>
    <xf numFmtId="0" fontId="6" fillId="4" borderId="91" xfId="0" applyFont="1" applyFill="1" applyBorder="1" applyAlignment="1">
      <alignment horizontal="center" vertical="top" wrapText="1"/>
    </xf>
    <xf numFmtId="165" fontId="6" fillId="0" borderId="91" xfId="0" applyNumberFormat="1" applyFont="1" applyBorder="1" applyAlignment="1">
      <alignment horizontal="center" vertical="top" wrapText="1"/>
    </xf>
    <xf numFmtId="6" fontId="0" fillId="16" borderId="8" xfId="0" applyNumberFormat="1" applyFill="1" applyBorder="1"/>
    <xf numFmtId="0" fontId="21" fillId="16" borderId="26" xfId="0" applyFont="1" applyFill="1" applyBorder="1" applyAlignment="1">
      <alignment horizontal="left" vertical="top"/>
    </xf>
    <xf numFmtId="168" fontId="8" fillId="0" borderId="97" xfId="0" applyNumberFormat="1" applyFont="1" applyBorder="1"/>
    <xf numFmtId="0" fontId="8" fillId="0" borderId="97" xfId="0" applyFont="1" applyBorder="1"/>
    <xf numFmtId="168" fontId="3" fillId="38" borderId="0" xfId="5" applyNumberFormat="1" applyBorder="1" applyAlignment="1">
      <alignment horizontal="right" vertical="center"/>
    </xf>
    <xf numFmtId="0" fontId="4" fillId="0" borderId="97" xfId="0" applyFont="1" applyBorder="1" applyAlignment="1">
      <alignment horizontal="center" vertical="center"/>
    </xf>
    <xf numFmtId="0" fontId="0" fillId="4" borderId="99" xfId="0" applyFill="1" applyBorder="1" applyAlignment="1">
      <alignment horizontal="center" vertical="top"/>
    </xf>
    <xf numFmtId="0" fontId="4" fillId="4" borderId="99" xfId="0" applyFont="1" applyFill="1" applyBorder="1" applyAlignment="1">
      <alignment horizontal="center" vertical="top" wrapText="1"/>
    </xf>
    <xf numFmtId="0" fontId="4" fillId="4" borderId="99" xfId="0" applyFont="1" applyFill="1" applyBorder="1" applyAlignment="1">
      <alignment vertical="top" wrapText="1"/>
    </xf>
    <xf numFmtId="0" fontId="0" fillId="4" borderId="99" xfId="0" applyFill="1" applyBorder="1" applyAlignment="1">
      <alignment horizontal="center"/>
    </xf>
    <xf numFmtId="0" fontId="4" fillId="4" borderId="99" xfId="0" applyFont="1" applyFill="1" applyBorder="1" applyAlignment="1">
      <alignment horizontal="center" wrapText="1"/>
    </xf>
    <xf numFmtId="0" fontId="3" fillId="14" borderId="57" xfId="4" applyBorder="1" applyAlignment="1">
      <alignment horizontal="center" vertical="center" wrapText="1"/>
    </xf>
    <xf numFmtId="0" fontId="3" fillId="14" borderId="56" xfId="4" applyBorder="1" applyAlignment="1">
      <alignment horizontal="center" vertical="center" wrapText="1"/>
    </xf>
    <xf numFmtId="0" fontId="3" fillId="14" borderId="38" xfId="4" applyBorder="1" applyAlignment="1">
      <alignment horizontal="center" vertical="center" wrapText="1"/>
    </xf>
    <xf numFmtId="0" fontId="3" fillId="14" borderId="81" xfId="4" applyBorder="1" applyAlignment="1">
      <alignment horizontal="center" vertical="center" wrapText="1"/>
    </xf>
    <xf numFmtId="0" fontId="0" fillId="4" borderId="81" xfId="0" applyFill="1" applyBorder="1" applyAlignment="1">
      <alignment horizontal="center" vertical="top"/>
    </xf>
    <xf numFmtId="0" fontId="4" fillId="4" borderId="81" xfId="0" applyFont="1" applyFill="1" applyBorder="1" applyAlignment="1">
      <alignment vertical="top" wrapText="1"/>
    </xf>
    <xf numFmtId="0" fontId="0" fillId="4" borderId="81" xfId="0" applyFill="1" applyBorder="1" applyAlignment="1">
      <alignment horizontal="center"/>
    </xf>
    <xf numFmtId="0" fontId="0" fillId="4" borderId="83" xfId="0" applyFill="1" applyBorder="1" applyAlignment="1">
      <alignment horizontal="center"/>
    </xf>
    <xf numFmtId="168" fontId="0" fillId="8" borderId="73" xfId="0" applyNumberFormat="1" applyFill="1" applyBorder="1"/>
    <xf numFmtId="168" fontId="0" fillId="3" borderId="73" xfId="0" applyNumberFormat="1" applyFill="1" applyBorder="1"/>
    <xf numFmtId="168" fontId="0" fillId="8" borderId="91" xfId="0" applyNumberFormat="1" applyFill="1" applyBorder="1"/>
    <xf numFmtId="9" fontId="0" fillId="3" borderId="95" xfId="0" applyNumberFormat="1" applyFill="1" applyBorder="1" applyAlignment="1">
      <alignment horizontal="right"/>
    </xf>
    <xf numFmtId="168" fontId="0" fillId="3" borderId="91" xfId="0" applyNumberFormat="1" applyFill="1" applyBorder="1"/>
    <xf numFmtId="168" fontId="0" fillId="3" borderId="88" xfId="0" applyNumberFormat="1" applyFill="1" applyBorder="1"/>
    <xf numFmtId="168" fontId="0" fillId="8" borderId="0" xfId="0" applyNumberFormat="1" applyFill="1"/>
    <xf numFmtId="168" fontId="13" fillId="3" borderId="5" xfId="0" applyNumberFormat="1" applyFont="1" applyFill="1" applyBorder="1" applyAlignment="1" applyProtection="1">
      <alignment horizontal="right" vertical="top"/>
      <protection locked="0"/>
    </xf>
    <xf numFmtId="168" fontId="13" fillId="3" borderId="14" xfId="0" applyNumberFormat="1" applyFont="1" applyFill="1" applyBorder="1" applyAlignment="1" applyProtection="1">
      <alignment horizontal="right" vertical="top"/>
      <protection locked="0"/>
    </xf>
    <xf numFmtId="181" fontId="0" fillId="2" borderId="55" xfId="0" applyNumberFormat="1" applyFill="1" applyBorder="1" applyAlignment="1">
      <alignment horizontal="center" vertical="center"/>
    </xf>
    <xf numFmtId="181" fontId="0" fillId="0" borderId="46" xfId="0" applyNumberFormat="1" applyBorder="1" applyAlignment="1">
      <alignment horizontal="center" vertical="center"/>
    </xf>
    <xf numFmtId="181" fontId="0" fillId="2" borderId="46" xfId="0" applyNumberFormat="1" applyFill="1" applyBorder="1" applyAlignment="1">
      <alignment horizontal="center" vertical="center"/>
    </xf>
    <xf numFmtId="181" fontId="0" fillId="2" borderId="47" xfId="0" applyNumberFormat="1" applyFill="1" applyBorder="1" applyAlignment="1">
      <alignment horizontal="center" vertical="center"/>
    </xf>
    <xf numFmtId="0" fontId="3" fillId="0" borderId="0" xfId="0" applyFont="1" applyAlignment="1">
      <alignment horizontal="center" vertical="center"/>
    </xf>
    <xf numFmtId="192" fontId="5" fillId="0" borderId="0" xfId="0" applyNumberFormat="1" applyFont="1" applyAlignment="1">
      <alignment horizontal="right"/>
    </xf>
    <xf numFmtId="168" fontId="5" fillId="8" borderId="0" xfId="0" applyNumberFormat="1" applyFont="1" applyFill="1" applyAlignment="1">
      <alignment horizontal="right" indent="1"/>
    </xf>
    <xf numFmtId="0" fontId="3" fillId="23" borderId="55" xfId="0" applyFont="1" applyFill="1" applyBorder="1" applyAlignment="1">
      <alignment horizontal="center" vertical="center"/>
    </xf>
    <xf numFmtId="0" fontId="0" fillId="2" borderId="55" xfId="0" applyFill="1" applyBorder="1" applyAlignment="1">
      <alignment horizontal="center" vertical="center"/>
    </xf>
    <xf numFmtId="0" fontId="0" fillId="0" borderId="46" xfId="0" applyBorder="1" applyAlignment="1">
      <alignment horizontal="center" vertical="center"/>
    </xf>
    <xf numFmtId="0" fontId="0" fillId="2" borderId="46" xfId="0" applyFill="1" applyBorder="1" applyAlignment="1">
      <alignment horizontal="center" vertical="center"/>
    </xf>
    <xf numFmtId="0" fontId="0" fillId="2" borderId="47" xfId="0" applyFill="1" applyBorder="1" applyAlignment="1">
      <alignment horizontal="center" vertical="center"/>
    </xf>
    <xf numFmtId="0" fontId="37" fillId="0" borderId="0" xfId="7"/>
    <xf numFmtId="0" fontId="7" fillId="0" borderId="73" xfId="0" applyFont="1" applyBorder="1"/>
    <xf numFmtId="10" fontId="6" fillId="16" borderId="99" xfId="0" applyNumberFormat="1" applyFont="1" applyFill="1" applyBorder="1" applyAlignment="1">
      <alignment horizontal="center" vertical="center" wrapText="1"/>
    </xf>
    <xf numFmtId="14" fontId="8" fillId="8" borderId="73" xfId="0" applyNumberFormat="1" applyFont="1" applyFill="1" applyBorder="1" applyAlignment="1" applyProtection="1">
      <alignment horizontal="right" vertical="center"/>
      <protection locked="0"/>
    </xf>
    <xf numFmtId="173" fontId="8" fillId="8" borderId="73" xfId="0" applyNumberFormat="1" applyFont="1" applyFill="1" applyBorder="1" applyAlignment="1">
      <alignment horizontal="right"/>
    </xf>
    <xf numFmtId="9" fontId="8" fillId="8" borderId="89" xfId="0" applyNumberFormat="1" applyFont="1" applyFill="1" applyBorder="1" applyAlignment="1">
      <alignment horizontal="right"/>
    </xf>
    <xf numFmtId="173" fontId="8" fillId="8" borderId="89" xfId="0" applyNumberFormat="1" applyFont="1" applyFill="1" applyBorder="1" applyAlignment="1">
      <alignment horizontal="right"/>
    </xf>
    <xf numFmtId="166" fontId="8" fillId="8" borderId="89" xfId="0" applyNumberFormat="1" applyFont="1" applyFill="1" applyBorder="1" applyAlignment="1" applyProtection="1">
      <alignment horizontal="right"/>
      <protection locked="0"/>
    </xf>
    <xf numFmtId="166" fontId="18" fillId="18" borderId="89" xfId="3" applyNumberFormat="1" applyFont="1" applyBorder="1" applyAlignment="1" applyProtection="1">
      <alignment horizontal="right"/>
      <protection locked="0"/>
    </xf>
    <xf numFmtId="166" fontId="18" fillId="18" borderId="73" xfId="3" applyNumberFormat="1" applyFont="1" applyBorder="1" applyAlignment="1" applyProtection="1">
      <alignment horizontal="right"/>
      <protection locked="0"/>
    </xf>
    <xf numFmtId="0" fontId="18" fillId="8" borderId="17" xfId="0" applyFont="1" applyFill="1" applyBorder="1" applyAlignment="1" applyProtection="1">
      <alignment vertical="center" wrapText="1"/>
      <protection locked="0"/>
    </xf>
    <xf numFmtId="168" fontId="18" fillId="8" borderId="17" xfId="0" applyNumberFormat="1" applyFont="1" applyFill="1" applyBorder="1" applyAlignment="1" applyProtection="1">
      <alignment vertical="center"/>
      <protection locked="0"/>
    </xf>
    <xf numFmtId="9" fontId="18" fillId="3" borderId="15" xfId="0" applyNumberFormat="1" applyFont="1" applyFill="1" applyBorder="1" applyAlignment="1" applyProtection="1">
      <alignment horizontal="right" vertical="center"/>
      <protection locked="0"/>
    </xf>
    <xf numFmtId="168" fontId="18" fillId="8" borderId="17" xfId="0" applyNumberFormat="1" applyFont="1" applyFill="1" applyBorder="1" applyAlignment="1" applyProtection="1">
      <alignment horizontal="right" vertical="top"/>
      <protection locked="0"/>
    </xf>
    <xf numFmtId="0" fontId="18" fillId="8" borderId="17" xfId="0" applyFont="1" applyFill="1" applyBorder="1" applyAlignment="1" applyProtection="1">
      <alignment horizontal="left" vertical="top" wrapText="1"/>
      <protection locked="0"/>
    </xf>
    <xf numFmtId="0" fontId="18" fillId="8" borderId="5" xfId="0" applyFont="1" applyFill="1" applyBorder="1" applyAlignment="1" applyProtection="1">
      <alignment horizontal="left" vertical="top" wrapText="1"/>
      <protection locked="0"/>
    </xf>
    <xf numFmtId="0" fontId="38" fillId="0" borderId="5" xfId="0" applyFont="1" applyBorder="1" applyAlignment="1" applyProtection="1">
      <alignment horizontal="left" vertical="top" wrapText="1"/>
      <protection locked="0"/>
    </xf>
    <xf numFmtId="0" fontId="18" fillId="0" borderId="5" xfId="0" applyFont="1" applyBorder="1" applyAlignment="1" applyProtection="1">
      <alignment horizontal="left" vertical="top" wrapText="1"/>
      <protection locked="0"/>
    </xf>
    <xf numFmtId="0" fontId="8" fillId="0" borderId="5" xfId="0" applyFont="1" applyBorder="1" applyAlignment="1" applyProtection="1">
      <alignment horizontal="left" vertical="top" wrapText="1"/>
      <protection locked="0"/>
    </xf>
    <xf numFmtId="0" fontId="4" fillId="0" borderId="5" xfId="0" applyFont="1" applyBorder="1" applyAlignment="1" applyProtection="1">
      <alignment horizontal="left" vertical="top" wrapText="1"/>
      <protection locked="0"/>
    </xf>
    <xf numFmtId="49" fontId="8" fillId="13" borderId="21" xfId="0" applyNumberFormat="1" applyFont="1" applyFill="1" applyBorder="1" applyAlignment="1">
      <alignment horizontal="left" vertical="center"/>
    </xf>
    <xf numFmtId="0" fontId="18" fillId="8" borderId="99" xfId="0" applyFont="1" applyFill="1" applyBorder="1" applyAlignment="1">
      <alignment horizontal="left" vertical="top" wrapText="1" indent="1"/>
    </xf>
    <xf numFmtId="0" fontId="18" fillId="8" borderId="99" xfId="0" applyFont="1" applyFill="1" applyBorder="1" applyAlignment="1">
      <alignment horizontal="left" vertical="center" wrapText="1" indent="1"/>
    </xf>
    <xf numFmtId="0" fontId="18" fillId="8" borderId="3" xfId="0" applyFont="1" applyFill="1" applyBorder="1" applyAlignment="1">
      <alignment horizontal="left" vertical="center" wrapText="1" indent="1"/>
    </xf>
    <xf numFmtId="166" fontId="18" fillId="8" borderId="3" xfId="0" applyNumberFormat="1" applyFont="1" applyFill="1" applyBorder="1" applyAlignment="1">
      <alignment horizontal="left" vertical="center" wrapText="1" indent="1"/>
    </xf>
    <xf numFmtId="17" fontId="18" fillId="8" borderId="3" xfId="0" applyNumberFormat="1" applyFont="1" applyFill="1" applyBorder="1" applyAlignment="1">
      <alignment horizontal="left" vertical="top" wrapText="1" indent="1"/>
    </xf>
    <xf numFmtId="0" fontId="18" fillId="8" borderId="81" xfId="0" applyFont="1" applyFill="1" applyBorder="1" applyAlignment="1">
      <alignment horizontal="center" vertical="top"/>
    </xf>
    <xf numFmtId="0" fontId="18" fillId="8" borderId="99" xfId="0" applyFont="1" applyFill="1" applyBorder="1" applyAlignment="1">
      <alignment horizontal="center" vertical="top"/>
    </xf>
    <xf numFmtId="0" fontId="18" fillId="8" borderId="99" xfId="0" applyFont="1" applyFill="1" applyBorder="1" applyAlignment="1">
      <alignment horizontal="center" vertical="top" wrapText="1"/>
    </xf>
    <xf numFmtId="0" fontId="18" fillId="0" borderId="99" xfId="0" applyFont="1" applyBorder="1" applyAlignment="1">
      <alignment horizontal="center" vertical="top"/>
    </xf>
    <xf numFmtId="0" fontId="18" fillId="0" borderId="99" xfId="0" applyFont="1" applyBorder="1" applyAlignment="1">
      <alignment horizontal="left" vertical="top" wrapText="1"/>
    </xf>
    <xf numFmtId="0" fontId="18" fillId="8" borderId="99" xfId="0" applyFont="1" applyFill="1" applyBorder="1" applyAlignment="1">
      <alignment horizontal="left" vertical="top"/>
    </xf>
    <xf numFmtId="49" fontId="18" fillId="0" borderId="99" xfId="0" applyNumberFormat="1" applyFont="1" applyBorder="1" applyAlignment="1">
      <alignment horizontal="left"/>
    </xf>
    <xf numFmtId="0" fontId="18" fillId="0" borderId="99" xfId="0" applyFont="1" applyBorder="1" applyAlignment="1">
      <alignment horizontal="left"/>
    </xf>
    <xf numFmtId="0" fontId="18" fillId="8" borderId="99" xfId="0" applyFont="1" applyFill="1" applyBorder="1" applyAlignment="1">
      <alignment horizontal="left"/>
    </xf>
    <xf numFmtId="0" fontId="18" fillId="8" borderId="83" xfId="0" applyFont="1" applyFill="1" applyBorder="1"/>
    <xf numFmtId="0" fontId="18" fillId="8" borderId="83" xfId="0" applyFont="1" applyFill="1" applyBorder="1" applyAlignment="1">
      <alignment horizontal="left" indent="3"/>
    </xf>
    <xf numFmtId="0" fontId="18" fillId="8" borderId="83" xfId="0" applyFont="1" applyFill="1" applyBorder="1" applyAlignment="1">
      <alignment horizontal="left"/>
    </xf>
    <xf numFmtId="0" fontId="39" fillId="8" borderId="83" xfId="0" applyFont="1" applyFill="1" applyBorder="1"/>
    <xf numFmtId="0" fontId="39" fillId="8" borderId="83" xfId="0" applyFont="1" applyFill="1" applyBorder="1" applyAlignment="1">
      <alignment horizontal="left"/>
    </xf>
    <xf numFmtId="0" fontId="18" fillId="2" borderId="2" xfId="0" applyFont="1" applyFill="1" applyBorder="1" applyAlignment="1">
      <alignment horizontal="left" vertical="center" wrapText="1" indent="1"/>
    </xf>
    <xf numFmtId="0" fontId="18" fillId="0" borderId="0" xfId="0" applyFont="1" applyAlignment="1">
      <alignment horizontal="center" vertical="top" wrapText="1"/>
    </xf>
    <xf numFmtId="0" fontId="18" fillId="0" borderId="0" xfId="0" applyFont="1" applyAlignment="1">
      <alignment horizontal="left" vertical="top" wrapText="1" indent="1"/>
    </xf>
    <xf numFmtId="177" fontId="18" fillId="15" borderId="3" xfId="0" applyNumberFormat="1" applyFont="1" applyFill="1" applyBorder="1" applyAlignment="1" applyProtection="1">
      <alignment horizontal="center"/>
      <protection locked="0"/>
    </xf>
    <xf numFmtId="177" fontId="8" fillId="15" borderId="3" xfId="0" applyNumberFormat="1" applyFont="1" applyFill="1" applyBorder="1" applyAlignment="1" applyProtection="1">
      <alignment horizontal="center" vertical="center"/>
      <protection locked="0"/>
    </xf>
    <xf numFmtId="9" fontId="18" fillId="39" borderId="36" xfId="0" applyNumberFormat="1" applyFont="1" applyFill="1" applyBorder="1" applyAlignment="1">
      <alignment horizontal="center" vertical="center"/>
    </xf>
    <xf numFmtId="9" fontId="18" fillId="39" borderId="35" xfId="0" applyNumberFormat="1" applyFont="1" applyFill="1" applyBorder="1" applyAlignment="1">
      <alignment horizontal="center" vertical="center"/>
    </xf>
    <xf numFmtId="9" fontId="18" fillId="0" borderId="91" xfId="0" applyNumberFormat="1" applyFont="1" applyBorder="1" applyAlignment="1">
      <alignment horizontal="center" vertical="center"/>
    </xf>
    <xf numFmtId="9" fontId="18" fillId="19" borderId="88" xfId="0" applyNumberFormat="1" applyFont="1" applyFill="1" applyBorder="1" applyAlignment="1">
      <alignment horizontal="center" vertical="center"/>
    </xf>
    <xf numFmtId="9" fontId="18" fillId="39" borderId="91" xfId="0" applyNumberFormat="1" applyFont="1" applyFill="1" applyBorder="1" applyAlignment="1">
      <alignment horizontal="center" vertical="center"/>
    </xf>
    <xf numFmtId="9" fontId="18" fillId="39" borderId="88" xfId="0" applyNumberFormat="1" applyFont="1" applyFill="1" applyBorder="1" applyAlignment="1">
      <alignment horizontal="center" vertical="center"/>
    </xf>
    <xf numFmtId="9" fontId="18" fillId="19" borderId="91" xfId="0" applyNumberFormat="1" applyFont="1" applyFill="1" applyBorder="1" applyAlignment="1">
      <alignment horizontal="center" vertical="center"/>
    </xf>
    <xf numFmtId="10" fontId="18" fillId="39" borderId="36" xfId="0" applyNumberFormat="1" applyFont="1" applyFill="1" applyBorder="1" applyAlignment="1">
      <alignment horizontal="center" vertical="center"/>
    </xf>
    <xf numFmtId="10" fontId="18" fillId="39" borderId="35" xfId="0" applyNumberFormat="1" applyFont="1" applyFill="1" applyBorder="1" applyAlignment="1">
      <alignment horizontal="center" vertical="center"/>
    </xf>
    <xf numFmtId="10" fontId="18" fillId="0" borderId="91" xfId="0" applyNumberFormat="1" applyFont="1" applyBorder="1" applyAlignment="1">
      <alignment horizontal="center" vertical="center"/>
    </xf>
    <xf numFmtId="10" fontId="18" fillId="0" borderId="88" xfId="0" applyNumberFormat="1" applyFont="1" applyBorder="1" applyAlignment="1">
      <alignment horizontal="center" vertical="center"/>
    </xf>
    <xf numFmtId="10" fontId="18" fillId="39" borderId="91" xfId="0" applyNumberFormat="1" applyFont="1" applyFill="1" applyBorder="1" applyAlignment="1">
      <alignment horizontal="center" vertical="center"/>
    </xf>
    <xf numFmtId="10" fontId="18" fillId="39" borderId="88" xfId="0" applyNumberFormat="1" applyFont="1" applyFill="1" applyBorder="1" applyAlignment="1">
      <alignment horizontal="center" vertical="center"/>
    </xf>
    <xf numFmtId="10" fontId="18" fillId="39" borderId="97" xfId="0" applyNumberFormat="1" applyFont="1" applyFill="1" applyBorder="1" applyAlignment="1">
      <alignment horizontal="center" vertical="center"/>
    </xf>
    <xf numFmtId="10" fontId="18" fillId="39" borderId="98" xfId="0" applyNumberFormat="1" applyFont="1" applyFill="1" applyBorder="1" applyAlignment="1">
      <alignment horizontal="center" vertical="center"/>
    </xf>
    <xf numFmtId="10" fontId="8" fillId="39" borderId="37" xfId="0" applyNumberFormat="1" applyFont="1" applyFill="1" applyBorder="1" applyAlignment="1">
      <alignment horizontal="center" vertical="center"/>
    </xf>
    <xf numFmtId="10" fontId="8" fillId="39" borderId="35" xfId="0" applyNumberFormat="1" applyFont="1" applyFill="1" applyBorder="1" applyAlignment="1">
      <alignment horizontal="center" vertical="center"/>
    </xf>
    <xf numFmtId="10" fontId="8" fillId="39" borderId="36" xfId="0" applyNumberFormat="1" applyFont="1" applyFill="1" applyBorder="1" applyAlignment="1">
      <alignment horizontal="center" vertical="center"/>
    </xf>
    <xf numFmtId="10" fontId="8" fillId="0" borderId="95" xfId="0" applyNumberFormat="1" applyFont="1" applyBorder="1" applyAlignment="1">
      <alignment horizontal="center" vertical="center"/>
    </xf>
    <xf numFmtId="10" fontId="8" fillId="0" borderId="88" xfId="0" applyNumberFormat="1" applyFont="1" applyBorder="1" applyAlignment="1">
      <alignment horizontal="center" vertical="center"/>
    </xf>
    <xf numFmtId="10" fontId="8" fillId="0" borderId="91" xfId="0" applyNumberFormat="1" applyFont="1" applyBorder="1" applyAlignment="1">
      <alignment horizontal="center" vertical="center"/>
    </xf>
    <xf numFmtId="10" fontId="8" fillId="39" borderId="95" xfId="0" applyNumberFormat="1" applyFont="1" applyFill="1" applyBorder="1" applyAlignment="1">
      <alignment horizontal="center" vertical="center"/>
    </xf>
    <xf numFmtId="10" fontId="8" fillId="39" borderId="88" xfId="0" applyNumberFormat="1" applyFont="1" applyFill="1" applyBorder="1" applyAlignment="1">
      <alignment horizontal="center" vertical="center"/>
    </xf>
    <xf numFmtId="10" fontId="8" fillId="39" borderId="91" xfId="0" applyNumberFormat="1" applyFont="1" applyFill="1" applyBorder="1" applyAlignment="1">
      <alignment horizontal="center" vertical="center"/>
    </xf>
    <xf numFmtId="10" fontId="8" fillId="39" borderId="96" xfId="0" applyNumberFormat="1" applyFont="1" applyFill="1" applyBorder="1" applyAlignment="1">
      <alignment horizontal="center" vertical="center"/>
    </xf>
    <xf numFmtId="10" fontId="8" fillId="39" borderId="98" xfId="0" applyNumberFormat="1" applyFont="1" applyFill="1" applyBorder="1" applyAlignment="1">
      <alignment horizontal="center" vertical="center"/>
    </xf>
    <xf numFmtId="10" fontId="8" fillId="39" borderId="97" xfId="0" applyNumberFormat="1" applyFont="1" applyFill="1" applyBorder="1" applyAlignment="1">
      <alignment horizontal="center" vertical="center"/>
    </xf>
    <xf numFmtId="168" fontId="8" fillId="39" borderId="37" xfId="0" applyNumberFormat="1" applyFont="1" applyFill="1" applyBorder="1" applyAlignment="1">
      <alignment horizontal="center" vertical="center"/>
    </xf>
    <xf numFmtId="168" fontId="8" fillId="39" borderId="35" xfId="0" applyNumberFormat="1" applyFont="1" applyFill="1" applyBorder="1" applyAlignment="1">
      <alignment horizontal="center" vertical="center"/>
    </xf>
    <xf numFmtId="178" fontId="8" fillId="39" borderId="36" xfId="0" applyNumberFormat="1" applyFont="1" applyFill="1" applyBorder="1" applyAlignment="1">
      <alignment horizontal="center" vertical="center"/>
    </xf>
    <xf numFmtId="178" fontId="8" fillId="39" borderId="35" xfId="0" applyNumberFormat="1" applyFont="1" applyFill="1" applyBorder="1" applyAlignment="1">
      <alignment horizontal="center" vertical="center"/>
    </xf>
    <xf numFmtId="168" fontId="8" fillId="0" borderId="95" xfId="0" applyNumberFormat="1" applyFont="1" applyBorder="1" applyAlignment="1">
      <alignment horizontal="center" vertical="center"/>
    </xf>
    <xf numFmtId="168" fontId="8" fillId="0" borderId="88" xfId="0" applyNumberFormat="1" applyFont="1" applyBorder="1" applyAlignment="1">
      <alignment horizontal="center" vertical="center"/>
    </xf>
    <xf numFmtId="178" fontId="8" fillId="0" borderId="91" xfId="0" applyNumberFormat="1" applyFont="1" applyBorder="1" applyAlignment="1">
      <alignment horizontal="center" vertical="center"/>
    </xf>
    <xf numFmtId="178" fontId="8" fillId="0" borderId="88" xfId="0" applyNumberFormat="1" applyFont="1" applyBorder="1" applyAlignment="1">
      <alignment horizontal="center" vertical="center"/>
    </xf>
    <xf numFmtId="168" fontId="8" fillId="39" borderId="95" xfId="0" applyNumberFormat="1" applyFont="1" applyFill="1" applyBorder="1" applyAlignment="1">
      <alignment horizontal="center" vertical="center"/>
    </xf>
    <xf numFmtId="168" fontId="8" fillId="39" borderId="88" xfId="0" applyNumberFormat="1" applyFont="1" applyFill="1" applyBorder="1" applyAlignment="1">
      <alignment horizontal="center" vertical="center"/>
    </xf>
    <xf numFmtId="178" fontId="8" fillId="39" borderId="91" xfId="0" applyNumberFormat="1" applyFont="1" applyFill="1" applyBorder="1" applyAlignment="1">
      <alignment horizontal="center" vertical="center"/>
    </xf>
    <xf numFmtId="178" fontId="8" fillId="39" borderId="88" xfId="0" applyNumberFormat="1" applyFont="1" applyFill="1" applyBorder="1" applyAlignment="1">
      <alignment horizontal="center" vertical="center"/>
    </xf>
    <xf numFmtId="168" fontId="8" fillId="39" borderId="96" xfId="0" applyNumberFormat="1" applyFont="1" applyFill="1" applyBorder="1" applyAlignment="1">
      <alignment horizontal="center" vertical="center"/>
    </xf>
    <xf numFmtId="168" fontId="8" fillId="39" borderId="98" xfId="0" applyNumberFormat="1" applyFont="1" applyFill="1" applyBorder="1" applyAlignment="1">
      <alignment horizontal="center" vertical="center"/>
    </xf>
    <xf numFmtId="178" fontId="8" fillId="39" borderId="97" xfId="0" applyNumberFormat="1" applyFont="1" applyFill="1" applyBorder="1" applyAlignment="1">
      <alignment horizontal="center" vertical="center"/>
    </xf>
    <xf numFmtId="178" fontId="8" fillId="39" borderId="98" xfId="0" applyNumberFormat="1" applyFont="1" applyFill="1" applyBorder="1" applyAlignment="1">
      <alignment horizontal="center" vertical="center"/>
    </xf>
    <xf numFmtId="0" fontId="38" fillId="0" borderId="43" xfId="0" applyFont="1" applyBorder="1" applyAlignment="1">
      <alignment horizontal="center" vertical="top" wrapText="1"/>
    </xf>
    <xf numFmtId="0" fontId="38" fillId="0" borderId="43" xfId="0" applyFont="1" applyBorder="1" applyAlignment="1">
      <alignment horizontal="center" vertical="center" wrapText="1"/>
    </xf>
    <xf numFmtId="0" fontId="38" fillId="0" borderId="43" xfId="0" applyFont="1" applyBorder="1" applyAlignment="1">
      <alignment horizontal="left" vertical="top" wrapText="1" indent="1"/>
    </xf>
    <xf numFmtId="0" fontId="38" fillId="37" borderId="43" xfId="0" applyFont="1" applyFill="1" applyBorder="1" applyAlignment="1">
      <alignment horizontal="center" vertical="top" wrapText="1"/>
    </xf>
    <xf numFmtId="0" fontId="38" fillId="37" borderId="43" xfId="0" applyFont="1" applyFill="1" applyBorder="1" applyAlignment="1">
      <alignment horizontal="left" vertical="top" wrapText="1" indent="1"/>
    </xf>
    <xf numFmtId="0" fontId="38" fillId="0" borderId="40" xfId="0" applyFont="1" applyBorder="1" applyAlignment="1">
      <alignment horizontal="center" vertical="center" wrapText="1"/>
    </xf>
    <xf numFmtId="168" fontId="38" fillId="0" borderId="43" xfId="1" applyNumberFormat="1" applyFont="1" applyFill="1" applyBorder="1" applyAlignment="1">
      <alignment horizontal="center" vertical="center" wrapText="1"/>
    </xf>
    <xf numFmtId="181" fontId="38" fillId="0" borderId="43" xfId="1" applyNumberFormat="1" applyFont="1" applyFill="1" applyBorder="1" applyAlignment="1">
      <alignment horizontal="center" vertical="center" wrapText="1"/>
    </xf>
    <xf numFmtId="168" fontId="38" fillId="8" borderId="43" xfId="1" applyNumberFormat="1" applyFont="1" applyFill="1" applyBorder="1" applyAlignment="1">
      <alignment horizontal="center" vertical="center" wrapText="1"/>
    </xf>
    <xf numFmtId="9" fontId="38" fillId="0" borderId="43" xfId="2" applyFont="1" applyFill="1" applyBorder="1" applyAlignment="1">
      <alignment horizontal="center" vertical="center" wrapText="1"/>
    </xf>
    <xf numFmtId="0" fontId="38" fillId="37" borderId="43" xfId="0" applyFont="1" applyFill="1" applyBorder="1" applyAlignment="1">
      <alignment horizontal="center" vertical="center" wrapText="1"/>
    </xf>
    <xf numFmtId="9" fontId="38" fillId="37" borderId="43" xfId="2" applyFont="1" applyFill="1" applyBorder="1" applyAlignment="1">
      <alignment horizontal="center" vertical="center" wrapText="1"/>
    </xf>
    <xf numFmtId="0" fontId="38" fillId="0" borderId="43" xfId="2" applyNumberFormat="1" applyFont="1" applyFill="1" applyBorder="1" applyAlignment="1">
      <alignment horizontal="center" vertical="center" wrapText="1"/>
    </xf>
    <xf numFmtId="0" fontId="38" fillId="37" borderId="43" xfId="2" applyNumberFormat="1" applyFont="1" applyFill="1" applyBorder="1" applyAlignment="1">
      <alignment horizontal="center" vertical="center" wrapText="1"/>
    </xf>
    <xf numFmtId="0" fontId="4" fillId="0" borderId="81" xfId="0" applyFont="1" applyBorder="1" applyAlignment="1">
      <alignment horizontal="center" vertical="center" wrapText="1"/>
    </xf>
    <xf numFmtId="0" fontId="4" fillId="22" borderId="99" xfId="0" applyFont="1" applyFill="1" applyBorder="1" applyAlignment="1">
      <alignment horizontal="center" vertical="center" wrapText="1"/>
    </xf>
    <xf numFmtId="0" fontId="4" fillId="22" borderId="81" xfId="0" applyFont="1" applyFill="1" applyBorder="1" applyAlignment="1">
      <alignment horizontal="center" vertical="center" wrapText="1"/>
    </xf>
    <xf numFmtId="0" fontId="4" fillId="22" borderId="83" xfId="0" applyFont="1" applyFill="1" applyBorder="1" applyAlignment="1">
      <alignment horizontal="center" vertical="center" wrapText="1"/>
    </xf>
    <xf numFmtId="0" fontId="18" fillId="18" borderId="99" xfId="3" applyFont="1" applyBorder="1" applyAlignment="1">
      <alignment horizontal="center" vertical="center"/>
    </xf>
    <xf numFmtId="0" fontId="18" fillId="18" borderId="76" xfId="3" applyFont="1" applyBorder="1" applyAlignment="1">
      <alignment horizontal="center" vertical="center"/>
    </xf>
    <xf numFmtId="0" fontId="6" fillId="0" borderId="83" xfId="0" applyFont="1" applyBorder="1" applyAlignment="1">
      <alignment horizontal="center" vertical="center"/>
    </xf>
    <xf numFmtId="0" fontId="6" fillId="0" borderId="49" xfId="0" applyFont="1" applyBorder="1" applyAlignment="1">
      <alignment horizontal="center" vertical="center"/>
    </xf>
    <xf numFmtId="0" fontId="6" fillId="0" borderId="48" xfId="0" applyFont="1" applyBorder="1" applyAlignment="1">
      <alignment horizontal="center" vertical="center"/>
    </xf>
    <xf numFmtId="0" fontId="40" fillId="0" borderId="0" xfId="0" applyFont="1" applyAlignment="1">
      <alignment horizontal="left" vertical="top"/>
    </xf>
    <xf numFmtId="0" fontId="21" fillId="16" borderId="8" xfId="0" applyFont="1" applyFill="1" applyBorder="1" applyAlignment="1">
      <alignment horizontal="center" vertical="top"/>
    </xf>
    <xf numFmtId="0" fontId="0" fillId="18" borderId="20" xfId="3" applyFont="1" applyBorder="1" applyAlignment="1">
      <alignment horizontal="center"/>
    </xf>
    <xf numFmtId="175" fontId="1" fillId="16" borderId="19" xfId="2" applyNumberFormat="1" applyFont="1" applyFill="1" applyBorder="1" applyAlignment="1">
      <alignment horizontal="center"/>
    </xf>
    <xf numFmtId="6" fontId="0" fillId="16" borderId="24" xfId="0" applyNumberFormat="1" applyFill="1" applyBorder="1"/>
    <xf numFmtId="0" fontId="21" fillId="16" borderId="24" xfId="0" applyFont="1" applyFill="1" applyBorder="1" applyAlignment="1">
      <alignment horizontal="center" vertical="top"/>
    </xf>
    <xf numFmtId="175" fontId="1" fillId="16" borderId="34" xfId="2" applyNumberFormat="1" applyFont="1" applyFill="1" applyBorder="1" applyAlignment="1">
      <alignment horizontal="center"/>
    </xf>
    <xf numFmtId="191" fontId="0" fillId="0" borderId="91" xfId="0" applyNumberFormat="1" applyBorder="1"/>
    <xf numFmtId="0" fontId="0" fillId="0" borderId="91" xfId="0" applyBorder="1"/>
    <xf numFmtId="3" fontId="0" fillId="0" borderId="91" xfId="0" applyNumberFormat="1" applyBorder="1"/>
    <xf numFmtId="174" fontId="0" fillId="0" borderId="91" xfId="0" applyNumberFormat="1" applyBorder="1"/>
    <xf numFmtId="168" fontId="0" fillId="0" borderId="91" xfId="0" applyNumberFormat="1" applyBorder="1"/>
    <xf numFmtId="175" fontId="0" fillId="0" borderId="91" xfId="2" applyNumberFormat="1" applyFont="1" applyBorder="1"/>
    <xf numFmtId="0" fontId="0" fillId="0" borderId="91" xfId="0" applyBorder="1" applyAlignment="1">
      <alignment horizontal="center"/>
    </xf>
    <xf numFmtId="175" fontId="0" fillId="0" borderId="0" xfId="2" applyNumberFormat="1" applyFont="1" applyBorder="1"/>
    <xf numFmtId="168" fontId="41" fillId="4" borderId="0" xfId="0" applyNumberFormat="1" applyFont="1" applyFill="1" applyAlignment="1">
      <alignment horizontal="center"/>
    </xf>
    <xf numFmtId="180" fontId="41" fillId="4" borderId="0" xfId="0" applyNumberFormat="1" applyFont="1" applyFill="1" applyAlignment="1">
      <alignment horizontal="center"/>
    </xf>
    <xf numFmtId="0" fontId="0" fillId="0" borderId="0" xfId="0" applyAlignment="1">
      <alignment horizontal="right"/>
    </xf>
    <xf numFmtId="168" fontId="18" fillId="18" borderId="26" xfId="3" applyNumberFormat="1" applyFont="1" applyBorder="1" applyAlignment="1">
      <alignment horizontal="center" vertical="top"/>
    </xf>
    <xf numFmtId="178" fontId="18" fillId="18" borderId="34" xfId="3" applyNumberFormat="1" applyFont="1" applyBorder="1" applyAlignment="1">
      <alignment horizontal="center" vertical="top"/>
    </xf>
    <xf numFmtId="0" fontId="8" fillId="8" borderId="11" xfId="0" applyFont="1" applyFill="1" applyBorder="1" applyAlignment="1">
      <alignment horizontal="center"/>
    </xf>
    <xf numFmtId="0" fontId="8" fillId="8" borderId="9" xfId="0" applyFont="1" applyFill="1" applyBorder="1" applyAlignment="1">
      <alignment horizontal="center"/>
    </xf>
    <xf numFmtId="168" fontId="6" fillId="8" borderId="26" xfId="0" applyNumberFormat="1" applyFont="1" applyFill="1" applyBorder="1" applyAlignment="1">
      <alignment horizontal="center" vertical="top"/>
    </xf>
    <xf numFmtId="178" fontId="6" fillId="8" borderId="34" xfId="0" applyNumberFormat="1" applyFont="1" applyFill="1" applyBorder="1" applyAlignment="1">
      <alignment horizontal="center" vertical="top"/>
    </xf>
    <xf numFmtId="168" fontId="4" fillId="40" borderId="49" xfId="0" applyNumberFormat="1" applyFont="1" applyFill="1" applyBorder="1" applyAlignment="1">
      <alignment horizontal="center" vertical="center" wrapText="1"/>
    </xf>
    <xf numFmtId="9" fontId="4" fillId="40" borderId="49" xfId="2" applyFont="1" applyFill="1" applyBorder="1" applyAlignment="1">
      <alignment horizontal="center" vertical="center" wrapText="1"/>
    </xf>
    <xf numFmtId="168" fontId="0" fillId="41" borderId="43" xfId="2" applyNumberFormat="1" applyFont="1" applyFill="1" applyBorder="1" applyAlignment="1">
      <alignment horizontal="center" vertical="center" wrapText="1"/>
    </xf>
    <xf numFmtId="168" fontId="4" fillId="42" borderId="49" xfId="0" applyNumberFormat="1" applyFont="1" applyFill="1" applyBorder="1" applyAlignment="1">
      <alignment horizontal="center" vertical="center" wrapText="1"/>
    </xf>
    <xf numFmtId="180" fontId="4" fillId="42" borderId="49" xfId="0" applyNumberFormat="1" applyFont="1" applyFill="1" applyBorder="1" applyAlignment="1">
      <alignment horizontal="center" vertical="center" wrapText="1"/>
    </xf>
    <xf numFmtId="181" fontId="0" fillId="41" borderId="43" xfId="2" applyNumberFormat="1" applyFont="1" applyFill="1" applyBorder="1" applyAlignment="1">
      <alignment horizontal="center" vertical="center" wrapText="1"/>
    </xf>
    <xf numFmtId="168" fontId="18" fillId="8" borderId="0" xfId="0" applyNumberFormat="1" applyFont="1" applyFill="1" applyAlignment="1" applyProtection="1">
      <alignment vertical="center"/>
      <protection locked="0"/>
    </xf>
    <xf numFmtId="0" fontId="0" fillId="0" borderId="0" xfId="0" applyAlignment="1">
      <alignment horizontal="left" vertical="top" wrapText="1"/>
    </xf>
    <xf numFmtId="0" fontId="0" fillId="0" borderId="0" xfId="0" applyAlignment="1">
      <alignment horizontal="right" vertical="top"/>
    </xf>
    <xf numFmtId="0" fontId="42" fillId="0" borderId="0" xfId="0" applyFont="1"/>
    <xf numFmtId="0" fontId="4" fillId="0" borderId="0" xfId="0" applyFont="1" applyAlignment="1">
      <alignment horizontal="left" vertical="top"/>
    </xf>
    <xf numFmtId="9" fontId="6" fillId="3" borderId="0" xfId="2" applyFont="1" applyFill="1" applyAlignment="1">
      <alignment horizontal="left" vertical="center" indent="1"/>
    </xf>
    <xf numFmtId="0" fontId="7" fillId="0" borderId="0" xfId="0" applyFont="1" applyAlignment="1">
      <alignment horizontal="center"/>
    </xf>
    <xf numFmtId="0" fontId="7" fillId="0" borderId="73" xfId="0" applyFont="1" applyBorder="1" applyAlignment="1">
      <alignment horizontal="center"/>
    </xf>
    <xf numFmtId="0" fontId="8" fillId="0" borderId="27" xfId="0" applyFont="1" applyBorder="1" applyAlignment="1">
      <alignment horizontal="center" vertical="top"/>
    </xf>
    <xf numFmtId="0" fontId="8" fillId="0" borderId="0" xfId="0" applyFont="1" applyAlignment="1">
      <alignment horizontal="center" vertical="top"/>
    </xf>
    <xf numFmtId="0" fontId="8" fillId="0" borderId="91" xfId="0" applyFont="1" applyBorder="1" applyAlignment="1">
      <alignment horizontal="center" vertical="top"/>
    </xf>
    <xf numFmtId="0" fontId="9" fillId="3" borderId="0" xfId="0" applyFont="1" applyFill="1" applyAlignment="1">
      <alignment horizontal="left" vertical="center" indent="1"/>
    </xf>
    <xf numFmtId="0" fontId="11" fillId="3" borderId="0" xfId="0" applyFont="1" applyFill="1" applyAlignment="1">
      <alignment horizontal="center"/>
    </xf>
    <xf numFmtId="0" fontId="8" fillId="5" borderId="6" xfId="0" applyFont="1" applyFill="1" applyBorder="1" applyAlignment="1">
      <alignment horizontal="center" vertical="center" wrapText="1"/>
    </xf>
    <xf numFmtId="0" fontId="8" fillId="5" borderId="91"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6" borderId="6" xfId="0" applyFont="1" applyFill="1" applyBorder="1" applyAlignment="1">
      <alignment horizontal="center" vertical="center" wrapText="1"/>
    </xf>
    <xf numFmtId="0" fontId="8" fillId="6" borderId="91"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11" fillId="8" borderId="0" xfId="0" applyFont="1" applyFill="1" applyAlignment="1">
      <alignment horizontal="center" vertical="center"/>
    </xf>
    <xf numFmtId="0" fontId="8" fillId="8" borderId="0" xfId="0" applyFont="1" applyFill="1" applyAlignment="1" applyProtection="1">
      <alignment horizontal="left"/>
      <protection locked="0"/>
    </xf>
    <xf numFmtId="0" fontId="3" fillId="14" borderId="0" xfId="0" applyFont="1" applyFill="1" applyAlignment="1">
      <alignment horizontal="center" vertical="center" wrapText="1"/>
    </xf>
    <xf numFmtId="0" fontId="3" fillId="14" borderId="22" xfId="0" applyFont="1" applyFill="1" applyBorder="1" applyAlignment="1">
      <alignment horizontal="center" vertical="center" wrapText="1"/>
    </xf>
    <xf numFmtId="0" fontId="3" fillId="14" borderId="11" xfId="4" applyBorder="1" applyAlignment="1">
      <alignment horizontal="center" vertical="center" wrapText="1"/>
    </xf>
    <xf numFmtId="0" fontId="3" fillId="14" borderId="10" xfId="4" applyBorder="1" applyAlignment="1">
      <alignment horizontal="center" vertical="center" wrapText="1"/>
    </xf>
    <xf numFmtId="0" fontId="3" fillId="14" borderId="9" xfId="4" applyBorder="1" applyAlignment="1">
      <alignment horizontal="center" vertical="center" wrapText="1"/>
    </xf>
    <xf numFmtId="0" fontId="3" fillId="38" borderId="45" xfId="5" applyBorder="1" applyAlignment="1">
      <alignment horizontal="center" vertical="center" wrapText="1"/>
    </xf>
    <xf numFmtId="0" fontId="3" fillId="38" borderId="54" xfId="5" applyBorder="1" applyAlignment="1">
      <alignment horizontal="center" vertical="center" wrapText="1"/>
    </xf>
    <xf numFmtId="0" fontId="3" fillId="38" borderId="51" xfId="5" applyBorder="1" applyAlignment="1">
      <alignment horizontal="center" vertical="center" wrapText="1"/>
    </xf>
    <xf numFmtId="0" fontId="3" fillId="38" borderId="45" xfId="5" applyBorder="1" applyAlignment="1">
      <alignment horizontal="center" vertical="center"/>
    </xf>
    <xf numFmtId="0" fontId="3" fillId="38" borderId="54" xfId="5" applyBorder="1" applyAlignment="1">
      <alignment horizontal="center" vertical="center"/>
    </xf>
    <xf numFmtId="0" fontId="3" fillId="38" borderId="51" xfId="5" applyBorder="1" applyAlignment="1">
      <alignment horizontal="center" vertical="center"/>
    </xf>
    <xf numFmtId="0" fontId="24" fillId="38" borderId="0" xfId="5" applyFont="1" applyAlignment="1">
      <alignment horizontal="center" vertical="center"/>
    </xf>
    <xf numFmtId="0" fontId="24" fillId="17" borderId="0" xfId="0" applyFont="1" applyFill="1" applyAlignment="1">
      <alignment horizontal="center" vertical="center"/>
    </xf>
    <xf numFmtId="0" fontId="11" fillId="8" borderId="0" xfId="0" applyFont="1" applyFill="1" applyAlignment="1">
      <alignment horizontal="center" vertical="top"/>
    </xf>
    <xf numFmtId="0" fontId="6" fillId="15" borderId="13" xfId="0" applyFont="1" applyFill="1" applyBorder="1" applyAlignment="1">
      <alignment horizontal="left" vertical="top" wrapText="1" indent="1"/>
    </xf>
    <xf numFmtId="0" fontId="6" fillId="15" borderId="0" xfId="0" applyFont="1" applyFill="1" applyAlignment="1">
      <alignment horizontal="left" vertical="top" wrapText="1" indent="1"/>
    </xf>
    <xf numFmtId="0" fontId="6" fillId="15" borderId="12" xfId="0" applyFont="1" applyFill="1" applyBorder="1" applyAlignment="1">
      <alignment horizontal="left" vertical="top" wrapText="1" indent="1"/>
    </xf>
    <xf numFmtId="0" fontId="6" fillId="0" borderId="0" xfId="0" applyFont="1" applyAlignment="1">
      <alignment horizontal="center" vertical="center"/>
    </xf>
    <xf numFmtId="0" fontId="6" fillId="0" borderId="12" xfId="0" applyFont="1" applyBorder="1" applyAlignment="1">
      <alignment horizontal="center" vertical="center"/>
    </xf>
    <xf numFmtId="9" fontId="3" fillId="38" borderId="78" xfId="5" applyNumberFormat="1" applyBorder="1" applyAlignment="1">
      <alignment horizontal="center" vertical="center"/>
    </xf>
    <xf numFmtId="9" fontId="3" fillId="38" borderId="86" xfId="5" applyNumberFormat="1" applyBorder="1" applyAlignment="1">
      <alignment horizontal="center" vertical="center"/>
    </xf>
    <xf numFmtId="9" fontId="3" fillId="38" borderId="79" xfId="5" applyNumberFormat="1" applyBorder="1" applyAlignment="1">
      <alignment horizontal="center" vertical="center"/>
    </xf>
    <xf numFmtId="0" fontId="6" fillId="0" borderId="8" xfId="0" applyFont="1" applyBorder="1" applyAlignment="1">
      <alignment horizontal="center" vertical="center"/>
    </xf>
    <xf numFmtId="0" fontId="6" fillId="0" borderId="19" xfId="0" applyFont="1" applyBorder="1" applyAlignment="1">
      <alignment horizontal="center" vertical="center"/>
    </xf>
    <xf numFmtId="9" fontId="33" fillId="19" borderId="97" xfId="0" applyNumberFormat="1" applyFont="1" applyFill="1" applyBorder="1" applyAlignment="1">
      <alignment horizontal="center" vertical="center"/>
    </xf>
    <xf numFmtId="9" fontId="33" fillId="19" borderId="98" xfId="0" applyNumberFormat="1" applyFont="1" applyFill="1" applyBorder="1" applyAlignment="1">
      <alignment horizontal="center" vertical="center"/>
    </xf>
    <xf numFmtId="0" fontId="6" fillId="15" borderId="26" xfId="0" applyFont="1" applyFill="1" applyBorder="1" applyAlignment="1">
      <alignment horizontal="left" vertical="top" wrapText="1" indent="1"/>
    </xf>
    <xf numFmtId="0" fontId="6" fillId="15" borderId="24" xfId="0" applyFont="1" applyFill="1" applyBorder="1" applyAlignment="1">
      <alignment horizontal="left" vertical="top" wrapText="1" indent="1"/>
    </xf>
    <xf numFmtId="0" fontId="6" fillId="15" borderId="34" xfId="0" applyFont="1" applyFill="1" applyBorder="1" applyAlignment="1">
      <alignment horizontal="left" vertical="top" wrapText="1" indent="1"/>
    </xf>
    <xf numFmtId="0" fontId="12" fillId="15" borderId="20" xfId="0" applyFont="1" applyFill="1" applyBorder="1" applyAlignment="1">
      <alignment horizontal="center" vertical="center" wrapText="1"/>
    </xf>
    <xf numFmtId="0" fontId="12" fillId="15" borderId="8" xfId="0" applyFont="1" applyFill="1" applyBorder="1" applyAlignment="1">
      <alignment horizontal="center" vertical="center" wrapText="1"/>
    </xf>
    <xf numFmtId="0" fontId="12" fillId="15" borderId="19" xfId="0" applyFont="1" applyFill="1" applyBorder="1" applyAlignment="1">
      <alignment horizontal="center" vertical="center" wrapText="1"/>
    </xf>
    <xf numFmtId="0" fontId="12" fillId="15" borderId="13" xfId="0" applyFont="1" applyFill="1" applyBorder="1" applyAlignment="1">
      <alignment horizontal="center" vertical="center" wrapText="1"/>
    </xf>
    <xf numFmtId="0" fontId="12" fillId="15" borderId="0" xfId="0" applyFont="1" applyFill="1" applyAlignment="1">
      <alignment horizontal="center" vertical="center" wrapText="1"/>
    </xf>
    <xf numFmtId="0" fontId="12" fillId="15" borderId="12" xfId="0" applyFont="1" applyFill="1" applyBorder="1" applyAlignment="1">
      <alignment horizontal="center" vertical="center" wrapText="1"/>
    </xf>
    <xf numFmtId="0" fontId="12" fillId="15" borderId="26" xfId="0" applyFont="1" applyFill="1" applyBorder="1" applyAlignment="1">
      <alignment horizontal="center" vertical="center" wrapText="1"/>
    </xf>
    <xf numFmtId="0" fontId="12" fillId="15" borderId="24" xfId="0" applyFont="1" applyFill="1" applyBorder="1" applyAlignment="1">
      <alignment horizontal="center" vertical="center" wrapText="1"/>
    </xf>
    <xf numFmtId="0" fontId="12" fillId="15" borderId="34" xfId="0" applyFont="1" applyFill="1" applyBorder="1" applyAlignment="1">
      <alignment horizontal="center" vertical="center" wrapText="1"/>
    </xf>
    <xf numFmtId="0" fontId="3" fillId="38" borderId="11" xfId="5" applyBorder="1" applyAlignment="1">
      <alignment horizontal="center" vertical="center" wrapText="1"/>
    </xf>
    <xf numFmtId="0" fontId="3" fillId="38" borderId="10" xfId="5" applyBorder="1" applyAlignment="1">
      <alignment horizontal="center" vertical="center" wrapText="1"/>
    </xf>
    <xf numFmtId="0" fontId="3" fillId="38" borderId="9" xfId="5" applyBorder="1" applyAlignment="1">
      <alignment horizontal="center" vertical="center" wrapText="1"/>
    </xf>
    <xf numFmtId="0" fontId="6" fillId="15" borderId="13" xfId="0" applyFont="1" applyFill="1" applyBorder="1" applyAlignment="1">
      <alignment horizontal="left" vertical="center" wrapText="1" indent="1"/>
    </xf>
    <xf numFmtId="0" fontId="6" fillId="15" borderId="0" xfId="0" applyFont="1" applyFill="1" applyAlignment="1">
      <alignment horizontal="left" vertical="center" wrapText="1" indent="1"/>
    </xf>
    <xf numFmtId="0" fontId="6" fillId="15" borderId="12" xfId="0" applyFont="1" applyFill="1" applyBorder="1" applyAlignment="1">
      <alignment horizontal="left" vertical="center" wrapText="1" indent="1"/>
    </xf>
    <xf numFmtId="0" fontId="6" fillId="15" borderId="26" xfId="0" applyFont="1" applyFill="1" applyBorder="1" applyAlignment="1">
      <alignment horizontal="left" vertical="center" wrapText="1" indent="1"/>
    </xf>
    <xf numFmtId="0" fontId="6" fillId="15" borderId="24" xfId="0" applyFont="1" applyFill="1" applyBorder="1" applyAlignment="1">
      <alignment horizontal="left" vertical="center" wrapText="1" indent="1"/>
    </xf>
    <xf numFmtId="0" fontId="6" fillId="15" borderId="34" xfId="0" applyFont="1" applyFill="1" applyBorder="1" applyAlignment="1">
      <alignment horizontal="left" vertical="center" wrapText="1" indent="1"/>
    </xf>
    <xf numFmtId="9" fontId="6" fillId="0" borderId="0" xfId="2" applyFont="1" applyBorder="1" applyAlignment="1">
      <alignment horizontal="center" vertical="center"/>
    </xf>
    <xf numFmtId="9" fontId="6" fillId="0" borderId="12" xfId="2" applyFont="1" applyBorder="1" applyAlignment="1">
      <alignment horizontal="center" vertical="center"/>
    </xf>
    <xf numFmtId="0" fontId="11" fillId="0" borderId="17" xfId="0" applyFont="1" applyBorder="1" applyAlignment="1">
      <alignment horizontal="center" vertical="center"/>
    </xf>
    <xf numFmtId="0" fontId="24" fillId="14" borderId="29" xfId="4" applyFont="1" applyBorder="1" applyAlignment="1">
      <alignment horizontal="center" vertical="center"/>
    </xf>
    <xf numFmtId="0" fontId="10" fillId="15" borderId="82" xfId="0" applyFont="1" applyFill="1" applyBorder="1" applyAlignment="1">
      <alignment horizontal="center" vertical="center" wrapText="1"/>
    </xf>
    <xf numFmtId="0" fontId="10" fillId="15" borderId="44" xfId="0" applyFont="1" applyFill="1" applyBorder="1" applyAlignment="1">
      <alignment horizontal="center" vertical="center" wrapText="1"/>
    </xf>
    <xf numFmtId="0" fontId="3" fillId="38" borderId="20" xfId="5" applyBorder="1" applyAlignment="1">
      <alignment horizontal="center" vertical="center"/>
    </xf>
    <xf numFmtId="0" fontId="3" fillId="38" borderId="26" xfId="5" applyBorder="1" applyAlignment="1">
      <alignment horizontal="center" vertical="center"/>
    </xf>
    <xf numFmtId="9" fontId="3" fillId="38" borderId="8" xfId="5" applyNumberFormat="1" applyBorder="1" applyAlignment="1">
      <alignment horizontal="center" vertical="center" wrapText="1"/>
    </xf>
    <xf numFmtId="9" fontId="3" fillId="38" borderId="24" xfId="5" applyNumberFormat="1" applyBorder="1" applyAlignment="1">
      <alignment horizontal="center" vertical="center" wrapText="1"/>
    </xf>
    <xf numFmtId="9" fontId="3" fillId="38" borderId="19" xfId="5" applyNumberFormat="1" applyBorder="1" applyAlignment="1">
      <alignment horizontal="center" vertical="center" wrapText="1"/>
    </xf>
    <xf numFmtId="9" fontId="3" fillId="38" borderId="34" xfId="5" applyNumberFormat="1" applyBorder="1" applyAlignment="1">
      <alignment horizontal="center" vertical="center" wrapText="1"/>
    </xf>
    <xf numFmtId="0" fontId="10" fillId="15" borderId="39" xfId="0" applyFont="1" applyFill="1" applyBorder="1" applyAlignment="1">
      <alignment horizontal="center" vertical="center"/>
    </xf>
    <xf numFmtId="0" fontId="4" fillId="0" borderId="37"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5" xfId="0" applyFont="1" applyBorder="1" applyAlignment="1">
      <alignment horizontal="center" vertical="center" wrapText="1"/>
    </xf>
    <xf numFmtId="0" fontId="24" fillId="14" borderId="11" xfId="4" applyFont="1" applyBorder="1" applyAlignment="1">
      <alignment horizontal="center" vertical="center"/>
    </xf>
    <xf numFmtId="0" fontId="24" fillId="14" borderId="10" xfId="4" applyFont="1" applyBorder="1" applyAlignment="1">
      <alignment horizontal="center" vertical="center"/>
    </xf>
    <xf numFmtId="0" fontId="24" fillId="14" borderId="9" xfId="4" applyFont="1" applyBorder="1" applyAlignment="1">
      <alignment horizontal="center" vertical="center"/>
    </xf>
    <xf numFmtId="0" fontId="3" fillId="38" borderId="11" xfId="5" applyBorder="1" applyAlignment="1">
      <alignment horizontal="center" vertical="center"/>
    </xf>
    <xf numFmtId="0" fontId="3" fillId="38" borderId="9" xfId="5" applyBorder="1" applyAlignment="1">
      <alignment horizontal="center" vertical="center"/>
    </xf>
    <xf numFmtId="0" fontId="3" fillId="38" borderId="10" xfId="5" applyBorder="1" applyAlignment="1">
      <alignment horizontal="center" vertical="center"/>
    </xf>
    <xf numFmtId="0" fontId="3" fillId="38" borderId="19" xfId="5" applyBorder="1" applyAlignment="1">
      <alignment horizontal="center" vertical="center"/>
    </xf>
    <xf numFmtId="0" fontId="3" fillId="38" borderId="8" xfId="5" applyBorder="1" applyAlignment="1">
      <alignment horizontal="center" vertical="center"/>
    </xf>
    <xf numFmtId="0" fontId="6" fillId="0" borderId="24" xfId="0" applyFont="1" applyBorder="1" applyAlignment="1">
      <alignment horizontal="center" vertical="center"/>
    </xf>
    <xf numFmtId="0" fontId="6" fillId="0" borderId="34" xfId="0" applyFont="1" applyBorder="1" applyAlignment="1">
      <alignment horizontal="center" vertical="center"/>
    </xf>
    <xf numFmtId="9" fontId="6" fillId="0" borderId="24" xfId="2" applyFont="1" applyBorder="1" applyAlignment="1">
      <alignment horizontal="center" vertical="center"/>
    </xf>
    <xf numFmtId="9" fontId="6" fillId="0" borderId="34" xfId="2" applyFont="1" applyBorder="1" applyAlignment="1">
      <alignment horizontal="center" vertical="center"/>
    </xf>
    <xf numFmtId="0" fontId="3" fillId="38" borderId="10" xfId="5" applyBorder="1" applyAlignment="1">
      <alignment horizontal="center" vertical="top" wrapText="1"/>
    </xf>
    <xf numFmtId="0" fontId="3" fillId="38" borderId="9" xfId="5" applyBorder="1" applyAlignment="1">
      <alignment horizontal="center" vertical="top" wrapText="1"/>
    </xf>
    <xf numFmtId="0" fontId="12" fillId="0" borderId="20" xfId="0" applyFont="1" applyBorder="1" applyAlignment="1">
      <alignment horizontal="left" vertical="top" wrapText="1" indent="1"/>
    </xf>
    <xf numFmtId="0" fontId="12" fillId="0" borderId="8" xfId="0" applyFont="1" applyBorder="1" applyAlignment="1">
      <alignment horizontal="left" vertical="top" wrapText="1" indent="1"/>
    </xf>
    <xf numFmtId="0" fontId="12" fillId="0" borderId="19" xfId="0" applyFont="1" applyBorder="1" applyAlignment="1">
      <alignment horizontal="left" vertical="top" wrapText="1" indent="1"/>
    </xf>
    <xf numFmtId="0" fontId="12" fillId="0" borderId="26" xfId="0" applyFont="1" applyBorder="1" applyAlignment="1">
      <alignment horizontal="left" vertical="top" wrapText="1" indent="1"/>
    </xf>
    <xf numFmtId="0" fontId="12" fillId="0" borderId="24" xfId="0" applyFont="1" applyBorder="1" applyAlignment="1">
      <alignment horizontal="left" vertical="top" wrapText="1" indent="1"/>
    </xf>
    <xf numFmtId="0" fontId="12" fillId="0" borderId="34" xfId="0" applyFont="1" applyBorder="1" applyAlignment="1">
      <alignment horizontal="left" vertical="top" wrapText="1" indent="1"/>
    </xf>
    <xf numFmtId="0" fontId="8" fillId="4" borderId="24" xfId="0" applyFont="1" applyFill="1" applyBorder="1" applyAlignment="1">
      <alignment horizontal="center"/>
    </xf>
    <xf numFmtId="0" fontId="8" fillId="8" borderId="11" xfId="0" applyFont="1" applyFill="1" applyBorder="1" applyAlignment="1">
      <alignment horizontal="center"/>
    </xf>
    <xf numFmtId="0" fontId="8" fillId="8" borderId="9" xfId="0" applyFont="1" applyFill="1" applyBorder="1" applyAlignment="1">
      <alignment horizontal="center"/>
    </xf>
    <xf numFmtId="0" fontId="3" fillId="38" borderId="24" xfId="5" applyBorder="1" applyAlignment="1">
      <alignment horizontal="center"/>
    </xf>
    <xf numFmtId="0" fontId="3" fillId="38" borderId="101" xfId="5" applyBorder="1" applyAlignment="1">
      <alignment horizontal="center"/>
    </xf>
    <xf numFmtId="0" fontId="3" fillId="38" borderId="100" xfId="5" applyBorder="1" applyAlignment="1">
      <alignment horizontal="center"/>
    </xf>
    <xf numFmtId="168" fontId="3" fillId="14" borderId="10" xfId="4" applyNumberFormat="1" applyBorder="1" applyAlignment="1">
      <alignment horizontal="center" vertical="center" wrapText="1"/>
    </xf>
    <xf numFmtId="168" fontId="3" fillId="38" borderId="40" xfId="5" applyNumberFormat="1" applyBorder="1" applyAlignment="1">
      <alignment horizontal="center" vertical="center" wrapText="1"/>
    </xf>
    <xf numFmtId="168" fontId="3" fillId="14" borderId="10" xfId="4" applyNumberFormat="1" applyBorder="1" applyAlignment="1">
      <alignment horizontal="center" vertical="center"/>
    </xf>
    <xf numFmtId="180" fontId="3" fillId="14" borderId="10" xfId="4" applyNumberFormat="1" applyBorder="1" applyAlignment="1">
      <alignment horizontal="center" vertical="center" wrapText="1"/>
    </xf>
    <xf numFmtId="168" fontId="6" fillId="8" borderId="40" xfId="0" applyNumberFormat="1" applyFont="1" applyFill="1" applyBorder="1" applyAlignment="1">
      <alignment horizontal="center"/>
    </xf>
    <xf numFmtId="168" fontId="6" fillId="8" borderId="61" xfId="0" applyNumberFormat="1" applyFont="1" applyFill="1" applyBorder="1" applyAlignment="1">
      <alignment horizontal="center"/>
    </xf>
    <xf numFmtId="0" fontId="3" fillId="38" borderId="40" xfId="5" applyBorder="1" applyAlignment="1">
      <alignment horizontal="center" vertical="center" wrapText="1"/>
    </xf>
    <xf numFmtId="0" fontId="3" fillId="23" borderId="58" xfId="0" applyFont="1" applyFill="1" applyBorder="1" applyAlignment="1">
      <alignment horizontal="center" vertical="center" wrapText="1"/>
    </xf>
    <xf numFmtId="180" fontId="3" fillId="38" borderId="40" xfId="5" applyNumberFormat="1" applyBorder="1" applyAlignment="1">
      <alignment horizontal="center" vertical="center"/>
    </xf>
    <xf numFmtId="0" fontId="3" fillId="38" borderId="40" xfId="5" applyBorder="1" applyAlignment="1">
      <alignment horizontal="center" vertical="center"/>
    </xf>
    <xf numFmtId="168" fontId="3" fillId="38" borderId="40" xfId="5" applyNumberFormat="1" applyBorder="1" applyAlignment="1">
      <alignment horizontal="center" vertical="center"/>
    </xf>
    <xf numFmtId="0" fontId="3" fillId="38" borderId="40" xfId="5" applyBorder="1" applyAlignment="1"/>
    <xf numFmtId="0" fontId="3" fillId="38" borderId="40" xfId="5" applyNumberFormat="1" applyBorder="1" applyAlignment="1">
      <alignment horizontal="center" vertical="center" wrapText="1"/>
    </xf>
    <xf numFmtId="0" fontId="3" fillId="38" borderId="61" xfId="5" applyBorder="1" applyAlignment="1">
      <alignment horizontal="center" vertical="center"/>
    </xf>
    <xf numFmtId="179" fontId="6" fillId="8" borderId="49" xfId="0" applyNumberFormat="1" applyFont="1" applyFill="1" applyBorder="1" applyAlignment="1">
      <alignment horizontal="center"/>
    </xf>
    <xf numFmtId="179" fontId="6" fillId="8" borderId="48" xfId="0" applyNumberFormat="1" applyFont="1" applyFill="1" applyBorder="1" applyAlignment="1">
      <alignment horizontal="center"/>
    </xf>
    <xf numFmtId="179" fontId="6" fillId="8" borderId="59" xfId="0" applyNumberFormat="1" applyFont="1" applyFill="1" applyBorder="1" applyAlignment="1">
      <alignment horizontal="center"/>
    </xf>
    <xf numFmtId="166" fontId="3" fillId="38" borderId="77" xfId="5" applyNumberFormat="1" applyBorder="1" applyAlignment="1">
      <alignment horizontal="left"/>
    </xf>
    <xf numFmtId="166" fontId="3" fillId="38" borderId="40" xfId="5" applyNumberFormat="1" applyBorder="1" applyAlignment="1">
      <alignment horizontal="left"/>
    </xf>
    <xf numFmtId="9" fontId="8" fillId="8" borderId="111" xfId="0" applyNumberFormat="1" applyFont="1" applyFill="1" applyBorder="1" applyAlignment="1">
      <alignment horizontal="center" vertical="center"/>
    </xf>
    <xf numFmtId="9" fontId="8" fillId="8" borderId="110" xfId="0" applyNumberFormat="1" applyFont="1" applyFill="1" applyBorder="1" applyAlignment="1">
      <alignment horizontal="center" vertical="center"/>
    </xf>
    <xf numFmtId="9" fontId="8" fillId="8" borderId="70" xfId="0" applyNumberFormat="1" applyFont="1" applyFill="1" applyBorder="1" applyAlignment="1">
      <alignment horizontal="center" vertical="center"/>
    </xf>
    <xf numFmtId="0" fontId="8" fillId="8" borderId="45" xfId="0" applyFont="1" applyFill="1" applyBorder="1" applyAlignment="1">
      <alignment horizontal="right" vertical="center" indent="1"/>
    </xf>
    <xf numFmtId="0" fontId="8" fillId="8" borderId="51" xfId="0" applyFont="1" applyFill="1" applyBorder="1" applyAlignment="1">
      <alignment horizontal="right" vertical="center" indent="1"/>
    </xf>
    <xf numFmtId="0" fontId="8" fillId="8" borderId="67" xfId="0" applyFont="1" applyFill="1" applyBorder="1" applyAlignment="1">
      <alignment horizontal="right" vertical="center" indent="1"/>
    </xf>
    <xf numFmtId="0" fontId="8" fillId="8" borderId="63" xfId="0" applyFont="1" applyFill="1" applyBorder="1" applyAlignment="1">
      <alignment horizontal="right" vertical="center" indent="1"/>
    </xf>
    <xf numFmtId="0" fontId="8" fillId="8" borderId="60" xfId="0" applyFont="1" applyFill="1" applyBorder="1" applyAlignment="1">
      <alignment horizontal="right" vertical="center" indent="1"/>
    </xf>
    <xf numFmtId="0" fontId="8" fillId="8" borderId="54" xfId="0" applyFont="1" applyFill="1" applyBorder="1" applyAlignment="1">
      <alignment horizontal="right" vertical="center" indent="1"/>
    </xf>
    <xf numFmtId="9" fontId="8" fillId="8" borderId="66" xfId="0" applyNumberFormat="1" applyFont="1" applyFill="1" applyBorder="1" applyAlignment="1">
      <alignment horizontal="center" vertical="center"/>
    </xf>
    <xf numFmtId="9" fontId="8" fillId="8" borderId="65" xfId="0" applyNumberFormat="1" applyFont="1" applyFill="1" applyBorder="1" applyAlignment="1">
      <alignment horizontal="center" vertical="center"/>
    </xf>
    <xf numFmtId="9" fontId="8" fillId="8" borderId="64" xfId="0" applyNumberFormat="1" applyFont="1" applyFill="1" applyBorder="1" applyAlignment="1">
      <alignment horizontal="center" vertical="center"/>
    </xf>
    <xf numFmtId="168" fontId="6" fillId="8" borderId="62" xfId="0" applyNumberFormat="1" applyFont="1" applyFill="1" applyBorder="1" applyAlignment="1">
      <alignment horizontal="center"/>
    </xf>
    <xf numFmtId="0" fontId="8" fillId="0" borderId="45" xfId="0" applyFont="1" applyBorder="1" applyAlignment="1">
      <alignment horizontal="center" vertical="center" textRotation="90" wrapText="1"/>
    </xf>
    <xf numFmtId="0" fontId="8" fillId="0" borderId="54" xfId="0" applyFont="1" applyBorder="1" applyAlignment="1">
      <alignment horizontal="center" vertical="center" textRotation="90" wrapText="1"/>
    </xf>
    <xf numFmtId="0" fontId="8" fillId="0" borderId="51" xfId="0" applyFont="1" applyBorder="1" applyAlignment="1">
      <alignment horizontal="center" vertical="center" textRotation="90" wrapText="1"/>
    </xf>
    <xf numFmtId="185" fontId="3" fillId="14" borderId="10" xfId="4" applyNumberFormat="1" applyBorder="1" applyAlignment="1">
      <alignment horizontal="center"/>
    </xf>
    <xf numFmtId="185" fontId="3" fillId="14" borderId="9" xfId="4" applyNumberFormat="1" applyBorder="1" applyAlignment="1">
      <alignment horizontal="center"/>
    </xf>
    <xf numFmtId="184" fontId="3" fillId="14" borderId="10" xfId="4" applyNumberFormat="1" applyBorder="1" applyAlignment="1">
      <alignment horizontal="center"/>
    </xf>
    <xf numFmtId="184" fontId="3" fillId="14" borderId="9" xfId="4" applyNumberFormat="1" applyBorder="1" applyAlignment="1">
      <alignment horizontal="center"/>
    </xf>
    <xf numFmtId="173" fontId="8" fillId="0" borderId="74" xfId="0" applyNumberFormat="1" applyFont="1" applyBorder="1" applyAlignment="1">
      <alignment horizontal="center" vertical="center"/>
    </xf>
    <xf numFmtId="173" fontId="8" fillId="0" borderId="9" xfId="0" applyNumberFormat="1" applyFont="1" applyBorder="1" applyAlignment="1">
      <alignment horizontal="center" vertical="center"/>
    </xf>
    <xf numFmtId="0" fontId="8" fillId="0" borderId="0" xfId="0" applyFont="1" applyAlignment="1">
      <alignment horizontal="center" wrapText="1"/>
    </xf>
    <xf numFmtId="9" fontId="8" fillId="7" borderId="20" xfId="0" applyNumberFormat="1" applyFont="1" applyFill="1" applyBorder="1" applyAlignment="1">
      <alignment horizontal="right"/>
    </xf>
    <xf numFmtId="9" fontId="8" fillId="7" borderId="8" xfId="0" applyNumberFormat="1" applyFont="1" applyFill="1" applyBorder="1" applyAlignment="1">
      <alignment horizontal="right"/>
    </xf>
    <xf numFmtId="9" fontId="8" fillId="7" borderId="13" xfId="0" applyNumberFormat="1" applyFont="1" applyFill="1" applyBorder="1" applyAlignment="1">
      <alignment horizontal="right"/>
    </xf>
    <xf numFmtId="9" fontId="8" fillId="7" borderId="0" xfId="0" applyNumberFormat="1" applyFont="1" applyFill="1" applyAlignment="1">
      <alignment horizontal="right"/>
    </xf>
    <xf numFmtId="0" fontId="24" fillId="38" borderId="11" xfId="5" applyFont="1" applyBorder="1" applyAlignment="1">
      <alignment horizontal="center" vertical="center"/>
    </xf>
    <xf numFmtId="0" fontId="24" fillId="38" borderId="10" xfId="5" applyFont="1" applyBorder="1" applyAlignment="1">
      <alignment horizontal="center" vertical="center"/>
    </xf>
    <xf numFmtId="0" fontId="24" fillId="38" borderId="9" xfId="5" applyFont="1" applyBorder="1" applyAlignment="1">
      <alignment horizontal="center" vertical="center"/>
    </xf>
    <xf numFmtId="0" fontId="24" fillId="38" borderId="11" xfId="5" quotePrefix="1" applyFont="1" applyBorder="1" applyAlignment="1">
      <alignment horizontal="center" vertical="center"/>
    </xf>
    <xf numFmtId="0" fontId="24" fillId="38" borderId="10" xfId="5" quotePrefix="1" applyFont="1" applyBorder="1" applyAlignment="1">
      <alignment horizontal="center" vertical="center"/>
    </xf>
    <xf numFmtId="0" fontId="24" fillId="38" borderId="9" xfId="5" quotePrefix="1" applyFont="1" applyBorder="1" applyAlignment="1">
      <alignment horizontal="center" vertical="center"/>
    </xf>
    <xf numFmtId="168" fontId="8" fillId="0" borderId="74" xfId="0" applyNumberFormat="1" applyFont="1" applyBorder="1" applyAlignment="1">
      <alignment horizontal="center" vertical="center"/>
    </xf>
    <xf numFmtId="168" fontId="8" fillId="0" borderId="9" xfId="0" applyNumberFormat="1" applyFont="1" applyBorder="1" applyAlignment="1">
      <alignment horizontal="center" vertical="center"/>
    </xf>
    <xf numFmtId="0" fontId="3" fillId="14" borderId="11" xfId="4" applyBorder="1" applyAlignment="1">
      <alignment horizontal="left"/>
    </xf>
    <xf numFmtId="0" fontId="3" fillId="14" borderId="10" xfId="4" applyBorder="1" applyAlignment="1">
      <alignment horizontal="left"/>
    </xf>
    <xf numFmtId="186" fontId="8" fillId="29" borderId="20" xfId="0" applyNumberFormat="1" applyFont="1" applyFill="1" applyBorder="1" applyAlignment="1">
      <alignment horizontal="right"/>
    </xf>
    <xf numFmtId="186" fontId="8" fillId="29" borderId="8" xfId="0" applyNumberFormat="1" applyFont="1" applyFill="1" applyBorder="1" applyAlignment="1">
      <alignment horizontal="right"/>
    </xf>
    <xf numFmtId="0" fontId="7" fillId="16" borderId="0" xfId="0" applyFont="1" applyFill="1" applyAlignment="1">
      <alignment horizontal="center"/>
    </xf>
    <xf numFmtId="0" fontId="8" fillId="34" borderId="0" xfId="0" applyFont="1" applyFill="1" applyAlignment="1">
      <alignment vertical="top" wrapText="1"/>
    </xf>
    <xf numFmtId="0" fontId="8" fillId="0" borderId="24" xfId="0" applyFont="1" applyBorder="1" applyAlignment="1">
      <alignment horizontal="center" vertical="center"/>
    </xf>
    <xf numFmtId="9" fontId="3" fillId="14" borderId="11" xfId="4" applyNumberFormat="1" applyBorder="1" applyAlignment="1">
      <alignment horizontal="center" vertical="center" wrapText="1"/>
    </xf>
    <xf numFmtId="9" fontId="3" fillId="14" borderId="104" xfId="4" applyNumberFormat="1" applyBorder="1" applyAlignment="1">
      <alignment horizontal="center" vertical="center" wrapText="1"/>
    </xf>
    <xf numFmtId="0" fontId="8" fillId="7" borderId="37" xfId="0" applyFont="1" applyFill="1" applyBorder="1" applyAlignment="1">
      <alignment horizontal="center"/>
    </xf>
    <xf numFmtId="0" fontId="8" fillId="7" borderId="36" xfId="0" applyFont="1" applyFill="1" applyBorder="1" applyAlignment="1">
      <alignment horizontal="center"/>
    </xf>
    <xf numFmtId="0" fontId="8" fillId="7" borderId="35" xfId="0" applyFont="1" applyFill="1" applyBorder="1" applyAlignment="1">
      <alignment horizontal="center"/>
    </xf>
    <xf numFmtId="0" fontId="8" fillId="29" borderId="18" xfId="0" applyFont="1" applyFill="1" applyBorder="1" applyAlignment="1">
      <alignment horizontal="center"/>
    </xf>
    <xf numFmtId="0" fontId="8" fillId="29" borderId="73" xfId="0" applyFont="1" applyFill="1" applyBorder="1" applyAlignment="1">
      <alignment horizontal="center"/>
    </xf>
    <xf numFmtId="0" fontId="8" fillId="29" borderId="16" xfId="0" applyFont="1" applyFill="1" applyBorder="1" applyAlignment="1">
      <alignment horizontal="center"/>
    </xf>
    <xf numFmtId="9" fontId="3" fillId="14" borderId="20" xfId="4" applyNumberFormat="1" applyBorder="1" applyAlignment="1">
      <alignment horizontal="center" vertical="center" wrapText="1"/>
    </xf>
    <xf numFmtId="9" fontId="3" fillId="14" borderId="105" xfId="4" applyNumberFormat="1" applyBorder="1" applyAlignment="1">
      <alignment horizontal="center" vertical="center" wrapText="1"/>
    </xf>
    <xf numFmtId="9" fontId="8" fillId="29" borderId="13" xfId="0" applyNumberFormat="1" applyFont="1" applyFill="1" applyBorder="1" applyAlignment="1">
      <alignment horizontal="right"/>
    </xf>
    <xf numFmtId="9" fontId="8" fillId="29" borderId="0" xfId="0" applyNumberFormat="1" applyFont="1" applyFill="1" applyAlignment="1">
      <alignment horizontal="right"/>
    </xf>
    <xf numFmtId="187" fontId="8" fillId="29" borderId="26" xfId="0" applyNumberFormat="1" applyFont="1" applyFill="1" applyBorder="1" applyAlignment="1">
      <alignment horizontal="right"/>
    </xf>
    <xf numFmtId="187" fontId="8" fillId="29" borderId="24" xfId="0" applyNumberFormat="1" applyFont="1" applyFill="1" applyBorder="1" applyAlignment="1">
      <alignment horizontal="right"/>
    </xf>
    <xf numFmtId="188" fontId="8" fillId="7" borderId="13" xfId="0" applyNumberFormat="1" applyFont="1" applyFill="1" applyBorder="1" applyAlignment="1">
      <alignment horizontal="right"/>
    </xf>
    <xf numFmtId="188" fontId="8" fillId="7" borderId="0" xfId="0" applyNumberFormat="1" applyFont="1" applyFill="1" applyAlignment="1">
      <alignment horizontal="right"/>
    </xf>
    <xf numFmtId="189" fontId="8" fillId="7" borderId="26" xfId="0" applyNumberFormat="1" applyFont="1" applyFill="1" applyBorder="1" applyAlignment="1">
      <alignment horizontal="right"/>
    </xf>
    <xf numFmtId="189" fontId="8" fillId="7" borderId="24" xfId="0" applyNumberFormat="1" applyFont="1" applyFill="1" applyBorder="1" applyAlignment="1">
      <alignment horizontal="right"/>
    </xf>
    <xf numFmtId="0" fontId="31" fillId="0" borderId="0" xfId="0" applyFont="1" applyAlignment="1">
      <alignment horizontal="center"/>
    </xf>
    <xf numFmtId="184" fontId="3" fillId="14" borderId="36" xfId="4" applyNumberFormat="1" applyBorder="1" applyAlignment="1">
      <alignment horizontal="center"/>
    </xf>
    <xf numFmtId="184" fontId="3" fillId="14" borderId="35" xfId="4" applyNumberFormat="1" applyBorder="1" applyAlignment="1">
      <alignment horizontal="center"/>
    </xf>
    <xf numFmtId="0" fontId="24" fillId="38" borderId="37" xfId="5" quotePrefix="1" applyFont="1" applyBorder="1" applyAlignment="1">
      <alignment horizontal="center" vertical="center"/>
    </xf>
    <xf numFmtId="0" fontId="24" fillId="38" borderId="36" xfId="5" applyFont="1" applyBorder="1" applyAlignment="1">
      <alignment horizontal="center" vertical="center"/>
    </xf>
    <xf numFmtId="0" fontId="24" fillId="38" borderId="35" xfId="5" applyFont="1" applyBorder="1" applyAlignment="1">
      <alignment horizontal="center" vertical="center"/>
    </xf>
    <xf numFmtId="9" fontId="8" fillId="27" borderId="20" xfId="0" applyNumberFormat="1" applyFont="1" applyFill="1" applyBorder="1" applyAlignment="1">
      <alignment horizontal="right"/>
    </xf>
    <xf numFmtId="9" fontId="8" fillId="27" borderId="8" xfId="0" applyNumberFormat="1" applyFont="1" applyFill="1" applyBorder="1" applyAlignment="1">
      <alignment horizontal="right"/>
    </xf>
    <xf numFmtId="9" fontId="8" fillId="27" borderId="13" xfId="0" applyNumberFormat="1" applyFont="1" applyFill="1" applyBorder="1" applyAlignment="1">
      <alignment horizontal="right"/>
    </xf>
    <xf numFmtId="9" fontId="8" fillId="27" borderId="0" xfId="0" applyNumberFormat="1" applyFont="1" applyFill="1" applyAlignment="1">
      <alignment horizontal="right"/>
    </xf>
    <xf numFmtId="187" fontId="8" fillId="27" borderId="26" xfId="0" applyNumberFormat="1" applyFont="1" applyFill="1" applyBorder="1" applyAlignment="1">
      <alignment horizontal="right"/>
    </xf>
    <xf numFmtId="187" fontId="8" fillId="27" borderId="24" xfId="0" applyNumberFormat="1" applyFont="1" applyFill="1" applyBorder="1" applyAlignment="1">
      <alignment horizontal="right"/>
    </xf>
    <xf numFmtId="0" fontId="8" fillId="29" borderId="11" xfId="0" quotePrefix="1" applyFont="1" applyFill="1" applyBorder="1" applyAlignment="1">
      <alignment horizontal="center" vertical="center"/>
    </xf>
    <xf numFmtId="0" fontId="8" fillId="29" borderId="10" xfId="0" quotePrefix="1" applyFont="1" applyFill="1" applyBorder="1" applyAlignment="1">
      <alignment horizontal="center" vertical="center"/>
    </xf>
    <xf numFmtId="0" fontId="8" fillId="29" borderId="9" xfId="0" quotePrefix="1" applyFont="1" applyFill="1" applyBorder="1" applyAlignment="1">
      <alignment horizontal="center" vertical="center"/>
    </xf>
    <xf numFmtId="0" fontId="8" fillId="30" borderId="11" xfId="0" quotePrefix="1" applyFont="1" applyFill="1" applyBorder="1" applyAlignment="1">
      <alignment horizontal="center" vertical="center"/>
    </xf>
    <xf numFmtId="0" fontId="8" fillId="30" borderId="10" xfId="0" quotePrefix="1" applyFont="1" applyFill="1" applyBorder="1" applyAlignment="1">
      <alignment horizontal="center" vertical="center"/>
    </xf>
    <xf numFmtId="0" fontId="8" fillId="30" borderId="9" xfId="0" quotePrefix="1" applyFont="1" applyFill="1" applyBorder="1" applyAlignment="1">
      <alignment horizontal="center" vertical="center"/>
    </xf>
    <xf numFmtId="0" fontId="20" fillId="8" borderId="99" xfId="0" applyFont="1" applyFill="1" applyBorder="1" applyAlignment="1">
      <alignment horizontal="left" vertical="top" wrapText="1"/>
    </xf>
    <xf numFmtId="0" fontId="20" fillId="8" borderId="83" xfId="0" applyFont="1" applyFill="1" applyBorder="1" applyAlignment="1">
      <alignment horizontal="left" vertical="top" wrapText="1"/>
    </xf>
    <xf numFmtId="0" fontId="20" fillId="8" borderId="49" xfId="0" applyFont="1" applyFill="1" applyBorder="1" applyAlignment="1">
      <alignment horizontal="left" vertical="top" wrapText="1"/>
    </xf>
    <xf numFmtId="0" fontId="20" fillId="8" borderId="48" xfId="0" applyFont="1" applyFill="1" applyBorder="1" applyAlignment="1">
      <alignment horizontal="left" vertical="top" wrapText="1"/>
    </xf>
    <xf numFmtId="0" fontId="20" fillId="8" borderId="56" xfId="0" applyFont="1" applyFill="1" applyBorder="1" applyAlignment="1">
      <alignment horizontal="left" vertical="top" wrapText="1"/>
    </xf>
    <xf numFmtId="0" fontId="20" fillId="8" borderId="38" xfId="0" applyFont="1" applyFill="1" applyBorder="1" applyAlignment="1">
      <alignment horizontal="left" vertical="top" wrapText="1"/>
    </xf>
    <xf numFmtId="0" fontId="8" fillId="31" borderId="73" xfId="0" applyFont="1" applyFill="1" applyBorder="1" applyAlignment="1">
      <alignment horizontal="left" indent="1"/>
    </xf>
    <xf numFmtId="9" fontId="8" fillId="29" borderId="12" xfId="0" applyNumberFormat="1" applyFont="1" applyFill="1" applyBorder="1" applyAlignment="1">
      <alignment horizontal="center" vertical="center"/>
    </xf>
    <xf numFmtId="9" fontId="8" fillId="29" borderId="34" xfId="0" applyNumberFormat="1" applyFont="1" applyFill="1" applyBorder="1" applyAlignment="1">
      <alignment horizontal="center" vertical="center"/>
    </xf>
    <xf numFmtId="0" fontId="8" fillId="33" borderId="11" xfId="0" applyFont="1" applyFill="1" applyBorder="1" applyAlignment="1">
      <alignment horizontal="center"/>
    </xf>
    <xf numFmtId="0" fontId="8" fillId="33" borderId="9" xfId="0" applyFont="1" applyFill="1" applyBorder="1" applyAlignment="1">
      <alignment horizontal="center"/>
    </xf>
    <xf numFmtId="0" fontId="8" fillId="33" borderId="20" xfId="0" applyFont="1" applyFill="1" applyBorder="1" applyAlignment="1">
      <alignment horizontal="center" vertical="center" wrapText="1"/>
    </xf>
    <xf numFmtId="0" fontId="8" fillId="33" borderId="8" xfId="0" applyFont="1" applyFill="1" applyBorder="1" applyAlignment="1">
      <alignment horizontal="center" vertical="center" wrapText="1"/>
    </xf>
    <xf numFmtId="0" fontId="8" fillId="33" borderId="19" xfId="0" applyFont="1" applyFill="1" applyBorder="1" applyAlignment="1">
      <alignment horizontal="center" vertical="center" wrapText="1"/>
    </xf>
    <xf numFmtId="0" fontId="8" fillId="33" borderId="13" xfId="0" applyFont="1" applyFill="1" applyBorder="1" applyAlignment="1">
      <alignment horizontal="center" vertical="center" wrapText="1"/>
    </xf>
    <xf numFmtId="0" fontId="8" fillId="33" borderId="0" xfId="0" applyFont="1" applyFill="1" applyAlignment="1">
      <alignment horizontal="center" vertical="center" wrapText="1"/>
    </xf>
    <xf numFmtId="0" fontId="8" fillId="33" borderId="12" xfId="0" applyFont="1" applyFill="1" applyBorder="1" applyAlignment="1">
      <alignment horizontal="center" vertical="center" wrapText="1"/>
    </xf>
    <xf numFmtId="185" fontId="3" fillId="14" borderId="10" xfId="4" applyNumberFormat="1" applyBorder="1" applyAlignment="1">
      <alignment horizontal="center" vertical="center"/>
    </xf>
    <xf numFmtId="185" fontId="3" fillId="14" borderId="9" xfId="4" applyNumberFormat="1" applyBorder="1" applyAlignment="1">
      <alignment horizontal="center" vertical="center"/>
    </xf>
    <xf numFmtId="0" fontId="8" fillId="33" borderId="20" xfId="0" applyFont="1" applyFill="1" applyBorder="1" applyAlignment="1">
      <alignment horizontal="center" vertical="center"/>
    </xf>
    <xf numFmtId="0" fontId="8" fillId="33" borderId="13" xfId="0" applyFont="1" applyFill="1" applyBorder="1" applyAlignment="1">
      <alignment horizontal="center" vertical="center"/>
    </xf>
    <xf numFmtId="0" fontId="8" fillId="33" borderId="19" xfId="0" applyFont="1" applyFill="1" applyBorder="1" applyAlignment="1">
      <alignment horizontal="center" vertical="center"/>
    </xf>
    <xf numFmtId="0" fontId="8" fillId="33" borderId="12" xfId="0" applyFont="1" applyFill="1" applyBorder="1" applyAlignment="1">
      <alignment horizontal="center" vertical="center"/>
    </xf>
    <xf numFmtId="9" fontId="4" fillId="33" borderId="20" xfId="2" applyFont="1" applyFill="1" applyBorder="1" applyAlignment="1">
      <alignment horizontal="center" vertical="center" wrapText="1"/>
    </xf>
    <xf numFmtId="9" fontId="4" fillId="33" borderId="19" xfId="2" applyFont="1" applyFill="1" applyBorder="1" applyAlignment="1">
      <alignment horizontal="center" vertical="center" wrapText="1"/>
    </xf>
    <xf numFmtId="9" fontId="4" fillId="33" borderId="13" xfId="2" applyFont="1" applyFill="1" applyBorder="1" applyAlignment="1">
      <alignment horizontal="center" vertical="center" wrapText="1"/>
    </xf>
    <xf numFmtId="9" fontId="4" fillId="33" borderId="12" xfId="2" applyFont="1" applyFill="1" applyBorder="1" applyAlignment="1">
      <alignment horizontal="center" vertical="center" wrapText="1"/>
    </xf>
    <xf numFmtId="0" fontId="4" fillId="33" borderId="45" xfId="0" applyFont="1" applyFill="1" applyBorder="1" applyAlignment="1">
      <alignment horizontal="center" vertical="center" wrapText="1"/>
    </xf>
    <xf numFmtId="0" fontId="4" fillId="33" borderId="54" xfId="0" applyFont="1" applyFill="1" applyBorder="1" applyAlignment="1">
      <alignment horizontal="center" vertical="center" wrapText="1"/>
    </xf>
    <xf numFmtId="0" fontId="4" fillId="33" borderId="8" xfId="0" applyFont="1" applyFill="1" applyBorder="1" applyAlignment="1">
      <alignment horizontal="center" vertical="center" wrapText="1"/>
    </xf>
    <xf numFmtId="0" fontId="4" fillId="33" borderId="19" xfId="0" applyFont="1" applyFill="1" applyBorder="1" applyAlignment="1">
      <alignment horizontal="center" vertical="center" wrapText="1"/>
    </xf>
    <xf numFmtId="0" fontId="4" fillId="33" borderId="0" xfId="0" applyFont="1" applyFill="1" applyAlignment="1">
      <alignment horizontal="center" vertical="center" wrapText="1"/>
    </xf>
    <xf numFmtId="0" fontId="4" fillId="33" borderId="12" xfId="0" applyFont="1" applyFill="1" applyBorder="1" applyAlignment="1">
      <alignment horizontal="center" vertical="center" wrapText="1"/>
    </xf>
    <xf numFmtId="9" fontId="8" fillId="32" borderId="12" xfId="0" applyNumberFormat="1" applyFont="1" applyFill="1" applyBorder="1" applyAlignment="1">
      <alignment horizontal="center" vertical="center"/>
    </xf>
    <xf numFmtId="9" fontId="8" fillId="32" borderId="34" xfId="0" applyNumberFormat="1" applyFont="1" applyFill="1" applyBorder="1" applyAlignment="1">
      <alignment horizontal="center" vertical="center"/>
    </xf>
    <xf numFmtId="188" fontId="8" fillId="32" borderId="13" xfId="0" applyNumberFormat="1" applyFont="1" applyFill="1" applyBorder="1" applyAlignment="1">
      <alignment horizontal="right"/>
    </xf>
    <xf numFmtId="188" fontId="8" fillId="32" borderId="0" xfId="0" applyNumberFormat="1" applyFont="1" applyFill="1" applyAlignment="1">
      <alignment horizontal="right"/>
    </xf>
    <xf numFmtId="189" fontId="8" fillId="32" borderId="26" xfId="0" applyNumberFormat="1" applyFont="1" applyFill="1" applyBorder="1" applyAlignment="1">
      <alignment horizontal="right"/>
    </xf>
    <xf numFmtId="189" fontId="8" fillId="32" borderId="24" xfId="0" applyNumberFormat="1" applyFont="1" applyFill="1" applyBorder="1" applyAlignment="1">
      <alignment horizontal="right"/>
    </xf>
    <xf numFmtId="184" fontId="3" fillId="14" borderId="10" xfId="4" applyNumberFormat="1" applyBorder="1" applyAlignment="1">
      <alignment horizontal="center" vertical="center"/>
    </xf>
    <xf numFmtId="184" fontId="3" fillId="14" borderId="9" xfId="4" applyNumberFormat="1" applyBorder="1" applyAlignment="1">
      <alignment horizontal="center" vertical="center"/>
    </xf>
    <xf numFmtId="0" fontId="21" fillId="16" borderId="8" xfId="0" applyFont="1" applyFill="1" applyBorder="1" applyAlignment="1">
      <alignment horizontal="right" vertical="top"/>
    </xf>
    <xf numFmtId="0" fontId="21" fillId="16" borderId="24" xfId="0" applyFont="1" applyFill="1" applyBorder="1" applyAlignment="1">
      <alignment horizontal="right" vertical="top"/>
    </xf>
    <xf numFmtId="0" fontId="18" fillId="0" borderId="95" xfId="0" applyFont="1" applyBorder="1" applyAlignment="1">
      <alignment horizontal="left" vertical="center" wrapText="1"/>
    </xf>
    <xf numFmtId="0" fontId="18" fillId="0" borderId="91" xfId="0" applyFont="1" applyBorder="1" applyAlignment="1">
      <alignment horizontal="left" vertical="center" wrapText="1"/>
    </xf>
    <xf numFmtId="0" fontId="18" fillId="0" borderId="4" xfId="0" applyFont="1" applyBorder="1" applyAlignment="1">
      <alignment horizontal="left" vertical="center" wrapText="1"/>
    </xf>
    <xf numFmtId="0" fontId="6" fillId="0" borderId="95" xfId="0" applyFont="1" applyBorder="1" applyAlignment="1">
      <alignment horizontal="left" vertical="top" wrapText="1"/>
    </xf>
    <xf numFmtId="0" fontId="6" fillId="0" borderId="91" xfId="0" applyFont="1" applyBorder="1" applyAlignment="1">
      <alignment horizontal="left" vertical="top" wrapText="1"/>
    </xf>
    <xf numFmtId="0" fontId="6" fillId="0" borderId="4" xfId="0" applyFont="1" applyBorder="1" applyAlignment="1">
      <alignment horizontal="left" vertical="top" wrapText="1"/>
    </xf>
    <xf numFmtId="16" fontId="24" fillId="14" borderId="0" xfId="4" applyNumberFormat="1" applyFont="1" applyAlignment="1">
      <alignment horizontal="left" wrapText="1"/>
    </xf>
    <xf numFmtId="0" fontId="3" fillId="38" borderId="20" xfId="5" applyBorder="1" applyAlignment="1">
      <alignment horizontal="center"/>
    </xf>
    <xf numFmtId="0" fontId="3" fillId="38" borderId="8" xfId="5" applyBorder="1" applyAlignment="1">
      <alignment horizontal="center"/>
    </xf>
    <xf numFmtId="0" fontId="3" fillId="38" borderId="19" xfId="5" applyBorder="1" applyAlignment="1">
      <alignment horizontal="center"/>
    </xf>
  </cellXfs>
  <cellStyles count="8">
    <cellStyle name="Currency" xfId="1" builtinId="4"/>
    <cellStyle name="DLS-Heading1" xfId="4"/>
    <cellStyle name="DLS-USACE Greay" xfId="6"/>
    <cellStyle name="DLS-USACE Red" xfId="5"/>
    <cellStyle name="Hyperlink" xfId="7" builtinId="8"/>
    <cellStyle name="Input" xfId="3" builtinId="20" customBuiltin="1"/>
    <cellStyle name="Normal" xfId="0" builtinId="0"/>
    <cellStyle name="Percent" xfId="2" builtinId="5"/>
  </cellStyles>
  <dxfs count="78">
    <dxf>
      <fill>
        <gradientFill degree="90">
          <stop position="0">
            <color rgb="FFF84657"/>
          </stop>
          <stop position="1">
            <color rgb="FFFFFF00"/>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ill>
        <patternFill patternType="lightUp"/>
      </fill>
    </dxf>
    <dxf>
      <fill>
        <gradientFill degree="90">
          <stop position="0">
            <color rgb="FFF84657"/>
          </stop>
          <stop position="1">
            <color rgb="FFFFFF00"/>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ill>
        <patternFill patternType="lightUp"/>
      </fill>
    </dxf>
    <dxf>
      <font>
        <b/>
        <i val="0"/>
        <color auto="1"/>
      </font>
      <fill>
        <patternFill>
          <bgColor rgb="FFFFFFCC"/>
        </patternFill>
      </fill>
    </dxf>
    <dxf>
      <font>
        <b/>
        <i val="0"/>
        <color auto="1"/>
      </font>
      <fill>
        <patternFill>
          <bgColor rgb="FFFFFFCC"/>
        </pattern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ill>
        <gradientFill degree="90">
          <stop position="0">
            <color rgb="FFF84657"/>
          </stop>
          <stop position="1">
            <color rgb="FFFFFF00"/>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ill>
        <gradientFill degree="90">
          <stop position="0">
            <color rgb="FFF84657"/>
          </stop>
          <stop position="1">
            <color rgb="FFFFFF00"/>
          </stop>
        </gradientFill>
      </fill>
    </dxf>
    <dxf>
      <font>
        <b/>
        <i val="0"/>
      </font>
      <fill>
        <patternFill>
          <bgColor rgb="FFFFFF00"/>
        </patternFill>
      </fill>
    </dxf>
    <dxf>
      <font>
        <b/>
        <i val="0"/>
        <color rgb="FFFF0000"/>
      </font>
      <fill>
        <patternFill>
          <bgColor theme="1"/>
        </pattern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EB8B7"/>
          </stop>
          <stop position="1">
            <color rgb="FFF84657"/>
          </stop>
        </gradientFill>
      </fill>
    </dxf>
    <dxf>
      <fill>
        <gradientFill degree="90">
          <stop position="0">
            <color rgb="FFFFFFCC"/>
          </stop>
          <stop position="1">
            <color rgb="FFEBFC10"/>
          </stop>
        </gradientFill>
      </fill>
    </dxf>
    <dxf>
      <fill>
        <gradientFill degree="90">
          <stop position="0">
            <color rgb="FFEEB8B7"/>
          </stop>
          <stop position="1">
            <color rgb="FFF84657"/>
          </stop>
        </gradientFill>
      </fill>
    </dxf>
    <dxf>
      <fill>
        <gradientFill degree="90">
          <stop position="0">
            <color rgb="FFEBF1DE"/>
          </stop>
          <stop position="1">
            <color rgb="FFC4D79B"/>
          </stop>
        </gradientFill>
      </fill>
    </dxf>
    <dxf>
      <fill>
        <gradientFill degree="90">
          <stop position="0">
            <color rgb="FFF84657"/>
          </stop>
          <stop position="1">
            <color rgb="FFFFFF00"/>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ill>
        <gradientFill degree="90">
          <stop position="0">
            <color rgb="FFF84657"/>
          </stop>
          <stop position="1">
            <color rgb="FFFFFF00"/>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EB8B7"/>
          </stop>
          <stop position="1">
            <color rgb="FFF84657"/>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ill>
        <gradientFill degree="90">
          <stop position="0">
            <color rgb="FFF84657"/>
          </stop>
          <stop position="1">
            <color rgb="FFFFFF00"/>
          </stop>
        </gradientFill>
      </fill>
    </dxf>
    <dxf>
      <fill>
        <gradientFill degree="90">
          <stop position="0">
            <color rgb="FFF84657"/>
          </stop>
          <stop position="1">
            <color rgb="FFFFFF00"/>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ont>
        <b/>
        <i val="0"/>
        <strike val="0"/>
        <condense val="0"/>
        <extend val="0"/>
        <outline val="0"/>
        <shadow val="0"/>
        <u val="none"/>
        <vertAlign val="baseline"/>
        <sz val="11"/>
        <color rgb="FF0000FF"/>
        <name val="Calibri"/>
        <scheme val="minor"/>
      </font>
      <numFmt numFmtId="0" formatCode="General"/>
      <fill>
        <patternFill patternType="none">
          <fgColor indexed="64"/>
          <bgColor indexed="65"/>
        </patternFill>
      </fill>
      <alignment horizontal="left" vertical="top" textRotation="0" wrapText="1" indent="1" justifyLastLine="0" shrinkToFit="0" readingOrder="0"/>
      <protection locked="0" hidden="0"/>
    </dxf>
    <dxf>
      <font>
        <b/>
        <i val="0"/>
        <strike val="0"/>
        <condense val="0"/>
        <extend val="0"/>
        <outline val="0"/>
        <shadow val="0"/>
        <u val="none"/>
        <vertAlign val="baseline"/>
        <sz val="11"/>
        <color rgb="FF0000FF"/>
        <name val="Calibri"/>
        <scheme val="minor"/>
      </font>
      <numFmt numFmtId="0" formatCode="General"/>
      <fill>
        <patternFill patternType="none">
          <fgColor indexed="64"/>
          <bgColor indexed="65"/>
        </patternFill>
      </fill>
      <alignment horizontal="center" vertical="top" textRotation="0" wrapText="1" indent="0" justifyLastLine="0" shrinkToFit="0" readingOrder="0"/>
      <protection locked="0" hidden="0"/>
    </dxf>
    <dxf>
      <font>
        <b/>
        <i val="0"/>
        <strike val="0"/>
        <condense val="0"/>
        <extend val="0"/>
        <outline val="0"/>
        <shadow val="0"/>
        <u val="none"/>
        <vertAlign val="baseline"/>
        <sz val="11"/>
        <color rgb="FF0000FF"/>
        <name val="Calibri"/>
        <scheme val="minor"/>
      </font>
      <numFmt numFmtId="0" formatCode="General"/>
      <fill>
        <patternFill patternType="none">
          <fgColor indexed="64"/>
          <bgColor indexed="65"/>
        </patternFill>
      </fill>
      <alignment horizontal="left" vertical="top" textRotation="0" wrapText="1" indent="1" justifyLastLine="0" shrinkToFit="0" readingOrder="0"/>
      <protection locked="0" hidden="0"/>
    </dxf>
    <dxf>
      <font>
        <b/>
        <i val="0"/>
        <strike val="0"/>
        <condense val="0"/>
        <extend val="0"/>
        <outline val="0"/>
        <shadow val="0"/>
        <u val="none"/>
        <vertAlign val="baseline"/>
        <sz val="11"/>
        <color rgb="FF0000FF"/>
        <name val="Calibri"/>
        <scheme val="minor"/>
      </font>
      <numFmt numFmtId="0" formatCode="General"/>
      <fill>
        <patternFill patternType="none">
          <fgColor indexed="64"/>
          <bgColor indexed="65"/>
        </patternFill>
      </fill>
      <alignment horizontal="center" vertical="top" textRotation="0" wrapText="1" indent="0" justifyLastLine="0" shrinkToFit="0" readingOrder="0"/>
      <protection locked="0" hidden="0"/>
    </dxf>
    <dxf>
      <border diagonalUp="0" diagonalDown="0">
        <left style="medium">
          <color indexed="64"/>
        </left>
        <right style="medium">
          <color indexed="64"/>
        </right>
        <top style="medium">
          <color indexed="64"/>
        </top>
        <bottom style="medium">
          <color indexed="64"/>
        </bottom>
      </border>
    </dxf>
    <dxf>
      <font>
        <b/>
        <strike val="0"/>
        <outline val="0"/>
        <shadow val="0"/>
        <u val="none"/>
        <vertAlign val="baseline"/>
        <sz val="11"/>
        <color rgb="FF0000FF"/>
        <name val="Calibri"/>
        <scheme val="minor"/>
      </font>
      <numFmt numFmtId="0" formatCode="General"/>
    </dxf>
    <dxf>
      <border outline="0">
        <bottom style="thin">
          <color indexed="9"/>
        </bottom>
      </border>
    </dxf>
    <dxf>
      <font>
        <b/>
        <i val="0"/>
        <strike val="0"/>
        <condense val="0"/>
        <extend val="0"/>
        <outline val="0"/>
        <shadow val="0"/>
        <u val="none"/>
        <vertAlign val="baseline"/>
        <sz val="11"/>
        <color indexed="9"/>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9"/>
        </left>
        <right style="thin">
          <color indexed="9"/>
        </right>
        <top/>
        <bottom/>
      </border>
    </dxf>
    <dxf>
      <font>
        <b/>
        <strike val="0"/>
        <outline val="0"/>
        <shadow val="0"/>
        <u val="none"/>
        <vertAlign val="baseline"/>
        <sz val="11"/>
        <color rgb="FF0000FF"/>
        <name val="Calibri"/>
        <scheme val="minor"/>
      </font>
      <numFmt numFmtId="0" formatCode="General"/>
      <fill>
        <patternFill patternType="none">
          <fgColor indexed="64"/>
          <bgColor indexed="65"/>
        </patternFill>
      </fill>
      <alignment horizontal="left" vertical="top" textRotation="0" wrapText="1" indent="1" justifyLastLine="0" shrinkToFit="0" readingOrder="0"/>
      <protection locked="0" hidden="0"/>
    </dxf>
    <dxf>
      <font>
        <b/>
        <i val="0"/>
        <strike val="0"/>
        <condense val="0"/>
        <extend val="0"/>
        <outline val="0"/>
        <shadow val="0"/>
        <u val="none"/>
        <vertAlign val="baseline"/>
        <sz val="11"/>
        <color rgb="FF0000FF"/>
        <name val="Calibri"/>
        <scheme val="minor"/>
      </font>
      <numFmt numFmtId="0" formatCode="General"/>
      <fill>
        <patternFill patternType="none">
          <fgColor indexed="64"/>
          <bgColor indexed="65"/>
        </patternFill>
      </fill>
      <alignment horizontal="center" vertical="top" textRotation="0" wrapText="1" indent="0" justifyLastLine="0" shrinkToFit="0" readingOrder="0"/>
      <protection locked="0" hidden="0"/>
    </dxf>
    <dxf>
      <font>
        <b/>
        <strike val="0"/>
        <outline val="0"/>
        <shadow val="0"/>
        <u val="none"/>
        <vertAlign val="baseline"/>
        <sz val="11"/>
        <color rgb="FF0000FF"/>
        <name val="Calibri"/>
        <scheme val="minor"/>
      </font>
      <numFmt numFmtId="0" formatCode="General"/>
      <fill>
        <patternFill patternType="none">
          <fgColor indexed="64"/>
          <bgColor indexed="65"/>
        </patternFill>
      </fill>
      <alignment horizontal="left" vertical="top" textRotation="0" wrapText="1" indent="1" justifyLastLine="0" shrinkToFit="0" readingOrder="0"/>
      <protection locked="0" hidden="0"/>
    </dxf>
    <dxf>
      <font>
        <b/>
        <strike val="0"/>
        <outline val="0"/>
        <shadow val="0"/>
        <u val="none"/>
        <vertAlign val="baseline"/>
        <sz val="11"/>
        <color rgb="FF0000FF"/>
        <name val="Calibri"/>
        <scheme val="minor"/>
      </font>
      <numFmt numFmtId="0" formatCode="General"/>
      <fill>
        <patternFill patternType="none">
          <fgColor indexed="64"/>
          <bgColor indexed="65"/>
        </patternFill>
      </fill>
      <alignment horizontal="center" vertical="top" textRotation="0" wrapText="1" indent="0" justifyLastLine="0" shrinkToFit="0" readingOrder="0"/>
      <protection locked="0" hidden="0"/>
    </dxf>
    <dxf>
      <border diagonalUp="0" diagonalDown="0">
        <left style="medium">
          <color indexed="64"/>
        </left>
        <right style="medium">
          <color indexed="64"/>
        </right>
        <top style="medium">
          <color indexed="64"/>
        </top>
        <bottom style="medium">
          <color indexed="64"/>
        </bottom>
      </border>
    </dxf>
    <dxf>
      <font>
        <b/>
        <strike val="0"/>
        <outline val="0"/>
        <shadow val="0"/>
        <u val="none"/>
        <vertAlign val="baseline"/>
        <sz val="11"/>
        <color rgb="FF0000FF"/>
        <name val="Calibri"/>
        <scheme val="minor"/>
      </font>
      <numFmt numFmtId="0" formatCode="General"/>
      <alignment vertical="center" textRotation="0" indent="0" justifyLastLine="0" shrinkToFit="0" readingOrder="0"/>
    </dxf>
    <dxf>
      <border outline="0">
        <bottom style="thin">
          <color indexed="9"/>
        </bottom>
      </border>
    </dxf>
    <dxf>
      <font>
        <b/>
        <i val="0"/>
        <strike val="0"/>
        <condense val="0"/>
        <extend val="0"/>
        <outline val="0"/>
        <shadow val="0"/>
        <u val="none"/>
        <vertAlign val="baseline"/>
        <sz val="11"/>
        <color indexed="9"/>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9"/>
        </left>
        <right style="thin">
          <color indexed="9"/>
        </right>
        <top/>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1"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border>
    </dxf>
    <dxf>
      <border outline="0">
        <bottom style="thin">
          <color indexed="64"/>
        </bottom>
      </border>
    </dxf>
    <dxf>
      <font>
        <strike val="0"/>
        <outline val="0"/>
        <shadow val="0"/>
        <u val="none"/>
        <vertAlign val="baseline"/>
        <sz val="16"/>
        <color indexed="9"/>
        <name val="Calibri"/>
        <scheme val="minor"/>
      </font>
      <numFmt numFmtId="0" formatCode="General"/>
      <alignment horizontal="center" vertical="center" textRotation="0" wrapText="1" indent="0" justifyLastLine="0" shrinkToFit="0" readingOrder="0"/>
      <border diagonalUp="0" diagonalDown="0" outline="0">
        <left style="thin">
          <color indexed="64"/>
        </left>
        <right style="thin">
          <color indexed="64"/>
        </right>
        <top/>
        <bottom/>
      </border>
    </dxf>
    <dxf>
      <alignment horizontal="left" vertical="top" textRotation="0" wrapText="1" indent="0" justifyLastLine="0" shrinkToFit="0" readingOrder="0"/>
    </dxf>
    <dxf>
      <font>
        <b/>
      </font>
      <alignment horizontal="left" vertical="top" textRotation="0" wrapText="0" indent="0" justifyLastLine="0" shrinkToFit="0" readingOrder="0"/>
    </dxf>
    <dxf>
      <alignment horizontal="right" vertical="top" textRotation="0" wrapText="0" indent="0" justifyLastLine="0" shrinkToFit="0" readingOrder="0"/>
    </dxf>
    <dxf>
      <font>
        <strike val="0"/>
        <outline val="0"/>
        <shadow val="0"/>
        <u val="none"/>
        <vertAlign val="baseline"/>
        <sz val="11"/>
        <name val="Calibri"/>
        <scheme val="minor"/>
      </font>
      <alignment horizontal="center" vertical="top" textRotation="0" wrapText="0" indent="0" justifyLastLine="0" shrinkToFit="0" readingOrder="0"/>
    </dxf>
    <dxf>
      <font>
        <strike val="0"/>
        <outline val="0"/>
        <shadow val="0"/>
        <u val="none"/>
        <vertAlign val="baseline"/>
        <sz val="11"/>
        <name val="Calibri"/>
        <scheme val="minor"/>
      </font>
      <alignment horizontal="left" vertical="top" textRotation="0" wrapText="1" indent="0" justifyLastLine="0" shrinkToFit="0" readingOrder="0"/>
    </dxf>
    <dxf>
      <font>
        <strike val="0"/>
        <outline val="0"/>
        <shadow val="0"/>
        <u val="none"/>
        <vertAlign val="baseline"/>
        <sz val="11"/>
        <name val="Calibri"/>
        <scheme val="minor"/>
      </font>
      <numFmt numFmtId="19" formatCode="m/d/yyyy"/>
      <alignment horizontal="center" vertical="top" textRotation="0" wrapText="0" indent="0" justifyLastLine="0" shrinkToFit="0" readingOrder="0"/>
    </dxf>
    <dxf>
      <font>
        <strike val="0"/>
        <outline val="0"/>
        <shadow val="0"/>
        <u val="none"/>
        <vertAlign val="baseline"/>
        <sz val="11"/>
        <name val="Calibri"/>
        <scheme val="minor"/>
      </font>
      <numFmt numFmtId="164" formatCode="000"/>
      <alignment horizontal="center" vertical="top" textRotation="0" wrapText="0" indent="0" justifyLastLine="0" shrinkToFit="0" readingOrder="0"/>
    </dxf>
    <dxf>
      <font>
        <strike val="0"/>
        <outline val="0"/>
        <shadow val="0"/>
        <u val="none"/>
        <vertAlign val="baseline"/>
        <sz val="11"/>
        <name val="Calibri"/>
        <scheme val="minor"/>
      </font>
    </dxf>
    <dxf>
      <font>
        <b val="0"/>
        <i val="0"/>
        <strike val="0"/>
        <condense val="0"/>
        <extend val="0"/>
        <outline val="0"/>
        <shadow val="0"/>
        <u val="none"/>
        <vertAlign val="baseline"/>
        <sz val="11"/>
        <color theme="0"/>
        <name val="Calibri"/>
        <scheme val="minor"/>
      </font>
      <alignment horizontal="center" vertical="bottom" textRotation="0" wrapText="0" indent="0" justifyLastLine="0" shrinkToFit="0" readingOrder="0"/>
    </dxf>
  </dxfs>
  <tableStyles count="0" defaultTableStyle="TableStyleMedium2" defaultPivotStyle="PivotStyleLight16"/>
  <colors>
    <mruColors>
      <color rgb="FFFFFFCC"/>
      <color rgb="FF0000FF"/>
      <color rgb="FFED2939"/>
      <color rgb="FFE6B8B7"/>
      <color rgb="FFA29791"/>
      <color rgb="FFC4D79B"/>
      <color rgb="FFEBFBDE"/>
      <color rgb="FFEBF1DE"/>
      <color rgb="FFFFFF00"/>
      <color rgb="FFF846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microsoft.com/office/2017/10/relationships/person" Target="persons/person.xml"/></Relationships>
</file>

<file path=xl/charts/_rels/chart10.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8.xml"/><Relationship Id="rId1" Type="http://schemas.microsoft.com/office/2011/relationships/chartStyle" Target="style8.xml"/></Relationships>
</file>

<file path=xl/charts/_rels/chart3.xml.rels><?xml version="1.0" encoding="UTF-8" standalone="yes"?>
<Relationships xmlns="http://schemas.openxmlformats.org/package/2006/relationships"><Relationship Id="rId2" Type="http://schemas.openxmlformats.org/officeDocument/2006/relationships/chartUserShapes" Target="../drawings/drawing8.xml"/><Relationship Id="rId1" Type="http://schemas.openxmlformats.org/officeDocument/2006/relationships/themeOverride" Target="../theme/themeOverride1.xml"/></Relationships>
</file>

<file path=xl/charts/_rels/chart4.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7.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mn-lt"/>
                <a:ea typeface="Arial"/>
                <a:cs typeface="Arial"/>
              </a:defRPr>
            </a:pPr>
            <a:r>
              <a:rPr lang="en-US" sz="1400">
                <a:latin typeface="+mn-lt"/>
              </a:rPr>
              <a:t>Cost Contingency </a:t>
            </a:r>
          </a:p>
        </c:rich>
      </c:tx>
      <c:layout>
        <c:manualLayout>
          <c:xMode val="edge"/>
          <c:yMode val="edge"/>
          <c:x val="0.41084543126834738"/>
          <c:y val="2.9906534176537467E-2"/>
        </c:manualLayout>
      </c:layout>
      <c:overlay val="0"/>
      <c:spPr>
        <a:noFill/>
        <a:ln w="25400">
          <a:noFill/>
        </a:ln>
      </c:spPr>
    </c:title>
    <c:autoTitleDeleted val="0"/>
    <c:plotArea>
      <c:layout>
        <c:manualLayout>
          <c:layoutTarget val="inner"/>
          <c:xMode val="edge"/>
          <c:yMode val="edge"/>
          <c:x val="0.18225255176436278"/>
          <c:y val="0.24143580682473478"/>
          <c:w val="0.806404636920385"/>
          <c:h val="0.62529042869733176"/>
        </c:manualLayout>
      </c:layout>
      <c:lineChart>
        <c:grouping val="standard"/>
        <c:varyColors val="0"/>
        <c:ser>
          <c:idx val="1"/>
          <c:order val="0"/>
          <c:tx>
            <c:strRef>
              <c:f>'I-Project Contingency'!$C$20</c:f>
              <c:strCache>
                <c:ptCount val="1"/>
                <c:pt idx="0">
                  <c:v>Base Estimate</c:v>
                </c:pt>
              </c:strCache>
            </c:strRef>
          </c:tx>
          <c:spPr>
            <a:ln w="38100">
              <a:solidFill>
                <a:schemeClr val="tx1"/>
              </a:solidFill>
              <a:prstDash val="solid"/>
            </a:ln>
            <a:effectLst>
              <a:outerShdw blurRad="50800" dist="38100" dir="2700000" algn="tl" rotWithShape="0">
                <a:prstClr val="black">
                  <a:alpha val="40000"/>
                </a:prstClr>
              </a:outerShdw>
            </a:effectLst>
          </c:spPr>
          <c:marker>
            <c:symbol val="none"/>
          </c:marker>
          <c:cat>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cat>
          <c:val>
            <c:numRef>
              <c:f>'I-Project Contingency'!$G$23:$G$33</c:f>
              <c:numCache>
                <c:formatCode>"$"#,##0</c:formatCode>
                <c:ptCount val="11"/>
                <c:pt idx="0">
                  <c:v>7250000</c:v>
                </c:pt>
                <c:pt idx="1">
                  <c:v>7250000</c:v>
                </c:pt>
                <c:pt idx="2">
                  <c:v>7250000</c:v>
                </c:pt>
                <c:pt idx="3">
                  <c:v>7250000</c:v>
                </c:pt>
                <c:pt idx="4">
                  <c:v>7250000</c:v>
                </c:pt>
                <c:pt idx="5">
                  <c:v>7250000</c:v>
                </c:pt>
                <c:pt idx="6">
                  <c:v>7250000</c:v>
                </c:pt>
                <c:pt idx="7">
                  <c:v>7250000</c:v>
                </c:pt>
                <c:pt idx="8">
                  <c:v>7250000</c:v>
                </c:pt>
                <c:pt idx="9">
                  <c:v>7250000</c:v>
                </c:pt>
                <c:pt idx="10">
                  <c:v>7250000</c:v>
                </c:pt>
              </c:numCache>
            </c:numRef>
          </c:val>
          <c:smooth val="0"/>
          <c:extLst>
            <c:ext xmlns:c16="http://schemas.microsoft.com/office/drawing/2014/chart" uri="{C3380CC4-5D6E-409C-BE32-E72D297353CC}">
              <c16:uniqueId val="{00000000-FFE7-4700-B4B4-BAEE7F570C69}"/>
            </c:ext>
          </c:extLst>
        </c:ser>
        <c:ser>
          <c:idx val="0"/>
          <c:order val="1"/>
          <c:tx>
            <c:v>Contingency</c:v>
          </c:tx>
          <c:spPr>
            <a:ln w="28575"/>
            <a:effectLst>
              <a:outerShdw blurRad="50800" dist="38100" dir="2700000" algn="tl" rotWithShape="0">
                <a:prstClr val="black">
                  <a:alpha val="40000"/>
                </a:prstClr>
              </a:outerShdw>
            </a:effectLst>
          </c:spPr>
          <c:marker>
            <c:symbol val="none"/>
          </c:marker>
          <c:dPt>
            <c:idx val="8"/>
            <c:bubble3D val="0"/>
            <c:spPr>
              <a:ln w="28575"/>
              <a:effectLst>
                <a:outerShdw blurRad="50800" dist="38100" dir="18900000" algn="bl" rotWithShape="0">
                  <a:schemeClr val="accent2">
                    <a:lumMod val="50000"/>
                    <a:alpha val="40000"/>
                  </a:schemeClr>
                </a:outerShdw>
              </a:effectLst>
            </c:spPr>
            <c:extLst>
              <c:ext xmlns:c16="http://schemas.microsoft.com/office/drawing/2014/chart" uri="{C3380CC4-5D6E-409C-BE32-E72D297353CC}">
                <c16:uniqueId val="{00000002-FFE7-4700-B4B4-BAEE7F570C69}"/>
              </c:ext>
            </c:extLst>
          </c:dPt>
          <c:dPt>
            <c:idx val="16"/>
            <c:bubble3D val="0"/>
            <c:extLst>
              <c:ext xmlns:c16="http://schemas.microsoft.com/office/drawing/2014/chart" uri="{C3380CC4-5D6E-409C-BE32-E72D297353CC}">
                <c16:uniqueId val="{00000003-FFE7-4700-B4B4-BAEE7F570C69}"/>
              </c:ext>
            </c:extLst>
          </c:dPt>
          <c:dLbls>
            <c:dLbl>
              <c:idx val="0"/>
              <c:tx>
                <c:rich>
                  <a:bodyPr/>
                  <a:lstStyle/>
                  <a:p>
                    <a:fld id="{8A848276-A37D-4C53-8E40-6B6A4629411C}"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FFE7-4700-B4B4-BAEE7F570C69}"/>
                </c:ext>
              </c:extLst>
            </c:dLbl>
            <c:dLbl>
              <c:idx val="1"/>
              <c:tx>
                <c:rich>
                  <a:bodyPr/>
                  <a:lstStyle/>
                  <a:p>
                    <a:fld id="{2BDD6F99-7CF6-4995-8A3B-591D1009E97A}"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FFE7-4700-B4B4-BAEE7F570C69}"/>
                </c:ext>
              </c:extLst>
            </c:dLbl>
            <c:dLbl>
              <c:idx val="2"/>
              <c:tx>
                <c:rich>
                  <a:bodyPr/>
                  <a:lstStyle/>
                  <a:p>
                    <a:fld id="{2183A75E-1B5F-4DCC-A684-0E2F3F3512C1}"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FFE7-4700-B4B4-BAEE7F570C69}"/>
                </c:ext>
              </c:extLst>
            </c:dLbl>
            <c:dLbl>
              <c:idx val="3"/>
              <c:tx>
                <c:rich>
                  <a:bodyPr/>
                  <a:lstStyle/>
                  <a:p>
                    <a:fld id="{EE1DFAA9-8851-4F06-B3D8-497E40B3F66B}"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FFE7-4700-B4B4-BAEE7F570C69}"/>
                </c:ext>
              </c:extLst>
            </c:dLbl>
            <c:dLbl>
              <c:idx val="4"/>
              <c:tx>
                <c:rich>
                  <a:bodyPr/>
                  <a:lstStyle/>
                  <a:p>
                    <a:fld id="{3FD466E2-4237-4525-B7A1-0E9FD6F60EDD}"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FFE7-4700-B4B4-BAEE7F570C69}"/>
                </c:ext>
              </c:extLst>
            </c:dLbl>
            <c:dLbl>
              <c:idx val="5"/>
              <c:tx>
                <c:rich>
                  <a:bodyPr/>
                  <a:lstStyle/>
                  <a:p>
                    <a:fld id="{94A3028B-0E9A-48E5-9038-5520BF3AD2E2}"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FFE7-4700-B4B4-BAEE7F570C69}"/>
                </c:ext>
              </c:extLst>
            </c:dLbl>
            <c:dLbl>
              <c:idx val="6"/>
              <c:tx>
                <c:rich>
                  <a:bodyPr/>
                  <a:lstStyle/>
                  <a:p>
                    <a:fld id="{B85D4750-6926-4BCE-9F8C-6BEC96F60BCE}"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FFE7-4700-B4B4-BAEE7F570C69}"/>
                </c:ext>
              </c:extLst>
            </c:dLbl>
            <c:dLbl>
              <c:idx val="7"/>
              <c:tx>
                <c:rich>
                  <a:bodyPr/>
                  <a:lstStyle/>
                  <a:p>
                    <a:fld id="{C5363B0F-B620-4BD8-8993-67D12AF5148E}"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FFE7-4700-B4B4-BAEE7F570C69}"/>
                </c:ext>
              </c:extLst>
            </c:dLbl>
            <c:dLbl>
              <c:idx val="8"/>
              <c:tx>
                <c:rich>
                  <a:bodyPr/>
                  <a:lstStyle/>
                  <a:p>
                    <a:fld id="{3EA91D6C-1EA6-4106-BB32-898D21BBD101}"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FFE7-4700-B4B4-BAEE7F570C69}"/>
                </c:ext>
              </c:extLst>
            </c:dLbl>
            <c:dLbl>
              <c:idx val="9"/>
              <c:tx>
                <c:rich>
                  <a:bodyPr/>
                  <a:lstStyle/>
                  <a:p>
                    <a:fld id="{3F1B613E-3F1E-412E-95E8-A77F78BB0130}"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FFE7-4700-B4B4-BAEE7F570C69}"/>
                </c:ext>
              </c:extLst>
            </c:dLbl>
            <c:dLbl>
              <c:idx val="10"/>
              <c:tx>
                <c:rich>
                  <a:bodyPr/>
                  <a:lstStyle/>
                  <a:p>
                    <a:fld id="{4E767792-9959-4018-8C95-D5AF5A96BF1E}"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FFE7-4700-B4B4-BAEE7F570C69}"/>
                </c:ext>
              </c:extLst>
            </c:dLbl>
            <c:numFmt formatCode="0%" sourceLinked="0"/>
            <c:spPr>
              <a:noFill/>
              <a:ln>
                <a:noFill/>
              </a:ln>
              <a:effectLst/>
            </c:spPr>
            <c:txPr>
              <a:bodyPr wrap="square" lIns="38100" tIns="19050" rIns="38100" bIns="19050" anchor="ctr">
                <a:spAutoFit/>
              </a:bodyPr>
              <a:lstStyle/>
              <a:p>
                <a:pPr>
                  <a:defRPr sz="900" b="1">
                    <a:latin typeface="+mn-lt"/>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cat>
          <c:val>
            <c:numRef>
              <c:f>'I-Project Contingency'!$F$23:$F$33</c:f>
              <c:numCache>
                <c:formatCode>"$"#,##0</c:formatCode>
                <c:ptCount val="11"/>
                <c:pt idx="0">
                  <c:v>6960000</c:v>
                </c:pt>
                <c:pt idx="1">
                  <c:v>7467500</c:v>
                </c:pt>
                <c:pt idx="2">
                  <c:v>7830000</c:v>
                </c:pt>
                <c:pt idx="3">
                  <c:v>8192500</c:v>
                </c:pt>
                <c:pt idx="4">
                  <c:v>8555000</c:v>
                </c:pt>
                <c:pt idx="5">
                  <c:v>8990000</c:v>
                </c:pt>
                <c:pt idx="6">
                  <c:v>9425000</c:v>
                </c:pt>
                <c:pt idx="7">
                  <c:v>10005000</c:v>
                </c:pt>
                <c:pt idx="8">
                  <c:v>10585000</c:v>
                </c:pt>
                <c:pt idx="9">
                  <c:v>11455000</c:v>
                </c:pt>
                <c:pt idx="10">
                  <c:v>13267500</c:v>
                </c:pt>
              </c:numCache>
            </c:numRef>
          </c:val>
          <c:smooth val="0"/>
          <c:extLst>
            <c:ext xmlns:c15="http://schemas.microsoft.com/office/drawing/2012/chart" uri="{02D57815-91ED-43cb-92C2-25804820EDAC}">
              <c15:datalabelsRange>
                <c15:f>'I-Project Contingency'!$E$23:$E$33</c15:f>
                <c15:dlblRangeCache>
                  <c:ptCount val="11"/>
                  <c:pt idx="0">
                    <c:v>-4%</c:v>
                  </c:pt>
                  <c:pt idx="1">
                    <c:v>3%</c:v>
                  </c:pt>
                  <c:pt idx="2">
                    <c:v>8%</c:v>
                  </c:pt>
                  <c:pt idx="3">
                    <c:v>13%</c:v>
                  </c:pt>
                  <c:pt idx="4">
                    <c:v>18%</c:v>
                  </c:pt>
                  <c:pt idx="5">
                    <c:v>24%</c:v>
                  </c:pt>
                  <c:pt idx="6">
                    <c:v>30%</c:v>
                  </c:pt>
                  <c:pt idx="7">
                    <c:v>38%</c:v>
                  </c:pt>
                  <c:pt idx="8">
                    <c:v>46%</c:v>
                  </c:pt>
                  <c:pt idx="9">
                    <c:v>58%</c:v>
                  </c:pt>
                  <c:pt idx="10">
                    <c:v>83%</c:v>
                  </c:pt>
                </c15:dlblRangeCache>
              </c15:datalabelsRange>
            </c:ext>
            <c:ext xmlns:c16="http://schemas.microsoft.com/office/drawing/2014/chart" uri="{C3380CC4-5D6E-409C-BE32-E72D297353CC}">
              <c16:uniqueId val="{0000000E-FFE7-4700-B4B4-BAEE7F570C69}"/>
            </c:ext>
          </c:extLst>
        </c:ser>
        <c:dLbls>
          <c:showLegendKey val="0"/>
          <c:showVal val="0"/>
          <c:showCatName val="0"/>
          <c:showSerName val="0"/>
          <c:showPercent val="0"/>
          <c:showBubbleSize val="0"/>
        </c:dLbls>
        <c:smooth val="0"/>
        <c:axId val="771897392"/>
        <c:axId val="771889944"/>
      </c:lineChart>
      <c:catAx>
        <c:axId val="771897392"/>
        <c:scaling>
          <c:orientation val="minMax"/>
        </c:scaling>
        <c:delete val="0"/>
        <c:axPos val="t"/>
        <c:majorGridlines>
          <c:spPr>
            <a:ln w="3175">
              <a:solidFill>
                <a:srgbClr val="808080"/>
              </a:solidFill>
              <a:prstDash val="solid"/>
            </a:ln>
          </c:spPr>
        </c:majorGridlines>
        <c:title>
          <c:tx>
            <c:rich>
              <a:bodyPr/>
              <a:lstStyle/>
              <a:p>
                <a:pPr>
                  <a:defRPr sz="1100" b="1" i="0" u="none" strike="noStrike" baseline="0">
                    <a:solidFill>
                      <a:srgbClr val="000000"/>
                    </a:solidFill>
                    <a:latin typeface="+mn-lt"/>
                    <a:ea typeface="Arial"/>
                    <a:cs typeface="Arial"/>
                  </a:defRPr>
                </a:pPr>
                <a:r>
                  <a:rPr lang="en-US" sz="1100">
                    <a:latin typeface="+mn-lt"/>
                  </a:rPr>
                  <a:t>Confidence Levels</a:t>
                </a:r>
              </a:p>
            </c:rich>
          </c:tx>
          <c:layout>
            <c:manualLayout>
              <c:xMode val="edge"/>
              <c:yMode val="edge"/>
              <c:x val="0.42266557070423538"/>
              <c:y val="0.89126279077685744"/>
            </c:manualLayout>
          </c:layout>
          <c:overlay val="0"/>
          <c:spPr>
            <a:noFill/>
            <a:ln w="25400">
              <a:noFill/>
            </a:ln>
          </c:spPr>
        </c:title>
        <c:numFmt formatCode="0%" sourceLinked="1"/>
        <c:majorTickMark val="none"/>
        <c:minorTickMark val="none"/>
        <c:tickLblPos val="high"/>
        <c:spPr>
          <a:ln w="3175">
            <a:solidFill>
              <a:srgbClr val="000000"/>
            </a:solidFill>
            <a:prstDash val="solid"/>
          </a:ln>
        </c:spPr>
        <c:txPr>
          <a:bodyPr rot="-5400000" vert="horz"/>
          <a:lstStyle/>
          <a:p>
            <a:pPr>
              <a:defRPr sz="1000" b="1" i="0" u="none" strike="noStrike" baseline="0">
                <a:solidFill>
                  <a:srgbClr val="000000"/>
                </a:solidFill>
                <a:latin typeface="+mn-lt"/>
                <a:ea typeface="Arial"/>
                <a:cs typeface="Arial"/>
              </a:defRPr>
            </a:pPr>
            <a:endParaRPr lang="en-US"/>
          </a:p>
        </c:txPr>
        <c:crossAx val="771889944"/>
        <c:crosses val="max"/>
        <c:auto val="1"/>
        <c:lblAlgn val="ctr"/>
        <c:lblOffset val="100"/>
        <c:noMultiLvlLbl val="0"/>
      </c:catAx>
      <c:valAx>
        <c:axId val="771889944"/>
        <c:scaling>
          <c:orientation val="minMax"/>
        </c:scaling>
        <c:delete val="0"/>
        <c:axPos val="l"/>
        <c:majorGridlines/>
        <c:title>
          <c:tx>
            <c:rich>
              <a:bodyPr/>
              <a:lstStyle/>
              <a:p>
                <a:pPr>
                  <a:defRPr sz="1100" b="1" i="0" u="none" strike="noStrike" baseline="0">
                    <a:solidFill>
                      <a:srgbClr val="000000"/>
                    </a:solidFill>
                    <a:latin typeface="+mn-lt"/>
                    <a:ea typeface="Arial"/>
                    <a:cs typeface="Arial"/>
                  </a:defRPr>
                </a:pPr>
                <a:r>
                  <a:rPr lang="en-US" sz="1100">
                    <a:latin typeface="+mn-lt"/>
                  </a:rPr>
                  <a:t>Cost</a:t>
                </a:r>
              </a:p>
            </c:rich>
          </c:tx>
          <c:layout>
            <c:manualLayout>
              <c:xMode val="edge"/>
              <c:yMode val="edge"/>
              <c:x val="2.8933005082079983E-2"/>
              <c:y val="0.49939008538804641"/>
            </c:manualLayout>
          </c:layout>
          <c:overlay val="0"/>
          <c:spPr>
            <a:noFill/>
            <a:ln w="25400">
              <a:noFill/>
            </a:ln>
          </c:spPr>
        </c:title>
        <c:numFmt formatCode="&quot;$&quot;#,##0.0,,\ &quot;M&quot;" sourceLinked="0"/>
        <c:majorTickMark val="out"/>
        <c:minorTickMark val="none"/>
        <c:tickLblPos val="nextTo"/>
        <c:spPr>
          <a:ln w="3175">
            <a:solidFill>
              <a:srgbClr val="000000"/>
            </a:solidFill>
            <a:prstDash val="solid"/>
          </a:ln>
        </c:spPr>
        <c:txPr>
          <a:bodyPr rot="0" vert="horz" anchor="ctr" anchorCtr="1"/>
          <a:lstStyle/>
          <a:p>
            <a:pPr>
              <a:defRPr sz="1000" b="1" i="0" u="none" strike="noStrike" baseline="0">
                <a:solidFill>
                  <a:srgbClr val="000000"/>
                </a:solidFill>
                <a:latin typeface="+mn-lt"/>
                <a:ea typeface="Arial"/>
                <a:cs typeface="Arial"/>
              </a:defRPr>
            </a:pPr>
            <a:endParaRPr lang="en-US"/>
          </a:p>
        </c:txPr>
        <c:crossAx val="771897392"/>
        <c:crosses val="autoZero"/>
        <c:crossBetween val="between"/>
      </c:valAx>
    </c:plotArea>
    <c:legend>
      <c:legendPos val="r"/>
      <c:layout>
        <c:manualLayout>
          <c:xMode val="edge"/>
          <c:yMode val="edge"/>
          <c:x val="0.67253102872197268"/>
          <c:y val="0.87741274635309263"/>
          <c:w val="0.22527721920085295"/>
          <c:h val="0.10901469197654148"/>
        </c:manualLayout>
      </c:layout>
      <c:overlay val="1"/>
      <c:txPr>
        <a:bodyPr/>
        <a:lstStyle/>
        <a:p>
          <a:pPr>
            <a:defRPr sz="1000" b="1">
              <a:latin typeface="+mn-lt"/>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57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verticalDpi="4"/>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r>
              <a:rPr lang="en-US" sz="1600"/>
              <a:t>Top Schedule Risks</a:t>
            </a:r>
          </a:p>
        </c:rich>
      </c:tx>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en-US"/>
        </a:p>
      </c:txPr>
    </c:title>
    <c:autoTitleDeleted val="0"/>
    <c:plotArea>
      <c:layout/>
      <c:barChart>
        <c:barDir val="bar"/>
        <c:grouping val="clustered"/>
        <c:varyColors val="0"/>
        <c:ser>
          <c:idx val="1"/>
          <c:order val="0"/>
          <c:tx>
            <c:strRef>
              <c:f>'J-Sensitivity Charts'!$X$38</c:f>
              <c:strCache>
                <c:ptCount val="1"/>
                <c:pt idx="0">
                  <c:v>ROM Schedule Risk @ 90%</c:v>
                </c:pt>
              </c:strCache>
            </c:strRef>
          </c:tx>
          <c:spPr>
            <a:solidFill>
              <a:srgbClr val="FF0000">
                <a:alpha val="50000"/>
              </a:srgbClr>
            </a:solidFill>
            <a:ln w="9525" cap="flat" cmpd="sng" algn="ctr">
              <a:noFill/>
              <a:miter lim="800000"/>
            </a:ln>
            <a:effectLst/>
          </c:spPr>
          <c:invertIfNegative val="0"/>
          <c:cat>
            <c:strRef>
              <c:f>'J-Sensitivity Charts'!$S$39:$S$49</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Charts'!$X$39:$X$49</c:f>
              <c:numCache>
                <c:formatCode>0.00\ "MO"</c:formatCode>
                <c:ptCount val="11"/>
                <c:pt idx="0">
                  <c:v>7.68</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438B-45B7-AF9C-2A449D41E316}"/>
            </c:ext>
          </c:extLst>
        </c:ser>
        <c:ser>
          <c:idx val="0"/>
          <c:order val="1"/>
          <c:tx>
            <c:strRef>
              <c:f>'J-Sensitivity Charts'!$W$38</c:f>
              <c:strCache>
                <c:ptCount val="1"/>
                <c:pt idx="0">
                  <c:v>ROM Schedule Risk @ 80%</c:v>
                </c:pt>
              </c:strCache>
            </c:strRef>
          </c:tx>
          <c:spPr>
            <a:solidFill>
              <a:schemeClr val="accent1">
                <a:alpha val="50000"/>
              </a:schemeClr>
            </a:solidFill>
            <a:ln w="9525" cap="flat" cmpd="sng" algn="ctr">
              <a:noFill/>
              <a:miter lim="800000"/>
            </a:ln>
            <a:effectLst/>
          </c:spPr>
          <c:invertIfNegative val="0"/>
          <c:cat>
            <c:strRef>
              <c:f>'J-Sensitivity Charts'!$S$39:$S$49</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Charts'!$W$39:$W$49</c:f>
              <c:numCache>
                <c:formatCode>0.00\ "MO"</c:formatCode>
                <c:ptCount val="11"/>
                <c:pt idx="0">
                  <c:v>6.12</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438B-45B7-AF9C-2A449D41E316}"/>
            </c:ext>
          </c:extLst>
        </c:ser>
        <c:ser>
          <c:idx val="2"/>
          <c:order val="2"/>
          <c:tx>
            <c:strRef>
              <c:f>'J-Sensitivity Charts'!$V$38</c:f>
              <c:strCache>
                <c:ptCount val="1"/>
                <c:pt idx="0">
                  <c:v>ROM Schedule Risk @ 50%</c:v>
                </c:pt>
              </c:strCache>
            </c:strRef>
          </c:tx>
          <c:spPr>
            <a:solidFill>
              <a:schemeClr val="accent6">
                <a:alpha val="50000"/>
              </a:schemeClr>
            </a:solidFill>
            <a:ln w="9525" cap="flat" cmpd="sng" algn="ctr">
              <a:noFill/>
              <a:miter lim="800000"/>
            </a:ln>
            <a:effectLst/>
          </c:spPr>
          <c:invertIfNegative val="0"/>
          <c:cat>
            <c:strRef>
              <c:f>'J-Sensitivity Charts'!$S$39:$S$49</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Charts'!$V$39:$V$49</c:f>
              <c:numCache>
                <c:formatCode>0.00\ "MO"</c:formatCode>
                <c:ptCount val="11"/>
                <c:pt idx="0">
                  <c:v>3</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438B-45B7-AF9C-2A449D41E316}"/>
            </c:ext>
          </c:extLst>
        </c:ser>
        <c:dLbls>
          <c:showLegendKey val="0"/>
          <c:showVal val="0"/>
          <c:showCatName val="0"/>
          <c:showSerName val="0"/>
          <c:showPercent val="0"/>
          <c:showBubbleSize val="0"/>
        </c:dLbls>
        <c:gapWidth val="182"/>
        <c:axId val="1301294288"/>
        <c:axId val="1301296256"/>
      </c:barChart>
      <c:catAx>
        <c:axId val="1301294288"/>
        <c:scaling>
          <c:orientation val="maxMin"/>
        </c:scaling>
        <c:delete val="0"/>
        <c:axPos val="l"/>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lt1">
                    <a:lumMod val="75000"/>
                  </a:schemeClr>
                </a:solidFill>
                <a:latin typeface="+mn-lt"/>
                <a:ea typeface="+mn-ea"/>
                <a:cs typeface="+mn-cs"/>
              </a:defRPr>
            </a:pPr>
            <a:endParaRPr lang="en-US"/>
          </a:p>
        </c:txPr>
        <c:crossAx val="1301296256"/>
        <c:crosses val="autoZero"/>
        <c:auto val="1"/>
        <c:lblAlgn val="ctr"/>
        <c:lblOffset val="100"/>
        <c:noMultiLvlLbl val="0"/>
      </c:catAx>
      <c:valAx>
        <c:axId val="1301296256"/>
        <c:scaling>
          <c:orientation val="minMax"/>
        </c:scaling>
        <c:delete val="0"/>
        <c:axPos val="t"/>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0\ &quot;MO&quot;" sourceLinked="0"/>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lt1">
                    <a:lumMod val="75000"/>
                  </a:schemeClr>
                </a:solidFill>
                <a:latin typeface="+mn-lt"/>
                <a:ea typeface="+mn-ea"/>
                <a:cs typeface="+mn-cs"/>
              </a:defRPr>
            </a:pPr>
            <a:endParaRPr lang="en-US"/>
          </a:p>
        </c:txPr>
        <c:crossAx val="1301294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1" i="0" u="none" strike="noStrike" kern="1200" baseline="0">
              <a:solidFill>
                <a:schemeClr val="lt1">
                  <a:lumMod val="7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a:t>Schedule Contingency </a:t>
            </a:r>
          </a:p>
        </c:rich>
      </c:tx>
      <c:layout>
        <c:manualLayout>
          <c:xMode val="edge"/>
          <c:yMode val="edge"/>
          <c:x val="0.41084543126834738"/>
          <c:y val="2.9906534176537467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0.177523304271514"/>
          <c:y val="0.18708603093456724"/>
          <c:w val="0.80910541871073494"/>
          <c:h val="0.67569091132751113"/>
        </c:manualLayout>
      </c:layout>
      <c:barChart>
        <c:barDir val="col"/>
        <c:grouping val="stacked"/>
        <c:varyColors val="0"/>
        <c:ser>
          <c:idx val="1"/>
          <c:order val="0"/>
          <c:tx>
            <c:strRef>
              <c:f>'I-Project Contingency'!$C$41:$D$41</c:f>
              <c:strCache>
                <c:ptCount val="1"/>
                <c:pt idx="0">
                  <c:v>Base Schedule Duration</c:v>
                </c:pt>
              </c:strCache>
            </c:strRef>
          </c:tx>
          <c:spPr>
            <a:solidFill>
              <a:schemeClr val="accent6">
                <a:lumMod val="50000"/>
                <a:alpha val="75000"/>
              </a:schemeClr>
            </a:solidFill>
            <a:ln>
              <a:solidFill>
                <a:schemeClr val="tx1"/>
              </a:solidFill>
            </a:ln>
            <a:effectLst>
              <a:glow rad="63500">
                <a:schemeClr val="accent3">
                  <a:alpha val="25000"/>
                </a:schemeClr>
              </a:glow>
            </a:effectLst>
          </c:spPr>
          <c:invertIfNegative val="0"/>
          <c:cat>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cat>
          <c:val>
            <c:numRef>
              <c:f>'I-Project Contingency'!$G$44:$G$54</c:f>
              <c:numCache>
                <c:formatCode>#,##0.0\ "MO"</c:formatCode>
                <c:ptCount val="11"/>
                <c:pt idx="0">
                  <c:v>12</c:v>
                </c:pt>
                <c:pt idx="1">
                  <c:v>12</c:v>
                </c:pt>
                <c:pt idx="2">
                  <c:v>12</c:v>
                </c:pt>
                <c:pt idx="3">
                  <c:v>12</c:v>
                </c:pt>
                <c:pt idx="4">
                  <c:v>12</c:v>
                </c:pt>
                <c:pt idx="5">
                  <c:v>12</c:v>
                </c:pt>
                <c:pt idx="6">
                  <c:v>12</c:v>
                </c:pt>
                <c:pt idx="7">
                  <c:v>12</c:v>
                </c:pt>
                <c:pt idx="8">
                  <c:v>12</c:v>
                </c:pt>
                <c:pt idx="9">
                  <c:v>12</c:v>
                </c:pt>
                <c:pt idx="10">
                  <c:v>12</c:v>
                </c:pt>
              </c:numCache>
            </c:numRef>
          </c:val>
          <c:extLst>
            <c:ext xmlns:c16="http://schemas.microsoft.com/office/drawing/2014/chart" uri="{C3380CC4-5D6E-409C-BE32-E72D297353CC}">
              <c16:uniqueId val="{00000000-B276-40E4-99F2-EDED0CF8A98A}"/>
            </c:ext>
          </c:extLst>
        </c:ser>
        <c:ser>
          <c:idx val="0"/>
          <c:order val="1"/>
          <c:tx>
            <c:v>Contingency</c:v>
          </c:tx>
          <c:spPr>
            <a:solidFill>
              <a:srgbClr val="FF0000">
                <a:alpha val="75000"/>
              </a:srgbClr>
            </a:solidFill>
            <a:ln>
              <a:solidFill>
                <a:schemeClr val="tx1"/>
              </a:solidFill>
            </a:ln>
            <a:effectLst>
              <a:glow rad="63500">
                <a:schemeClr val="accent3">
                  <a:alpha val="25000"/>
                </a:schemeClr>
              </a:glow>
            </a:effectLst>
          </c:spPr>
          <c:invertIfNegative val="0"/>
          <c:dPt>
            <c:idx val="16"/>
            <c:invertIfNegative val="0"/>
            <c:bubble3D val="0"/>
            <c:extLst>
              <c:ext xmlns:c16="http://schemas.microsoft.com/office/drawing/2014/chart" uri="{C3380CC4-5D6E-409C-BE32-E72D297353CC}">
                <c16:uniqueId val="{00000001-B276-40E4-99F2-EDED0CF8A98A}"/>
              </c:ext>
            </c:extLst>
          </c:dPt>
          <c:dLbls>
            <c:numFmt formatCode="0.0\ &quot;MO&quot;" sourceLinked="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cat>
          <c:val>
            <c:numRef>
              <c:f>'I-Project Contingency'!$D$44:$D$54</c:f>
              <c:numCache>
                <c:formatCode>0.0\ "Months"</c:formatCode>
                <c:ptCount val="11"/>
                <c:pt idx="0">
                  <c:v>-1.08</c:v>
                </c:pt>
                <c:pt idx="1">
                  <c:v>0.12</c:v>
                </c:pt>
                <c:pt idx="2">
                  <c:v>0.83999999999999986</c:v>
                </c:pt>
                <c:pt idx="3">
                  <c:v>1.56</c:v>
                </c:pt>
                <c:pt idx="4">
                  <c:v>2.2800000000000002</c:v>
                </c:pt>
                <c:pt idx="5">
                  <c:v>3</c:v>
                </c:pt>
                <c:pt idx="6">
                  <c:v>3.84</c:v>
                </c:pt>
                <c:pt idx="7">
                  <c:v>4.92</c:v>
                </c:pt>
                <c:pt idx="8">
                  <c:v>6.12</c:v>
                </c:pt>
                <c:pt idx="9">
                  <c:v>7.68</c:v>
                </c:pt>
                <c:pt idx="10">
                  <c:v>11.16</c:v>
                </c:pt>
              </c:numCache>
            </c:numRef>
          </c:val>
          <c:extLst>
            <c:ext xmlns:c16="http://schemas.microsoft.com/office/drawing/2014/chart" uri="{C3380CC4-5D6E-409C-BE32-E72D297353CC}">
              <c16:uniqueId val="{00000002-B276-40E4-99F2-EDED0CF8A98A}"/>
            </c:ext>
          </c:extLst>
        </c:ser>
        <c:dLbls>
          <c:showLegendKey val="0"/>
          <c:showVal val="0"/>
          <c:showCatName val="0"/>
          <c:showSerName val="0"/>
          <c:showPercent val="0"/>
          <c:showBubbleSize val="0"/>
        </c:dLbls>
        <c:gapWidth val="150"/>
        <c:overlap val="100"/>
        <c:axId val="771890336"/>
        <c:axId val="771891120"/>
      </c:barChart>
      <c:catAx>
        <c:axId val="771890336"/>
        <c:scaling>
          <c:orientation val="minMax"/>
        </c:scaling>
        <c:delete val="0"/>
        <c:axPos val="t"/>
        <c:title>
          <c:tx>
            <c:rich>
              <a:bodyPr rot="0" spcFirstLastPara="1" vertOverflow="ellipsis" vert="horz" wrap="square" anchor="ctr" anchorCtr="1"/>
              <a:lstStyle/>
              <a:p>
                <a:pPr>
                  <a:defRPr sz="1100" b="1" i="0" u="none" strike="noStrike" kern="1200" cap="all" baseline="0">
                    <a:solidFill>
                      <a:schemeClr val="lt1">
                        <a:lumMod val="85000"/>
                      </a:schemeClr>
                    </a:solidFill>
                    <a:latin typeface="+mn-lt"/>
                    <a:ea typeface="+mn-ea"/>
                    <a:cs typeface="+mn-cs"/>
                  </a:defRPr>
                </a:pPr>
                <a:r>
                  <a:rPr lang="en-US" sz="1100"/>
                  <a:t>Confidence Levels</a:t>
                </a:r>
              </a:p>
            </c:rich>
          </c:tx>
          <c:layout>
            <c:manualLayout>
              <c:xMode val="edge"/>
              <c:yMode val="edge"/>
              <c:x val="0.50161290693926419"/>
              <c:y val="0.88292935258092731"/>
            </c:manualLayout>
          </c:layout>
          <c:overlay val="0"/>
          <c:spPr>
            <a:noFill/>
            <a:ln>
              <a:noFill/>
            </a:ln>
            <a:effectLst/>
          </c:spPr>
          <c:txPr>
            <a:bodyPr rot="0" spcFirstLastPara="1" vertOverflow="ellipsis" vert="horz" wrap="square" anchor="ctr" anchorCtr="1"/>
            <a:lstStyle/>
            <a:p>
              <a:pPr>
                <a:defRPr sz="1100" b="1" i="0" u="none" strike="noStrike" kern="1200" cap="all" baseline="0">
                  <a:solidFill>
                    <a:schemeClr val="lt1">
                      <a:lumMod val="85000"/>
                    </a:schemeClr>
                  </a:solidFill>
                  <a:latin typeface="+mn-lt"/>
                  <a:ea typeface="+mn-ea"/>
                  <a:cs typeface="+mn-cs"/>
                </a:defRPr>
              </a:pPr>
              <a:endParaRPr lang="en-US"/>
            </a:p>
          </c:txPr>
        </c:title>
        <c:numFmt formatCode="0%" sourceLinked="1"/>
        <c:majorTickMark val="none"/>
        <c:minorTickMark val="none"/>
        <c:tickLblPos val="nextTo"/>
        <c:spPr>
          <a:noFill/>
          <a:ln w="12700" cap="flat" cmpd="sng" algn="ctr">
            <a:solidFill>
              <a:schemeClr val="lt1">
                <a:lumMod val="95000"/>
                <a:alpha val="54000"/>
              </a:schemeClr>
            </a:solidFill>
            <a:round/>
          </a:ln>
          <a:effectLst/>
        </c:spPr>
        <c:txPr>
          <a:bodyPr rot="-5400000" spcFirstLastPara="1" vertOverflow="ellipsis" wrap="square" anchor="ctr" anchorCtr="1"/>
          <a:lstStyle/>
          <a:p>
            <a:pPr>
              <a:defRPr sz="1000" b="1" i="0" u="none" strike="noStrike" kern="1200" baseline="0">
                <a:solidFill>
                  <a:schemeClr val="lt1">
                    <a:lumMod val="85000"/>
                  </a:schemeClr>
                </a:solidFill>
                <a:latin typeface="+mn-lt"/>
                <a:ea typeface="+mn-ea"/>
                <a:cs typeface="+mn-cs"/>
              </a:defRPr>
            </a:pPr>
            <a:endParaRPr lang="en-US"/>
          </a:p>
        </c:txPr>
        <c:crossAx val="771891120"/>
        <c:crosses val="max"/>
        <c:auto val="1"/>
        <c:lblAlgn val="ctr"/>
        <c:lblOffset val="100"/>
        <c:tickLblSkip val="1"/>
        <c:tickMarkSkip val="1"/>
        <c:noMultiLvlLbl val="0"/>
      </c:catAx>
      <c:valAx>
        <c:axId val="771891120"/>
        <c:scaling>
          <c:orientation val="minMax"/>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1100" b="1" i="0" u="none" strike="noStrike" kern="1200" cap="all" baseline="0">
                    <a:solidFill>
                      <a:schemeClr val="lt1">
                        <a:lumMod val="85000"/>
                      </a:schemeClr>
                    </a:solidFill>
                    <a:latin typeface="+mn-lt"/>
                    <a:ea typeface="+mn-ea"/>
                    <a:cs typeface="+mn-cs"/>
                  </a:defRPr>
                </a:pPr>
                <a:r>
                  <a:rPr lang="en-US" sz="1100"/>
                  <a:t>SCHEDULE</a:t>
                </a:r>
              </a:p>
            </c:rich>
          </c:tx>
          <c:layout>
            <c:manualLayout>
              <c:xMode val="edge"/>
              <c:yMode val="edge"/>
              <c:x val="2.8933005082079983E-2"/>
              <c:y val="0.49939008538804641"/>
            </c:manualLayout>
          </c:layout>
          <c:overlay val="0"/>
          <c:spPr>
            <a:noFill/>
            <a:ln>
              <a:noFill/>
            </a:ln>
            <a:effectLst/>
          </c:spPr>
          <c:txPr>
            <a:bodyPr rot="-5400000" spcFirstLastPara="1" vertOverflow="ellipsis" vert="horz" wrap="square" anchor="ctr" anchorCtr="1"/>
            <a:lstStyle/>
            <a:p>
              <a:pPr>
                <a:defRPr sz="1100" b="1" i="0" u="none" strike="noStrike" kern="1200" cap="all" baseline="0">
                  <a:solidFill>
                    <a:schemeClr val="lt1">
                      <a:lumMod val="85000"/>
                    </a:schemeClr>
                  </a:solidFill>
                  <a:latin typeface="+mn-lt"/>
                  <a:ea typeface="+mn-ea"/>
                  <a:cs typeface="+mn-cs"/>
                </a:defRPr>
              </a:pPr>
              <a:endParaRPr lang="en-US"/>
            </a:p>
          </c:txPr>
        </c:title>
        <c:numFmt formatCode="#,##0\ &quot;MO&quot;" sourceLinked="0"/>
        <c:majorTickMark val="none"/>
        <c:minorTickMark val="none"/>
        <c:tickLblPos val="nextTo"/>
        <c:spPr>
          <a:noFill/>
          <a:ln>
            <a:noFill/>
          </a:ln>
          <a:effectLst/>
        </c:spPr>
        <c:txPr>
          <a:bodyPr rot="0" spcFirstLastPara="1" vertOverflow="ellipsis" wrap="square" anchor="ctr" anchorCtr="1"/>
          <a:lstStyle/>
          <a:p>
            <a:pPr>
              <a:defRPr sz="1000" b="1" i="0" u="none" strike="noStrike" kern="1200" baseline="0">
                <a:solidFill>
                  <a:schemeClr val="lt1">
                    <a:lumMod val="85000"/>
                  </a:schemeClr>
                </a:solidFill>
                <a:latin typeface="+mn-lt"/>
                <a:ea typeface="+mn-ea"/>
                <a:cs typeface="+mn-cs"/>
              </a:defRPr>
            </a:pPr>
            <a:endParaRPr lang="en-US"/>
          </a:p>
        </c:txPr>
        <c:crossAx val="771890336"/>
        <c:crosses val="autoZero"/>
        <c:crossBetween val="between"/>
      </c:valAx>
      <c:spPr>
        <a:noFill/>
        <a:ln>
          <a:noFill/>
        </a:ln>
        <a:effectLst/>
      </c:spPr>
    </c:plotArea>
    <c:legend>
      <c:legendPos val="b"/>
      <c:layout>
        <c:manualLayout>
          <c:xMode val="edge"/>
          <c:yMode val="edge"/>
          <c:x val="0.37451191038233683"/>
          <c:y val="0.94013642899404382"/>
          <c:w val="0.40594695399917119"/>
          <c:h val="5.9863571005956184E-2"/>
        </c:manualLayout>
      </c:layout>
      <c:overlay val="0"/>
      <c:spPr>
        <a:noFill/>
        <a:ln>
          <a:noFill/>
        </a:ln>
        <a:effectLst/>
      </c:spPr>
      <c:txPr>
        <a:bodyPr rot="0" spcFirstLastPara="1" vertOverflow="ellipsis" vert="horz" wrap="square" anchor="ctr" anchorCtr="1"/>
        <a:lstStyle/>
        <a:p>
          <a:pPr>
            <a:defRPr sz="1100" b="1"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a:outerShdw blurRad="50800" dist="38100" algn="l" rotWithShape="0">
        <a:prstClr val="black">
          <a:alpha val="40000"/>
        </a:prstClr>
      </a:outerShdw>
    </a:effectLst>
  </c:spPr>
  <c:txPr>
    <a:bodyPr/>
    <a:lstStyle/>
    <a:p>
      <a:pPr>
        <a:defRPr/>
      </a:pPr>
      <a:endParaRPr lang="en-US"/>
    </a:p>
  </c:txPr>
  <c:printSettings>
    <c:headerFooter alignWithMargins="0"/>
    <c:pageMargins b="1" l="0.75000000000001465" r="0.75000000000001465" t="1" header="0.5" footer="0.5"/>
    <c:pageSetup orientation="landscape" verticalDpi="4"/>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mn-lt"/>
                <a:ea typeface="Arial"/>
                <a:cs typeface="Arial"/>
              </a:defRPr>
            </a:pPr>
            <a:r>
              <a:rPr lang="en-US" sz="1400">
                <a:latin typeface="+mn-lt"/>
              </a:rPr>
              <a:t>Schedule Contingency</a:t>
            </a:r>
            <a:endParaRPr lang="en-US" sz="1400" baseline="0">
              <a:latin typeface="+mn-lt"/>
            </a:endParaRPr>
          </a:p>
        </c:rich>
      </c:tx>
      <c:layout>
        <c:manualLayout>
          <c:xMode val="edge"/>
          <c:yMode val="edge"/>
          <c:x val="0.37625468691413572"/>
          <c:y val="2.4803149606299209E-2"/>
        </c:manualLayout>
      </c:layout>
      <c:overlay val="0"/>
      <c:spPr>
        <a:noFill/>
        <a:ln w="25400">
          <a:noFill/>
        </a:ln>
      </c:spPr>
    </c:title>
    <c:autoTitleDeleted val="0"/>
    <c:plotArea>
      <c:layout>
        <c:manualLayout>
          <c:layoutTarget val="inner"/>
          <c:xMode val="edge"/>
          <c:yMode val="edge"/>
          <c:x val="0.18376446029603671"/>
          <c:y val="0.23468597675290589"/>
          <c:w val="0.79789724849881216"/>
          <c:h val="0.63204005749281345"/>
        </c:manualLayout>
      </c:layout>
      <c:lineChart>
        <c:grouping val="standard"/>
        <c:varyColors val="0"/>
        <c:ser>
          <c:idx val="1"/>
          <c:order val="0"/>
          <c:tx>
            <c:strRef>
              <c:f>'I-Project Contingency'!$C$41</c:f>
              <c:strCache>
                <c:ptCount val="1"/>
                <c:pt idx="0">
                  <c:v>Base Schedule Duration</c:v>
                </c:pt>
              </c:strCache>
            </c:strRef>
          </c:tx>
          <c:spPr>
            <a:ln w="38100">
              <a:solidFill>
                <a:schemeClr val="tx1"/>
              </a:solidFill>
              <a:prstDash val="solid"/>
            </a:ln>
            <a:effectLst>
              <a:outerShdw blurRad="50800" dist="38100" dir="2700000" algn="tl" rotWithShape="0">
                <a:prstClr val="black">
                  <a:alpha val="40000"/>
                </a:prstClr>
              </a:outerShdw>
            </a:effectLst>
          </c:spPr>
          <c:marker>
            <c:symbol val="none"/>
          </c:marker>
          <c:dPt>
            <c:idx val="16"/>
            <c:bubble3D val="0"/>
            <c:spPr>
              <a:ln w="38100">
                <a:solidFill>
                  <a:schemeClr val="tx1"/>
                </a:solidFill>
                <a:prstDash val="solid"/>
              </a:ln>
              <a:effectLst>
                <a:outerShdw blurRad="50800" dist="38100" dir="2700000" algn="tl" rotWithShape="0">
                  <a:prstClr val="black">
                    <a:alpha val="40000"/>
                  </a:prstClr>
                </a:outerShdw>
              </a:effectLst>
            </c:spPr>
            <c:extLst>
              <c:ext xmlns:c16="http://schemas.microsoft.com/office/drawing/2014/chart" uri="{C3380CC4-5D6E-409C-BE32-E72D297353CC}">
                <c16:uniqueId val="{00000001-338C-48BE-A7D0-C3E70C65AC57}"/>
              </c:ext>
            </c:extLst>
          </c:dPt>
          <c:cat>
            <c:numRef>
              <c:f>'I-Project Contingency'!$C$44:$C$54</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cat>
          <c:val>
            <c:numRef>
              <c:f>'I-Project Contingency'!$G$44:$G$54</c:f>
              <c:numCache>
                <c:formatCode>#,##0.0\ "MO"</c:formatCode>
                <c:ptCount val="11"/>
                <c:pt idx="0">
                  <c:v>12</c:v>
                </c:pt>
                <c:pt idx="1">
                  <c:v>12</c:v>
                </c:pt>
                <c:pt idx="2">
                  <c:v>12</c:v>
                </c:pt>
                <c:pt idx="3">
                  <c:v>12</c:v>
                </c:pt>
                <c:pt idx="4">
                  <c:v>12</c:v>
                </c:pt>
                <c:pt idx="5">
                  <c:v>12</c:v>
                </c:pt>
                <c:pt idx="6">
                  <c:v>12</c:v>
                </c:pt>
                <c:pt idx="7">
                  <c:v>12</c:v>
                </c:pt>
                <c:pt idx="8">
                  <c:v>12</c:v>
                </c:pt>
                <c:pt idx="9">
                  <c:v>12</c:v>
                </c:pt>
                <c:pt idx="10">
                  <c:v>12</c:v>
                </c:pt>
              </c:numCache>
            </c:numRef>
          </c:val>
          <c:smooth val="0"/>
          <c:extLst>
            <c:ext xmlns:c16="http://schemas.microsoft.com/office/drawing/2014/chart" uri="{C3380CC4-5D6E-409C-BE32-E72D297353CC}">
              <c16:uniqueId val="{00000002-338C-48BE-A7D0-C3E70C65AC57}"/>
            </c:ext>
          </c:extLst>
        </c:ser>
        <c:ser>
          <c:idx val="0"/>
          <c:order val="1"/>
          <c:tx>
            <c:v>Contingency</c:v>
          </c:tx>
          <c:spPr>
            <a:ln w="28575"/>
            <a:effectLst>
              <a:outerShdw blurRad="50800" dist="38100" dir="2700000" algn="tl" rotWithShape="0">
                <a:prstClr val="black">
                  <a:alpha val="40000"/>
                </a:prstClr>
              </a:outerShdw>
            </a:effectLst>
          </c:spPr>
          <c:marker>
            <c:symbol val="none"/>
          </c:marker>
          <c:dPt>
            <c:idx val="8"/>
            <c:bubble3D val="0"/>
            <c:spPr>
              <a:ln w="28575"/>
              <a:effectLst>
                <a:outerShdw blurRad="50800" dist="38100" dir="18900000" algn="bl" rotWithShape="0">
                  <a:schemeClr val="accent2">
                    <a:lumMod val="50000"/>
                    <a:alpha val="40000"/>
                  </a:schemeClr>
                </a:outerShdw>
              </a:effectLst>
            </c:spPr>
            <c:extLst>
              <c:ext xmlns:c16="http://schemas.microsoft.com/office/drawing/2014/chart" uri="{C3380CC4-5D6E-409C-BE32-E72D297353CC}">
                <c16:uniqueId val="{00000004-338C-48BE-A7D0-C3E70C65AC57}"/>
              </c:ext>
            </c:extLst>
          </c:dPt>
          <c:dPt>
            <c:idx val="16"/>
            <c:bubble3D val="0"/>
            <c:extLst>
              <c:ext xmlns:c16="http://schemas.microsoft.com/office/drawing/2014/chart" uri="{C3380CC4-5D6E-409C-BE32-E72D297353CC}">
                <c16:uniqueId val="{00000005-338C-48BE-A7D0-C3E70C65AC57}"/>
              </c:ext>
            </c:extLst>
          </c:dPt>
          <c:dLbls>
            <c:dLbl>
              <c:idx val="0"/>
              <c:tx>
                <c:rich>
                  <a:bodyPr/>
                  <a:lstStyle/>
                  <a:p>
                    <a:fld id="{1E4B430A-3B94-44E5-BEBD-415FA6460E29}"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338C-48BE-A7D0-C3E70C65AC57}"/>
                </c:ext>
              </c:extLst>
            </c:dLbl>
            <c:dLbl>
              <c:idx val="1"/>
              <c:tx>
                <c:rich>
                  <a:bodyPr/>
                  <a:lstStyle/>
                  <a:p>
                    <a:fld id="{D1A258C5-5E88-4936-915D-06DCBA2C4C48}"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338C-48BE-A7D0-C3E70C65AC57}"/>
                </c:ext>
              </c:extLst>
            </c:dLbl>
            <c:dLbl>
              <c:idx val="2"/>
              <c:tx>
                <c:rich>
                  <a:bodyPr/>
                  <a:lstStyle/>
                  <a:p>
                    <a:fld id="{C5E912BD-E8F1-4A96-A54F-E54DE68F9D82}"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338C-48BE-A7D0-C3E70C65AC57}"/>
                </c:ext>
              </c:extLst>
            </c:dLbl>
            <c:dLbl>
              <c:idx val="3"/>
              <c:tx>
                <c:rich>
                  <a:bodyPr/>
                  <a:lstStyle/>
                  <a:p>
                    <a:fld id="{6421C87D-139D-4D7E-9ED3-B076AB402CC0}"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338C-48BE-A7D0-C3E70C65AC57}"/>
                </c:ext>
              </c:extLst>
            </c:dLbl>
            <c:dLbl>
              <c:idx val="4"/>
              <c:tx>
                <c:rich>
                  <a:bodyPr/>
                  <a:lstStyle/>
                  <a:p>
                    <a:fld id="{2C288A17-F07C-48B0-BCF8-DFBE34402C0B}"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338C-48BE-A7D0-C3E70C65AC57}"/>
                </c:ext>
              </c:extLst>
            </c:dLbl>
            <c:dLbl>
              <c:idx val="5"/>
              <c:tx>
                <c:rich>
                  <a:bodyPr/>
                  <a:lstStyle/>
                  <a:p>
                    <a:fld id="{88713096-F404-43F3-BEE4-D40F52EF6477}"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338C-48BE-A7D0-C3E70C65AC57}"/>
                </c:ext>
              </c:extLst>
            </c:dLbl>
            <c:dLbl>
              <c:idx val="6"/>
              <c:tx>
                <c:rich>
                  <a:bodyPr/>
                  <a:lstStyle/>
                  <a:p>
                    <a:fld id="{B1DEC2E8-C280-4590-9256-0B7594D8FCC0}"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338C-48BE-A7D0-C3E70C65AC57}"/>
                </c:ext>
              </c:extLst>
            </c:dLbl>
            <c:dLbl>
              <c:idx val="7"/>
              <c:tx>
                <c:rich>
                  <a:bodyPr/>
                  <a:lstStyle/>
                  <a:p>
                    <a:fld id="{464C5F20-2620-467D-9620-B4DF2111A9EA}"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338C-48BE-A7D0-C3E70C65AC57}"/>
                </c:ext>
              </c:extLst>
            </c:dLbl>
            <c:dLbl>
              <c:idx val="8"/>
              <c:tx>
                <c:rich>
                  <a:bodyPr/>
                  <a:lstStyle/>
                  <a:p>
                    <a:fld id="{95510E10-E21A-4F81-9402-BBF8CACD6C6B}"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338C-48BE-A7D0-C3E70C65AC57}"/>
                </c:ext>
              </c:extLst>
            </c:dLbl>
            <c:dLbl>
              <c:idx val="9"/>
              <c:tx>
                <c:rich>
                  <a:bodyPr/>
                  <a:lstStyle/>
                  <a:p>
                    <a:fld id="{8DDF4E41-4802-4925-B3E6-E73BF80DAB27}"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338C-48BE-A7D0-C3E70C65AC57}"/>
                </c:ext>
              </c:extLst>
            </c:dLbl>
            <c:dLbl>
              <c:idx val="10"/>
              <c:tx>
                <c:rich>
                  <a:bodyPr/>
                  <a:lstStyle/>
                  <a:p>
                    <a:fld id="{E1DAE818-A66B-45AA-97F2-3A5E4335F723}"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338C-48BE-A7D0-C3E70C65AC57}"/>
                </c:ext>
              </c:extLst>
            </c:dLbl>
            <c:spPr>
              <a:noFill/>
              <a:ln>
                <a:noFill/>
              </a:ln>
              <a:effectLst/>
            </c:spPr>
            <c:txPr>
              <a:bodyPr wrap="square" lIns="38100" tIns="19050" rIns="38100" bIns="19050" anchor="ctr">
                <a:spAutoFit/>
              </a:bodyPr>
              <a:lstStyle/>
              <a:p>
                <a:pPr>
                  <a:defRPr sz="900" b="1">
                    <a:latin typeface="+mn-lt"/>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numRef>
              <c:f>'I-Project Contingency'!$C$44:$C$54</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cat>
          <c:val>
            <c:numRef>
              <c:f>'I-Project Contingency'!$F$44:$F$54</c:f>
              <c:numCache>
                <c:formatCode>0.0\ "Months"</c:formatCode>
                <c:ptCount val="11"/>
                <c:pt idx="0">
                  <c:v>10.92</c:v>
                </c:pt>
                <c:pt idx="1">
                  <c:v>12.12</c:v>
                </c:pt>
                <c:pt idx="2">
                  <c:v>12.84</c:v>
                </c:pt>
                <c:pt idx="3">
                  <c:v>13.56</c:v>
                </c:pt>
                <c:pt idx="4">
                  <c:v>14.280000000000001</c:v>
                </c:pt>
                <c:pt idx="5">
                  <c:v>15</c:v>
                </c:pt>
                <c:pt idx="6">
                  <c:v>15.84</c:v>
                </c:pt>
                <c:pt idx="7">
                  <c:v>16.920000000000002</c:v>
                </c:pt>
                <c:pt idx="8">
                  <c:v>18.12</c:v>
                </c:pt>
                <c:pt idx="9">
                  <c:v>19.68</c:v>
                </c:pt>
                <c:pt idx="10">
                  <c:v>23.16</c:v>
                </c:pt>
              </c:numCache>
            </c:numRef>
          </c:val>
          <c:smooth val="0"/>
          <c:extLst>
            <c:ext xmlns:c15="http://schemas.microsoft.com/office/drawing/2012/chart" uri="{02D57815-91ED-43cb-92C2-25804820EDAC}">
              <c15:datalabelsRange>
                <c15:f>'I-Project Contingency'!$E$44:$E$54</c15:f>
                <c15:dlblRangeCache>
                  <c:ptCount val="11"/>
                  <c:pt idx="0">
                    <c:v>-9%</c:v>
                  </c:pt>
                  <c:pt idx="1">
                    <c:v>1%</c:v>
                  </c:pt>
                  <c:pt idx="2">
                    <c:v>7%</c:v>
                  </c:pt>
                  <c:pt idx="3">
                    <c:v>13%</c:v>
                  </c:pt>
                  <c:pt idx="4">
                    <c:v>19%</c:v>
                  </c:pt>
                  <c:pt idx="5">
                    <c:v>25%</c:v>
                  </c:pt>
                  <c:pt idx="6">
                    <c:v>32%</c:v>
                  </c:pt>
                  <c:pt idx="7">
                    <c:v>41%</c:v>
                  </c:pt>
                  <c:pt idx="8">
                    <c:v>51%</c:v>
                  </c:pt>
                  <c:pt idx="9">
                    <c:v>64%</c:v>
                  </c:pt>
                  <c:pt idx="10">
                    <c:v>93%</c:v>
                  </c:pt>
                </c15:dlblRangeCache>
              </c15:datalabelsRange>
            </c:ext>
            <c:ext xmlns:c16="http://schemas.microsoft.com/office/drawing/2014/chart" uri="{C3380CC4-5D6E-409C-BE32-E72D297353CC}">
              <c16:uniqueId val="{00000010-338C-48BE-A7D0-C3E70C65AC57}"/>
            </c:ext>
          </c:extLst>
        </c:ser>
        <c:dLbls>
          <c:showLegendKey val="0"/>
          <c:showVal val="0"/>
          <c:showCatName val="0"/>
          <c:showSerName val="0"/>
          <c:showPercent val="0"/>
          <c:showBubbleSize val="0"/>
        </c:dLbls>
        <c:smooth val="0"/>
        <c:axId val="771882888"/>
        <c:axId val="771884848"/>
      </c:lineChart>
      <c:catAx>
        <c:axId val="771882888"/>
        <c:scaling>
          <c:orientation val="minMax"/>
        </c:scaling>
        <c:delete val="0"/>
        <c:axPos val="b"/>
        <c:majorGridlines>
          <c:spPr>
            <a:ln w="3175">
              <a:solidFill>
                <a:srgbClr val="808080"/>
              </a:solidFill>
              <a:prstDash val="solid"/>
            </a:ln>
          </c:spPr>
        </c:majorGridlines>
        <c:title>
          <c:tx>
            <c:rich>
              <a:bodyPr/>
              <a:lstStyle/>
              <a:p>
                <a:pPr>
                  <a:defRPr sz="1100" b="1">
                    <a:latin typeface="+mn-lt"/>
                  </a:defRPr>
                </a:pPr>
                <a:r>
                  <a:rPr lang="en-US" sz="1100" b="1">
                    <a:latin typeface="+mn-lt"/>
                  </a:rPr>
                  <a:t>Confidence Levels</a:t>
                </a:r>
              </a:p>
            </c:rich>
          </c:tx>
          <c:layout>
            <c:manualLayout>
              <c:xMode val="edge"/>
              <c:yMode val="edge"/>
              <c:x val="0.48349784401949758"/>
              <c:y val="0.89103155074365703"/>
            </c:manualLayout>
          </c:layout>
          <c:overlay val="0"/>
        </c:title>
        <c:numFmt formatCode="0%" sourceLinked="1"/>
        <c:majorTickMark val="out"/>
        <c:minorTickMark val="none"/>
        <c:tickLblPos val="high"/>
        <c:spPr>
          <a:solidFill>
            <a:sysClr val="window" lastClr="FFFFFF"/>
          </a:solidFill>
          <a:ln w="3175">
            <a:solidFill>
              <a:sysClr val="windowText" lastClr="000000"/>
            </a:solidFill>
            <a:prstDash val="solid"/>
          </a:ln>
          <a:effectLst/>
        </c:spPr>
        <c:txPr>
          <a:bodyPr rot="-5400000" vert="horz"/>
          <a:lstStyle/>
          <a:p>
            <a:pPr>
              <a:defRPr sz="1050" b="1" i="0" u="none" strike="noStrike" baseline="0">
                <a:ln>
                  <a:noFill/>
                </a:ln>
                <a:solidFill>
                  <a:sysClr val="windowText" lastClr="000000"/>
                </a:solidFill>
                <a:latin typeface="+mn-lt"/>
                <a:ea typeface="Arial"/>
                <a:cs typeface="Arial"/>
              </a:defRPr>
            </a:pPr>
            <a:endParaRPr lang="en-US"/>
          </a:p>
        </c:txPr>
        <c:crossAx val="771884848"/>
        <c:crosses val="autoZero"/>
        <c:auto val="1"/>
        <c:lblAlgn val="ctr"/>
        <c:lblOffset val="100"/>
        <c:noMultiLvlLbl val="0"/>
      </c:catAx>
      <c:valAx>
        <c:axId val="771884848"/>
        <c:scaling>
          <c:orientation val="minMax"/>
        </c:scaling>
        <c:delete val="0"/>
        <c:axPos val="l"/>
        <c:majorGridlines/>
        <c:title>
          <c:tx>
            <c:rich>
              <a:bodyPr/>
              <a:lstStyle/>
              <a:p>
                <a:pPr>
                  <a:defRPr sz="1100" b="1" i="0" u="none" strike="noStrike" baseline="0">
                    <a:solidFill>
                      <a:srgbClr val="000000"/>
                    </a:solidFill>
                    <a:latin typeface="+mn-lt"/>
                    <a:ea typeface="Arial"/>
                    <a:cs typeface="Arial"/>
                  </a:defRPr>
                </a:pPr>
                <a:r>
                  <a:rPr lang="en-US" sz="1100">
                    <a:latin typeface="+mn-lt"/>
                  </a:rPr>
                  <a:t>Schedule</a:t>
                </a:r>
              </a:p>
            </c:rich>
          </c:tx>
          <c:layout>
            <c:manualLayout>
              <c:xMode val="edge"/>
              <c:yMode val="edge"/>
              <c:x val="2.8933057376638493E-2"/>
              <c:y val="0.465070669904602"/>
            </c:manualLayout>
          </c:layout>
          <c:overlay val="0"/>
          <c:spPr>
            <a:noFill/>
            <a:ln w="25400">
              <a:noFill/>
            </a:ln>
          </c:spPr>
        </c:title>
        <c:numFmt formatCode="0\ &quot;Months&quot;" sourceLinked="0"/>
        <c:majorTickMark val="out"/>
        <c:minorTickMark val="none"/>
        <c:tickLblPos val="nextTo"/>
        <c:spPr>
          <a:ln w="3175">
            <a:solidFill>
              <a:srgbClr val="000000"/>
            </a:solidFill>
            <a:prstDash val="solid"/>
          </a:ln>
        </c:spPr>
        <c:txPr>
          <a:bodyPr rot="0" vert="horz"/>
          <a:lstStyle/>
          <a:p>
            <a:pPr>
              <a:defRPr sz="1100" b="1" i="0" u="none" strike="noStrike" baseline="0">
                <a:solidFill>
                  <a:srgbClr val="000000"/>
                </a:solidFill>
                <a:latin typeface="+mn-lt"/>
                <a:ea typeface="Arial"/>
                <a:cs typeface="Arial"/>
              </a:defRPr>
            </a:pPr>
            <a:endParaRPr lang="en-US"/>
          </a:p>
        </c:txPr>
        <c:crossAx val="771882888"/>
        <c:crosses val="autoZero"/>
        <c:crossBetween val="between"/>
      </c:valAx>
      <c:spPr>
        <a:noFill/>
        <a:ln w="12700">
          <a:solidFill>
            <a:srgbClr val="808080"/>
          </a:solidFill>
          <a:prstDash val="solid"/>
        </a:ln>
      </c:spPr>
    </c:plotArea>
    <c:legend>
      <c:legendPos val="r"/>
      <c:layout>
        <c:manualLayout>
          <c:xMode val="edge"/>
          <c:yMode val="edge"/>
          <c:x val="0.71247778459977873"/>
          <c:y val="0.87850693329206142"/>
          <c:w val="0.25407830271216097"/>
          <c:h val="0.11076060804899387"/>
        </c:manualLayout>
      </c:layout>
      <c:overlay val="0"/>
      <c:txPr>
        <a:bodyPr/>
        <a:lstStyle/>
        <a:p>
          <a:pPr>
            <a:defRPr sz="1000" b="1">
              <a:latin typeface="+mn-lt"/>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57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verticalDpi="4"/>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400" b="1" i="0" u="none" strike="noStrike" baseline="0">
                <a:solidFill>
                  <a:srgbClr val="000000"/>
                </a:solidFill>
                <a:latin typeface="+mn-lt"/>
                <a:ea typeface="Arial"/>
                <a:cs typeface="Arial"/>
              </a:defRPr>
            </a:pPr>
            <a:r>
              <a:rPr lang="en-US" sz="1400">
                <a:latin typeface="+mn-lt"/>
              </a:rPr>
              <a:t>Cost Contingency </a:t>
            </a:r>
          </a:p>
        </c:rich>
      </c:tx>
      <c:layout>
        <c:manualLayout>
          <c:xMode val="edge"/>
          <c:yMode val="edge"/>
          <c:x val="0.41084543126834738"/>
          <c:y val="2.9906534176537467E-2"/>
        </c:manualLayout>
      </c:layout>
      <c:overlay val="0"/>
      <c:spPr>
        <a:noFill/>
        <a:ln w="25400">
          <a:noFill/>
        </a:ln>
      </c:spPr>
    </c:title>
    <c:autoTitleDeleted val="0"/>
    <c:plotArea>
      <c:layout>
        <c:manualLayout>
          <c:layoutTarget val="inner"/>
          <c:xMode val="edge"/>
          <c:yMode val="edge"/>
          <c:x val="0.18123578302712162"/>
          <c:y val="0.24659073865766779"/>
          <c:w val="0.8054017206182561"/>
          <c:h val="0.62013529558805147"/>
        </c:manualLayout>
      </c:layout>
      <c:lineChart>
        <c:grouping val="standard"/>
        <c:varyColors val="0"/>
        <c:ser>
          <c:idx val="1"/>
          <c:order val="0"/>
          <c:tx>
            <c:strRef>
              <c:f>'I-Project Contingency'!$C$20</c:f>
              <c:strCache>
                <c:ptCount val="1"/>
                <c:pt idx="0">
                  <c:v>Base Estimate</c:v>
                </c:pt>
              </c:strCache>
            </c:strRef>
          </c:tx>
          <c:spPr>
            <a:ln w="38100">
              <a:solidFill>
                <a:schemeClr val="tx1"/>
              </a:solidFill>
              <a:prstDash val="solid"/>
            </a:ln>
            <a:effectLst>
              <a:outerShdw blurRad="50800" dist="38100" dir="2700000" algn="tl" rotWithShape="0">
                <a:prstClr val="black">
                  <a:alpha val="40000"/>
                </a:prstClr>
              </a:outerShdw>
            </a:effectLst>
          </c:spPr>
          <c:marker>
            <c:symbol val="none"/>
          </c:marker>
          <c:cat>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cat>
          <c:val>
            <c:numRef>
              <c:f>'I-Project Contingency'!$G$23:$G$33</c:f>
              <c:numCache>
                <c:formatCode>"$"#,##0</c:formatCode>
                <c:ptCount val="11"/>
                <c:pt idx="0">
                  <c:v>7250000</c:v>
                </c:pt>
                <c:pt idx="1">
                  <c:v>7250000</c:v>
                </c:pt>
                <c:pt idx="2">
                  <c:v>7250000</c:v>
                </c:pt>
                <c:pt idx="3">
                  <c:v>7250000</c:v>
                </c:pt>
                <c:pt idx="4">
                  <c:v>7250000</c:v>
                </c:pt>
                <c:pt idx="5">
                  <c:v>7250000</c:v>
                </c:pt>
                <c:pt idx="6">
                  <c:v>7250000</c:v>
                </c:pt>
                <c:pt idx="7">
                  <c:v>7250000</c:v>
                </c:pt>
                <c:pt idx="8">
                  <c:v>7250000</c:v>
                </c:pt>
                <c:pt idx="9">
                  <c:v>7250000</c:v>
                </c:pt>
                <c:pt idx="10">
                  <c:v>7250000</c:v>
                </c:pt>
              </c:numCache>
            </c:numRef>
          </c:val>
          <c:smooth val="0"/>
          <c:extLst>
            <c:ext xmlns:c16="http://schemas.microsoft.com/office/drawing/2014/chart" uri="{C3380CC4-5D6E-409C-BE32-E72D297353CC}">
              <c16:uniqueId val="{00000000-38B0-4319-B175-5880D9DF0325}"/>
            </c:ext>
          </c:extLst>
        </c:ser>
        <c:ser>
          <c:idx val="0"/>
          <c:order val="1"/>
          <c:tx>
            <c:v>Contingency</c:v>
          </c:tx>
          <c:spPr>
            <a:effectLst>
              <a:outerShdw blurRad="50800" dist="38100" dir="2700000" algn="tl" rotWithShape="0">
                <a:prstClr val="black">
                  <a:alpha val="40000"/>
                </a:prstClr>
              </a:outerShdw>
            </a:effectLst>
          </c:spPr>
          <c:marker>
            <c:symbol val="none"/>
          </c:marker>
          <c:dPt>
            <c:idx val="8"/>
            <c:bubble3D val="0"/>
            <c:spPr>
              <a:effectLst>
                <a:outerShdw blurRad="50800" dist="38100" dir="18900000" algn="bl" rotWithShape="0">
                  <a:schemeClr val="accent2">
                    <a:lumMod val="50000"/>
                    <a:alpha val="40000"/>
                  </a:schemeClr>
                </a:outerShdw>
              </a:effectLst>
            </c:spPr>
            <c:extLst>
              <c:ext xmlns:c16="http://schemas.microsoft.com/office/drawing/2014/chart" uri="{C3380CC4-5D6E-409C-BE32-E72D297353CC}">
                <c16:uniqueId val="{00000002-38B0-4319-B175-5880D9DF0325}"/>
              </c:ext>
            </c:extLst>
          </c:dPt>
          <c:dPt>
            <c:idx val="16"/>
            <c:bubble3D val="0"/>
            <c:extLst>
              <c:ext xmlns:c16="http://schemas.microsoft.com/office/drawing/2014/chart" uri="{C3380CC4-5D6E-409C-BE32-E72D297353CC}">
                <c16:uniqueId val="{00000003-38B0-4319-B175-5880D9DF0325}"/>
              </c:ext>
            </c:extLst>
          </c:dPt>
          <c:dLbls>
            <c:dLbl>
              <c:idx val="0"/>
              <c:tx>
                <c:rich>
                  <a:bodyPr/>
                  <a:lstStyle/>
                  <a:p>
                    <a:fld id="{D27AF9C8-A31C-4085-A0B1-23D6F6A3E6EA}"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38B0-4319-B175-5880D9DF0325}"/>
                </c:ext>
              </c:extLst>
            </c:dLbl>
            <c:dLbl>
              <c:idx val="1"/>
              <c:tx>
                <c:rich>
                  <a:bodyPr/>
                  <a:lstStyle/>
                  <a:p>
                    <a:fld id="{F73BCE9E-C388-41D0-93F5-74F0EB7ECE48}"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38B0-4319-B175-5880D9DF0325}"/>
                </c:ext>
              </c:extLst>
            </c:dLbl>
            <c:dLbl>
              <c:idx val="2"/>
              <c:tx>
                <c:rich>
                  <a:bodyPr/>
                  <a:lstStyle/>
                  <a:p>
                    <a:fld id="{A93A9F7B-D4BB-4C7D-9FF3-83A4CE2897C4}"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38B0-4319-B175-5880D9DF0325}"/>
                </c:ext>
              </c:extLst>
            </c:dLbl>
            <c:dLbl>
              <c:idx val="3"/>
              <c:tx>
                <c:rich>
                  <a:bodyPr/>
                  <a:lstStyle/>
                  <a:p>
                    <a:fld id="{2F8FB792-AE23-4098-8D08-29EE4EEDB678}"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38B0-4319-B175-5880D9DF0325}"/>
                </c:ext>
              </c:extLst>
            </c:dLbl>
            <c:dLbl>
              <c:idx val="4"/>
              <c:tx>
                <c:rich>
                  <a:bodyPr/>
                  <a:lstStyle/>
                  <a:p>
                    <a:fld id="{A1997D1E-B8B6-4A2B-9003-357A474174F6}"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38B0-4319-B175-5880D9DF0325}"/>
                </c:ext>
              </c:extLst>
            </c:dLbl>
            <c:dLbl>
              <c:idx val="5"/>
              <c:tx>
                <c:rich>
                  <a:bodyPr/>
                  <a:lstStyle/>
                  <a:p>
                    <a:fld id="{D8C6399F-BE56-49C6-8634-7F938FD69F35}"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38B0-4319-B175-5880D9DF0325}"/>
                </c:ext>
              </c:extLst>
            </c:dLbl>
            <c:dLbl>
              <c:idx val="6"/>
              <c:tx>
                <c:rich>
                  <a:bodyPr/>
                  <a:lstStyle/>
                  <a:p>
                    <a:fld id="{0D4E8227-5603-4257-A1BA-10415EB3CBCD}"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38B0-4319-B175-5880D9DF0325}"/>
                </c:ext>
              </c:extLst>
            </c:dLbl>
            <c:dLbl>
              <c:idx val="7"/>
              <c:tx>
                <c:rich>
                  <a:bodyPr/>
                  <a:lstStyle/>
                  <a:p>
                    <a:fld id="{D1BE8EA0-9D8A-4237-A60B-F5FCFEA4F41C}"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38B0-4319-B175-5880D9DF0325}"/>
                </c:ext>
              </c:extLst>
            </c:dLbl>
            <c:dLbl>
              <c:idx val="8"/>
              <c:tx>
                <c:rich>
                  <a:bodyPr/>
                  <a:lstStyle/>
                  <a:p>
                    <a:fld id="{0913B1CC-068B-484A-A8D9-8237B06B6A51}"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38B0-4319-B175-5880D9DF0325}"/>
                </c:ext>
              </c:extLst>
            </c:dLbl>
            <c:dLbl>
              <c:idx val="9"/>
              <c:tx>
                <c:rich>
                  <a:bodyPr/>
                  <a:lstStyle/>
                  <a:p>
                    <a:fld id="{C4F46F28-29FE-457A-8E59-67B08EF35CFE}"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38B0-4319-B175-5880D9DF0325}"/>
                </c:ext>
              </c:extLst>
            </c:dLbl>
            <c:dLbl>
              <c:idx val="10"/>
              <c:tx>
                <c:rich>
                  <a:bodyPr/>
                  <a:lstStyle/>
                  <a:p>
                    <a:fld id="{CBA55807-B5AF-4A55-B33C-7BE97904E828}"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38B0-4319-B175-5880D9DF0325}"/>
                </c:ext>
              </c:extLst>
            </c:dLbl>
            <c:spPr>
              <a:noFill/>
              <a:ln>
                <a:noFill/>
              </a:ln>
              <a:effectLst/>
            </c:spPr>
            <c:txPr>
              <a:bodyPr wrap="square" lIns="38100" tIns="19050" rIns="38100" bIns="19050" anchor="ctr">
                <a:spAutoFit/>
              </a:bodyPr>
              <a:lstStyle/>
              <a:p>
                <a:pPr>
                  <a:defRPr sz="800" b="1"/>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cat>
          <c:val>
            <c:numRef>
              <c:f>'I-Project Contingency'!$F$23:$F$33</c:f>
              <c:numCache>
                <c:formatCode>"$"#,##0</c:formatCode>
                <c:ptCount val="11"/>
                <c:pt idx="0">
                  <c:v>6960000</c:v>
                </c:pt>
                <c:pt idx="1">
                  <c:v>7467500</c:v>
                </c:pt>
                <c:pt idx="2">
                  <c:v>7830000</c:v>
                </c:pt>
                <c:pt idx="3">
                  <c:v>8192500</c:v>
                </c:pt>
                <c:pt idx="4">
                  <c:v>8555000</c:v>
                </c:pt>
                <c:pt idx="5">
                  <c:v>8990000</c:v>
                </c:pt>
                <c:pt idx="6">
                  <c:v>9425000</c:v>
                </c:pt>
                <c:pt idx="7">
                  <c:v>10005000</c:v>
                </c:pt>
                <c:pt idx="8">
                  <c:v>10585000</c:v>
                </c:pt>
                <c:pt idx="9">
                  <c:v>11455000</c:v>
                </c:pt>
                <c:pt idx="10">
                  <c:v>13267500</c:v>
                </c:pt>
              </c:numCache>
            </c:numRef>
          </c:val>
          <c:smooth val="0"/>
          <c:extLst>
            <c:ext xmlns:c15="http://schemas.microsoft.com/office/drawing/2012/chart" uri="{02D57815-91ED-43cb-92C2-25804820EDAC}">
              <c15:datalabelsRange>
                <c15:f>'I-Project Contingency'!$E$23:$E$33</c15:f>
                <c15:dlblRangeCache>
                  <c:ptCount val="11"/>
                  <c:pt idx="0">
                    <c:v>-4%</c:v>
                  </c:pt>
                  <c:pt idx="1">
                    <c:v>3%</c:v>
                  </c:pt>
                  <c:pt idx="2">
                    <c:v>8%</c:v>
                  </c:pt>
                  <c:pt idx="3">
                    <c:v>13%</c:v>
                  </c:pt>
                  <c:pt idx="4">
                    <c:v>18%</c:v>
                  </c:pt>
                  <c:pt idx="5">
                    <c:v>24%</c:v>
                  </c:pt>
                  <c:pt idx="6">
                    <c:v>30%</c:v>
                  </c:pt>
                  <c:pt idx="7">
                    <c:v>38%</c:v>
                  </c:pt>
                  <c:pt idx="8">
                    <c:v>46%</c:v>
                  </c:pt>
                  <c:pt idx="9">
                    <c:v>58%</c:v>
                  </c:pt>
                  <c:pt idx="10">
                    <c:v>83%</c:v>
                  </c:pt>
                </c15:dlblRangeCache>
              </c15:datalabelsRange>
            </c:ext>
            <c:ext xmlns:c16="http://schemas.microsoft.com/office/drawing/2014/chart" uri="{C3380CC4-5D6E-409C-BE32-E72D297353CC}">
              <c16:uniqueId val="{0000000E-38B0-4319-B175-5880D9DF0325}"/>
            </c:ext>
          </c:extLst>
        </c:ser>
        <c:ser>
          <c:idx val="2"/>
          <c:order val="2"/>
          <c:tx>
            <c:strRef>
              <c:f>'I-Project Contingency'!$L$22</c:f>
              <c:strCache>
                <c:ptCount val="1"/>
                <c:pt idx="0">
                  <c:v>Program Amount</c:v>
                </c:pt>
              </c:strCache>
            </c:strRef>
          </c:tx>
          <c:spPr>
            <a:ln>
              <a:solidFill>
                <a:srgbClr val="FF0000"/>
              </a:solidFill>
            </a:ln>
          </c:spPr>
          <c:marker>
            <c:symbol val="none"/>
          </c:marker>
          <c:val>
            <c:numRef>
              <c:f>'I-Project Contingency'!$L$23:$L$33</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F-38B0-4319-B175-5880D9DF0325}"/>
            </c:ext>
          </c:extLst>
        </c:ser>
        <c:dLbls>
          <c:showLegendKey val="0"/>
          <c:showVal val="0"/>
          <c:showCatName val="0"/>
          <c:showSerName val="0"/>
          <c:showPercent val="0"/>
          <c:showBubbleSize val="0"/>
        </c:dLbls>
        <c:smooth val="0"/>
        <c:axId val="771897392"/>
        <c:axId val="771889944"/>
      </c:lineChart>
      <c:catAx>
        <c:axId val="771897392"/>
        <c:scaling>
          <c:orientation val="minMax"/>
        </c:scaling>
        <c:delete val="0"/>
        <c:axPos val="t"/>
        <c:majorGridlines>
          <c:spPr>
            <a:ln w="3175">
              <a:solidFill>
                <a:srgbClr val="808080"/>
              </a:solidFill>
              <a:prstDash val="solid"/>
            </a:ln>
          </c:spPr>
        </c:majorGridlines>
        <c:title>
          <c:tx>
            <c:rich>
              <a:bodyPr/>
              <a:lstStyle/>
              <a:p>
                <a:pPr>
                  <a:defRPr sz="1100" b="1" i="0" u="none" strike="noStrike" baseline="0">
                    <a:solidFill>
                      <a:srgbClr val="000000"/>
                    </a:solidFill>
                    <a:latin typeface="+mn-lt"/>
                    <a:ea typeface="Arial"/>
                    <a:cs typeface="Arial"/>
                  </a:defRPr>
                </a:pPr>
                <a:r>
                  <a:rPr lang="en-US" sz="1100">
                    <a:latin typeface="+mn-lt"/>
                  </a:rPr>
                  <a:t>Confidence Levels</a:t>
                </a:r>
              </a:p>
            </c:rich>
          </c:tx>
          <c:layout>
            <c:manualLayout>
              <c:xMode val="edge"/>
              <c:yMode val="edge"/>
              <c:x val="0.42266557070423538"/>
              <c:y val="0.89126279077685744"/>
            </c:manualLayout>
          </c:layout>
          <c:overlay val="0"/>
          <c:spPr>
            <a:noFill/>
            <a:ln w="25400">
              <a:noFill/>
            </a:ln>
          </c:spPr>
        </c:title>
        <c:numFmt formatCode="0%" sourceLinked="1"/>
        <c:majorTickMark val="none"/>
        <c:minorTickMark val="none"/>
        <c:tickLblPos val="high"/>
        <c:spPr>
          <a:ln w="3175">
            <a:solidFill>
              <a:srgbClr val="000000"/>
            </a:solidFill>
            <a:prstDash val="solid"/>
          </a:ln>
        </c:spPr>
        <c:txPr>
          <a:bodyPr rot="-5400000" vert="horz"/>
          <a:lstStyle/>
          <a:p>
            <a:pPr>
              <a:defRPr sz="1100" b="1" i="0" u="none" strike="noStrike" baseline="0">
                <a:solidFill>
                  <a:srgbClr val="000000"/>
                </a:solidFill>
                <a:latin typeface="+mn-lt"/>
                <a:ea typeface="Arial"/>
                <a:cs typeface="Arial"/>
              </a:defRPr>
            </a:pPr>
            <a:endParaRPr lang="en-US"/>
          </a:p>
        </c:txPr>
        <c:crossAx val="771889944"/>
        <c:crosses val="max"/>
        <c:auto val="1"/>
        <c:lblAlgn val="ctr"/>
        <c:lblOffset val="100"/>
        <c:noMultiLvlLbl val="0"/>
      </c:catAx>
      <c:valAx>
        <c:axId val="771889944"/>
        <c:scaling>
          <c:orientation val="minMax"/>
        </c:scaling>
        <c:delete val="0"/>
        <c:axPos val="l"/>
        <c:majorGridlines/>
        <c:title>
          <c:tx>
            <c:rich>
              <a:bodyPr/>
              <a:lstStyle/>
              <a:p>
                <a:pPr>
                  <a:defRPr sz="1100" b="1" i="0" u="none" strike="noStrike" baseline="0">
                    <a:solidFill>
                      <a:srgbClr val="000000"/>
                    </a:solidFill>
                    <a:latin typeface="+mn-lt"/>
                    <a:ea typeface="Arial"/>
                    <a:cs typeface="Arial"/>
                  </a:defRPr>
                </a:pPr>
                <a:r>
                  <a:rPr lang="en-US" sz="1100">
                    <a:latin typeface="+mn-lt"/>
                  </a:rPr>
                  <a:t>Cost</a:t>
                </a:r>
              </a:p>
            </c:rich>
          </c:tx>
          <c:layout>
            <c:manualLayout>
              <c:xMode val="edge"/>
              <c:yMode val="edge"/>
              <c:x val="2.8933005082079983E-2"/>
              <c:y val="0.49939008538804641"/>
            </c:manualLayout>
          </c:layout>
          <c:overlay val="0"/>
          <c:spPr>
            <a:noFill/>
            <a:ln w="25400">
              <a:noFill/>
            </a:ln>
          </c:spPr>
        </c:title>
        <c:numFmt formatCode="&quot;$&quot;#,##0.0,,\ &quot;M&quot;" sourceLinked="0"/>
        <c:majorTickMark val="out"/>
        <c:minorTickMark val="none"/>
        <c:tickLblPos val="nextTo"/>
        <c:spPr>
          <a:ln w="3175">
            <a:solidFill>
              <a:srgbClr val="000000"/>
            </a:solidFill>
            <a:prstDash val="solid"/>
          </a:ln>
        </c:spPr>
        <c:txPr>
          <a:bodyPr rot="0" vert="horz"/>
          <a:lstStyle/>
          <a:p>
            <a:pPr>
              <a:defRPr sz="1100" b="1" i="0" u="none" strike="noStrike" baseline="0">
                <a:solidFill>
                  <a:srgbClr val="000000"/>
                </a:solidFill>
                <a:latin typeface="+mn-lt"/>
                <a:ea typeface="Arial"/>
                <a:cs typeface="Arial"/>
              </a:defRPr>
            </a:pPr>
            <a:endParaRPr lang="en-US"/>
          </a:p>
        </c:txPr>
        <c:crossAx val="771897392"/>
        <c:crosses val="autoZero"/>
        <c:crossBetween val="between"/>
      </c:valAx>
    </c:plotArea>
    <c:legend>
      <c:legendPos val="r"/>
      <c:layout>
        <c:manualLayout>
          <c:xMode val="edge"/>
          <c:yMode val="edge"/>
          <c:x val="0.6280957548931233"/>
          <c:y val="0.87741274635309263"/>
          <c:w val="0.28789049404211708"/>
          <c:h val="0.12258723390998441"/>
        </c:manualLayout>
      </c:layout>
      <c:overlay val="1"/>
      <c:txPr>
        <a:bodyPr/>
        <a:lstStyle/>
        <a:p>
          <a:pPr>
            <a:defRPr sz="1000" b="1">
              <a:latin typeface="+mn-lt"/>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57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verticalDpi="4"/>
  </c:printSettings>
  <c:userShapes r:id="rId2"/>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r>
              <a:rPr lang="en-US" sz="1400"/>
              <a:t>Top Cost Risks</a:t>
            </a:r>
          </a:p>
        </c:rich>
      </c:tx>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en-US"/>
        </a:p>
      </c:txPr>
    </c:title>
    <c:autoTitleDeleted val="0"/>
    <c:plotArea>
      <c:layout/>
      <c:barChart>
        <c:barDir val="bar"/>
        <c:grouping val="clustered"/>
        <c:varyColors val="0"/>
        <c:ser>
          <c:idx val="1"/>
          <c:order val="0"/>
          <c:tx>
            <c:strRef>
              <c:f>'J-Sensitivity Charts'!$X$16</c:f>
              <c:strCache>
                <c:ptCount val="1"/>
                <c:pt idx="0">
                  <c:v>ROM Cost Risk @ 90%</c:v>
                </c:pt>
              </c:strCache>
            </c:strRef>
          </c:tx>
          <c:spPr>
            <a:solidFill>
              <a:srgbClr val="FF0000">
                <a:alpha val="50000"/>
              </a:srgbClr>
            </a:solidFill>
            <a:ln w="9525" cap="flat" cmpd="sng" algn="ctr">
              <a:noFill/>
              <a:miter lim="800000"/>
            </a:ln>
            <a:effectLst/>
          </c:spPr>
          <c:invertIfNegative val="0"/>
          <c:cat>
            <c:strRef>
              <c:f>'J-Sensitivity Charts'!$S$17:$S$27</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Charts'!$X$17:$X$27</c:f>
              <c:numCache>
                <c:formatCode>"$"#,##0.00,,\ "M"</c:formatCode>
                <c:ptCount val="11"/>
                <c:pt idx="0">
                  <c:v>4205000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E77B-4ABE-993D-61F848B74001}"/>
            </c:ext>
          </c:extLst>
        </c:ser>
        <c:ser>
          <c:idx val="0"/>
          <c:order val="1"/>
          <c:tx>
            <c:strRef>
              <c:f>'J-Sensitivity Charts'!$W$16</c:f>
              <c:strCache>
                <c:ptCount val="1"/>
                <c:pt idx="0">
                  <c:v>ROM Cost Risk @ 80%</c:v>
                </c:pt>
              </c:strCache>
            </c:strRef>
          </c:tx>
          <c:spPr>
            <a:solidFill>
              <a:schemeClr val="accent1">
                <a:alpha val="50000"/>
              </a:schemeClr>
            </a:solidFill>
            <a:ln w="9525" cap="flat" cmpd="sng" algn="ctr">
              <a:noFill/>
              <a:miter lim="800000"/>
            </a:ln>
            <a:effectLst/>
          </c:spPr>
          <c:invertIfNegative val="0"/>
          <c:cat>
            <c:strRef>
              <c:f>'J-Sensitivity Charts'!$S$17:$S$27</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Charts'!$W$17:$W$27</c:f>
              <c:numCache>
                <c:formatCode>"$"#,##0.00,,\ "M"</c:formatCode>
                <c:ptCount val="11"/>
                <c:pt idx="0">
                  <c:v>3335000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E77B-4ABE-993D-61F848B74001}"/>
            </c:ext>
          </c:extLst>
        </c:ser>
        <c:ser>
          <c:idx val="2"/>
          <c:order val="2"/>
          <c:tx>
            <c:strRef>
              <c:f>'J-Sensitivity Charts'!$V$16</c:f>
              <c:strCache>
                <c:ptCount val="1"/>
                <c:pt idx="0">
                  <c:v>ROM Cost Risk @ 50%</c:v>
                </c:pt>
              </c:strCache>
            </c:strRef>
          </c:tx>
          <c:spPr>
            <a:solidFill>
              <a:schemeClr val="accent6">
                <a:alpha val="50000"/>
              </a:schemeClr>
            </a:solidFill>
            <a:ln w="9525" cap="flat" cmpd="sng" algn="ctr">
              <a:noFill/>
              <a:miter lim="800000"/>
            </a:ln>
            <a:effectLst/>
          </c:spPr>
          <c:invertIfNegative val="0"/>
          <c:errBars>
            <c:errBarType val="both"/>
            <c:errValType val="cust"/>
            <c:noEndCap val="1"/>
            <c:plus>
              <c:numLit>
                <c:formatCode>General</c:formatCode>
                <c:ptCount val="1"/>
                <c:pt idx="0">
                  <c:v>1</c:v>
                </c:pt>
              </c:numLit>
            </c:plus>
            <c:minus>
              <c:numLit>
                <c:formatCode>General</c:formatCode>
                <c:ptCount val="1"/>
                <c:pt idx="0">
                  <c:v>1</c:v>
                </c:pt>
              </c:numLit>
            </c:minus>
            <c:spPr>
              <a:noFill/>
              <a:ln w="9525">
                <a:solidFill>
                  <a:schemeClr val="lt1">
                    <a:lumMod val="50000"/>
                  </a:schemeClr>
                </a:solidFill>
                <a:round/>
              </a:ln>
              <a:effectLst/>
            </c:spPr>
          </c:errBars>
          <c:cat>
            <c:strRef>
              <c:f>'J-Sensitivity Charts'!$S$17:$S$27</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Charts'!$V$17:$V$27</c:f>
              <c:numCache>
                <c:formatCode>"$"#,##0.00,,\ "M"</c:formatCode>
                <c:ptCount val="11"/>
                <c:pt idx="0">
                  <c:v>1740000.0000000002</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E77B-4ABE-993D-61F848B74001}"/>
            </c:ext>
          </c:extLst>
        </c:ser>
        <c:dLbls>
          <c:showLegendKey val="0"/>
          <c:showVal val="0"/>
          <c:showCatName val="0"/>
          <c:showSerName val="0"/>
          <c:showPercent val="0"/>
          <c:showBubbleSize val="0"/>
        </c:dLbls>
        <c:gapWidth val="182"/>
        <c:axId val="1301294288"/>
        <c:axId val="1301296256"/>
      </c:barChart>
      <c:catAx>
        <c:axId val="1301294288"/>
        <c:scaling>
          <c:orientation val="maxMin"/>
        </c:scaling>
        <c:delete val="0"/>
        <c:axPos val="l"/>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lt1">
                    <a:lumMod val="75000"/>
                  </a:schemeClr>
                </a:solidFill>
                <a:latin typeface="+mn-lt"/>
                <a:ea typeface="+mn-ea"/>
                <a:cs typeface="+mn-cs"/>
              </a:defRPr>
            </a:pPr>
            <a:endParaRPr lang="en-US"/>
          </a:p>
        </c:txPr>
        <c:crossAx val="1301296256"/>
        <c:crosses val="autoZero"/>
        <c:auto val="1"/>
        <c:lblAlgn val="ctr"/>
        <c:lblOffset val="100"/>
        <c:noMultiLvlLbl val="0"/>
      </c:catAx>
      <c:valAx>
        <c:axId val="1301296256"/>
        <c:scaling>
          <c:orientation val="minMax"/>
        </c:scaling>
        <c:delete val="0"/>
        <c:axPos val="t"/>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quot;$&quot;#,##0,,\ &quot;M&quot;" sourceLinked="0"/>
        <c:majorTickMark val="none"/>
        <c:minorTickMark val="none"/>
        <c:tickLblPos val="nextTo"/>
        <c:spPr>
          <a:noFill/>
          <a:ln>
            <a:noFill/>
          </a:ln>
          <a:effectLst/>
        </c:spPr>
        <c:txPr>
          <a:bodyPr rot="-60000000" spcFirstLastPara="1" vertOverflow="ellipsis" vert="horz" wrap="square" anchor="ctr" anchorCtr="1"/>
          <a:lstStyle/>
          <a:p>
            <a:pPr>
              <a:defRPr sz="1100" b="1" i="0" u="none" strike="noStrike" kern="1200" baseline="0">
                <a:solidFill>
                  <a:schemeClr val="lt1">
                    <a:lumMod val="75000"/>
                  </a:schemeClr>
                </a:solidFill>
                <a:latin typeface="+mn-lt"/>
                <a:ea typeface="+mn-ea"/>
                <a:cs typeface="+mn-cs"/>
              </a:defRPr>
            </a:pPr>
            <a:endParaRPr lang="en-US"/>
          </a:p>
        </c:txPr>
        <c:crossAx val="1301294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1" i="0" u="none" strike="noStrike" kern="1200" baseline="0">
              <a:solidFill>
                <a:schemeClr val="lt1">
                  <a:lumMod val="7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r>
              <a:rPr lang="en-US" sz="1400"/>
              <a:t>Top Schedule Risks</a:t>
            </a:r>
          </a:p>
        </c:rich>
      </c:tx>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en-US"/>
        </a:p>
      </c:txPr>
    </c:title>
    <c:autoTitleDeleted val="0"/>
    <c:plotArea>
      <c:layout/>
      <c:barChart>
        <c:barDir val="bar"/>
        <c:grouping val="clustered"/>
        <c:varyColors val="0"/>
        <c:ser>
          <c:idx val="1"/>
          <c:order val="0"/>
          <c:tx>
            <c:strRef>
              <c:f>'J-Sensitivity Charts'!$X$38</c:f>
              <c:strCache>
                <c:ptCount val="1"/>
                <c:pt idx="0">
                  <c:v>ROM Schedule Risk @ 90%</c:v>
                </c:pt>
              </c:strCache>
            </c:strRef>
          </c:tx>
          <c:spPr>
            <a:solidFill>
              <a:srgbClr val="FF0000">
                <a:alpha val="50000"/>
              </a:srgbClr>
            </a:solidFill>
            <a:ln w="9525" cap="flat" cmpd="sng" algn="ctr">
              <a:noFill/>
              <a:miter lim="800000"/>
            </a:ln>
            <a:effectLst/>
          </c:spPr>
          <c:invertIfNegative val="0"/>
          <c:cat>
            <c:strRef>
              <c:f>'J-Sensitivity Charts'!$S$39:$S$49</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Charts'!$X$39:$X$49</c:f>
              <c:numCache>
                <c:formatCode>0.00\ "MO"</c:formatCode>
                <c:ptCount val="11"/>
                <c:pt idx="0">
                  <c:v>7.68</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065F-4598-8624-C03F304F98EE}"/>
            </c:ext>
          </c:extLst>
        </c:ser>
        <c:ser>
          <c:idx val="0"/>
          <c:order val="1"/>
          <c:tx>
            <c:strRef>
              <c:f>'J-Sensitivity Charts'!$W$38</c:f>
              <c:strCache>
                <c:ptCount val="1"/>
                <c:pt idx="0">
                  <c:v>ROM Schedule Risk @ 80%</c:v>
                </c:pt>
              </c:strCache>
            </c:strRef>
          </c:tx>
          <c:spPr>
            <a:solidFill>
              <a:schemeClr val="accent1">
                <a:alpha val="50000"/>
              </a:schemeClr>
            </a:solidFill>
            <a:ln w="9525" cap="flat" cmpd="sng" algn="ctr">
              <a:noFill/>
              <a:miter lim="800000"/>
            </a:ln>
            <a:effectLst/>
          </c:spPr>
          <c:invertIfNegative val="0"/>
          <c:cat>
            <c:strRef>
              <c:f>'J-Sensitivity Charts'!$S$39:$S$49</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Charts'!$W$39:$W$49</c:f>
              <c:numCache>
                <c:formatCode>0.00\ "MO"</c:formatCode>
                <c:ptCount val="11"/>
                <c:pt idx="0">
                  <c:v>6.12</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065F-4598-8624-C03F304F98EE}"/>
            </c:ext>
          </c:extLst>
        </c:ser>
        <c:ser>
          <c:idx val="2"/>
          <c:order val="2"/>
          <c:tx>
            <c:strRef>
              <c:f>'J-Sensitivity Charts'!$V$38</c:f>
              <c:strCache>
                <c:ptCount val="1"/>
                <c:pt idx="0">
                  <c:v>ROM Schedule Risk @ 50%</c:v>
                </c:pt>
              </c:strCache>
            </c:strRef>
          </c:tx>
          <c:spPr>
            <a:solidFill>
              <a:schemeClr val="accent6">
                <a:alpha val="50000"/>
              </a:schemeClr>
            </a:solidFill>
            <a:ln w="9525" cap="flat" cmpd="sng" algn="ctr">
              <a:noFill/>
              <a:miter lim="800000"/>
            </a:ln>
            <a:effectLst/>
          </c:spPr>
          <c:invertIfNegative val="0"/>
          <c:cat>
            <c:strRef>
              <c:f>'J-Sensitivity Charts'!$S$39:$S$49</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Charts'!$V$39:$V$49</c:f>
              <c:numCache>
                <c:formatCode>0.00\ "MO"</c:formatCode>
                <c:ptCount val="11"/>
                <c:pt idx="0">
                  <c:v>3</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065F-4598-8624-C03F304F98EE}"/>
            </c:ext>
          </c:extLst>
        </c:ser>
        <c:dLbls>
          <c:showLegendKey val="0"/>
          <c:showVal val="0"/>
          <c:showCatName val="0"/>
          <c:showSerName val="0"/>
          <c:showPercent val="0"/>
          <c:showBubbleSize val="0"/>
        </c:dLbls>
        <c:gapWidth val="182"/>
        <c:axId val="1301294288"/>
        <c:axId val="1301296256"/>
      </c:barChart>
      <c:catAx>
        <c:axId val="1301294288"/>
        <c:scaling>
          <c:orientation val="maxMin"/>
        </c:scaling>
        <c:delete val="0"/>
        <c:axPos val="l"/>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lt1">
                    <a:lumMod val="75000"/>
                  </a:schemeClr>
                </a:solidFill>
                <a:latin typeface="+mn-lt"/>
                <a:ea typeface="+mn-ea"/>
                <a:cs typeface="+mn-cs"/>
              </a:defRPr>
            </a:pPr>
            <a:endParaRPr lang="en-US"/>
          </a:p>
        </c:txPr>
        <c:crossAx val="1301296256"/>
        <c:crosses val="autoZero"/>
        <c:auto val="1"/>
        <c:lblAlgn val="ctr"/>
        <c:lblOffset val="100"/>
        <c:noMultiLvlLbl val="0"/>
      </c:catAx>
      <c:valAx>
        <c:axId val="1301296256"/>
        <c:scaling>
          <c:orientation val="minMax"/>
        </c:scaling>
        <c:delete val="0"/>
        <c:axPos val="t"/>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0\ &quot;MO&quot;" sourceLinked="0"/>
        <c:majorTickMark val="none"/>
        <c:minorTickMark val="none"/>
        <c:tickLblPos val="nextTo"/>
        <c:spPr>
          <a:noFill/>
          <a:ln>
            <a:noFill/>
          </a:ln>
          <a:effectLst/>
        </c:spPr>
        <c:txPr>
          <a:bodyPr rot="-60000000" spcFirstLastPara="1" vertOverflow="ellipsis" vert="horz" wrap="square" anchor="ctr" anchorCtr="1"/>
          <a:lstStyle/>
          <a:p>
            <a:pPr>
              <a:defRPr sz="1100" b="1" i="0" u="none" strike="noStrike" kern="1200" baseline="0">
                <a:solidFill>
                  <a:schemeClr val="lt1">
                    <a:lumMod val="75000"/>
                  </a:schemeClr>
                </a:solidFill>
                <a:latin typeface="+mn-lt"/>
                <a:ea typeface="+mn-ea"/>
                <a:cs typeface="+mn-cs"/>
              </a:defRPr>
            </a:pPr>
            <a:endParaRPr lang="en-US"/>
          </a:p>
        </c:txPr>
        <c:crossAx val="1301294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1" i="0" u="none" strike="noStrike" kern="1200" baseline="0">
              <a:solidFill>
                <a:schemeClr val="lt1">
                  <a:lumMod val="7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sz="1400"/>
              <a:t>Top </a:t>
            </a:r>
            <a:r>
              <a:rPr lang="en-US" sz="1400" baseline="0"/>
              <a:t>Cost Risks</a:t>
            </a:r>
            <a:endParaRPr lang="en-US" sz="1400"/>
          </a:p>
        </c:rich>
      </c:tx>
      <c:overlay val="0"/>
      <c:spPr>
        <a:noFill/>
        <a:ln>
          <a:noFill/>
        </a:ln>
        <a:effectLst/>
      </c:spPr>
      <c:txPr>
        <a:bodyPr rot="0" spcFirstLastPara="1" vertOverflow="ellipsis" vert="horz" wrap="square" anchor="ctr" anchorCtr="1"/>
        <a:lstStyle/>
        <a:p>
          <a:pPr>
            <a:defRPr sz="1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stockChart>
        <c:ser>
          <c:idx val="0"/>
          <c:order val="0"/>
          <c:tx>
            <c:strRef>
              <c:f>'J-Sensitivity Charts'!$T$16</c:f>
              <c:strCache>
                <c:ptCount val="1"/>
                <c:pt idx="0">
                  <c:v>Cost LV</c:v>
                </c:pt>
              </c:strCache>
            </c:strRef>
          </c:tx>
          <c:spPr>
            <a:ln w="25400" cap="rnd">
              <a:noFill/>
              <a:round/>
            </a:ln>
            <a:effectLst>
              <a:outerShdw blurRad="40000" dist="23000" dir="5400000" rotWithShape="0">
                <a:srgbClr val="000000">
                  <a:alpha val="35000"/>
                </a:srgbClr>
              </a:outerShdw>
            </a:effectLst>
          </c:spPr>
          <c:marker>
            <c:symbol val="none"/>
          </c:marker>
          <c:cat>
            <c:strRef>
              <c:f>'J-Sensitivity Charts'!$S$17:$S$26</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Charts'!$T$17:$T$26</c:f>
              <c:numCache>
                <c:formatCode>"$"#,##0.00,,\ "M"</c:formatCode>
                <c:ptCount val="10"/>
                <c:pt idx="0">
                  <c:v>-250000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0-CBC8-4417-9F92-43DC47BF905C}"/>
            </c:ext>
          </c:extLst>
        </c:ser>
        <c:ser>
          <c:idx val="1"/>
          <c:order val="1"/>
          <c:tx>
            <c:strRef>
              <c:f>'J-Sensitivity Charts'!$U$16</c:f>
              <c:strCache>
                <c:ptCount val="1"/>
                <c:pt idx="0">
                  <c:v>Cost HV</c:v>
                </c:pt>
              </c:strCache>
            </c:strRef>
          </c:tx>
          <c:spPr>
            <a:ln w="25400" cap="rnd">
              <a:noFill/>
              <a:round/>
            </a:ln>
            <a:effectLst>
              <a:outerShdw blurRad="40000" dist="23000" dir="5400000" rotWithShape="0">
                <a:srgbClr val="000000">
                  <a:alpha val="35000"/>
                </a:srgbClr>
              </a:outerShdw>
            </a:effectLst>
          </c:spPr>
          <c:marker>
            <c:symbol val="none"/>
          </c:marker>
          <c:cat>
            <c:strRef>
              <c:f>'J-Sensitivity Charts'!$S$17:$S$26</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Charts'!$U$17:$U$26</c:f>
              <c:numCache>
                <c:formatCode>"$"#,##0.00,,\ "M"</c:formatCode>
                <c:ptCount val="10"/>
                <c:pt idx="0">
                  <c:v>3300000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CBC8-4417-9F92-43DC47BF905C}"/>
            </c:ext>
          </c:extLst>
        </c:ser>
        <c:ser>
          <c:idx val="2"/>
          <c:order val="2"/>
          <c:tx>
            <c:strRef>
              <c:f>'J-Sensitivity Charts'!$V$16</c:f>
              <c:strCache>
                <c:ptCount val="1"/>
                <c:pt idx="0">
                  <c:v>ROM Cost Risk @ 50%</c:v>
                </c:pt>
              </c:strCache>
            </c:strRef>
          </c:tx>
          <c:spPr>
            <a:ln w="25400" cap="rnd">
              <a:noFill/>
              <a:round/>
            </a:ln>
            <a:effectLst>
              <a:outerShdw blurRad="40000" dist="23000" dir="5400000" rotWithShape="0">
                <a:srgbClr val="000000">
                  <a:alpha val="35000"/>
                </a:srgbClr>
              </a:outerShdw>
            </a:effectLst>
          </c:spPr>
          <c:marker>
            <c:symbol val="dash"/>
            <c:size val="10"/>
            <c:spPr>
              <a:solidFill>
                <a:schemeClr val="accent6">
                  <a:lumMod val="75000"/>
                </a:schemeClr>
              </a:solidFill>
              <a:ln w="9525">
                <a:no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cat>
            <c:strRef>
              <c:f>'J-Sensitivity Charts'!$S$17:$S$26</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Charts'!$V$17:$V$26</c:f>
              <c:numCache>
                <c:formatCode>"$"#,##0.00,,\ "M"</c:formatCode>
                <c:ptCount val="10"/>
                <c:pt idx="0">
                  <c:v>1740000.0000000002</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2-CBC8-4417-9F92-43DC47BF905C}"/>
            </c:ext>
          </c:extLst>
        </c:ser>
        <c:ser>
          <c:idx val="3"/>
          <c:order val="3"/>
          <c:tx>
            <c:strRef>
              <c:f>'J-Sensitivity Charts'!$W$16</c:f>
              <c:strCache>
                <c:ptCount val="1"/>
                <c:pt idx="0">
                  <c:v>ROM Cost Risk @ 80%</c:v>
                </c:pt>
              </c:strCache>
            </c:strRef>
          </c:tx>
          <c:spPr>
            <a:ln w="25400" cap="rnd">
              <a:noFill/>
              <a:round/>
            </a:ln>
            <a:effectLst>
              <a:outerShdw blurRad="40000" dist="23000" dir="5400000" rotWithShape="0">
                <a:srgbClr val="000000">
                  <a:alpha val="35000"/>
                </a:srgbClr>
              </a:outerShdw>
            </a:effectLst>
          </c:spPr>
          <c:marker>
            <c:symbol val="dash"/>
            <c:size val="10"/>
            <c:spPr>
              <a:solidFill>
                <a:schemeClr val="accent5">
                  <a:lumMod val="75000"/>
                </a:schemeClr>
              </a:solidFill>
              <a:ln w="9525">
                <a:no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val>
            <c:numRef>
              <c:f>'J-Sensitivity Charts'!$W$17:$W$26</c:f>
              <c:numCache>
                <c:formatCode>"$"#,##0.00,,\ "M"</c:formatCode>
                <c:ptCount val="10"/>
                <c:pt idx="0">
                  <c:v>3335000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3-CBC8-4417-9F92-43DC47BF905C}"/>
            </c:ext>
          </c:extLst>
        </c:ser>
        <c:ser>
          <c:idx val="4"/>
          <c:order val="4"/>
          <c:tx>
            <c:strRef>
              <c:f>'J-Sensitivity Charts'!$X$16</c:f>
              <c:strCache>
                <c:ptCount val="1"/>
                <c:pt idx="0">
                  <c:v>ROM Cost Risk @ 90%</c:v>
                </c:pt>
              </c:strCache>
            </c:strRef>
          </c:tx>
          <c:spPr>
            <a:ln w="25400" cap="rnd">
              <a:noFill/>
              <a:round/>
            </a:ln>
            <a:effectLst>
              <a:outerShdw blurRad="40000" dist="23000" dir="5400000" rotWithShape="0">
                <a:srgbClr val="000000">
                  <a:alpha val="35000"/>
                </a:srgbClr>
              </a:outerShdw>
            </a:effectLst>
          </c:spPr>
          <c:marker>
            <c:symbol val="dash"/>
            <c:size val="10"/>
            <c:spPr>
              <a:solidFill>
                <a:srgbClr val="FF0000"/>
              </a:solidFill>
              <a:ln w="9525">
                <a:no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val>
            <c:numRef>
              <c:f>'J-Sensitivity Charts'!$X$17:$X$26</c:f>
              <c:numCache>
                <c:formatCode>"$"#,##0.00,,\ "M"</c:formatCode>
                <c:ptCount val="10"/>
                <c:pt idx="0">
                  <c:v>4205000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4-CBC8-4417-9F92-43DC47BF905C}"/>
            </c:ext>
          </c:extLst>
        </c:ser>
        <c:dLbls>
          <c:showLegendKey val="0"/>
          <c:showVal val="0"/>
          <c:showCatName val="0"/>
          <c:showSerName val="0"/>
          <c:showPercent val="0"/>
          <c:showBubbleSize val="0"/>
        </c:dLbls>
        <c:hiLowLines>
          <c:spPr>
            <a:ln w="254000" cap="flat" cmpd="sng" algn="ctr">
              <a:gradFill flip="none" rotWithShape="1">
                <a:gsLst>
                  <a:gs pos="0">
                    <a:srgbClr val="FF0000"/>
                  </a:gs>
                  <a:gs pos="50000">
                    <a:schemeClr val="accent5">
                      <a:lumMod val="75000"/>
                    </a:schemeClr>
                  </a:gs>
                  <a:gs pos="100000">
                    <a:schemeClr val="accent6">
                      <a:lumMod val="75000"/>
                    </a:schemeClr>
                  </a:gs>
                </a:gsLst>
                <a:lin ang="5400000" scaled="0"/>
                <a:tileRect/>
              </a:gradFill>
              <a:round/>
            </a:ln>
            <a:effectLst/>
          </c:spPr>
        </c:hiLowLines>
        <c:axId val="182128719"/>
        <c:axId val="182129703"/>
      </c:stockChart>
      <c:catAx>
        <c:axId val="182128719"/>
        <c:scaling>
          <c:orientation val="minMax"/>
        </c:scaling>
        <c:delete val="0"/>
        <c:axPos val="b"/>
        <c:numFmt formatCode="General" sourceLinked="1"/>
        <c:majorTickMark val="none"/>
        <c:minorTickMark val="none"/>
        <c:tickLblPos val="low"/>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82129703"/>
        <c:crosses val="autoZero"/>
        <c:auto val="1"/>
        <c:lblAlgn val="ctr"/>
        <c:lblOffset val="100"/>
        <c:noMultiLvlLbl val="0"/>
      </c:catAx>
      <c:valAx>
        <c:axId val="182129703"/>
        <c:scaling>
          <c:orientation val="minMax"/>
        </c:scaling>
        <c:delete val="0"/>
        <c:axPos val="l"/>
        <c:majorGridlines>
          <c:spPr>
            <a:ln w="9525" cap="flat" cmpd="sng" algn="ctr">
              <a:solidFill>
                <a:schemeClr val="lt1">
                  <a:lumMod val="95000"/>
                  <a:alpha val="10000"/>
                </a:schemeClr>
              </a:solidFill>
              <a:round/>
            </a:ln>
            <a:effectLst/>
          </c:spPr>
        </c:majorGridlines>
        <c:numFmt formatCode="&quot;$&quot;#,##0.0,,\ &quot;M&quot;" sourceLinked="0"/>
        <c:majorTickMark val="none"/>
        <c:minorTickMark val="none"/>
        <c:tickLblPos val="nextTo"/>
        <c:spPr>
          <a:noFill/>
          <a:ln>
            <a:noFill/>
          </a:ln>
          <a:effectLst/>
        </c:spPr>
        <c:txPr>
          <a:bodyPr rot="-60000000" spcFirstLastPara="1" vertOverflow="ellipsis" vert="horz" wrap="square" anchor="ctr" anchorCtr="1"/>
          <a:lstStyle/>
          <a:p>
            <a:pPr>
              <a:defRPr sz="1100" b="1" i="0" u="none" strike="noStrike" kern="1200" baseline="0">
                <a:solidFill>
                  <a:schemeClr val="lt1">
                    <a:lumMod val="85000"/>
                  </a:schemeClr>
                </a:solidFill>
                <a:latin typeface="+mn-lt"/>
                <a:ea typeface="+mn-ea"/>
                <a:cs typeface="+mn-cs"/>
              </a:defRPr>
            </a:pPr>
            <a:endParaRPr lang="en-US"/>
          </a:p>
        </c:txPr>
        <c:crossAx val="182128719"/>
        <c:crosses val="autoZero"/>
        <c:crossBetween val="between"/>
      </c:valAx>
      <c:spPr>
        <a:noFill/>
        <a:ln>
          <a:noFill/>
        </a:ln>
        <a:effectLst/>
      </c:spPr>
    </c:plotArea>
    <c:legend>
      <c:legendPos val="b"/>
      <c:legendEntry>
        <c:idx val="0"/>
        <c:delete val="1"/>
      </c:legendEntry>
      <c:legendEntry>
        <c:idx val="1"/>
        <c:delete val="1"/>
      </c:legendEntry>
      <c:overlay val="0"/>
      <c:spPr>
        <a:noFill/>
        <a:ln>
          <a:noFill/>
        </a:ln>
        <a:effectLst/>
      </c:spPr>
      <c:txPr>
        <a:bodyPr rot="0" spcFirstLastPara="1" vertOverflow="ellipsis" vert="horz" wrap="square" anchor="ctr" anchorCtr="1"/>
        <a:lstStyle/>
        <a:p>
          <a:pPr>
            <a:defRPr sz="1100" b="1"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sz="1400"/>
              <a:t>Top </a:t>
            </a:r>
            <a:r>
              <a:rPr lang="en-US" sz="1400" baseline="0"/>
              <a:t>Schedule Risks</a:t>
            </a:r>
            <a:endParaRPr lang="en-US" sz="1400"/>
          </a:p>
        </c:rich>
      </c:tx>
      <c:overlay val="0"/>
      <c:spPr>
        <a:noFill/>
        <a:ln>
          <a:noFill/>
        </a:ln>
        <a:effectLst/>
      </c:spPr>
      <c:txPr>
        <a:bodyPr rot="0" spcFirstLastPara="1" vertOverflow="ellipsis" vert="horz" wrap="square" anchor="ctr" anchorCtr="1"/>
        <a:lstStyle/>
        <a:p>
          <a:pPr>
            <a:defRPr sz="1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0.10192161526684167"/>
          <c:y val="6.8628472222222223E-2"/>
          <c:w val="0.88604276027996498"/>
          <c:h val="0.61306594488188981"/>
        </c:manualLayout>
      </c:layout>
      <c:stockChart>
        <c:ser>
          <c:idx val="0"/>
          <c:order val="0"/>
          <c:tx>
            <c:strRef>
              <c:f>'J-Sensitivity Charts'!$T$38</c:f>
              <c:strCache>
                <c:ptCount val="1"/>
                <c:pt idx="0">
                  <c:v>Schedule LV</c:v>
                </c:pt>
              </c:strCache>
            </c:strRef>
          </c:tx>
          <c:spPr>
            <a:ln w="25400" cap="rnd">
              <a:noFill/>
              <a:round/>
            </a:ln>
            <a:effectLst>
              <a:outerShdw blurRad="40000" dist="23000" dir="5400000" rotWithShape="0">
                <a:srgbClr val="000000">
                  <a:alpha val="35000"/>
                </a:srgbClr>
              </a:outerShdw>
            </a:effectLst>
          </c:spPr>
          <c:marker>
            <c:symbol val="none"/>
          </c:marker>
          <c:cat>
            <c:strRef>
              <c:f>'J-Sensitivity Charts'!$S$39:$S$48</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Charts'!$T$39:$T$48</c:f>
              <c:numCache>
                <c:formatCode>0.00\ "MO"</c:formatCode>
                <c:ptCount val="10"/>
                <c:pt idx="0">
                  <c:v>-1</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0-C4AD-4F54-B14F-1F28E30317CB}"/>
            </c:ext>
          </c:extLst>
        </c:ser>
        <c:ser>
          <c:idx val="1"/>
          <c:order val="1"/>
          <c:tx>
            <c:strRef>
              <c:f>'J-Sensitivity Charts'!$U$38</c:f>
              <c:strCache>
                <c:ptCount val="1"/>
                <c:pt idx="0">
                  <c:v>Schedule HV</c:v>
                </c:pt>
              </c:strCache>
            </c:strRef>
          </c:tx>
          <c:spPr>
            <a:ln w="25400" cap="rnd">
              <a:noFill/>
              <a:round/>
            </a:ln>
            <a:effectLst>
              <a:outerShdw blurRad="40000" dist="23000" dir="5400000" rotWithShape="0">
                <a:srgbClr val="000000">
                  <a:alpha val="35000"/>
                </a:srgbClr>
              </a:outerShdw>
            </a:effectLst>
          </c:spPr>
          <c:marker>
            <c:symbol val="none"/>
          </c:marker>
          <c:cat>
            <c:strRef>
              <c:f>'J-Sensitivity Charts'!$S$39:$S$48</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Charts'!$U$39:$U$48</c:f>
              <c:numCache>
                <c:formatCode>0.00\ "MO"</c:formatCode>
                <c:ptCount val="10"/>
                <c:pt idx="0">
                  <c:v>6</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C4AD-4F54-B14F-1F28E30317CB}"/>
            </c:ext>
          </c:extLst>
        </c:ser>
        <c:ser>
          <c:idx val="2"/>
          <c:order val="2"/>
          <c:tx>
            <c:strRef>
              <c:f>'J-Sensitivity Charts'!$V$38</c:f>
              <c:strCache>
                <c:ptCount val="1"/>
                <c:pt idx="0">
                  <c:v>ROM Schedule Risk @ 50%</c:v>
                </c:pt>
              </c:strCache>
            </c:strRef>
          </c:tx>
          <c:spPr>
            <a:ln w="25400" cap="rnd">
              <a:noFill/>
              <a:round/>
            </a:ln>
            <a:effectLst>
              <a:outerShdw blurRad="40000" dist="23000" dir="5400000" rotWithShape="0">
                <a:srgbClr val="000000">
                  <a:alpha val="35000"/>
                </a:srgbClr>
              </a:outerShdw>
            </a:effectLst>
          </c:spPr>
          <c:marker>
            <c:symbol val="dash"/>
            <c:size val="10"/>
            <c:spPr>
              <a:solidFill>
                <a:schemeClr val="accent6">
                  <a:lumMod val="75000"/>
                </a:schemeClr>
              </a:solidFill>
              <a:ln w="9525">
                <a:no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cat>
            <c:strRef>
              <c:f>'J-Sensitivity Charts'!$S$39:$S$48</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Charts'!$V$39:$V$48</c:f>
              <c:numCache>
                <c:formatCode>0.00\ "MO"</c:formatCode>
                <c:ptCount val="10"/>
                <c:pt idx="0">
                  <c:v>3</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2-C4AD-4F54-B14F-1F28E30317CB}"/>
            </c:ext>
          </c:extLst>
        </c:ser>
        <c:ser>
          <c:idx val="3"/>
          <c:order val="3"/>
          <c:tx>
            <c:strRef>
              <c:f>'J-Sensitivity Charts'!$W$38</c:f>
              <c:strCache>
                <c:ptCount val="1"/>
                <c:pt idx="0">
                  <c:v>ROM Schedule Risk @ 80%</c:v>
                </c:pt>
              </c:strCache>
            </c:strRef>
          </c:tx>
          <c:spPr>
            <a:ln w="25400" cap="rnd">
              <a:noFill/>
              <a:round/>
            </a:ln>
            <a:effectLst>
              <a:outerShdw blurRad="40000" dist="23000" dir="5400000" rotWithShape="0">
                <a:srgbClr val="000000">
                  <a:alpha val="35000"/>
                </a:srgbClr>
              </a:outerShdw>
            </a:effectLst>
          </c:spPr>
          <c:marker>
            <c:symbol val="dash"/>
            <c:size val="10"/>
            <c:spPr>
              <a:solidFill>
                <a:schemeClr val="accent5">
                  <a:lumMod val="75000"/>
                </a:schemeClr>
              </a:solidFill>
              <a:ln w="9525">
                <a:no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cat>
            <c:strRef>
              <c:f>'J-Sensitivity Charts'!$S$39:$S$48</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Charts'!$W$39:$W$48</c:f>
              <c:numCache>
                <c:formatCode>0.00\ "MO"</c:formatCode>
                <c:ptCount val="10"/>
                <c:pt idx="0">
                  <c:v>6.12</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3-C4AD-4F54-B14F-1F28E30317CB}"/>
            </c:ext>
          </c:extLst>
        </c:ser>
        <c:ser>
          <c:idx val="4"/>
          <c:order val="4"/>
          <c:tx>
            <c:strRef>
              <c:f>'J-Sensitivity Charts'!$X$38</c:f>
              <c:strCache>
                <c:ptCount val="1"/>
                <c:pt idx="0">
                  <c:v>ROM Schedule Risk @ 90%</c:v>
                </c:pt>
              </c:strCache>
            </c:strRef>
          </c:tx>
          <c:spPr>
            <a:ln w="25400" cap="rnd">
              <a:noFill/>
              <a:round/>
            </a:ln>
            <a:effectLst>
              <a:outerShdw blurRad="40000" dist="23000" dir="5400000" rotWithShape="0">
                <a:srgbClr val="000000">
                  <a:alpha val="35000"/>
                </a:srgbClr>
              </a:outerShdw>
            </a:effectLst>
          </c:spPr>
          <c:marker>
            <c:symbol val="dash"/>
            <c:size val="10"/>
            <c:spPr>
              <a:solidFill>
                <a:srgbClr val="FF0000"/>
              </a:solidFill>
              <a:ln w="9525">
                <a:no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cat>
            <c:strRef>
              <c:f>'J-Sensitivity Charts'!$S$39:$S$48</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Charts'!$X$39:$X$48</c:f>
              <c:numCache>
                <c:formatCode>0.00\ "MO"</c:formatCode>
                <c:ptCount val="10"/>
                <c:pt idx="0">
                  <c:v>7.68</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4-C4AD-4F54-B14F-1F28E30317CB}"/>
            </c:ext>
          </c:extLst>
        </c:ser>
        <c:dLbls>
          <c:showLegendKey val="0"/>
          <c:showVal val="0"/>
          <c:showCatName val="0"/>
          <c:showSerName val="0"/>
          <c:showPercent val="0"/>
          <c:showBubbleSize val="0"/>
        </c:dLbls>
        <c:hiLowLines>
          <c:spPr>
            <a:ln w="254000" cap="flat" cmpd="sng" algn="ctr">
              <a:gradFill flip="none" rotWithShape="1">
                <a:gsLst>
                  <a:gs pos="0">
                    <a:srgbClr val="FF0000"/>
                  </a:gs>
                  <a:gs pos="50000">
                    <a:schemeClr val="accent5">
                      <a:lumMod val="75000"/>
                    </a:schemeClr>
                  </a:gs>
                  <a:gs pos="100000">
                    <a:schemeClr val="accent6">
                      <a:lumMod val="75000"/>
                    </a:schemeClr>
                  </a:gs>
                </a:gsLst>
                <a:lin ang="5400000" scaled="1"/>
                <a:tileRect/>
              </a:gradFill>
              <a:round/>
            </a:ln>
            <a:effectLst/>
          </c:spPr>
        </c:hiLowLines>
        <c:axId val="182128719"/>
        <c:axId val="182129703"/>
      </c:stockChart>
      <c:catAx>
        <c:axId val="182128719"/>
        <c:scaling>
          <c:orientation val="minMax"/>
        </c:scaling>
        <c:delete val="0"/>
        <c:axPos val="b"/>
        <c:numFmt formatCode="General" sourceLinked="1"/>
        <c:majorTickMark val="none"/>
        <c:minorTickMark val="none"/>
        <c:tickLblPos val="low"/>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1" i="0" u="none" strike="noStrike" kern="1200" baseline="0">
                <a:solidFill>
                  <a:schemeClr val="lt1">
                    <a:lumMod val="85000"/>
                  </a:schemeClr>
                </a:solidFill>
                <a:latin typeface="+mn-lt"/>
                <a:ea typeface="+mn-ea"/>
                <a:cs typeface="+mn-cs"/>
              </a:defRPr>
            </a:pPr>
            <a:endParaRPr lang="en-US"/>
          </a:p>
        </c:txPr>
        <c:crossAx val="182129703"/>
        <c:crosses val="autoZero"/>
        <c:auto val="1"/>
        <c:lblAlgn val="ctr"/>
        <c:lblOffset val="100"/>
        <c:noMultiLvlLbl val="0"/>
      </c:catAx>
      <c:valAx>
        <c:axId val="182129703"/>
        <c:scaling>
          <c:orientation val="minMax"/>
        </c:scaling>
        <c:delete val="0"/>
        <c:axPos val="l"/>
        <c:majorGridlines>
          <c:spPr>
            <a:ln w="9525" cap="flat" cmpd="sng" algn="ctr">
              <a:solidFill>
                <a:schemeClr val="lt1">
                  <a:lumMod val="95000"/>
                  <a:alpha val="10000"/>
                </a:schemeClr>
              </a:solidFill>
              <a:round/>
            </a:ln>
            <a:effectLst/>
          </c:spPr>
        </c:majorGridlines>
        <c:numFmt formatCode="0.0\ &quot;MO&quot;" sourceLinked="0"/>
        <c:majorTickMark val="none"/>
        <c:minorTickMark val="none"/>
        <c:tickLblPos val="nextTo"/>
        <c:spPr>
          <a:noFill/>
          <a:ln>
            <a:noFill/>
          </a:ln>
          <a:effectLst/>
        </c:spPr>
        <c:txPr>
          <a:bodyPr rot="-60000000" spcFirstLastPara="1" vertOverflow="ellipsis" vert="horz" wrap="square" anchor="ctr" anchorCtr="1"/>
          <a:lstStyle/>
          <a:p>
            <a:pPr>
              <a:defRPr sz="1100" b="1" i="0" u="none" strike="noStrike" kern="1200" baseline="0">
                <a:solidFill>
                  <a:schemeClr val="lt1">
                    <a:lumMod val="85000"/>
                  </a:schemeClr>
                </a:solidFill>
                <a:latin typeface="+mn-lt"/>
                <a:ea typeface="+mn-ea"/>
                <a:cs typeface="+mn-cs"/>
              </a:defRPr>
            </a:pPr>
            <a:endParaRPr lang="en-US"/>
          </a:p>
        </c:txPr>
        <c:crossAx val="182128719"/>
        <c:crosses val="autoZero"/>
        <c:crossBetween val="between"/>
      </c:valAx>
      <c:spPr>
        <a:noFill/>
        <a:ln>
          <a:noFill/>
        </a:ln>
        <a:effectLst/>
      </c:spPr>
    </c:plotArea>
    <c:legend>
      <c:legendPos val="b"/>
      <c:legendEntry>
        <c:idx val="0"/>
        <c:delete val="1"/>
      </c:legendEntry>
      <c:legendEntry>
        <c:idx val="1"/>
        <c:delete val="1"/>
      </c:legendEntry>
      <c:overlay val="0"/>
      <c:spPr>
        <a:noFill/>
        <a:ln>
          <a:noFill/>
        </a:ln>
        <a:effectLst/>
      </c:spPr>
      <c:txPr>
        <a:bodyPr rot="0" spcFirstLastPara="1" vertOverflow="ellipsis" vert="horz" wrap="square" anchor="ctr" anchorCtr="1"/>
        <a:lstStyle/>
        <a:p>
          <a:pPr>
            <a:defRPr sz="1100" b="1"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a:t>Cost Contingency </a:t>
            </a:r>
          </a:p>
        </c:rich>
      </c:tx>
      <c:layout>
        <c:manualLayout>
          <c:xMode val="edge"/>
          <c:yMode val="edge"/>
          <c:x val="0.41084543126834738"/>
          <c:y val="2.9906534176537467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0.177523304271514"/>
          <c:y val="0.18708603093456724"/>
          <c:w val="0.80910541871073494"/>
          <c:h val="0.67569091132751113"/>
        </c:manualLayout>
      </c:layout>
      <c:barChart>
        <c:barDir val="col"/>
        <c:grouping val="stacked"/>
        <c:varyColors val="0"/>
        <c:ser>
          <c:idx val="1"/>
          <c:order val="0"/>
          <c:tx>
            <c:strRef>
              <c:f>'I-Project Contingency'!$C$20</c:f>
              <c:strCache>
                <c:ptCount val="1"/>
                <c:pt idx="0">
                  <c:v>Base Estimate</c:v>
                </c:pt>
              </c:strCache>
            </c:strRef>
          </c:tx>
          <c:spPr>
            <a:solidFill>
              <a:schemeClr val="accent6">
                <a:lumMod val="50000"/>
              </a:schemeClr>
            </a:solidFill>
            <a:ln>
              <a:solidFill>
                <a:schemeClr val="tx1"/>
              </a:solidFill>
            </a:ln>
            <a:effectLst>
              <a:glow rad="63500">
                <a:schemeClr val="accent3">
                  <a:alpha val="25000"/>
                </a:schemeClr>
              </a:glow>
              <a:softEdge rad="0"/>
            </a:effectLst>
          </c:spPr>
          <c:invertIfNegative val="0"/>
          <c:cat>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cat>
          <c:val>
            <c:numRef>
              <c:f>'I-Project Contingency'!$G$23:$G$33</c:f>
              <c:numCache>
                <c:formatCode>"$"#,##0</c:formatCode>
                <c:ptCount val="11"/>
                <c:pt idx="0">
                  <c:v>7250000</c:v>
                </c:pt>
                <c:pt idx="1">
                  <c:v>7250000</c:v>
                </c:pt>
                <c:pt idx="2">
                  <c:v>7250000</c:v>
                </c:pt>
                <c:pt idx="3">
                  <c:v>7250000</c:v>
                </c:pt>
                <c:pt idx="4">
                  <c:v>7250000</c:v>
                </c:pt>
                <c:pt idx="5">
                  <c:v>7250000</c:v>
                </c:pt>
                <c:pt idx="6">
                  <c:v>7250000</c:v>
                </c:pt>
                <c:pt idx="7">
                  <c:v>7250000</c:v>
                </c:pt>
                <c:pt idx="8">
                  <c:v>7250000</c:v>
                </c:pt>
                <c:pt idx="9">
                  <c:v>7250000</c:v>
                </c:pt>
                <c:pt idx="10">
                  <c:v>7250000</c:v>
                </c:pt>
              </c:numCache>
            </c:numRef>
          </c:val>
          <c:extLst>
            <c:ext xmlns:c16="http://schemas.microsoft.com/office/drawing/2014/chart" uri="{C3380CC4-5D6E-409C-BE32-E72D297353CC}">
              <c16:uniqueId val="{00000000-8AA1-4334-9950-990AF96D1D79}"/>
            </c:ext>
          </c:extLst>
        </c:ser>
        <c:ser>
          <c:idx val="0"/>
          <c:order val="1"/>
          <c:tx>
            <c:v>Contingency</c:v>
          </c:tx>
          <c:spPr>
            <a:solidFill>
              <a:srgbClr val="FF0000"/>
            </a:solidFill>
            <a:ln>
              <a:solidFill>
                <a:schemeClr val="tx1"/>
              </a:solidFill>
            </a:ln>
            <a:effectLst>
              <a:glow rad="63500">
                <a:schemeClr val="accent3">
                  <a:alpha val="25000"/>
                </a:schemeClr>
              </a:glow>
            </a:effectLst>
          </c:spPr>
          <c:invertIfNegative val="0"/>
          <c:dPt>
            <c:idx val="16"/>
            <c:invertIfNegative val="0"/>
            <c:bubble3D val="0"/>
            <c:extLst>
              <c:ext xmlns:c16="http://schemas.microsoft.com/office/drawing/2014/chart" uri="{C3380CC4-5D6E-409C-BE32-E72D297353CC}">
                <c16:uniqueId val="{00000004-8AA1-4334-9950-990AF96D1D79}"/>
              </c:ext>
            </c:extLst>
          </c:dPt>
          <c:dLbls>
            <c:numFmt formatCode="&quot;$&quot;#,##0.0,,\ &quot;M&quot;" sourceLinked="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cat>
          <c:val>
            <c:numRef>
              <c:f>'I-Project Contingency'!$D$23:$D$33</c:f>
              <c:numCache>
                <c:formatCode>"$"#,##0</c:formatCode>
                <c:ptCount val="11"/>
                <c:pt idx="0">
                  <c:v>-290000</c:v>
                </c:pt>
                <c:pt idx="1">
                  <c:v>217500</c:v>
                </c:pt>
                <c:pt idx="2">
                  <c:v>580000</c:v>
                </c:pt>
                <c:pt idx="3">
                  <c:v>942500</c:v>
                </c:pt>
                <c:pt idx="4">
                  <c:v>1305000.0000000002</c:v>
                </c:pt>
                <c:pt idx="5">
                  <c:v>1740000.0000000002</c:v>
                </c:pt>
                <c:pt idx="6">
                  <c:v>2175000</c:v>
                </c:pt>
                <c:pt idx="7">
                  <c:v>2755000</c:v>
                </c:pt>
                <c:pt idx="8">
                  <c:v>3335000</c:v>
                </c:pt>
                <c:pt idx="9">
                  <c:v>4205000</c:v>
                </c:pt>
                <c:pt idx="10">
                  <c:v>6017500</c:v>
                </c:pt>
              </c:numCache>
            </c:numRef>
          </c:val>
          <c:extLst>
            <c:ext xmlns:c16="http://schemas.microsoft.com/office/drawing/2014/chart" uri="{C3380CC4-5D6E-409C-BE32-E72D297353CC}">
              <c16:uniqueId val="{00000005-8AA1-4334-9950-990AF96D1D79}"/>
            </c:ext>
          </c:extLst>
        </c:ser>
        <c:dLbls>
          <c:showLegendKey val="0"/>
          <c:showVal val="0"/>
          <c:showCatName val="0"/>
          <c:showSerName val="0"/>
          <c:showPercent val="0"/>
          <c:showBubbleSize val="0"/>
        </c:dLbls>
        <c:gapWidth val="150"/>
        <c:overlap val="100"/>
        <c:axId val="771890336"/>
        <c:axId val="771891120"/>
      </c:barChart>
      <c:catAx>
        <c:axId val="771890336"/>
        <c:scaling>
          <c:orientation val="minMax"/>
        </c:scaling>
        <c:delete val="0"/>
        <c:axPos val="t"/>
        <c:title>
          <c:tx>
            <c:rich>
              <a:bodyPr rot="0" spcFirstLastPara="1" vertOverflow="ellipsis" vert="horz" wrap="square" anchor="ctr" anchorCtr="1"/>
              <a:lstStyle/>
              <a:p>
                <a:pPr>
                  <a:defRPr sz="1100" b="1" i="0" u="none" strike="noStrike" kern="1200" cap="all" baseline="0">
                    <a:solidFill>
                      <a:schemeClr val="lt1">
                        <a:lumMod val="85000"/>
                      </a:schemeClr>
                    </a:solidFill>
                    <a:latin typeface="+mn-lt"/>
                    <a:ea typeface="+mn-ea"/>
                    <a:cs typeface="+mn-cs"/>
                  </a:defRPr>
                </a:pPr>
                <a:r>
                  <a:rPr lang="en-US" sz="1100"/>
                  <a:t>Confidence Levels</a:t>
                </a:r>
              </a:p>
            </c:rich>
          </c:tx>
          <c:layout>
            <c:manualLayout>
              <c:xMode val="edge"/>
              <c:yMode val="edge"/>
              <c:x val="0.5045368835474513"/>
              <c:y val="0.88848490813648284"/>
            </c:manualLayout>
          </c:layout>
          <c:overlay val="0"/>
          <c:spPr>
            <a:noFill/>
            <a:ln>
              <a:noFill/>
            </a:ln>
            <a:effectLst/>
          </c:spPr>
          <c:txPr>
            <a:bodyPr rot="0" spcFirstLastPara="1" vertOverflow="ellipsis" vert="horz" wrap="square" anchor="ctr" anchorCtr="1"/>
            <a:lstStyle/>
            <a:p>
              <a:pPr>
                <a:defRPr sz="1100" b="1" i="0" u="none" strike="noStrike" kern="1200" cap="all" baseline="0">
                  <a:solidFill>
                    <a:schemeClr val="lt1">
                      <a:lumMod val="85000"/>
                    </a:schemeClr>
                  </a:solidFill>
                  <a:latin typeface="+mn-lt"/>
                  <a:ea typeface="+mn-ea"/>
                  <a:cs typeface="+mn-cs"/>
                </a:defRPr>
              </a:pPr>
              <a:endParaRPr lang="en-US"/>
            </a:p>
          </c:txPr>
        </c:title>
        <c:numFmt formatCode="0%" sourceLinked="1"/>
        <c:majorTickMark val="none"/>
        <c:minorTickMark val="none"/>
        <c:tickLblPos val="nextTo"/>
        <c:spPr>
          <a:noFill/>
          <a:ln w="12700" cap="flat" cmpd="sng" algn="ctr">
            <a:solidFill>
              <a:schemeClr val="lt1">
                <a:lumMod val="95000"/>
                <a:alpha val="54000"/>
              </a:schemeClr>
            </a:solidFill>
            <a:round/>
          </a:ln>
          <a:effectLst/>
        </c:spPr>
        <c:txPr>
          <a:bodyPr rot="-5400000" spcFirstLastPara="1" vertOverflow="ellipsis" wrap="square" anchor="ctr" anchorCtr="1"/>
          <a:lstStyle/>
          <a:p>
            <a:pPr>
              <a:defRPr sz="1000" b="1" i="0" u="none" strike="noStrike" kern="1200" baseline="0">
                <a:solidFill>
                  <a:schemeClr val="lt1">
                    <a:lumMod val="85000"/>
                  </a:schemeClr>
                </a:solidFill>
                <a:latin typeface="+mn-lt"/>
                <a:ea typeface="+mn-ea"/>
                <a:cs typeface="+mn-cs"/>
              </a:defRPr>
            </a:pPr>
            <a:endParaRPr lang="en-US"/>
          </a:p>
        </c:txPr>
        <c:crossAx val="771891120"/>
        <c:crosses val="max"/>
        <c:auto val="1"/>
        <c:lblAlgn val="ctr"/>
        <c:lblOffset val="100"/>
        <c:tickLblSkip val="1"/>
        <c:tickMarkSkip val="1"/>
        <c:noMultiLvlLbl val="0"/>
      </c:catAx>
      <c:valAx>
        <c:axId val="771891120"/>
        <c:scaling>
          <c:orientation val="minMax"/>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1100" b="1" i="0" u="none" strike="noStrike" kern="1200" cap="all" baseline="0">
                    <a:solidFill>
                      <a:schemeClr val="lt1">
                        <a:lumMod val="85000"/>
                      </a:schemeClr>
                    </a:solidFill>
                    <a:latin typeface="+mn-lt"/>
                    <a:ea typeface="+mn-ea"/>
                    <a:cs typeface="+mn-cs"/>
                  </a:defRPr>
                </a:pPr>
                <a:r>
                  <a:rPr lang="en-US" sz="1100"/>
                  <a:t>Cost</a:t>
                </a:r>
              </a:p>
            </c:rich>
          </c:tx>
          <c:layout>
            <c:manualLayout>
              <c:xMode val="edge"/>
              <c:yMode val="edge"/>
              <c:x val="2.8933005082079983E-2"/>
              <c:y val="0.49939008538804641"/>
            </c:manualLayout>
          </c:layout>
          <c:overlay val="0"/>
          <c:spPr>
            <a:noFill/>
            <a:ln>
              <a:noFill/>
            </a:ln>
            <a:effectLst/>
          </c:spPr>
          <c:txPr>
            <a:bodyPr rot="-5400000" spcFirstLastPara="1" vertOverflow="ellipsis" vert="horz" wrap="square" anchor="ctr" anchorCtr="1"/>
            <a:lstStyle/>
            <a:p>
              <a:pPr>
                <a:defRPr sz="1100" b="1" i="0" u="none" strike="noStrike" kern="1200" cap="all" baseline="0">
                  <a:solidFill>
                    <a:schemeClr val="lt1">
                      <a:lumMod val="85000"/>
                    </a:schemeClr>
                  </a:solidFill>
                  <a:latin typeface="+mn-lt"/>
                  <a:ea typeface="+mn-ea"/>
                  <a:cs typeface="+mn-cs"/>
                </a:defRPr>
              </a:pPr>
              <a:endParaRPr lang="en-US"/>
            </a:p>
          </c:txPr>
        </c:title>
        <c:numFmt formatCode="&quot;$&quot;#,##0.0,,\ &quot;M&quot;" sourceLinked="0"/>
        <c:majorTickMark val="none"/>
        <c:minorTickMark val="none"/>
        <c:tickLblPos val="nextTo"/>
        <c:spPr>
          <a:noFill/>
          <a:ln>
            <a:noFill/>
          </a:ln>
          <a:effectLst/>
        </c:spPr>
        <c:txPr>
          <a:bodyPr rot="0" spcFirstLastPara="1" vertOverflow="ellipsis" wrap="square" anchor="ctr" anchorCtr="1"/>
          <a:lstStyle/>
          <a:p>
            <a:pPr>
              <a:defRPr sz="1000" b="1" i="0" u="none" strike="noStrike" kern="1200" baseline="0">
                <a:solidFill>
                  <a:schemeClr val="lt1">
                    <a:lumMod val="85000"/>
                  </a:schemeClr>
                </a:solidFill>
                <a:latin typeface="+mn-lt"/>
                <a:ea typeface="+mn-ea"/>
                <a:cs typeface="+mn-cs"/>
              </a:defRPr>
            </a:pPr>
            <a:endParaRPr lang="en-US"/>
          </a:p>
        </c:txPr>
        <c:crossAx val="771890336"/>
        <c:crosses val="autoZero"/>
        <c:crossBetween val="between"/>
      </c:valAx>
      <c:spPr>
        <a:noFill/>
        <a:ln>
          <a:noFill/>
        </a:ln>
        <a:effectLst/>
      </c:spPr>
    </c:plotArea>
    <c:legend>
      <c:legendPos val="b"/>
      <c:layout>
        <c:manualLayout>
          <c:xMode val="edge"/>
          <c:yMode val="edge"/>
          <c:x val="0.45345927153842613"/>
          <c:y val="0.93735870516185482"/>
          <c:w val="0.25097617923532634"/>
          <c:h val="5.9863571005956184E-2"/>
        </c:manualLayout>
      </c:layout>
      <c:overlay val="0"/>
      <c:spPr>
        <a:noFill/>
        <a:ln>
          <a:noFill/>
        </a:ln>
        <a:effectLst/>
      </c:spPr>
      <c:txPr>
        <a:bodyPr rot="0" spcFirstLastPara="1" vertOverflow="ellipsis" vert="horz" wrap="square" anchor="ctr" anchorCtr="1"/>
        <a:lstStyle/>
        <a:p>
          <a:pPr>
            <a:defRPr sz="1100" b="1"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a:outerShdw blurRad="50800" dist="38100" algn="l" rotWithShape="0">
        <a:prstClr val="black">
          <a:alpha val="40000"/>
        </a:prstClr>
      </a:outerShdw>
    </a:effectLst>
  </c:spPr>
  <c:txPr>
    <a:bodyPr/>
    <a:lstStyle/>
    <a:p>
      <a:pPr>
        <a:defRPr/>
      </a:pPr>
      <a:endParaRPr lang="en-US"/>
    </a:p>
  </c:txPr>
  <c:printSettings>
    <c:headerFooter alignWithMargins="0"/>
    <c:pageMargins b="1" l="0.75000000000001465" r="0.75000000000001465" t="1" header="0.5" footer="0.5"/>
    <c:pageSetup orientation="landscape" verticalDpi="4"/>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baseline="0">
                <a:solidFill>
                  <a:schemeClr val="lt1">
                    <a:lumMod val="85000"/>
                  </a:schemeClr>
                </a:solidFill>
                <a:latin typeface="+mn-lt"/>
                <a:ea typeface="+mn-ea"/>
                <a:cs typeface="+mn-cs"/>
              </a:defRPr>
            </a:pPr>
            <a:r>
              <a:rPr lang="en-US" sz="1600"/>
              <a:t>Top Cost Risks</a:t>
            </a:r>
          </a:p>
        </c:rich>
      </c:tx>
      <c:overlay val="0"/>
      <c:spPr>
        <a:noFill/>
        <a:ln>
          <a:noFill/>
        </a:ln>
        <a:effectLst/>
      </c:spPr>
      <c:txPr>
        <a:bodyPr rot="0" spcFirstLastPara="1" vertOverflow="ellipsis" vert="horz" wrap="square" anchor="ctr" anchorCtr="1"/>
        <a:lstStyle/>
        <a:p>
          <a:pPr>
            <a:defRPr sz="1600" b="1" i="0" u="none" strike="noStrike" kern="1200" cap="none" baseline="0">
              <a:solidFill>
                <a:schemeClr val="lt1">
                  <a:lumMod val="85000"/>
                </a:schemeClr>
              </a:solidFill>
              <a:latin typeface="+mn-lt"/>
              <a:ea typeface="+mn-ea"/>
              <a:cs typeface="+mn-cs"/>
            </a:defRPr>
          </a:pPr>
          <a:endParaRPr lang="en-US"/>
        </a:p>
      </c:txPr>
    </c:title>
    <c:autoTitleDeleted val="0"/>
    <c:plotArea>
      <c:layout/>
      <c:barChart>
        <c:barDir val="bar"/>
        <c:grouping val="clustered"/>
        <c:varyColors val="0"/>
        <c:ser>
          <c:idx val="1"/>
          <c:order val="0"/>
          <c:tx>
            <c:strRef>
              <c:f>'J-Sensitivity Charts'!$X$16</c:f>
              <c:strCache>
                <c:ptCount val="1"/>
                <c:pt idx="0">
                  <c:v>ROM Cost Risk @ 90%</c:v>
                </c:pt>
              </c:strCache>
            </c:strRef>
          </c:tx>
          <c:spPr>
            <a:solidFill>
              <a:srgbClr val="FF0000">
                <a:alpha val="50000"/>
              </a:srgbClr>
            </a:solidFill>
            <a:ln w="9525" cap="flat" cmpd="sng" algn="ctr">
              <a:noFill/>
              <a:miter lim="800000"/>
            </a:ln>
            <a:effectLst/>
          </c:spPr>
          <c:invertIfNegative val="0"/>
          <c:cat>
            <c:strRef>
              <c:f>'J-Sensitivity Charts'!$S$17:$S$27</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Charts'!$X$17:$X$27</c:f>
              <c:numCache>
                <c:formatCode>"$"#,##0.00,,\ "M"</c:formatCode>
                <c:ptCount val="11"/>
                <c:pt idx="0">
                  <c:v>4205000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87E7-4F5F-8979-B23EE1F9006B}"/>
            </c:ext>
          </c:extLst>
        </c:ser>
        <c:ser>
          <c:idx val="0"/>
          <c:order val="1"/>
          <c:tx>
            <c:strRef>
              <c:f>'J-Sensitivity Charts'!$W$16</c:f>
              <c:strCache>
                <c:ptCount val="1"/>
                <c:pt idx="0">
                  <c:v>ROM Cost Risk @ 80%</c:v>
                </c:pt>
              </c:strCache>
            </c:strRef>
          </c:tx>
          <c:spPr>
            <a:solidFill>
              <a:schemeClr val="accent1">
                <a:alpha val="50000"/>
              </a:schemeClr>
            </a:solidFill>
            <a:ln w="9525" cap="flat" cmpd="sng" algn="ctr">
              <a:noFill/>
              <a:miter lim="800000"/>
            </a:ln>
            <a:effectLst/>
          </c:spPr>
          <c:invertIfNegative val="0"/>
          <c:cat>
            <c:strRef>
              <c:f>'J-Sensitivity Charts'!$S$17:$S$27</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Charts'!$W$17:$W$27</c:f>
              <c:numCache>
                <c:formatCode>"$"#,##0.00,,\ "M"</c:formatCode>
                <c:ptCount val="11"/>
                <c:pt idx="0">
                  <c:v>3335000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87E7-4F5F-8979-B23EE1F9006B}"/>
            </c:ext>
          </c:extLst>
        </c:ser>
        <c:ser>
          <c:idx val="2"/>
          <c:order val="2"/>
          <c:tx>
            <c:strRef>
              <c:f>'J-Sensitivity Charts'!$V$16</c:f>
              <c:strCache>
                <c:ptCount val="1"/>
                <c:pt idx="0">
                  <c:v>ROM Cost Risk @ 50%</c:v>
                </c:pt>
              </c:strCache>
            </c:strRef>
          </c:tx>
          <c:spPr>
            <a:solidFill>
              <a:schemeClr val="accent6">
                <a:alpha val="50000"/>
              </a:schemeClr>
            </a:solidFill>
            <a:ln w="9525" cap="flat" cmpd="sng" algn="ctr">
              <a:noFill/>
              <a:miter lim="800000"/>
            </a:ln>
            <a:effectLst/>
          </c:spPr>
          <c:invertIfNegative val="0"/>
          <c:errBars>
            <c:errBarType val="both"/>
            <c:errValType val="cust"/>
            <c:noEndCap val="1"/>
            <c:plus>
              <c:numLit>
                <c:formatCode>General</c:formatCode>
                <c:ptCount val="1"/>
                <c:pt idx="0">
                  <c:v>1</c:v>
                </c:pt>
              </c:numLit>
            </c:plus>
            <c:minus>
              <c:numLit>
                <c:formatCode>General</c:formatCode>
                <c:ptCount val="1"/>
                <c:pt idx="0">
                  <c:v>1</c:v>
                </c:pt>
              </c:numLit>
            </c:minus>
            <c:spPr>
              <a:noFill/>
              <a:ln w="9525">
                <a:solidFill>
                  <a:schemeClr val="lt1">
                    <a:lumMod val="50000"/>
                  </a:schemeClr>
                </a:solidFill>
                <a:round/>
              </a:ln>
              <a:effectLst/>
            </c:spPr>
          </c:errBars>
          <c:cat>
            <c:strRef>
              <c:f>'J-Sensitivity Charts'!$S$17:$S$27</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Charts'!$V$17:$V$27</c:f>
              <c:numCache>
                <c:formatCode>"$"#,##0.00,,\ "M"</c:formatCode>
                <c:ptCount val="11"/>
                <c:pt idx="0">
                  <c:v>1740000.0000000002</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87E7-4F5F-8979-B23EE1F9006B}"/>
            </c:ext>
          </c:extLst>
        </c:ser>
        <c:dLbls>
          <c:showLegendKey val="0"/>
          <c:showVal val="0"/>
          <c:showCatName val="0"/>
          <c:showSerName val="0"/>
          <c:showPercent val="0"/>
          <c:showBubbleSize val="0"/>
        </c:dLbls>
        <c:gapWidth val="182"/>
        <c:axId val="1301294288"/>
        <c:axId val="1301296256"/>
      </c:barChart>
      <c:catAx>
        <c:axId val="1301294288"/>
        <c:scaling>
          <c:orientation val="maxMin"/>
        </c:scaling>
        <c:delete val="0"/>
        <c:axPos val="l"/>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lt1">
                    <a:lumMod val="75000"/>
                  </a:schemeClr>
                </a:solidFill>
                <a:latin typeface="+mn-lt"/>
                <a:ea typeface="+mn-ea"/>
                <a:cs typeface="+mn-cs"/>
              </a:defRPr>
            </a:pPr>
            <a:endParaRPr lang="en-US"/>
          </a:p>
        </c:txPr>
        <c:crossAx val="1301296256"/>
        <c:crosses val="autoZero"/>
        <c:auto val="1"/>
        <c:lblAlgn val="ctr"/>
        <c:lblOffset val="100"/>
        <c:noMultiLvlLbl val="0"/>
      </c:catAx>
      <c:valAx>
        <c:axId val="1301296256"/>
        <c:scaling>
          <c:orientation val="minMax"/>
        </c:scaling>
        <c:delete val="0"/>
        <c:axPos val="t"/>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quot;$&quot;#,##0,,\ &quot;M&quot;" sourceLinked="0"/>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lt1">
                    <a:lumMod val="75000"/>
                  </a:schemeClr>
                </a:solidFill>
                <a:latin typeface="+mn-lt"/>
                <a:ea typeface="+mn-ea"/>
                <a:cs typeface="+mn-cs"/>
              </a:defRPr>
            </a:pPr>
            <a:endParaRPr lang="en-US"/>
          </a:p>
        </c:txPr>
        <c:crossAx val="1301294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1" i="0" u="none" strike="noStrike" kern="1200" baseline="0">
              <a:solidFill>
                <a:schemeClr val="lt1">
                  <a:lumMod val="7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9">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dk1">
                <a:lumMod val="65000"/>
                <a:lumOff val="35000"/>
              </a:schemeClr>
            </a:gs>
            <a:gs pos="100000">
              <a:schemeClr val="dk1">
                <a:lumMod val="75000"/>
                <a:lumOff val="25000"/>
              </a:schemeClr>
            </a:gs>
          </a:gsLst>
          <a:lin ang="10800000" scaled="0"/>
        </a:gradFill>
        <a:round/>
      </a:ln>
      <a:effectLst/>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339">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dk1">
                <a:lumMod val="65000"/>
                <a:lumOff val="35000"/>
              </a:schemeClr>
            </a:gs>
            <a:gs pos="100000">
              <a:schemeClr val="dk1">
                <a:lumMod val="75000"/>
                <a:lumOff val="25000"/>
              </a:schemeClr>
            </a:gs>
          </a:gsLst>
          <a:lin ang="10800000" scaled="0"/>
        </a:gradFill>
        <a:round/>
      </a:ln>
      <a:effectLst/>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32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gradFill>
        <a:gsLst>
          <a:gs pos="100000">
            <a:schemeClr val="dk1">
              <a:lumMod val="95000"/>
              <a:lumOff val="5000"/>
            </a:schemeClr>
          </a:gs>
          <a:gs pos="0">
            <a:schemeClr val="dk1">
              <a:lumMod val="75000"/>
              <a:lumOff val="25000"/>
            </a:schemeClr>
          </a:gs>
        </a:gsLst>
        <a:path path="circle">
          <a:fillToRect l="50000" t="50000" r="50000" b="50000"/>
        </a:path>
      </a:gradFill>
      <a:ln w="9525">
        <a:solidFill>
          <a:schemeClr val="dk1">
            <a:lumMod val="75000"/>
            <a:lumOff val="25000"/>
          </a:schemeClr>
        </a:solidFill>
      </a:ln>
    </cs:spPr>
  </cs:downBar>
  <cs:dropLine>
    <cs:lnRef idx="0"/>
    <cs:fillRef idx="0"/>
    <cs:effectRef idx="0"/>
    <cs:fontRef idx="minor">
      <a:schemeClr val="tx1"/>
    </cs:fontRef>
    <cs:spPr>
      <a:ln w="9525" cap="flat" cmpd="sng" algn="ctr">
        <a:solidFill>
          <a:schemeClr val="lt1"/>
        </a:solidFill>
        <a:round/>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cap="flat" cmpd="sng" algn="ctr">
        <a:solidFill>
          <a:schemeClr val="lt1"/>
        </a:solidFill>
        <a:round/>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gradFill>
        <a:gsLst>
          <a:gs pos="100000">
            <a:schemeClr val="lt1">
              <a:lumMod val="85000"/>
            </a:schemeClr>
          </a:gs>
          <a:gs pos="0">
            <a:schemeClr val="lt1"/>
          </a:gs>
        </a:gsLst>
        <a:path path="circle">
          <a:fillToRect l="50000" t="50000" r="50000" b="50000"/>
        </a:path>
      </a:gradFill>
      <a:ln w="9525" cap="flat" cmpd="sng" algn="ctr">
        <a:solidFill>
          <a:schemeClr val="lt1"/>
        </a:solidFill>
        <a:round/>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32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gradFill>
        <a:gsLst>
          <a:gs pos="100000">
            <a:schemeClr val="dk1">
              <a:lumMod val="95000"/>
              <a:lumOff val="5000"/>
            </a:schemeClr>
          </a:gs>
          <a:gs pos="0">
            <a:schemeClr val="dk1">
              <a:lumMod val="75000"/>
              <a:lumOff val="25000"/>
            </a:schemeClr>
          </a:gs>
        </a:gsLst>
        <a:path path="circle">
          <a:fillToRect l="50000" t="50000" r="50000" b="50000"/>
        </a:path>
      </a:gradFill>
      <a:ln w="9525">
        <a:solidFill>
          <a:schemeClr val="dk1">
            <a:lumMod val="75000"/>
            <a:lumOff val="25000"/>
          </a:schemeClr>
        </a:solidFill>
      </a:ln>
    </cs:spPr>
  </cs:downBar>
  <cs:dropLine>
    <cs:lnRef idx="0"/>
    <cs:fillRef idx="0"/>
    <cs:effectRef idx="0"/>
    <cs:fontRef idx="minor">
      <a:schemeClr val="tx1"/>
    </cs:fontRef>
    <cs:spPr>
      <a:ln w="9525" cap="flat" cmpd="sng" algn="ctr">
        <a:solidFill>
          <a:schemeClr val="lt1"/>
        </a:solidFill>
        <a:round/>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cap="flat" cmpd="sng" algn="ctr">
        <a:solidFill>
          <a:schemeClr val="lt1"/>
        </a:solidFill>
        <a:round/>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gradFill>
        <a:gsLst>
          <a:gs pos="100000">
            <a:schemeClr val="lt1">
              <a:lumMod val="85000"/>
            </a:schemeClr>
          </a:gs>
          <a:gs pos="0">
            <a:schemeClr val="lt1"/>
          </a:gs>
        </a:gsLst>
        <a:path path="circle">
          <a:fillToRect l="50000" t="50000" r="50000" b="50000"/>
        </a:path>
      </a:gradFill>
      <a:ln w="9525" cap="flat" cmpd="sng" algn="ctr">
        <a:solidFill>
          <a:schemeClr val="lt1"/>
        </a:solidFill>
        <a:round/>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30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339">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dk1">
                <a:lumMod val="65000"/>
                <a:lumOff val="35000"/>
              </a:schemeClr>
            </a:gs>
            <a:gs pos="100000">
              <a:schemeClr val="dk1">
                <a:lumMod val="75000"/>
                <a:lumOff val="25000"/>
              </a:schemeClr>
            </a:gs>
          </a:gsLst>
          <a:lin ang="10800000" scaled="0"/>
        </a:gradFill>
        <a:round/>
      </a:ln>
      <a:effectLst/>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339">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dk1">
                <a:lumMod val="65000"/>
                <a:lumOff val="35000"/>
              </a:schemeClr>
            </a:gs>
            <a:gs pos="100000">
              <a:schemeClr val="dk1">
                <a:lumMod val="75000"/>
                <a:lumOff val="25000"/>
              </a:schemeClr>
            </a:gs>
          </a:gsLst>
          <a:lin ang="10800000" scaled="0"/>
        </a:gradFill>
        <a:round/>
      </a:ln>
      <a:effectLst/>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30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0.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9.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1.png"/><Relationship Id="rId5" Type="http://schemas.openxmlformats.org/officeDocument/2006/relationships/chart" Target="../charts/chart7.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5</xdr:col>
      <xdr:colOff>78105</xdr:colOff>
      <xdr:row>9</xdr:row>
      <xdr:rowOff>30480</xdr:rowOff>
    </xdr:from>
    <xdr:to>
      <xdr:col>17</xdr:col>
      <xdr:colOff>508635</xdr:colOff>
      <xdr:row>15</xdr:row>
      <xdr:rowOff>419100</xdr:rowOff>
    </xdr:to>
    <xdr:sp macro="" textlink="">
      <xdr:nvSpPr>
        <xdr:cNvPr id="2" name="Rectangle 1" descr="40b7255e-4771-41a1-bdb8-a342ec882410">
          <a:extLst>
            <a:ext uri="{FF2B5EF4-FFF2-40B4-BE49-F238E27FC236}">
              <a16:creationId xmlns:a16="http://schemas.microsoft.com/office/drawing/2014/main" id="{C1B2D319-DC3C-4810-85BB-60EAAC19DE73}"/>
            </a:ext>
          </a:extLst>
        </xdr:cNvPr>
        <xdr:cNvSpPr/>
      </xdr:nvSpPr>
      <xdr:spPr>
        <a:xfrm>
          <a:off x="8444865" y="1844040"/>
          <a:ext cx="7745730" cy="5143500"/>
        </a:xfrm>
        <a:prstGeom prst="rect">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nchorCtr="0"/>
        <a:lstStyle/>
        <a:p>
          <a:r>
            <a:rPr lang="en-US" sz="1100" b="1" u="sng">
              <a:solidFill>
                <a:schemeClr val="lt1"/>
              </a:solidFill>
              <a:effectLst/>
              <a:latin typeface="+mn-lt"/>
              <a:ea typeface="+mn-ea"/>
              <a:cs typeface="+mn-cs"/>
            </a:rPr>
            <a:t>Detailed Overview of Changes since OCT 2022</a:t>
          </a:r>
        </a:p>
        <a:p>
          <a:r>
            <a:rPr lang="en-US" sz="1100" b="0" u="sng">
              <a:solidFill>
                <a:schemeClr val="lt1"/>
              </a:solidFill>
              <a:effectLst/>
              <a:latin typeface="+mn-lt"/>
              <a:ea typeface="+mn-ea"/>
              <a:cs typeface="+mn-cs"/>
            </a:rPr>
            <a:t>1 – Drop Down Lists</a:t>
          </a:r>
          <a:r>
            <a:rPr lang="en-US" sz="1100">
              <a:solidFill>
                <a:schemeClr val="lt1"/>
              </a:solidFill>
              <a:effectLst/>
              <a:latin typeface="+mn-lt"/>
              <a:ea typeface="+mn-ea"/>
              <a:cs typeface="+mn-cs"/>
            </a:rPr>
            <a:t> --- Put commonly used distributions at the top of the list and expanded on triangular ones since those typically vary.</a:t>
          </a:r>
        </a:p>
        <a:p>
          <a:endParaRPr lang="en-US" sz="1100">
            <a:solidFill>
              <a:schemeClr val="lt1"/>
            </a:solidFill>
            <a:effectLst/>
            <a:latin typeface="+mn-lt"/>
            <a:ea typeface="+mn-ea"/>
            <a:cs typeface="+mn-cs"/>
          </a:endParaRPr>
        </a:p>
        <a:p>
          <a:r>
            <a:rPr lang="en-US" sz="1100" u="sng">
              <a:solidFill>
                <a:schemeClr val="lt1"/>
              </a:solidFill>
              <a:effectLst/>
              <a:latin typeface="+mn-lt"/>
              <a:ea typeface="+mn-ea"/>
              <a:cs typeface="+mn-cs"/>
            </a:rPr>
            <a:t>A – Quick Instructions:</a:t>
          </a:r>
          <a:r>
            <a:rPr lang="en-US" sz="1100">
              <a:solidFill>
                <a:schemeClr val="lt1"/>
              </a:solidFill>
              <a:effectLst/>
              <a:latin typeface="+mn-lt"/>
              <a:ea typeface="+mn-ea"/>
              <a:cs typeface="+mn-cs"/>
            </a:rPr>
            <a:t>  Updated per recent changes.</a:t>
          </a:r>
        </a:p>
        <a:p>
          <a:endParaRPr lang="en-US" sz="1100">
            <a:solidFill>
              <a:schemeClr val="lt1"/>
            </a:solidFill>
            <a:effectLst/>
            <a:latin typeface="+mn-lt"/>
            <a:ea typeface="+mn-ea"/>
            <a:cs typeface="+mn-cs"/>
          </a:endParaRPr>
        </a:p>
        <a:p>
          <a:r>
            <a:rPr lang="en-US" sz="1100" u="sng">
              <a:solidFill>
                <a:schemeClr val="lt1"/>
              </a:solidFill>
              <a:effectLst/>
              <a:latin typeface="+mn-lt"/>
              <a:ea typeface="+mn-ea"/>
              <a:cs typeface="+mn-cs"/>
            </a:rPr>
            <a:t>D – Project Data:</a:t>
          </a:r>
          <a:r>
            <a:rPr lang="en-US" sz="1100">
              <a:solidFill>
                <a:schemeClr val="lt1"/>
              </a:solidFill>
              <a:effectLst/>
              <a:latin typeface="+mn-lt"/>
              <a:ea typeface="+mn-ea"/>
              <a:cs typeface="+mn-cs"/>
            </a:rPr>
            <a:t>  Confidence level selection of CSRA (50%, 80%, etc.) moved to this tab.</a:t>
          </a:r>
        </a:p>
        <a:p>
          <a:endParaRPr lang="en-US" sz="1100">
            <a:solidFill>
              <a:schemeClr val="lt1"/>
            </a:solidFill>
            <a:effectLst/>
            <a:latin typeface="+mn-lt"/>
            <a:ea typeface="+mn-ea"/>
            <a:cs typeface="+mn-cs"/>
          </a:endParaRPr>
        </a:p>
        <a:p>
          <a:r>
            <a:rPr lang="en-US" sz="1100" u="sng">
              <a:solidFill>
                <a:schemeClr val="lt1"/>
              </a:solidFill>
              <a:effectLst/>
              <a:latin typeface="+mn-lt"/>
              <a:ea typeface="+mn-ea"/>
              <a:cs typeface="+mn-cs"/>
            </a:rPr>
            <a:t>H – Risk-Register Model:</a:t>
          </a:r>
          <a:r>
            <a:rPr lang="en-US" sz="1100">
              <a:solidFill>
                <a:schemeClr val="lt1"/>
              </a:solidFill>
              <a:effectLst/>
              <a:latin typeface="+mn-lt"/>
              <a:ea typeface="+mn-ea"/>
              <a:cs typeface="+mn-cs"/>
            </a:rPr>
            <a:t> </a:t>
          </a:r>
          <a:r>
            <a:rPr lang="en-US" sz="1100" baseline="0">
              <a:solidFill>
                <a:schemeClr val="lt1"/>
              </a:solidFill>
              <a:effectLst/>
              <a:latin typeface="+mn-lt"/>
              <a:ea typeface="+mn-ea"/>
              <a:cs typeface="+mn-cs"/>
            </a:rPr>
            <a:t> </a:t>
          </a:r>
          <a:r>
            <a:rPr lang="en-US" sz="1100">
              <a:solidFill>
                <a:schemeClr val="lt1"/>
              </a:solidFill>
              <a:effectLst/>
              <a:latin typeface="+mn-lt"/>
              <a:ea typeface="+mn-ea"/>
              <a:cs typeface="+mn-cs"/>
            </a:rPr>
            <a:t>Added three example risks with example models (demonstration purposes only).  Added in some common risks seen on projects for team consideration.  Added in cost risk modeling which sums the cost impacts &amp; cost from schedule impacts to in order to capture total cost impacts associated with a risk item (versus having to build a model for both).  Added some built-in QC columns to check impacts which sometimes change after further evaluation.  Built in some Crystal Ball (CB) forecasts for each risk item to determine ROM impact costs for each cost &amp; schedule risk item; this information is used to automatically develop the graphs that are replacing the CB sensitivity charts.  </a:t>
          </a:r>
        </a:p>
        <a:p>
          <a:endParaRPr lang="en-US" sz="1100">
            <a:solidFill>
              <a:schemeClr val="lt1"/>
            </a:solidFill>
            <a:effectLst/>
            <a:latin typeface="+mn-lt"/>
            <a:ea typeface="+mn-ea"/>
            <a:cs typeface="+mn-cs"/>
          </a:endParaRPr>
        </a:p>
        <a:p>
          <a:r>
            <a:rPr lang="en-US" sz="1100" u="sng">
              <a:solidFill>
                <a:schemeClr val="lt1"/>
              </a:solidFill>
              <a:effectLst/>
              <a:latin typeface="+mn-lt"/>
              <a:ea typeface="+mn-ea"/>
              <a:cs typeface="+mn-cs"/>
            </a:rPr>
            <a:t>J – Sensitivity Charts:</a:t>
          </a:r>
          <a:r>
            <a:rPr lang="en-US" sz="1100" baseline="0">
              <a:solidFill>
                <a:schemeClr val="lt1"/>
              </a:solidFill>
              <a:effectLst/>
              <a:latin typeface="+mn-lt"/>
              <a:ea typeface="+mn-ea"/>
              <a:cs typeface="+mn-cs"/>
            </a:rPr>
            <a:t>  </a:t>
          </a:r>
          <a:r>
            <a:rPr lang="en-US" sz="1100">
              <a:solidFill>
                <a:schemeClr val="lt1"/>
              </a:solidFill>
              <a:effectLst/>
              <a:latin typeface="+mn-lt"/>
              <a:ea typeface="+mn-ea"/>
              <a:cs typeface="+mn-cs"/>
            </a:rPr>
            <a:t>Summary of the major cost &amp; schedule risk items along with a graphical representation of their potential range of impacts at the 50%, 80%, and 90% confidence levels.</a:t>
          </a:r>
        </a:p>
        <a:p>
          <a:endParaRPr lang="en-US" sz="1100">
            <a:solidFill>
              <a:schemeClr val="lt1"/>
            </a:solidFill>
            <a:effectLst/>
            <a:latin typeface="+mn-lt"/>
            <a:ea typeface="+mn-ea"/>
            <a:cs typeface="+mn-cs"/>
          </a:endParaRPr>
        </a:p>
        <a:p>
          <a:r>
            <a:rPr lang="en-US" sz="1100" u="sng">
              <a:solidFill>
                <a:schemeClr val="lt1"/>
              </a:solidFill>
              <a:effectLst/>
              <a:latin typeface="+mn-lt"/>
              <a:ea typeface="+mn-ea"/>
              <a:cs typeface="+mn-cs"/>
            </a:rPr>
            <a:t>K – Risk Dashboard:</a:t>
          </a:r>
          <a:r>
            <a:rPr lang="en-US" sz="1100">
              <a:solidFill>
                <a:schemeClr val="lt1"/>
              </a:solidFill>
              <a:effectLst/>
              <a:latin typeface="+mn-lt"/>
              <a:ea typeface="+mn-ea"/>
              <a:cs typeface="+mn-cs"/>
            </a:rPr>
            <a:t>  Now broken out into two tabs (cost and schedule) in order to add more graphics to the top of the page.  Also added in responsibility/POC data to the summary.</a:t>
          </a:r>
        </a:p>
        <a:p>
          <a:endParaRPr lang="en-US" sz="1100">
            <a:solidFill>
              <a:schemeClr val="lt1"/>
            </a:solidFill>
            <a:effectLst/>
            <a:latin typeface="+mn-lt"/>
            <a:ea typeface="+mn-ea"/>
            <a:cs typeface="+mn-cs"/>
          </a:endParaRPr>
        </a:p>
        <a:p>
          <a:r>
            <a:rPr lang="en-US" sz="1100" u="sng">
              <a:solidFill>
                <a:schemeClr val="lt1"/>
              </a:solidFill>
              <a:effectLst/>
              <a:latin typeface="+mn-lt"/>
              <a:ea typeface="+mn-ea"/>
              <a:cs typeface="+mn-cs"/>
            </a:rPr>
            <a:t>L – Charts for Report:</a:t>
          </a:r>
          <a:r>
            <a:rPr lang="en-US" sz="1100">
              <a:solidFill>
                <a:schemeClr val="lt1"/>
              </a:solidFill>
              <a:effectLst/>
              <a:latin typeface="+mn-lt"/>
              <a:ea typeface="+mn-ea"/>
              <a:cs typeface="+mn-cs"/>
            </a:rPr>
            <a:t>  Added to quickly copy and paste top risk items to the report.  Summaries are automatically generated.</a:t>
          </a:r>
        </a:p>
        <a:p>
          <a:endParaRPr lang="en-US" sz="1100">
            <a:solidFill>
              <a:schemeClr val="lt1"/>
            </a:solidFill>
            <a:effectLst/>
            <a:latin typeface="+mn-lt"/>
            <a:ea typeface="+mn-ea"/>
            <a:cs typeface="+mn-cs"/>
          </a:endParaRPr>
        </a:p>
        <a:p>
          <a:r>
            <a:rPr lang="en-US" sz="1100" b="1" u="sng">
              <a:solidFill>
                <a:schemeClr val="lt1"/>
              </a:solidFill>
              <a:effectLst/>
              <a:latin typeface="+mn-lt"/>
              <a:ea typeface="+mn-ea"/>
              <a:cs typeface="+mn-cs"/>
            </a:rPr>
            <a:t>Optional Sheets Added</a:t>
          </a:r>
        </a:p>
        <a:p>
          <a:r>
            <a:rPr lang="en-US" sz="1100" u="sng">
              <a:solidFill>
                <a:schemeClr val="lt1"/>
              </a:solidFill>
              <a:effectLst/>
              <a:latin typeface="+mn-lt"/>
              <a:ea typeface="+mn-ea"/>
              <a:cs typeface="+mn-cs"/>
            </a:rPr>
            <a:t>E1 – Estimate Summary:</a:t>
          </a:r>
          <a:r>
            <a:rPr lang="en-US" sz="1100">
              <a:solidFill>
                <a:schemeClr val="lt1"/>
              </a:solidFill>
              <a:effectLst/>
              <a:latin typeface="+mn-lt"/>
              <a:ea typeface="+mn-ea"/>
              <a:cs typeface="+mn-cs"/>
            </a:rPr>
            <a:t>  Used to help communicate/summarize the estimate with more details possibly for linking with the modeling.</a:t>
          </a:r>
        </a:p>
        <a:p>
          <a:endParaRPr lang="en-US" sz="1100">
            <a:solidFill>
              <a:schemeClr val="lt1"/>
            </a:solidFill>
            <a:effectLst/>
            <a:latin typeface="+mn-lt"/>
            <a:ea typeface="+mn-ea"/>
            <a:cs typeface="+mn-cs"/>
          </a:endParaRPr>
        </a:p>
        <a:p>
          <a:r>
            <a:rPr lang="en-US" sz="1100" u="sng">
              <a:solidFill>
                <a:schemeClr val="lt1"/>
              </a:solidFill>
              <a:effectLst/>
              <a:latin typeface="+mn-lt"/>
              <a:ea typeface="+mn-ea"/>
              <a:cs typeface="+mn-cs"/>
            </a:rPr>
            <a:t>REF Risk Detail Template:</a:t>
          </a:r>
          <a:r>
            <a:rPr lang="en-US" sz="1100" baseline="0">
              <a:solidFill>
                <a:schemeClr val="lt1"/>
              </a:solidFill>
              <a:effectLst/>
              <a:latin typeface="+mn-lt"/>
              <a:ea typeface="+mn-ea"/>
              <a:cs typeface="+mn-cs"/>
            </a:rPr>
            <a:t>  </a:t>
          </a:r>
          <a:r>
            <a:rPr lang="en-US" sz="1100">
              <a:solidFill>
                <a:schemeClr val="lt1"/>
              </a:solidFill>
              <a:effectLst/>
              <a:latin typeface="+mn-lt"/>
              <a:ea typeface="+mn-ea"/>
              <a:cs typeface="+mn-cs"/>
            </a:rPr>
            <a:t>Template that can be copied and pasted to help document complex risk items. </a:t>
          </a:r>
        </a:p>
      </xdr:txBody>
    </xdr:sp>
    <xdr:clientData fPrintsWithSheet="0"/>
  </xdr:twoCellAnchor>
</xdr:wsDr>
</file>

<file path=xl/drawings/drawing10.xml><?xml version="1.0" encoding="utf-8"?>
<xdr:wsDr xmlns:xdr="http://schemas.openxmlformats.org/drawingml/2006/spreadsheetDrawing" xmlns:a="http://schemas.openxmlformats.org/drawingml/2006/main">
  <xdr:twoCellAnchor>
    <xdr:from>
      <xdr:col>1</xdr:col>
      <xdr:colOff>181658</xdr:colOff>
      <xdr:row>8</xdr:row>
      <xdr:rowOff>60768</xdr:rowOff>
    </xdr:from>
    <xdr:to>
      <xdr:col>4</xdr:col>
      <xdr:colOff>3940858</xdr:colOff>
      <xdr:row>33</xdr:row>
      <xdr:rowOff>60768</xdr:rowOff>
    </xdr:to>
    <xdr:graphicFrame macro="">
      <xdr:nvGraphicFramePr>
        <xdr:cNvPr id="2" name="Chart 4">
          <a:extLst>
            <a:ext uri="{FF2B5EF4-FFF2-40B4-BE49-F238E27FC236}">
              <a16:creationId xmlns:a16="http://schemas.microsoft.com/office/drawing/2014/main" id="{3A458247-B144-46D7-91C6-7BD4F6DCBB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7620</xdr:colOff>
      <xdr:row>38</xdr:row>
      <xdr:rowOff>175260</xdr:rowOff>
    </xdr:from>
    <xdr:to>
      <xdr:col>15</xdr:col>
      <xdr:colOff>38100</xdr:colOff>
      <xdr:row>49</xdr:row>
      <xdr:rowOff>231</xdr:rowOff>
    </xdr:to>
    <xdr:sp macro="" textlink="">
      <xdr:nvSpPr>
        <xdr:cNvPr id="3" name="Right Brace 2" descr="035cd50e-0913-40a8-ad28-0516041179a1">
          <a:extLst>
            <a:ext uri="{FF2B5EF4-FFF2-40B4-BE49-F238E27FC236}">
              <a16:creationId xmlns:a16="http://schemas.microsoft.com/office/drawing/2014/main" id="{94DA27A0-9534-4B09-BD2A-99CC87DC3B04}"/>
            </a:ext>
          </a:extLst>
        </xdr:cNvPr>
        <xdr:cNvSpPr/>
      </xdr:nvSpPr>
      <xdr:spPr>
        <a:xfrm>
          <a:off x="18280380" y="7109460"/>
          <a:ext cx="1249680" cy="5265651"/>
        </a:xfrm>
        <a:prstGeom prst="rightBrace">
          <a:avLst>
            <a:gd name="adj1" fmla="val 8333"/>
            <a:gd name="adj2" fmla="val 49413"/>
          </a:avLst>
        </a:prstGeom>
        <a:ln w="57150">
          <a:solidFill>
            <a:srgbClr val="C00000"/>
          </a:solidFill>
        </a:ln>
      </xdr:spPr>
      <xdr:style>
        <a:lnRef idx="3">
          <a:schemeClr val="accent2"/>
        </a:lnRef>
        <a:fillRef idx="0">
          <a:schemeClr val="accent2"/>
        </a:fillRef>
        <a:effectRef idx="2">
          <a:schemeClr val="accent2"/>
        </a:effectRef>
        <a:fontRef idx="minor">
          <a:schemeClr val="tx1"/>
        </a:fontRef>
      </xdr:style>
      <xdr:txBody>
        <a:bodyPr vertOverflow="clip" horzOverflow="clip" rtlCol="0" anchor="t"/>
        <a:lstStyle/>
        <a:p>
          <a:pPr algn="l"/>
          <a:endParaRPr lang="en-US" sz="1100"/>
        </a:p>
      </xdr:txBody>
    </xdr:sp>
    <xdr:clientData/>
  </xdr:twoCellAnchor>
  <xdr:twoCellAnchor editAs="oneCell">
    <xdr:from>
      <xdr:col>15</xdr:col>
      <xdr:colOff>97491</xdr:colOff>
      <xdr:row>41</xdr:row>
      <xdr:rowOff>5419</xdr:rowOff>
    </xdr:from>
    <xdr:to>
      <xdr:col>19</xdr:col>
      <xdr:colOff>402291</xdr:colOff>
      <xdr:row>45</xdr:row>
      <xdr:rowOff>62753</xdr:rowOff>
    </xdr:to>
    <xdr:sp macro="" textlink="">
      <xdr:nvSpPr>
        <xdr:cNvPr id="4" name="TextBox 3">
          <a:extLst>
            <a:ext uri="{FF2B5EF4-FFF2-40B4-BE49-F238E27FC236}">
              <a16:creationId xmlns:a16="http://schemas.microsoft.com/office/drawing/2014/main" id="{8392ACE8-8E61-4936-8F2B-CFF0091369DD}"/>
            </a:ext>
          </a:extLst>
        </xdr:cNvPr>
        <xdr:cNvSpPr txBox="1"/>
      </xdr:nvSpPr>
      <xdr:spPr>
        <a:xfrm>
          <a:off x="19595726" y="7616454"/>
          <a:ext cx="2743200" cy="774511"/>
        </a:xfrm>
        <a:prstGeom prst="rect">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lt1"/>
              </a:solidFill>
              <a:effectLst/>
              <a:latin typeface="+mn-lt"/>
              <a:ea typeface="+mn-ea"/>
              <a:cs typeface="+mn-cs"/>
            </a:rPr>
            <a:t>Resize cells after inputting top risk items in cells M19:M28 in the 'J-Sensitivity Charts' tab.</a:t>
          </a:r>
        </a:p>
      </xdr:txBody>
    </xdr:sp>
    <xdr:clientData/>
  </xdr:twoCellAnchor>
  <xdr:oneCellAnchor>
    <xdr:from>
      <xdr:col>5</xdr:col>
      <xdr:colOff>91440</xdr:colOff>
      <xdr:row>8</xdr:row>
      <xdr:rowOff>60960</xdr:rowOff>
    </xdr:from>
    <xdr:ext cx="8686800" cy="4572000"/>
    <xdr:graphicFrame macro="">
      <xdr:nvGraphicFramePr>
        <xdr:cNvPr id="9" name="Chart 8">
          <a:extLst>
            <a:ext uri="{FF2B5EF4-FFF2-40B4-BE49-F238E27FC236}">
              <a16:creationId xmlns:a16="http://schemas.microsoft.com/office/drawing/2014/main" id="{C04E5D61-51E3-451A-9CC1-BDB729F7D6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wsDr>
</file>

<file path=xl/drawings/drawing11.xml><?xml version="1.0" encoding="utf-8"?>
<c:userShapes xmlns:c="http://schemas.openxmlformats.org/drawingml/2006/chart">
  <cdr:relSizeAnchor xmlns:cdr="http://schemas.openxmlformats.org/drawingml/2006/chartDrawing">
    <cdr:from>
      <cdr:x>0.00903</cdr:x>
      <cdr:y>0.00996</cdr:y>
    </cdr:from>
    <cdr:to>
      <cdr:x>0.34114</cdr:x>
      <cdr:y>0.21725</cdr:y>
    </cdr:to>
    <cdr:sp macro="" textlink="">
      <cdr:nvSpPr>
        <cdr:cNvPr id="4098" name="Text Box 2"/>
        <cdr:cNvSpPr txBox="1">
          <a:spLocks xmlns:a="http://schemas.openxmlformats.org/drawingml/2006/main" noChangeArrowheads="1"/>
        </cdr:cNvSpPr>
      </cdr:nvSpPr>
      <cdr:spPr bwMode="auto">
        <a:xfrm xmlns:a="http://schemas.openxmlformats.org/drawingml/2006/main">
          <a:off x="50800" y="50800"/>
          <a:ext cx="628269" cy="37841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en-US"/>
        </a:p>
      </cdr:txBody>
    </cdr:sp>
  </cdr:relSizeAnchor>
</c:userShapes>
</file>

<file path=xl/drawings/drawing12.xml><?xml version="1.0" encoding="utf-8"?>
<xdr:wsDr xmlns:xdr="http://schemas.openxmlformats.org/drawingml/2006/spreadsheetDrawing" xmlns:a="http://schemas.openxmlformats.org/drawingml/2006/main">
  <xdr:twoCellAnchor>
    <xdr:from>
      <xdr:col>13</xdr:col>
      <xdr:colOff>57150</xdr:colOff>
      <xdr:row>38</xdr:row>
      <xdr:rowOff>171451</xdr:rowOff>
    </xdr:from>
    <xdr:to>
      <xdr:col>15</xdr:col>
      <xdr:colOff>87630</xdr:colOff>
      <xdr:row>48</xdr:row>
      <xdr:rowOff>152401</xdr:rowOff>
    </xdr:to>
    <xdr:sp macro="" textlink="">
      <xdr:nvSpPr>
        <xdr:cNvPr id="7" name="Right Brace 6" descr="f4a23b8a-1685-4e02-81c2-bab4f401d815">
          <a:extLst>
            <a:ext uri="{FF2B5EF4-FFF2-40B4-BE49-F238E27FC236}">
              <a16:creationId xmlns:a16="http://schemas.microsoft.com/office/drawing/2014/main" id="{2FE5EF13-1AC8-A54D-E0DF-1FEE5224008D}"/>
            </a:ext>
          </a:extLst>
        </xdr:cNvPr>
        <xdr:cNvSpPr/>
      </xdr:nvSpPr>
      <xdr:spPr>
        <a:xfrm>
          <a:off x="18329910" y="7105651"/>
          <a:ext cx="1249680" cy="4042410"/>
        </a:xfrm>
        <a:prstGeom prst="rightBrace">
          <a:avLst>
            <a:gd name="adj1" fmla="val 8333"/>
            <a:gd name="adj2" fmla="val 49413"/>
          </a:avLst>
        </a:prstGeom>
        <a:ln w="57150">
          <a:solidFill>
            <a:srgbClr val="C00000"/>
          </a:solidFill>
        </a:ln>
      </xdr:spPr>
      <xdr:style>
        <a:lnRef idx="3">
          <a:schemeClr val="accent2"/>
        </a:lnRef>
        <a:fillRef idx="0">
          <a:schemeClr val="accent2"/>
        </a:fillRef>
        <a:effectRef idx="2">
          <a:schemeClr val="accent2"/>
        </a:effectRef>
        <a:fontRef idx="minor">
          <a:schemeClr val="tx1"/>
        </a:fontRef>
      </xdr:style>
      <xdr:txBody>
        <a:bodyPr vertOverflow="clip" horzOverflow="clip" rtlCol="0" anchor="t"/>
        <a:lstStyle/>
        <a:p>
          <a:pPr algn="l"/>
          <a:endParaRPr lang="en-US" sz="1100"/>
        </a:p>
      </xdr:txBody>
    </xdr:sp>
    <xdr:clientData/>
  </xdr:twoCellAnchor>
  <xdr:twoCellAnchor editAs="oneCell">
    <xdr:from>
      <xdr:col>15</xdr:col>
      <xdr:colOff>197896</xdr:colOff>
      <xdr:row>41</xdr:row>
      <xdr:rowOff>33392</xdr:rowOff>
    </xdr:from>
    <xdr:to>
      <xdr:col>19</xdr:col>
      <xdr:colOff>502696</xdr:colOff>
      <xdr:row>45</xdr:row>
      <xdr:rowOff>93455</xdr:rowOff>
    </xdr:to>
    <xdr:sp macro="" textlink="">
      <xdr:nvSpPr>
        <xdr:cNvPr id="8" name="TextBox 7">
          <a:extLst>
            <a:ext uri="{FF2B5EF4-FFF2-40B4-BE49-F238E27FC236}">
              <a16:creationId xmlns:a16="http://schemas.microsoft.com/office/drawing/2014/main" id="{5553AC14-7D29-924C-7B0C-828668A3E901}"/>
            </a:ext>
          </a:extLst>
        </xdr:cNvPr>
        <xdr:cNvSpPr txBox="1"/>
      </xdr:nvSpPr>
      <xdr:spPr>
        <a:xfrm>
          <a:off x="19696131" y="7644427"/>
          <a:ext cx="2743200" cy="777240"/>
        </a:xfrm>
        <a:prstGeom prst="rect">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Resize</a:t>
          </a:r>
          <a:r>
            <a:rPr lang="en-US" sz="1100" b="1" baseline="0">
              <a:solidFill>
                <a:schemeClr val="lt1"/>
              </a:solidFill>
              <a:effectLst/>
              <a:latin typeface="+mn-lt"/>
              <a:ea typeface="+mn-ea"/>
              <a:cs typeface="+mn-cs"/>
            </a:rPr>
            <a:t> cells after inputting top risk items in cells M41:M50 in the 'J-Sensitivity Charts' tab.</a:t>
          </a:r>
          <a:endParaRPr lang="en-US">
            <a:effectLst/>
          </a:endParaRPr>
        </a:p>
      </xdr:txBody>
    </xdr:sp>
    <xdr:clientData/>
  </xdr:twoCellAnchor>
  <xdr:oneCellAnchor>
    <xdr:from>
      <xdr:col>5</xdr:col>
      <xdr:colOff>68580</xdr:colOff>
      <xdr:row>10</xdr:row>
      <xdr:rowOff>50800</xdr:rowOff>
    </xdr:from>
    <xdr:ext cx="8686800" cy="4572000"/>
    <xdr:graphicFrame macro="">
      <xdr:nvGraphicFramePr>
        <xdr:cNvPr id="9" name="Chart 8">
          <a:extLst>
            <a:ext uri="{FF2B5EF4-FFF2-40B4-BE49-F238E27FC236}">
              <a16:creationId xmlns:a16="http://schemas.microsoft.com/office/drawing/2014/main" id="{397759BA-4729-48B8-8BE4-37C49241CA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twoCellAnchor>
    <xdr:from>
      <xdr:col>1</xdr:col>
      <xdr:colOff>137160</xdr:colOff>
      <xdr:row>10</xdr:row>
      <xdr:rowOff>50800</xdr:rowOff>
    </xdr:from>
    <xdr:to>
      <xdr:col>4</xdr:col>
      <xdr:colOff>3896360</xdr:colOff>
      <xdr:row>35</xdr:row>
      <xdr:rowOff>50800</xdr:rowOff>
    </xdr:to>
    <xdr:graphicFrame macro="">
      <xdr:nvGraphicFramePr>
        <xdr:cNvPr id="10" name="Chart 4">
          <a:extLst>
            <a:ext uri="{FF2B5EF4-FFF2-40B4-BE49-F238E27FC236}">
              <a16:creationId xmlns:a16="http://schemas.microsoft.com/office/drawing/2014/main" id="{B9A3AE26-A78B-4F91-984B-DF0EEB241B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0.00903</cdr:x>
      <cdr:y>0.00996</cdr:y>
    </cdr:from>
    <cdr:to>
      <cdr:x>0.34114</cdr:x>
      <cdr:y>0.21725</cdr:y>
    </cdr:to>
    <cdr:sp macro="" textlink="">
      <cdr:nvSpPr>
        <cdr:cNvPr id="4098" name="Text Box 2"/>
        <cdr:cNvSpPr txBox="1">
          <a:spLocks xmlns:a="http://schemas.openxmlformats.org/drawingml/2006/main" noChangeArrowheads="1"/>
        </cdr:cNvSpPr>
      </cdr:nvSpPr>
      <cdr:spPr bwMode="auto">
        <a:xfrm xmlns:a="http://schemas.openxmlformats.org/drawingml/2006/main">
          <a:off x="50800" y="50800"/>
          <a:ext cx="628269" cy="37841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en-US"/>
        </a:p>
      </cdr:txBody>
    </cdr:sp>
  </cdr:relSizeAnchor>
</c:userShapes>
</file>

<file path=xl/drawings/drawing14.xml><?xml version="1.0" encoding="utf-8"?>
<xdr:wsDr xmlns:xdr="http://schemas.openxmlformats.org/drawingml/2006/spreadsheetDrawing" xmlns:a="http://schemas.openxmlformats.org/drawingml/2006/main">
  <xdr:oneCellAnchor>
    <xdr:from>
      <xdr:col>1</xdr:col>
      <xdr:colOff>487678</xdr:colOff>
      <xdr:row>20</xdr:row>
      <xdr:rowOff>175262</xdr:rowOff>
    </xdr:from>
    <xdr:ext cx="6812280" cy="1082039"/>
    <xdr:sp macro="" textlink="">
      <xdr:nvSpPr>
        <xdr:cNvPr id="2" name="Rectangle 1" descr="0d82dbe2-7621-410d-8e61-04baf1a5a3a3">
          <a:extLst>
            <a:ext uri="{FF2B5EF4-FFF2-40B4-BE49-F238E27FC236}">
              <a16:creationId xmlns:a16="http://schemas.microsoft.com/office/drawing/2014/main" id="{4E3BA4B6-354D-31D3-860F-8773AF250375}"/>
            </a:ext>
          </a:extLst>
        </xdr:cNvPr>
        <xdr:cNvSpPr/>
      </xdr:nvSpPr>
      <xdr:spPr>
        <a:xfrm rot="18900000">
          <a:off x="906778" y="3954782"/>
          <a:ext cx="6812280" cy="1082039"/>
        </a:xfrm>
        <a:prstGeom prst="rect">
          <a:avLst/>
        </a:prstGeom>
        <a:noFill/>
      </xdr:spPr>
      <xdr:txBody>
        <a:bodyPr wrap="none" lIns="91440" tIns="45720" rIns="91440" bIns="45720">
          <a:noAutofit/>
        </a:bodyPr>
        <a:lstStyle/>
        <a:p>
          <a:pPr algn="ctr"/>
          <a:r>
            <a:rPr lang="en-US" sz="5400" b="1" cap="none" spc="0">
              <a:ln w="22225">
                <a:solidFill>
                  <a:schemeClr val="accent2"/>
                </a:solidFill>
                <a:prstDash val="solid"/>
              </a:ln>
              <a:solidFill>
                <a:schemeClr val="accent2">
                  <a:lumMod val="40000"/>
                  <a:lumOff val="60000"/>
                </a:schemeClr>
              </a:solidFill>
              <a:effectLst/>
            </a:rPr>
            <a:t>Example</a:t>
          </a:r>
          <a:r>
            <a:rPr lang="en-US" sz="5400" b="1" cap="none" spc="0" baseline="0">
              <a:ln w="22225">
                <a:solidFill>
                  <a:schemeClr val="accent2"/>
                </a:solidFill>
                <a:prstDash val="solid"/>
              </a:ln>
              <a:solidFill>
                <a:schemeClr val="accent2">
                  <a:lumMod val="40000"/>
                  <a:lumOff val="60000"/>
                </a:schemeClr>
              </a:solidFill>
              <a:effectLst/>
            </a:rPr>
            <a:t> Base Estimate Summary</a:t>
          </a:r>
        </a:p>
        <a:p>
          <a:pPr algn="ctr"/>
          <a:r>
            <a:rPr lang="en-US" sz="5400" b="1" cap="none" spc="0" baseline="0">
              <a:ln w="22225">
                <a:solidFill>
                  <a:schemeClr val="accent2"/>
                </a:solidFill>
                <a:prstDash val="solid"/>
              </a:ln>
              <a:solidFill>
                <a:schemeClr val="accent2">
                  <a:lumMod val="40000"/>
                  <a:lumOff val="60000"/>
                </a:schemeClr>
              </a:solidFill>
              <a:effectLst/>
            </a:rPr>
            <a:t>for Civil Works</a:t>
          </a:r>
        </a:p>
      </xdr:txBody>
    </xdr:sp>
    <xdr:clientData/>
  </xdr:oneCellAnchor>
  <xdr:twoCellAnchor editAs="oneCell">
    <xdr:from>
      <xdr:col>7</xdr:col>
      <xdr:colOff>205740</xdr:colOff>
      <xdr:row>4</xdr:row>
      <xdr:rowOff>7620</xdr:rowOff>
    </xdr:from>
    <xdr:to>
      <xdr:col>15</xdr:col>
      <xdr:colOff>167640</xdr:colOff>
      <xdr:row>19</xdr:row>
      <xdr:rowOff>182880</xdr:rowOff>
    </xdr:to>
    <xdr:sp macro="" textlink="">
      <xdr:nvSpPr>
        <xdr:cNvPr id="3" name="Arrow: Left-Right 2" descr="7d47c87b-54fd-4efb-bb62-4a36e2562f74">
          <a:extLst>
            <a:ext uri="{FF2B5EF4-FFF2-40B4-BE49-F238E27FC236}">
              <a16:creationId xmlns:a16="http://schemas.microsoft.com/office/drawing/2014/main" id="{8B7FA395-2D96-43C7-BB4E-5EAB24DB8CAD}"/>
            </a:ext>
          </a:extLst>
        </xdr:cNvPr>
        <xdr:cNvSpPr/>
      </xdr:nvSpPr>
      <xdr:spPr>
        <a:xfrm>
          <a:off x="8191500" y="830580"/>
          <a:ext cx="5943600" cy="2941320"/>
        </a:xfrm>
        <a:prstGeom prst="leftRightArrow">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r>
            <a:rPr lang="en-US" sz="1100" b="1" u="sng">
              <a:solidFill>
                <a:schemeClr val="lt1"/>
              </a:solidFill>
              <a:effectLst/>
              <a:latin typeface="+mn-lt"/>
              <a:ea typeface="+mn-ea"/>
              <a:cs typeface="+mn-cs"/>
            </a:rPr>
            <a:t>Example</a:t>
          </a:r>
          <a:r>
            <a:rPr lang="en-US" sz="1100" b="1" u="sng" baseline="0">
              <a:solidFill>
                <a:schemeClr val="lt1"/>
              </a:solidFill>
              <a:effectLst/>
              <a:latin typeface="+mn-lt"/>
              <a:ea typeface="+mn-ea"/>
              <a:cs typeface="+mn-cs"/>
            </a:rPr>
            <a:t> Summary of Base Estimate</a:t>
          </a:r>
          <a:endParaRPr lang="en-US" u="sng">
            <a:effectLst/>
          </a:endParaRPr>
        </a:p>
        <a:p>
          <a:r>
            <a:rPr lang="en-US" sz="1100" b="1" baseline="0">
              <a:solidFill>
                <a:schemeClr val="lt1"/>
              </a:solidFill>
              <a:effectLst/>
              <a:latin typeface="+mn-lt"/>
              <a:ea typeface="+mn-ea"/>
              <a:cs typeface="+mn-cs"/>
            </a:rPr>
            <a:t>This worksheet doesn't have to be used but it is a recommended best practice to include a summary of the base estimate for documentation purposes which can then also be used to link for modeling purposes.  This can look many different ways but is also recommended to be included in the risk report appendix for documentation purposes.</a:t>
          </a:r>
          <a:endParaRPr lang="en-US">
            <a:effectLst/>
          </a:endParaRPr>
        </a:p>
      </xdr:txBody>
    </xdr:sp>
    <xdr:clientData/>
  </xdr:twoCellAnchor>
  <xdr:oneCellAnchor>
    <xdr:from>
      <xdr:col>17</xdr:col>
      <xdr:colOff>45720</xdr:colOff>
      <xdr:row>6</xdr:row>
      <xdr:rowOff>148592</xdr:rowOff>
    </xdr:from>
    <xdr:ext cx="6812280" cy="1082039"/>
    <xdr:sp macro="" textlink="">
      <xdr:nvSpPr>
        <xdr:cNvPr id="4" name="Rectangle 3" descr="0d82dbe2-7621-410d-8e61-04baf1a5a3a3">
          <a:extLst>
            <a:ext uri="{FF2B5EF4-FFF2-40B4-BE49-F238E27FC236}">
              <a16:creationId xmlns:a16="http://schemas.microsoft.com/office/drawing/2014/main" id="{DED5555E-3F24-4F2B-A054-3143ADC1915B}"/>
            </a:ext>
          </a:extLst>
        </xdr:cNvPr>
        <xdr:cNvSpPr/>
      </xdr:nvSpPr>
      <xdr:spPr>
        <a:xfrm rot="20700000">
          <a:off x="14226540" y="1337312"/>
          <a:ext cx="6812280" cy="1082039"/>
        </a:xfrm>
        <a:prstGeom prst="rect">
          <a:avLst/>
        </a:prstGeom>
        <a:noFill/>
      </xdr:spPr>
      <xdr:txBody>
        <a:bodyPr wrap="none" lIns="91440" tIns="45720" rIns="91440" bIns="45720">
          <a:noAutofit/>
        </a:bodyPr>
        <a:lstStyle/>
        <a:p>
          <a:pPr algn="ctr"/>
          <a:r>
            <a:rPr lang="en-US" sz="5400" b="1" cap="none" spc="0">
              <a:ln w="22225">
                <a:solidFill>
                  <a:schemeClr val="accent2"/>
                </a:solidFill>
                <a:prstDash val="solid"/>
              </a:ln>
              <a:solidFill>
                <a:schemeClr val="accent2">
                  <a:lumMod val="40000"/>
                  <a:lumOff val="60000"/>
                </a:schemeClr>
              </a:solidFill>
              <a:effectLst/>
            </a:rPr>
            <a:t>Example</a:t>
          </a:r>
          <a:r>
            <a:rPr lang="en-US" sz="5400" b="1" cap="none" spc="0" baseline="0">
              <a:ln w="22225">
                <a:solidFill>
                  <a:schemeClr val="accent2"/>
                </a:solidFill>
                <a:prstDash val="solid"/>
              </a:ln>
              <a:solidFill>
                <a:schemeClr val="accent2">
                  <a:lumMod val="40000"/>
                  <a:lumOff val="60000"/>
                </a:schemeClr>
              </a:solidFill>
              <a:effectLst/>
            </a:rPr>
            <a:t> Base Estimate Summary</a:t>
          </a:r>
        </a:p>
        <a:p>
          <a:pPr algn="ctr"/>
          <a:r>
            <a:rPr lang="en-US" sz="5400" b="1" cap="none" spc="0" baseline="0">
              <a:ln w="22225">
                <a:solidFill>
                  <a:schemeClr val="accent2"/>
                </a:solidFill>
                <a:prstDash val="solid"/>
              </a:ln>
              <a:solidFill>
                <a:schemeClr val="accent2">
                  <a:lumMod val="40000"/>
                  <a:lumOff val="60000"/>
                </a:schemeClr>
              </a:solidFill>
              <a:effectLst/>
            </a:rPr>
            <a:t>for MILCON</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13</xdr:col>
      <xdr:colOff>121920</xdr:colOff>
      <xdr:row>2</xdr:row>
      <xdr:rowOff>99060</xdr:rowOff>
    </xdr:from>
    <xdr:to>
      <xdr:col>15</xdr:col>
      <xdr:colOff>342900</xdr:colOff>
      <xdr:row>8</xdr:row>
      <xdr:rowOff>38100</xdr:rowOff>
    </xdr:to>
    <xdr:sp macro="" textlink="">
      <xdr:nvSpPr>
        <xdr:cNvPr id="2" name="Rectangle: Rounded Corners 1" descr="7d47c87b-54fd-4efb-bb62-4a36e2562f74">
          <a:extLst>
            <a:ext uri="{FF2B5EF4-FFF2-40B4-BE49-F238E27FC236}">
              <a16:creationId xmlns:a16="http://schemas.microsoft.com/office/drawing/2014/main" id="{1874B06F-5C24-4924-8EDA-A5C8F27EFF24}"/>
            </a:ext>
          </a:extLst>
        </xdr:cNvPr>
        <xdr:cNvSpPr/>
      </xdr:nvSpPr>
      <xdr:spPr>
        <a:xfrm>
          <a:off x="8141970" y="556260"/>
          <a:ext cx="3935730" cy="3368040"/>
        </a:xfrm>
        <a:prstGeom prst="roundRect">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algn="l"/>
          <a:r>
            <a:rPr lang="en-US" sz="1100" b="1" u="sng"/>
            <a:t>For questions, comments,</a:t>
          </a:r>
          <a:r>
            <a:rPr lang="en-US" sz="1100" b="1" u="sng" baseline="0"/>
            <a:t> or assistance, please contact the following:</a:t>
          </a:r>
          <a:endParaRPr lang="en-US" sz="1100" b="1" u="sng"/>
        </a:p>
        <a:p>
          <a:pPr algn="l"/>
          <a:endParaRPr lang="en-US" sz="1100" b="1" u="sng"/>
        </a:p>
        <a:p>
          <a:pPr algn="l"/>
          <a:r>
            <a:rPr lang="en-US" sz="1100" b="0" i="0" u="none" strike="noStrike">
              <a:solidFill>
                <a:schemeClr val="bg1"/>
              </a:solidFill>
              <a:effectLst/>
              <a:latin typeface="+mn-lt"/>
              <a:ea typeface="+mn-ea"/>
              <a:cs typeface="+mn-cs"/>
            </a:rPr>
            <a:t>USACE</a:t>
          </a:r>
          <a:r>
            <a:rPr lang="en-US">
              <a:solidFill>
                <a:schemeClr val="bg1"/>
              </a:solidFill>
            </a:rPr>
            <a:t> </a:t>
          </a:r>
          <a:r>
            <a:rPr lang="en-US" sz="1100" b="0" i="0" u="none" strike="noStrike">
              <a:solidFill>
                <a:schemeClr val="bg1"/>
              </a:solidFill>
              <a:effectLst/>
              <a:latin typeface="+mn-lt"/>
              <a:ea typeface="+mn-ea"/>
              <a:cs typeface="+mn-cs"/>
            </a:rPr>
            <a:t>Brandon Scott (NWW)</a:t>
          </a:r>
          <a:r>
            <a:rPr lang="en-US">
              <a:solidFill>
                <a:schemeClr val="bg1"/>
              </a:solidFill>
            </a:rPr>
            <a:t> </a:t>
          </a:r>
          <a:r>
            <a:rPr lang="en-US" sz="1100" b="0" i="0" u="sng" strike="noStrike">
              <a:solidFill>
                <a:schemeClr val="bg1"/>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xmlns="" val="tx"/>
                  </a:ext>
                </a:extLst>
              </a:hlinkClick>
            </a:rPr>
            <a:t>brandon.d.scott@usace.army.mil</a:t>
          </a:r>
          <a:endParaRPr lang="en-US" sz="1100" b="0" i="0" u="none" strike="noStrike">
            <a:solidFill>
              <a:schemeClr val="bg1"/>
            </a:solidFill>
            <a:effectLst/>
            <a:latin typeface="+mn-lt"/>
            <a:ea typeface="+mn-ea"/>
            <a:cs typeface="+mn-cs"/>
          </a:endParaRPr>
        </a:p>
        <a:p>
          <a:pPr algn="l"/>
          <a:endParaRPr lang="en-US" sz="1100" b="0" i="0" u="none" strike="noStrike">
            <a:solidFill>
              <a:schemeClr val="bg1"/>
            </a:solidFill>
            <a:effectLst/>
            <a:latin typeface="+mn-lt"/>
            <a:ea typeface="+mn-ea"/>
            <a:cs typeface="+mn-cs"/>
          </a:endParaRPr>
        </a:p>
        <a:p>
          <a:pPr algn="l"/>
          <a:r>
            <a:rPr lang="en-US" sz="1100" b="0" i="0" u="none" strike="noStrike">
              <a:solidFill>
                <a:schemeClr val="bg1"/>
              </a:solidFill>
              <a:effectLst/>
              <a:latin typeface="+mn-lt"/>
              <a:ea typeface="+mn-ea"/>
              <a:cs typeface="+mn-cs"/>
            </a:rPr>
            <a:t>NAVFAC</a:t>
          </a:r>
          <a:r>
            <a:rPr lang="en-US">
              <a:solidFill>
                <a:schemeClr val="bg1"/>
              </a:solidFill>
            </a:rPr>
            <a:t> </a:t>
          </a:r>
          <a:r>
            <a:rPr lang="en-US" sz="1100" b="0" i="0" u="none" strike="noStrike">
              <a:solidFill>
                <a:schemeClr val="bg1"/>
              </a:solidFill>
              <a:effectLst/>
              <a:latin typeface="+mn-lt"/>
              <a:ea typeface="+mn-ea"/>
              <a:cs typeface="+mn-cs"/>
            </a:rPr>
            <a:t>Ashley Kennedy (NAVFAC Atlantic)</a:t>
          </a:r>
          <a:r>
            <a:rPr lang="en-US">
              <a:solidFill>
                <a:schemeClr val="bg1"/>
              </a:solidFill>
            </a:rPr>
            <a:t> </a:t>
          </a:r>
          <a:r>
            <a:rPr lang="en-US" sz="1100" b="0" i="0" u="sng" strike="noStrike">
              <a:solidFill>
                <a:schemeClr val="bg1"/>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xmlns="" val="tx"/>
                  </a:ext>
                </a:extLst>
              </a:hlinkClick>
            </a:rPr>
            <a:t>ashley.l.kennedy5.civ@us.navy.mil</a:t>
          </a:r>
          <a:endParaRPr lang="en-US" sz="1100" b="0" i="0" u="none" strike="noStrike">
            <a:solidFill>
              <a:schemeClr val="bg1"/>
            </a:solidFill>
            <a:effectLst/>
            <a:latin typeface="+mn-lt"/>
            <a:ea typeface="+mn-ea"/>
            <a:cs typeface="+mn-cs"/>
          </a:endParaRPr>
        </a:p>
        <a:p>
          <a:pPr algn="l"/>
          <a:endParaRPr lang="en-US" sz="1100" b="0" i="0" u="none" strike="noStrike">
            <a:solidFill>
              <a:schemeClr val="bg1"/>
            </a:solidFill>
            <a:effectLst/>
            <a:latin typeface="+mn-lt"/>
            <a:ea typeface="+mn-ea"/>
            <a:cs typeface="+mn-cs"/>
          </a:endParaRPr>
        </a:p>
        <a:p>
          <a:pPr algn="l"/>
          <a:r>
            <a:rPr lang="en-US" sz="1100" b="0" i="0" u="none" strike="noStrike">
              <a:solidFill>
                <a:schemeClr val="bg1"/>
              </a:solidFill>
              <a:effectLst/>
              <a:latin typeface="+mn-lt"/>
              <a:ea typeface="+mn-ea"/>
              <a:cs typeface="+mn-cs"/>
            </a:rPr>
            <a:t>USAF</a:t>
          </a:r>
          <a:r>
            <a:rPr lang="en-US">
              <a:solidFill>
                <a:schemeClr val="bg1"/>
              </a:solidFill>
            </a:rPr>
            <a:t> </a:t>
          </a:r>
          <a:r>
            <a:rPr lang="en-US" sz="1100" b="0" i="0" u="none" strike="noStrike">
              <a:solidFill>
                <a:schemeClr val="bg1"/>
              </a:solidFill>
              <a:effectLst/>
              <a:latin typeface="+mn-lt"/>
              <a:ea typeface="+mn-ea"/>
              <a:cs typeface="+mn-cs"/>
            </a:rPr>
            <a:t>Dean Hammonds (AFSEC/COSC)</a:t>
          </a:r>
          <a:r>
            <a:rPr lang="en-US">
              <a:solidFill>
                <a:schemeClr val="bg1"/>
              </a:solidFill>
            </a:rPr>
            <a:t> </a:t>
          </a:r>
          <a:r>
            <a:rPr lang="en-US" sz="1100" b="0" i="0" u="sng" strike="noStrike">
              <a:solidFill>
                <a:schemeClr val="bg1"/>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xmlns="" val="tx"/>
                  </a:ext>
                </a:extLst>
              </a:hlinkClick>
            </a:rPr>
            <a:t>dean.hammonds@us.af.mil</a:t>
          </a:r>
          <a:endParaRPr lang="en-US" sz="1100" b="0" i="0" u="none" strike="noStrike">
            <a:solidFill>
              <a:schemeClr val="bg1"/>
            </a:solidFill>
            <a:effectLst/>
            <a:latin typeface="+mn-lt"/>
            <a:ea typeface="+mn-ea"/>
            <a:cs typeface="+mn-cs"/>
          </a:endParaRPr>
        </a:p>
        <a:p>
          <a:pPr algn="l"/>
          <a:endParaRPr lang="en-US" sz="1100" b="0" i="0" u="none" strike="noStrike">
            <a:solidFill>
              <a:schemeClr val="bg1"/>
            </a:solidFill>
            <a:effectLst/>
            <a:latin typeface="+mn-lt"/>
            <a:ea typeface="+mn-ea"/>
            <a:cs typeface="+mn-cs"/>
          </a:endParaRPr>
        </a:p>
        <a:p>
          <a:pPr algn="l"/>
          <a:r>
            <a:rPr lang="en-US" sz="1100" b="0" i="0" u="none" strike="noStrike">
              <a:solidFill>
                <a:schemeClr val="bg1"/>
              </a:solidFill>
              <a:effectLst/>
              <a:latin typeface="+mn-lt"/>
              <a:ea typeface="+mn-ea"/>
              <a:cs typeface="+mn-cs"/>
            </a:rPr>
            <a:t>VA</a:t>
          </a:r>
          <a:r>
            <a:rPr lang="en-US">
              <a:solidFill>
                <a:schemeClr val="bg1"/>
              </a:solidFill>
            </a:rPr>
            <a:t> </a:t>
          </a:r>
          <a:r>
            <a:rPr lang="en-US" sz="1100" b="0" i="0" u="none" strike="noStrike">
              <a:solidFill>
                <a:schemeClr val="bg1"/>
              </a:solidFill>
              <a:effectLst/>
              <a:latin typeface="+mn-lt"/>
              <a:ea typeface="+mn-ea"/>
              <a:cs typeface="+mn-cs"/>
            </a:rPr>
            <a:t>Dustin Sawyers (CFM CES)</a:t>
          </a:r>
          <a:r>
            <a:rPr lang="en-US">
              <a:solidFill>
                <a:schemeClr val="bg1"/>
              </a:solidFill>
            </a:rPr>
            <a:t> </a:t>
          </a:r>
          <a:r>
            <a:rPr lang="en-US" sz="1100" b="0" i="0" u="sng" strike="noStrike">
              <a:solidFill>
                <a:schemeClr val="bg1"/>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xmlns="" val="tx"/>
                  </a:ext>
                </a:extLst>
              </a:hlinkClick>
            </a:rPr>
            <a:t>dustin.l.sawyers@usace.army.mil</a:t>
          </a:r>
          <a:r>
            <a:rPr lang="en-US">
              <a:solidFill>
                <a:schemeClr val="bg1"/>
              </a:solidFill>
            </a:rPr>
            <a:t> </a:t>
          </a:r>
          <a:endParaRPr lang="en-US" sz="1100" b="0" u="none" baseline="0">
            <a:solidFill>
              <a:schemeClr val="bg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93345</xdr:colOff>
      <xdr:row>3</xdr:row>
      <xdr:rowOff>51435</xdr:rowOff>
    </xdr:from>
    <xdr:to>
      <xdr:col>9</xdr:col>
      <xdr:colOff>219075</xdr:colOff>
      <xdr:row>7</xdr:row>
      <xdr:rowOff>121920</xdr:rowOff>
    </xdr:to>
    <xdr:sp macro="" textlink="">
      <xdr:nvSpPr>
        <xdr:cNvPr id="5" name="Callout: Left Arrow 4" descr="1a855b05-10af-4859-b3bf-e6dd1af0703d">
          <a:extLst>
            <a:ext uri="{FF2B5EF4-FFF2-40B4-BE49-F238E27FC236}">
              <a16:creationId xmlns:a16="http://schemas.microsoft.com/office/drawing/2014/main" id="{8920521B-937A-469A-ADCA-BF8ED80B8B71}"/>
            </a:ext>
          </a:extLst>
        </xdr:cNvPr>
        <xdr:cNvSpPr/>
      </xdr:nvSpPr>
      <xdr:spPr>
        <a:xfrm>
          <a:off x="7058025" y="699135"/>
          <a:ext cx="3783330" cy="802005"/>
        </a:xfrm>
        <a:prstGeom prst="leftArrowCallout">
          <a:avLst>
            <a:gd name="adj1" fmla="val 25000"/>
            <a:gd name="adj2" fmla="val 25000"/>
            <a:gd name="adj3" fmla="val 41339"/>
            <a:gd name="adj4" fmla="val 77635"/>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This</a:t>
          </a:r>
          <a:r>
            <a:rPr lang="en-US" sz="1100" b="1" baseline="0">
              <a:solidFill>
                <a:schemeClr val="lt1"/>
              </a:solidFill>
              <a:effectLst/>
              <a:latin typeface="+mn-lt"/>
              <a:ea typeface="+mn-ea"/>
              <a:cs typeface="+mn-cs"/>
            </a:rPr>
            <a:t> value sets the displayed confidence level on the I- Project Contingency tab and various other places... currently the accepted values are 50% for MILCON and 80% for Civil Works. </a:t>
          </a:r>
          <a:endParaRPr lang="en-US" sz="1100" b="1">
            <a:solidFill>
              <a:schemeClr val="lt1"/>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7</xdr:col>
      <xdr:colOff>32385</xdr:colOff>
      <xdr:row>49</xdr:row>
      <xdr:rowOff>108585</xdr:rowOff>
    </xdr:from>
    <xdr:to>
      <xdr:col>12</xdr:col>
      <xdr:colOff>453390</xdr:colOff>
      <xdr:row>53</xdr:row>
      <xdr:rowOff>89535</xdr:rowOff>
    </xdr:to>
    <xdr:sp macro="" textlink="">
      <xdr:nvSpPr>
        <xdr:cNvPr id="13" name="Callout: Left Arrow 12" descr="1a855b05-10af-4859-b3bf-e6dd1af0703d">
          <a:extLst>
            <a:ext uri="{FF2B5EF4-FFF2-40B4-BE49-F238E27FC236}">
              <a16:creationId xmlns:a16="http://schemas.microsoft.com/office/drawing/2014/main" id="{30DBFC93-E9CC-488E-A518-015B3E939766}"/>
            </a:ext>
          </a:extLst>
        </xdr:cNvPr>
        <xdr:cNvSpPr/>
      </xdr:nvSpPr>
      <xdr:spPr>
        <a:xfrm>
          <a:off x="12483465" y="9176385"/>
          <a:ext cx="3827145" cy="735330"/>
        </a:xfrm>
        <a:prstGeom prst="leftArrowCallout">
          <a:avLst>
            <a:gd name="adj1" fmla="val 25000"/>
            <a:gd name="adj2" fmla="val 25000"/>
            <a:gd name="adj3" fmla="val 41339"/>
            <a:gd name="adj4" fmla="val 77635"/>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If you want to use the cost</a:t>
          </a:r>
          <a:r>
            <a:rPr lang="en-US" sz="1100" b="1" baseline="0">
              <a:solidFill>
                <a:schemeClr val="lt1"/>
              </a:solidFill>
              <a:effectLst/>
              <a:latin typeface="+mn-lt"/>
              <a:ea typeface="+mn-ea"/>
              <a:cs typeface="+mn-cs"/>
            </a:rPr>
            <a:t> by confidence chart that plots the PROGRAMMED AMOUNT  on the PROJECT CONTINGENCY TAB - Enter the Programmed Amount here. </a:t>
          </a:r>
          <a:endParaRPr lang="en-US" sz="1100" b="1">
            <a:solidFill>
              <a:schemeClr val="lt1"/>
            </a:solidFill>
            <a:effectLst/>
            <a:latin typeface="+mn-lt"/>
            <a:ea typeface="+mn-ea"/>
            <a:cs typeface="+mn-cs"/>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editAs="oneCell">
    <xdr:from>
      <xdr:col>5</xdr:col>
      <xdr:colOff>233083</xdr:colOff>
      <xdr:row>15</xdr:row>
      <xdr:rowOff>1</xdr:rowOff>
    </xdr:from>
    <xdr:to>
      <xdr:col>7</xdr:col>
      <xdr:colOff>744967</xdr:colOff>
      <xdr:row>22</xdr:row>
      <xdr:rowOff>71719</xdr:rowOff>
    </xdr:to>
    <xdr:sp macro="" textlink="">
      <xdr:nvSpPr>
        <xdr:cNvPr id="10" name="Arrow: Left 9" descr="7d47c87b-54fd-4efb-bb62-4a36e2562f74">
          <a:extLst>
            <a:ext uri="{FF2B5EF4-FFF2-40B4-BE49-F238E27FC236}">
              <a16:creationId xmlns:a16="http://schemas.microsoft.com/office/drawing/2014/main" id="{52DC39CB-6567-4ABA-87E8-9D85DF855AB5}"/>
            </a:ext>
          </a:extLst>
        </xdr:cNvPr>
        <xdr:cNvSpPr/>
      </xdr:nvSpPr>
      <xdr:spPr>
        <a:xfrm>
          <a:off x="4401671" y="3370730"/>
          <a:ext cx="3093720" cy="1335742"/>
        </a:xfrm>
        <a:prstGeom prst="leftArrow">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algn="l"/>
          <a:r>
            <a:rPr lang="en-US" sz="1100" b="1"/>
            <a:t>Any changes to these assumptions will change the assumptions in the models.</a:t>
          </a:r>
        </a:p>
      </xdr:txBody>
    </xdr:sp>
    <xdr:clientData/>
  </xdr:twoCellAnchor>
  <xdr:twoCellAnchor editAs="oneCell">
    <xdr:from>
      <xdr:col>5</xdr:col>
      <xdr:colOff>251011</xdr:colOff>
      <xdr:row>35</xdr:row>
      <xdr:rowOff>134470</xdr:rowOff>
    </xdr:from>
    <xdr:to>
      <xdr:col>7</xdr:col>
      <xdr:colOff>762895</xdr:colOff>
      <xdr:row>42</xdr:row>
      <xdr:rowOff>8965</xdr:rowOff>
    </xdr:to>
    <xdr:sp macro="" textlink="">
      <xdr:nvSpPr>
        <xdr:cNvPr id="11" name="Arrow: Left 10" descr="7d47c87b-54fd-4efb-bb62-4a36e2562f74">
          <a:extLst>
            <a:ext uri="{FF2B5EF4-FFF2-40B4-BE49-F238E27FC236}">
              <a16:creationId xmlns:a16="http://schemas.microsoft.com/office/drawing/2014/main" id="{96D1B73E-B8C3-4402-B09B-7035B8004520}"/>
            </a:ext>
          </a:extLst>
        </xdr:cNvPr>
        <xdr:cNvSpPr/>
      </xdr:nvSpPr>
      <xdr:spPr>
        <a:xfrm>
          <a:off x="4419599" y="8364070"/>
          <a:ext cx="3093720" cy="1335742"/>
        </a:xfrm>
        <a:prstGeom prst="leftArrow">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algn="l"/>
          <a:r>
            <a:rPr lang="en-US" sz="1100" b="1"/>
            <a:t>Any changes to these assumptions will change the assumptions in the models.</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23</xdr:col>
      <xdr:colOff>81280</xdr:colOff>
      <xdr:row>1</xdr:row>
      <xdr:rowOff>101600</xdr:rowOff>
    </xdr:from>
    <xdr:to>
      <xdr:col>27</xdr:col>
      <xdr:colOff>10160</xdr:colOff>
      <xdr:row>13</xdr:row>
      <xdr:rowOff>145228</xdr:rowOff>
    </xdr:to>
    <xdr:sp macro="" textlink="">
      <xdr:nvSpPr>
        <xdr:cNvPr id="3" name="Callout: Down Arrow 2" descr="ad715ed1-4606-402c-b63a-cc381bd8a56a">
          <a:extLst>
            <a:ext uri="{FF2B5EF4-FFF2-40B4-BE49-F238E27FC236}">
              <a16:creationId xmlns:a16="http://schemas.microsoft.com/office/drawing/2014/main" id="{7EC5E9C8-1135-4C80-9539-3CA0D58EE801}"/>
            </a:ext>
          </a:extLst>
        </xdr:cNvPr>
        <xdr:cNvSpPr/>
      </xdr:nvSpPr>
      <xdr:spPr>
        <a:xfrm>
          <a:off x="27838400" y="375920"/>
          <a:ext cx="3413760" cy="2339788"/>
        </a:xfrm>
        <a:prstGeom prst="downArrowCallout">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indent="0" algn="l"/>
          <a:r>
            <a:rPr lang="en-US" sz="1100" b="1" u="sng">
              <a:solidFill>
                <a:schemeClr val="lt1"/>
              </a:solidFill>
              <a:latin typeface="+mn-lt"/>
              <a:ea typeface="+mn-ea"/>
              <a:cs typeface="+mn-cs"/>
            </a:rPr>
            <a:t>TWO-STEP:</a:t>
          </a:r>
          <a:r>
            <a:rPr lang="en-US" sz="1100" b="1">
              <a:solidFill>
                <a:schemeClr val="lt1"/>
              </a:solidFill>
              <a:latin typeface="+mn-lt"/>
              <a:ea typeface="+mn-ea"/>
              <a:cs typeface="+mn-cs"/>
            </a:rPr>
            <a:t>  </a:t>
          </a:r>
          <a:r>
            <a:rPr lang="en-US" sz="1100" b="1">
              <a:solidFill>
                <a:schemeClr val="lt1"/>
              </a:solidFill>
              <a:effectLst/>
              <a:latin typeface="+mn-lt"/>
              <a:ea typeface="+mn-ea"/>
              <a:cs typeface="+mn-cs"/>
            </a:rPr>
            <a:t>Default is 100%.  If this is a significant event and a two-step is utilized, then define the probability of occurrence.</a:t>
          </a:r>
        </a:p>
        <a:p>
          <a:pPr marL="0" indent="0" algn="l"/>
          <a:endParaRPr lang="en-US" sz="1100" b="1">
            <a:solidFill>
              <a:schemeClr val="lt1"/>
            </a:solidFill>
            <a:effectLst/>
            <a:latin typeface="+mn-lt"/>
            <a:ea typeface="+mn-ea"/>
            <a:cs typeface="+mn-cs"/>
          </a:endParaRPr>
        </a:p>
        <a:p>
          <a:pPr marL="0" indent="0" algn="l"/>
          <a:r>
            <a:rPr lang="en-US" sz="1100" b="1" u="sng">
              <a:solidFill>
                <a:schemeClr val="lt1"/>
              </a:solidFill>
              <a:effectLst/>
              <a:latin typeface="+mn-lt"/>
              <a:ea typeface="+mn-ea"/>
              <a:cs typeface="+mn-cs"/>
            </a:rPr>
            <a:t>Event Prob:</a:t>
          </a:r>
          <a:r>
            <a:rPr lang="en-US" sz="1100" b="1" baseline="0">
              <a:solidFill>
                <a:schemeClr val="lt1"/>
              </a:solidFill>
              <a:effectLst/>
              <a:latin typeface="+mn-lt"/>
              <a:ea typeface="+mn-ea"/>
              <a:cs typeface="+mn-cs"/>
            </a:rPr>
            <a:t>  </a:t>
          </a:r>
          <a:r>
            <a:rPr lang="en-US" sz="1100" b="1">
              <a:solidFill>
                <a:schemeClr val="lt1"/>
              </a:solidFill>
              <a:effectLst/>
              <a:latin typeface="+mn-lt"/>
              <a:ea typeface="+mn-ea"/>
              <a:cs typeface="+mn-cs"/>
            </a:rPr>
            <a:t>Default is 1.  If this is a significant event and a two-step is utilized, then suggest use of "Yes/No" assumption curve or a binomial curve.</a:t>
          </a:r>
        </a:p>
        <a:p>
          <a:pPr marL="0" indent="0" algn="l"/>
          <a:endParaRPr lang="en-US" sz="1100" b="1">
            <a:solidFill>
              <a:schemeClr val="lt1"/>
            </a:solidFill>
            <a:latin typeface="+mn-lt"/>
            <a:ea typeface="+mn-ea"/>
            <a:cs typeface="+mn-cs"/>
          </a:endParaRPr>
        </a:p>
      </xdr:txBody>
    </xdr:sp>
    <xdr:clientData fPrintsWithSheet="0"/>
  </xdr:twoCellAnchor>
  <xdr:twoCellAnchor editAs="oneCell">
    <xdr:from>
      <xdr:col>29</xdr:col>
      <xdr:colOff>609600</xdr:colOff>
      <xdr:row>0</xdr:row>
      <xdr:rowOff>7620</xdr:rowOff>
    </xdr:from>
    <xdr:to>
      <xdr:col>33</xdr:col>
      <xdr:colOff>487680</xdr:colOff>
      <xdr:row>7</xdr:row>
      <xdr:rowOff>10160</xdr:rowOff>
    </xdr:to>
    <xdr:sp macro="" textlink="">
      <xdr:nvSpPr>
        <xdr:cNvPr id="2" name="Callout: Up Arrow 1" descr="3d13828b-352d-4eb2-ab37-6e753a36329e">
          <a:extLst>
            <a:ext uri="{FF2B5EF4-FFF2-40B4-BE49-F238E27FC236}">
              <a16:creationId xmlns:a16="http://schemas.microsoft.com/office/drawing/2014/main" id="{46238338-27E9-4B52-8034-4064D4DD17E5}"/>
            </a:ext>
          </a:extLst>
        </xdr:cNvPr>
        <xdr:cNvSpPr/>
      </xdr:nvSpPr>
      <xdr:spPr>
        <a:xfrm>
          <a:off x="35671760" y="7620"/>
          <a:ext cx="4226560" cy="1435100"/>
        </a:xfrm>
        <a:prstGeom prst="upArrowCallout">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lt1"/>
              </a:solidFill>
              <a:effectLst/>
              <a:latin typeface="+mn-lt"/>
              <a:ea typeface="+mn-ea"/>
              <a:cs typeface="+mn-cs"/>
            </a:rPr>
            <a:t>Make sure cells AE and AG sum all of the risks in  each column in the risk register. These totals feed the cost and schedule forecast on the project contingency tab!</a:t>
          </a:r>
        </a:p>
      </xdr:txBody>
    </xdr:sp>
    <xdr:clientData fPrintsWithSheet="0"/>
  </xdr:twoCellAnchor>
  <xdr:twoCellAnchor editAs="oneCell">
    <xdr:from>
      <xdr:col>44</xdr:col>
      <xdr:colOff>162560</xdr:colOff>
      <xdr:row>6</xdr:row>
      <xdr:rowOff>162560</xdr:rowOff>
    </xdr:from>
    <xdr:to>
      <xdr:col>48</xdr:col>
      <xdr:colOff>132080</xdr:colOff>
      <xdr:row>13</xdr:row>
      <xdr:rowOff>94428</xdr:rowOff>
    </xdr:to>
    <xdr:sp macro="" textlink="">
      <xdr:nvSpPr>
        <xdr:cNvPr id="4" name="Callout: Down Arrow 3" descr="ad715ed1-4606-402c-b63a-cc381bd8a56a">
          <a:extLst>
            <a:ext uri="{FF2B5EF4-FFF2-40B4-BE49-F238E27FC236}">
              <a16:creationId xmlns:a16="http://schemas.microsoft.com/office/drawing/2014/main" id="{006C482C-2D25-4298-A449-84817C22B74E}"/>
            </a:ext>
          </a:extLst>
        </xdr:cNvPr>
        <xdr:cNvSpPr/>
      </xdr:nvSpPr>
      <xdr:spPr>
        <a:xfrm>
          <a:off x="57485280" y="1422400"/>
          <a:ext cx="3434080" cy="1242508"/>
        </a:xfrm>
        <a:prstGeom prst="downArrowCallout">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indent="0" algn="l"/>
          <a:r>
            <a:rPr lang="en-US" sz="1100" b="1" u="none">
              <a:solidFill>
                <a:schemeClr val="lt1"/>
              </a:solidFill>
              <a:latin typeface="+mn-lt"/>
              <a:ea typeface="+mn-ea"/>
              <a:cs typeface="+mn-cs"/>
            </a:rPr>
            <a:t>If cells are</a:t>
          </a:r>
          <a:r>
            <a:rPr lang="en-US" sz="1100" b="1" u="none" baseline="0">
              <a:solidFill>
                <a:schemeClr val="lt1"/>
              </a:solidFill>
              <a:latin typeface="+mn-lt"/>
              <a:ea typeface="+mn-ea"/>
              <a:cs typeface="+mn-cs"/>
            </a:rPr>
            <a:t> added or inserted in the risk register, double-check to make sure the forecasts and formulas from columns AU:BX are updated.</a:t>
          </a:r>
          <a:endParaRPr lang="en-US" sz="1100" b="1" u="none">
            <a:solidFill>
              <a:schemeClr val="lt1"/>
            </a:solidFill>
            <a:latin typeface="+mn-lt"/>
            <a:ea typeface="+mn-ea"/>
            <a:cs typeface="+mn-cs"/>
          </a:endParaRPr>
        </a:p>
      </xdr:txBody>
    </xdr:sp>
    <xdr:clientData fPrintsWithSheet="0"/>
  </xdr:twoCellAnchor>
  <xdr:twoCellAnchor editAs="oneCell">
    <xdr:from>
      <xdr:col>34</xdr:col>
      <xdr:colOff>71120</xdr:colOff>
      <xdr:row>1</xdr:row>
      <xdr:rowOff>91440</xdr:rowOff>
    </xdr:from>
    <xdr:to>
      <xdr:col>34</xdr:col>
      <xdr:colOff>4364355</xdr:colOff>
      <xdr:row>14</xdr:row>
      <xdr:rowOff>13148</xdr:rowOff>
    </xdr:to>
    <xdr:sp macro="" textlink="">
      <xdr:nvSpPr>
        <xdr:cNvPr id="5" name="Callout: Down Arrow 4" descr="ad715ed1-4606-402c-b63a-cc381bd8a56a">
          <a:extLst>
            <a:ext uri="{FF2B5EF4-FFF2-40B4-BE49-F238E27FC236}">
              <a16:creationId xmlns:a16="http://schemas.microsoft.com/office/drawing/2014/main" id="{683AB63D-1E91-4561-AE62-283A535B1705}"/>
            </a:ext>
          </a:extLst>
        </xdr:cNvPr>
        <xdr:cNvSpPr/>
      </xdr:nvSpPr>
      <xdr:spPr>
        <a:xfrm>
          <a:off x="20756880" y="365760"/>
          <a:ext cx="4378960" cy="2431228"/>
        </a:xfrm>
        <a:prstGeom prst="downArrowCallout">
          <a:avLst>
            <a:gd name="adj1" fmla="val 9922"/>
            <a:gd name="adj2" fmla="val 15953"/>
            <a:gd name="adj3" fmla="val 9546"/>
            <a:gd name="adj4" fmla="val 80809"/>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indent="0" algn="l"/>
          <a:r>
            <a:rPr lang="en-US" sz="1100" b="1" u="sng">
              <a:solidFill>
                <a:schemeClr val="lt1"/>
              </a:solidFill>
              <a:latin typeface="+mn-lt"/>
              <a:ea typeface="+mn-ea"/>
              <a:cs typeface="+mn-cs"/>
            </a:rPr>
            <a:t>Examples:  </a:t>
          </a:r>
        </a:p>
        <a:p>
          <a:pPr marL="0" indent="0" algn="l"/>
          <a:r>
            <a:rPr lang="en-US" sz="1100" b="1" u="sng">
              <a:solidFill>
                <a:schemeClr val="lt1"/>
              </a:solidFill>
              <a:latin typeface="+mn-lt"/>
              <a:ea typeface="+mn-ea"/>
              <a:cs typeface="+mn-cs"/>
            </a:rPr>
            <a:t>Mitigate</a:t>
          </a:r>
          <a:r>
            <a:rPr lang="en-US" sz="1100" b="1" u="none">
              <a:solidFill>
                <a:schemeClr val="lt1"/>
              </a:solidFill>
              <a:latin typeface="+mn-lt"/>
              <a:ea typeface="+mn-ea"/>
              <a:cs typeface="+mn-cs"/>
            </a:rPr>
            <a:t>.  The team can reach out to the suppliers to get estimated design and fabrication durations to help ensure our construction schedule captures the appropriate time.</a:t>
          </a:r>
        </a:p>
        <a:p>
          <a:pPr marL="0" indent="0" algn="l"/>
          <a:r>
            <a:rPr lang="en-US" sz="1100" b="1" u="sng">
              <a:solidFill>
                <a:schemeClr val="lt1"/>
              </a:solidFill>
              <a:latin typeface="+mn-lt"/>
              <a:ea typeface="+mn-ea"/>
              <a:cs typeface="+mn-cs"/>
            </a:rPr>
            <a:t>Accept</a:t>
          </a:r>
          <a:r>
            <a:rPr lang="en-US" sz="1100" b="1" u="none">
              <a:solidFill>
                <a:schemeClr val="lt1"/>
              </a:solidFill>
              <a:latin typeface="+mn-lt"/>
              <a:ea typeface="+mn-ea"/>
              <a:cs typeface="+mn-cs"/>
            </a:rPr>
            <a:t>.  If the schedule is accelerated, the estimate, schedule, and CSRA will be updated to reflect the new project schedule which could reduce costs and risks (ex. inflation risk).</a:t>
          </a:r>
        </a:p>
        <a:p>
          <a:pPr marL="0" indent="0" algn="l"/>
          <a:r>
            <a:rPr lang="en-US" sz="1100" b="1" u="sng">
              <a:solidFill>
                <a:schemeClr val="lt1"/>
              </a:solidFill>
              <a:latin typeface="+mn-lt"/>
              <a:ea typeface="+mn-ea"/>
              <a:cs typeface="+mn-cs"/>
            </a:rPr>
            <a:t>Accept/Mitigate</a:t>
          </a:r>
          <a:r>
            <a:rPr lang="en-US" sz="1100" b="1" u="none">
              <a:solidFill>
                <a:schemeClr val="lt1"/>
              </a:solidFill>
              <a:latin typeface="+mn-lt"/>
              <a:ea typeface="+mn-ea"/>
              <a:cs typeface="+mn-cs"/>
            </a:rPr>
            <a:t>.  Industry day and discussions with interested vendors or contractors can help promote awareness and competition.  The more bids we receive typically results in more competition.</a:t>
          </a:r>
        </a:p>
      </xdr:txBody>
    </xdr:sp>
    <xdr:clientData fPrintsWithSheet="0"/>
  </xdr:twoCellAnchor>
  <xdr:twoCellAnchor editAs="oneCell">
    <xdr:from>
      <xdr:col>28</xdr:col>
      <xdr:colOff>431800</xdr:colOff>
      <xdr:row>7</xdr:row>
      <xdr:rowOff>50800</xdr:rowOff>
    </xdr:from>
    <xdr:to>
      <xdr:col>30</xdr:col>
      <xdr:colOff>492125</xdr:colOff>
      <xdr:row>14</xdr:row>
      <xdr:rowOff>3306</xdr:rowOff>
    </xdr:to>
    <xdr:sp macro="" textlink="">
      <xdr:nvSpPr>
        <xdr:cNvPr id="7" name="Callout: Down Arrow 6" descr="ad715ed1-4606-402c-b63a-cc381bd8a56a">
          <a:extLst>
            <a:ext uri="{FF2B5EF4-FFF2-40B4-BE49-F238E27FC236}">
              <a16:creationId xmlns:a16="http://schemas.microsoft.com/office/drawing/2014/main" id="{CB6412F3-025B-4EBD-AB05-6AC0E8B3662B}"/>
            </a:ext>
          </a:extLst>
        </xdr:cNvPr>
        <xdr:cNvSpPr/>
      </xdr:nvSpPr>
      <xdr:spPr>
        <a:xfrm>
          <a:off x="33451800" y="1549400"/>
          <a:ext cx="2168525" cy="1324106"/>
        </a:xfrm>
        <a:prstGeom prst="downArrowCallout">
          <a:avLst>
            <a:gd name="adj1" fmla="val 31556"/>
            <a:gd name="adj2" fmla="val 25000"/>
            <a:gd name="adj3" fmla="val 25000"/>
            <a:gd name="adj4" fmla="val 64977"/>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indent="0" algn="l"/>
          <a:r>
            <a:rPr lang="en-US" sz="1100" b="1" u="none">
              <a:solidFill>
                <a:schemeClr val="lt1"/>
              </a:solidFill>
              <a:latin typeface="+mn-lt"/>
              <a:ea typeface="+mn-ea"/>
              <a:cs typeface="+mn-cs"/>
            </a:rPr>
            <a:t>Naming syntax for</a:t>
          </a:r>
          <a:r>
            <a:rPr lang="en-US" sz="1100" b="1" u="none" baseline="0">
              <a:solidFill>
                <a:schemeClr val="lt1"/>
              </a:solidFill>
              <a:latin typeface="+mn-lt"/>
              <a:ea typeface="+mn-ea"/>
              <a:cs typeface="+mn-cs"/>
            </a:rPr>
            <a:t> Cost</a:t>
          </a:r>
          <a:r>
            <a:rPr lang="en-US" sz="1100" b="1" u="none">
              <a:solidFill>
                <a:schemeClr val="lt1"/>
              </a:solidFill>
              <a:latin typeface="+mn-lt"/>
              <a:ea typeface="+mn-ea"/>
              <a:cs typeface="+mn-cs"/>
            </a:rPr>
            <a:t> risk use </a:t>
          </a:r>
        </a:p>
        <a:p>
          <a:pPr marL="0" indent="0" algn="l"/>
          <a:r>
            <a:rPr lang="en-US" sz="1100" b="1" u="none">
              <a:solidFill>
                <a:schemeClr val="lt1"/>
              </a:solidFill>
              <a:latin typeface="+mn-lt"/>
              <a:ea typeface="+mn-ea"/>
              <a:cs typeface="+mn-cs"/>
            </a:rPr>
            <a:t>=AD$17&amp;": "&amp;$A18&amp;" - "&amp;$C18</a:t>
          </a:r>
        </a:p>
        <a:p>
          <a:pPr marL="0" indent="0" algn="l"/>
          <a:r>
            <a:rPr lang="en-US" sz="1100" b="1" u="none">
              <a:solidFill>
                <a:schemeClr val="lt1"/>
              </a:solidFill>
              <a:latin typeface="+mn-lt"/>
              <a:ea typeface="+mn-ea"/>
              <a:cs typeface="+mn-cs"/>
            </a:rPr>
            <a:t>in Crystal</a:t>
          </a:r>
          <a:r>
            <a:rPr lang="en-US" sz="1100" b="1" u="none" baseline="0">
              <a:solidFill>
                <a:schemeClr val="lt1"/>
              </a:solidFill>
              <a:latin typeface="+mn-lt"/>
              <a:ea typeface="+mn-ea"/>
              <a:cs typeface="+mn-cs"/>
            </a:rPr>
            <a:t> Ball shape name for first risk then copy to the rest</a:t>
          </a:r>
        </a:p>
        <a:p>
          <a:pPr marL="0" indent="0" algn="l"/>
          <a:endParaRPr lang="en-US" sz="1100" b="1" u="none">
            <a:solidFill>
              <a:schemeClr val="lt1"/>
            </a:solidFill>
            <a:latin typeface="+mn-lt"/>
            <a:ea typeface="+mn-ea"/>
            <a:cs typeface="+mn-cs"/>
          </a:endParaRPr>
        </a:p>
      </xdr:txBody>
    </xdr:sp>
    <xdr:clientData fPrintsWithSheet="0"/>
  </xdr:twoCellAnchor>
  <xdr:twoCellAnchor editAs="oneCell">
    <xdr:from>
      <xdr:col>30</xdr:col>
      <xdr:colOff>647700</xdr:colOff>
      <xdr:row>7</xdr:row>
      <xdr:rowOff>63500</xdr:rowOff>
    </xdr:from>
    <xdr:to>
      <xdr:col>32</xdr:col>
      <xdr:colOff>708025</xdr:colOff>
      <xdr:row>14</xdr:row>
      <xdr:rowOff>66806</xdr:rowOff>
    </xdr:to>
    <xdr:sp macro="" textlink="">
      <xdr:nvSpPr>
        <xdr:cNvPr id="9" name="Callout: Down Arrow 8" descr="ad715ed1-4606-402c-b63a-cc381bd8a56a">
          <a:extLst>
            <a:ext uri="{FF2B5EF4-FFF2-40B4-BE49-F238E27FC236}">
              <a16:creationId xmlns:a16="http://schemas.microsoft.com/office/drawing/2014/main" id="{2EA39EB9-AD71-4C8E-95B9-716D78130795}"/>
            </a:ext>
          </a:extLst>
        </xdr:cNvPr>
        <xdr:cNvSpPr/>
      </xdr:nvSpPr>
      <xdr:spPr>
        <a:xfrm>
          <a:off x="35775900" y="1562100"/>
          <a:ext cx="2168525" cy="1374906"/>
        </a:xfrm>
        <a:prstGeom prst="downArrowCallout">
          <a:avLst>
            <a:gd name="adj1" fmla="val 31556"/>
            <a:gd name="adj2" fmla="val 25000"/>
            <a:gd name="adj3" fmla="val 25000"/>
            <a:gd name="adj4" fmla="val 64977"/>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indent="0" algn="l"/>
          <a:r>
            <a:rPr lang="en-US" sz="1100" b="1" u="none">
              <a:solidFill>
                <a:schemeClr val="lt1"/>
              </a:solidFill>
              <a:latin typeface="+mn-lt"/>
              <a:ea typeface="+mn-ea"/>
              <a:cs typeface="+mn-cs"/>
            </a:rPr>
            <a:t>Naming syntax for</a:t>
          </a:r>
          <a:r>
            <a:rPr lang="en-US" sz="1100" b="1" u="none" baseline="0">
              <a:solidFill>
                <a:schemeClr val="lt1"/>
              </a:solidFill>
              <a:latin typeface="+mn-lt"/>
              <a:ea typeface="+mn-ea"/>
              <a:cs typeface="+mn-cs"/>
            </a:rPr>
            <a:t> Schedule </a:t>
          </a:r>
          <a:r>
            <a:rPr lang="en-US" sz="1100" b="1" u="none">
              <a:solidFill>
                <a:schemeClr val="lt1"/>
              </a:solidFill>
              <a:latin typeface="+mn-lt"/>
              <a:ea typeface="+mn-ea"/>
              <a:cs typeface="+mn-cs"/>
            </a:rPr>
            <a:t>risk </a:t>
          </a:r>
        </a:p>
        <a:p>
          <a:pPr marL="0" indent="0" algn="l"/>
          <a:r>
            <a:rPr lang="en-US" sz="1100" b="1" u="none">
              <a:solidFill>
                <a:schemeClr val="lt1"/>
              </a:solidFill>
              <a:latin typeface="+mn-lt"/>
              <a:ea typeface="+mn-ea"/>
              <a:cs typeface="+mn-cs"/>
            </a:rPr>
            <a:t>=AF$17&amp;": "&amp;$A18&amp;" - "&amp;$C18</a:t>
          </a:r>
        </a:p>
        <a:p>
          <a:pPr marL="0" indent="0" algn="l"/>
          <a:r>
            <a:rPr lang="en-US" sz="1100" b="1" u="none">
              <a:solidFill>
                <a:schemeClr val="lt1"/>
              </a:solidFill>
              <a:latin typeface="+mn-lt"/>
              <a:ea typeface="+mn-ea"/>
              <a:cs typeface="+mn-cs"/>
            </a:rPr>
            <a:t>in Crystal</a:t>
          </a:r>
          <a:r>
            <a:rPr lang="en-US" sz="1100" b="1" u="none" baseline="0">
              <a:solidFill>
                <a:schemeClr val="lt1"/>
              </a:solidFill>
              <a:latin typeface="+mn-lt"/>
              <a:ea typeface="+mn-ea"/>
              <a:cs typeface="+mn-cs"/>
            </a:rPr>
            <a:t> Ball shape name  for first risk then copy to the rest</a:t>
          </a:r>
          <a:endParaRPr lang="en-US" sz="1100" b="1" u="none">
            <a:solidFill>
              <a:schemeClr val="lt1"/>
            </a:solidFill>
            <a:latin typeface="+mn-lt"/>
            <a:ea typeface="+mn-ea"/>
            <a:cs typeface="+mn-cs"/>
          </a:endParaRPr>
        </a:p>
      </xdr:txBody>
    </xdr:sp>
    <xdr:clientData fPrintsWithSheet="0"/>
  </xdr:twoCellAnchor>
  <xdr:twoCellAnchor editAs="oneCell">
    <xdr:from>
      <xdr:col>16</xdr:col>
      <xdr:colOff>444500</xdr:colOff>
      <xdr:row>5</xdr:row>
      <xdr:rowOff>88900</xdr:rowOff>
    </xdr:from>
    <xdr:to>
      <xdr:col>22</xdr:col>
      <xdr:colOff>355600</xdr:colOff>
      <xdr:row>12</xdr:row>
      <xdr:rowOff>41406</xdr:rowOff>
    </xdr:to>
    <xdr:sp macro="" textlink="">
      <xdr:nvSpPr>
        <xdr:cNvPr id="10" name="Callout: Down Arrow 9" descr="ad715ed1-4606-402c-b63a-cc381bd8a56a">
          <a:extLst>
            <a:ext uri="{FF2B5EF4-FFF2-40B4-BE49-F238E27FC236}">
              <a16:creationId xmlns:a16="http://schemas.microsoft.com/office/drawing/2014/main" id="{80003189-D21A-42C5-84B3-3DA95D906504}"/>
            </a:ext>
          </a:extLst>
        </xdr:cNvPr>
        <xdr:cNvSpPr/>
      </xdr:nvSpPr>
      <xdr:spPr>
        <a:xfrm>
          <a:off x="21640800" y="1181100"/>
          <a:ext cx="6235700" cy="1324106"/>
        </a:xfrm>
        <a:prstGeom prst="downArrowCallout">
          <a:avLst>
            <a:gd name="adj1" fmla="val 31556"/>
            <a:gd name="adj2" fmla="val 25000"/>
            <a:gd name="adj3" fmla="val 25000"/>
            <a:gd name="adj4" fmla="val 64977"/>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indent="0" algn="l"/>
          <a:r>
            <a:rPr lang="en-US" sz="1100" b="1" u="none" baseline="0">
              <a:solidFill>
                <a:schemeClr val="lt1"/>
              </a:solidFill>
              <a:latin typeface="+mn-lt"/>
              <a:ea typeface="+mn-ea"/>
              <a:cs typeface="+mn-cs"/>
            </a:rPr>
            <a:t>Enter your calculated variances in the columns with the BLUE header.  CRYSTAL BALL ASSUMPTIONS GO IN THE GREEN HEADER COLUMS TO THE RIGHT.</a:t>
          </a:r>
        </a:p>
      </xdr:txBody>
    </xdr:sp>
    <xdr:clientData fPrintsWithSheet="0"/>
  </xdr:twoCellAnchor>
  <xdr:twoCellAnchor editAs="oneCell">
    <xdr:from>
      <xdr:col>0</xdr:col>
      <xdr:colOff>571500</xdr:colOff>
      <xdr:row>6</xdr:row>
      <xdr:rowOff>12700</xdr:rowOff>
    </xdr:from>
    <xdr:to>
      <xdr:col>3</xdr:col>
      <xdr:colOff>424180</xdr:colOff>
      <xdr:row>10</xdr:row>
      <xdr:rowOff>63500</xdr:rowOff>
    </xdr:to>
    <xdr:sp macro="" textlink="">
      <xdr:nvSpPr>
        <xdr:cNvPr id="16" name="Callout: Up Arrow 15" descr="3d13828b-352d-4eb2-ab37-6e753a36329e">
          <a:extLst>
            <a:ext uri="{FF2B5EF4-FFF2-40B4-BE49-F238E27FC236}">
              <a16:creationId xmlns:a16="http://schemas.microsoft.com/office/drawing/2014/main" id="{18B38B3C-F33D-413B-BEE1-1A87227A1A6E}"/>
            </a:ext>
          </a:extLst>
        </xdr:cNvPr>
        <xdr:cNvSpPr/>
      </xdr:nvSpPr>
      <xdr:spPr>
        <a:xfrm>
          <a:off x="571500" y="1308100"/>
          <a:ext cx="4094480" cy="838200"/>
        </a:xfrm>
        <a:prstGeom prst="upArrowCallout">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lt1"/>
              </a:solidFill>
              <a:effectLst/>
              <a:latin typeface="+mn-lt"/>
              <a:ea typeface="+mn-ea"/>
              <a:cs typeface="+mn-cs"/>
            </a:rPr>
            <a:t>Set the rounding levels</a:t>
          </a:r>
          <a:r>
            <a:rPr lang="en-US" sz="1100" b="1" baseline="0">
              <a:solidFill>
                <a:schemeClr val="lt1"/>
              </a:solidFill>
              <a:effectLst/>
              <a:latin typeface="+mn-lt"/>
              <a:ea typeface="+mn-ea"/>
              <a:cs typeface="+mn-cs"/>
            </a:rPr>
            <a:t> here for the Cost &amp; Schedule Impacts here.</a:t>
          </a:r>
          <a:endParaRPr lang="en-US" sz="1100" b="1">
            <a:solidFill>
              <a:schemeClr val="lt1"/>
            </a:solidFill>
            <a:effectLst/>
            <a:latin typeface="+mn-lt"/>
            <a:ea typeface="+mn-ea"/>
            <a:cs typeface="+mn-cs"/>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oneCellAnchor>
    <xdr:from>
      <xdr:col>0</xdr:col>
      <xdr:colOff>0</xdr:colOff>
      <xdr:row>36</xdr:row>
      <xdr:rowOff>0</xdr:rowOff>
    </xdr:from>
    <xdr:ext cx="3810" cy="3810"/>
    <xdr:pic>
      <xdr:nvPicPr>
        <xdr:cNvPr id="2" name="Picture 9" hidden="1">
          <a:extLst>
            <a:ext uri="{FF2B5EF4-FFF2-40B4-BE49-F238E27FC236}">
              <a16:creationId xmlns:a16="http://schemas.microsoft.com/office/drawing/2014/main" id="{CE1E2816-D899-42FC-B6A7-ACCABD5B810D}"/>
            </a:ext>
          </a:extLst>
        </xdr:cNvPr>
        <xdr:cNvPicPr>
          <a:picLocks noGrp="1" noChangeAspect="1" noChangeArrowheads="1"/>
        </xdr:cNvPicPr>
      </xdr:nvPicPr>
      <xdr:blipFill>
        <a:blip xmlns:r="http://schemas.openxmlformats.org/officeDocument/2006/relationships" r:embed="rId1" cstate="print"/>
        <a:srcRect/>
        <a:stretch>
          <a:fillRect/>
        </a:stretch>
      </xdr:blipFill>
      <xdr:spPr bwMode="auto">
        <a:xfrm>
          <a:off x="0" y="7018020"/>
          <a:ext cx="3810" cy="3810"/>
        </a:xfrm>
        <a:prstGeom prst="rect">
          <a:avLst/>
        </a:prstGeom>
        <a:noFill/>
        <a:ln w="9525">
          <a:noFill/>
          <a:miter lim="800000"/>
          <a:headEnd/>
          <a:tailEnd/>
        </a:ln>
      </xdr:spPr>
    </xdr:pic>
    <xdr:clientData/>
  </xdr:oneCellAnchor>
  <xdr:oneCellAnchor>
    <xdr:from>
      <xdr:col>0</xdr:col>
      <xdr:colOff>0</xdr:colOff>
      <xdr:row>36</xdr:row>
      <xdr:rowOff>0</xdr:rowOff>
    </xdr:from>
    <xdr:ext cx="3810" cy="3810"/>
    <xdr:pic>
      <xdr:nvPicPr>
        <xdr:cNvPr id="3" name="Picture 10" hidden="1">
          <a:extLst>
            <a:ext uri="{FF2B5EF4-FFF2-40B4-BE49-F238E27FC236}">
              <a16:creationId xmlns:a16="http://schemas.microsoft.com/office/drawing/2014/main" id="{3CA9A284-30C8-4001-9B4C-E465E8148ED8}"/>
            </a:ext>
          </a:extLst>
        </xdr:cNvPr>
        <xdr:cNvPicPr>
          <a:picLocks noGrp="1" noChangeAspect="1" noChangeArrowheads="1"/>
        </xdr:cNvPicPr>
      </xdr:nvPicPr>
      <xdr:blipFill>
        <a:blip xmlns:r="http://schemas.openxmlformats.org/officeDocument/2006/relationships" r:embed="rId1" cstate="print"/>
        <a:srcRect/>
        <a:stretch>
          <a:fillRect/>
        </a:stretch>
      </xdr:blipFill>
      <xdr:spPr bwMode="auto">
        <a:xfrm>
          <a:off x="0" y="7018020"/>
          <a:ext cx="3810" cy="3810"/>
        </a:xfrm>
        <a:prstGeom prst="rect">
          <a:avLst/>
        </a:prstGeom>
        <a:noFill/>
        <a:ln w="9525">
          <a:noFill/>
          <a:miter lim="800000"/>
          <a:headEnd/>
          <a:tailEnd/>
        </a:ln>
      </xdr:spPr>
    </xdr:pic>
    <xdr:clientData/>
  </xdr:oneCellAnchor>
  <xdr:oneCellAnchor>
    <xdr:from>
      <xdr:col>0</xdr:col>
      <xdr:colOff>0</xdr:colOff>
      <xdr:row>36</xdr:row>
      <xdr:rowOff>0</xdr:rowOff>
    </xdr:from>
    <xdr:ext cx="3810" cy="3810"/>
    <xdr:pic>
      <xdr:nvPicPr>
        <xdr:cNvPr id="4" name="Picture 11" hidden="1">
          <a:extLst>
            <a:ext uri="{FF2B5EF4-FFF2-40B4-BE49-F238E27FC236}">
              <a16:creationId xmlns:a16="http://schemas.microsoft.com/office/drawing/2014/main" id="{3F8FE6A1-F25B-4797-9B6A-C0E0DABA0334}"/>
            </a:ext>
          </a:extLst>
        </xdr:cNvPr>
        <xdr:cNvPicPr>
          <a:picLocks noGrp="1" noChangeAspect="1" noChangeArrowheads="1"/>
        </xdr:cNvPicPr>
      </xdr:nvPicPr>
      <xdr:blipFill>
        <a:blip xmlns:r="http://schemas.openxmlformats.org/officeDocument/2006/relationships" r:embed="rId1" cstate="print"/>
        <a:srcRect/>
        <a:stretch>
          <a:fillRect/>
        </a:stretch>
      </xdr:blipFill>
      <xdr:spPr bwMode="auto">
        <a:xfrm>
          <a:off x="0" y="7018020"/>
          <a:ext cx="3810" cy="3810"/>
        </a:xfrm>
        <a:prstGeom prst="rect">
          <a:avLst/>
        </a:prstGeom>
        <a:noFill/>
        <a:ln w="9525">
          <a:noFill/>
          <a:miter lim="800000"/>
          <a:headEnd/>
          <a:tailEnd/>
        </a:ln>
      </xdr:spPr>
    </xdr:pic>
    <xdr:clientData/>
  </xdr:oneCellAnchor>
  <xdr:twoCellAnchor>
    <xdr:from>
      <xdr:col>6</xdr:col>
      <xdr:colOff>60700</xdr:colOff>
      <xdr:row>16</xdr:row>
      <xdr:rowOff>152400</xdr:rowOff>
    </xdr:from>
    <xdr:to>
      <xdr:col>9</xdr:col>
      <xdr:colOff>582670</xdr:colOff>
      <xdr:row>34</xdr:row>
      <xdr:rowOff>91440</xdr:rowOff>
    </xdr:to>
    <xdr:graphicFrame macro="">
      <xdr:nvGraphicFramePr>
        <xdr:cNvPr id="5" name="Chart 4">
          <a:extLst>
            <a:ext uri="{FF2B5EF4-FFF2-40B4-BE49-F238E27FC236}">
              <a16:creationId xmlns:a16="http://schemas.microsoft.com/office/drawing/2014/main" id="{59C1A31B-0491-4ADB-A0B2-9927DA56BB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114629</xdr:colOff>
      <xdr:row>37</xdr:row>
      <xdr:rowOff>122555</xdr:rowOff>
    </xdr:from>
    <xdr:to>
      <xdr:col>9</xdr:col>
      <xdr:colOff>634694</xdr:colOff>
      <xdr:row>55</xdr:row>
      <xdr:rowOff>57785</xdr:rowOff>
    </xdr:to>
    <xdr:graphicFrame macro="">
      <xdr:nvGraphicFramePr>
        <xdr:cNvPr id="6" name="Chart 4">
          <a:extLst>
            <a:ext uri="{FF2B5EF4-FFF2-40B4-BE49-F238E27FC236}">
              <a16:creationId xmlns:a16="http://schemas.microsoft.com/office/drawing/2014/main" id="{1413E843-55F1-4111-905C-81D7E6DC6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245713</xdr:colOff>
      <xdr:row>17</xdr:row>
      <xdr:rowOff>21181</xdr:rowOff>
    </xdr:from>
    <xdr:to>
      <xdr:col>19</xdr:col>
      <xdr:colOff>100933</xdr:colOff>
      <xdr:row>34</xdr:row>
      <xdr:rowOff>135481</xdr:rowOff>
    </xdr:to>
    <xdr:graphicFrame macro="">
      <xdr:nvGraphicFramePr>
        <xdr:cNvPr id="7" name="Chart 4">
          <a:extLst>
            <a:ext uri="{FF2B5EF4-FFF2-40B4-BE49-F238E27FC236}">
              <a16:creationId xmlns:a16="http://schemas.microsoft.com/office/drawing/2014/main" id="{44870A89-5759-4981-9671-C4E54D4F8A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15</xdr:col>
      <xdr:colOff>114300</xdr:colOff>
      <xdr:row>1</xdr:row>
      <xdr:rowOff>7620</xdr:rowOff>
    </xdr:from>
    <xdr:to>
      <xdr:col>21</xdr:col>
      <xdr:colOff>68580</xdr:colOff>
      <xdr:row>7</xdr:row>
      <xdr:rowOff>0</xdr:rowOff>
    </xdr:to>
    <xdr:sp macro="" textlink="">
      <xdr:nvSpPr>
        <xdr:cNvPr id="10" name="Callout: Left Arrow 9" descr="1a855b05-10af-4859-b3bf-e6dd1af0703d">
          <a:extLst>
            <a:ext uri="{FF2B5EF4-FFF2-40B4-BE49-F238E27FC236}">
              <a16:creationId xmlns:a16="http://schemas.microsoft.com/office/drawing/2014/main" id="{CE65D8E3-2612-4517-8289-30FD5FB6DCD9}"/>
            </a:ext>
          </a:extLst>
        </xdr:cNvPr>
        <xdr:cNvSpPr/>
      </xdr:nvSpPr>
      <xdr:spPr>
        <a:xfrm>
          <a:off x="17670780" y="274320"/>
          <a:ext cx="3893820" cy="1120140"/>
        </a:xfrm>
        <a:prstGeom prst="leftArrowCallout">
          <a:avLst>
            <a:gd name="adj1" fmla="val 25000"/>
            <a:gd name="adj2" fmla="val 25000"/>
            <a:gd name="adj3" fmla="val 41339"/>
            <a:gd name="adj4" fmla="val 77635"/>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Here is where the forecasts are.  They sum from the cells on the risk model tab at the top of the sheet.  The forecasts will auto extract, round, and populate the charts.  You may have to tweak the chart scales on this sheet.</a:t>
          </a:r>
        </a:p>
      </xdr:txBody>
    </xdr:sp>
    <xdr:clientData fPrintsWithSheet="0"/>
  </xdr:twoCellAnchor>
</xdr:wsDr>
</file>

<file path=xl/drawings/drawing8.xml><?xml version="1.0" encoding="utf-8"?>
<c:userShapes xmlns:c="http://schemas.openxmlformats.org/drawingml/2006/chart">
  <cdr:relSizeAnchor xmlns:cdr="http://schemas.openxmlformats.org/drawingml/2006/chartDrawing">
    <cdr:from>
      <cdr:x>0.00903</cdr:x>
      <cdr:y>0.00996</cdr:y>
    </cdr:from>
    <cdr:to>
      <cdr:x>0.34114</cdr:x>
      <cdr:y>0.21725</cdr:y>
    </cdr:to>
    <cdr:sp macro="" textlink="">
      <cdr:nvSpPr>
        <cdr:cNvPr id="4098" name="Text Box 2"/>
        <cdr:cNvSpPr txBox="1">
          <a:spLocks xmlns:a="http://schemas.openxmlformats.org/drawingml/2006/main" noChangeArrowheads="1"/>
        </cdr:cNvSpPr>
      </cdr:nvSpPr>
      <cdr:spPr bwMode="auto">
        <a:xfrm xmlns:a="http://schemas.openxmlformats.org/drawingml/2006/main">
          <a:off x="50800" y="50800"/>
          <a:ext cx="628269" cy="37841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en-US"/>
        </a:p>
      </cdr:txBody>
    </cdr:sp>
  </cdr:relSizeAnchor>
</c:userShapes>
</file>

<file path=xl/drawings/drawing9.xml><?xml version="1.0" encoding="utf-8"?>
<xdr:wsDr xmlns:xdr="http://schemas.openxmlformats.org/drawingml/2006/spreadsheetDrawing" xmlns:a="http://schemas.openxmlformats.org/drawingml/2006/main">
  <xdr:oneCellAnchor>
    <xdr:from>
      <xdr:col>0</xdr:col>
      <xdr:colOff>0</xdr:colOff>
      <xdr:row>36</xdr:row>
      <xdr:rowOff>0</xdr:rowOff>
    </xdr:from>
    <xdr:ext cx="24765" cy="24765"/>
    <xdr:pic>
      <xdr:nvPicPr>
        <xdr:cNvPr id="2" name="Picture 9" hidden="1">
          <a:extLst>
            <a:ext uri="{FF2B5EF4-FFF2-40B4-BE49-F238E27FC236}">
              <a16:creationId xmlns:a16="http://schemas.microsoft.com/office/drawing/2014/main" id="{702CE44F-3810-4EAD-AA5D-CD8A621651D6}"/>
            </a:ext>
          </a:extLst>
        </xdr:cNvPr>
        <xdr:cNvPicPr>
          <a:picLocks noGrp="1" noChangeAspect="1" noChangeArrowheads="1"/>
        </xdr:cNvPicPr>
      </xdr:nvPicPr>
      <xdr:blipFill>
        <a:blip xmlns:r="http://schemas.openxmlformats.org/officeDocument/2006/relationships" r:embed="rId1" cstate="print"/>
        <a:srcRect/>
        <a:stretch>
          <a:fillRect/>
        </a:stretch>
      </xdr:blipFill>
      <xdr:spPr bwMode="auto">
        <a:xfrm>
          <a:off x="0" y="5181600"/>
          <a:ext cx="24765" cy="24765"/>
        </a:xfrm>
        <a:prstGeom prst="rect">
          <a:avLst/>
        </a:prstGeom>
        <a:noFill/>
        <a:ln w="9525">
          <a:noFill/>
          <a:miter lim="800000"/>
          <a:headEnd/>
          <a:tailEnd/>
        </a:ln>
      </xdr:spPr>
    </xdr:pic>
    <xdr:clientData/>
  </xdr:oneCellAnchor>
  <xdr:oneCellAnchor>
    <xdr:from>
      <xdr:col>0</xdr:col>
      <xdr:colOff>0</xdr:colOff>
      <xdr:row>36</xdr:row>
      <xdr:rowOff>0</xdr:rowOff>
    </xdr:from>
    <xdr:ext cx="24765" cy="24765"/>
    <xdr:pic>
      <xdr:nvPicPr>
        <xdr:cNvPr id="3" name="Picture 10" hidden="1">
          <a:extLst>
            <a:ext uri="{FF2B5EF4-FFF2-40B4-BE49-F238E27FC236}">
              <a16:creationId xmlns:a16="http://schemas.microsoft.com/office/drawing/2014/main" id="{6E0E226E-CACA-4AEE-88F8-B7C82B37F9AA}"/>
            </a:ext>
          </a:extLst>
        </xdr:cNvPr>
        <xdr:cNvPicPr>
          <a:picLocks noGrp="1" noChangeAspect="1" noChangeArrowheads="1"/>
        </xdr:cNvPicPr>
      </xdr:nvPicPr>
      <xdr:blipFill>
        <a:blip xmlns:r="http://schemas.openxmlformats.org/officeDocument/2006/relationships" r:embed="rId1" cstate="print"/>
        <a:srcRect/>
        <a:stretch>
          <a:fillRect/>
        </a:stretch>
      </xdr:blipFill>
      <xdr:spPr bwMode="auto">
        <a:xfrm>
          <a:off x="0" y="5181600"/>
          <a:ext cx="24765" cy="24765"/>
        </a:xfrm>
        <a:prstGeom prst="rect">
          <a:avLst/>
        </a:prstGeom>
        <a:noFill/>
        <a:ln w="9525">
          <a:noFill/>
          <a:miter lim="800000"/>
          <a:headEnd/>
          <a:tailEnd/>
        </a:ln>
      </xdr:spPr>
    </xdr:pic>
    <xdr:clientData/>
  </xdr:oneCellAnchor>
  <xdr:oneCellAnchor>
    <xdr:from>
      <xdr:col>0</xdr:col>
      <xdr:colOff>0</xdr:colOff>
      <xdr:row>36</xdr:row>
      <xdr:rowOff>0</xdr:rowOff>
    </xdr:from>
    <xdr:ext cx="24765" cy="24765"/>
    <xdr:pic>
      <xdr:nvPicPr>
        <xdr:cNvPr id="4" name="Picture 11" hidden="1">
          <a:extLst>
            <a:ext uri="{FF2B5EF4-FFF2-40B4-BE49-F238E27FC236}">
              <a16:creationId xmlns:a16="http://schemas.microsoft.com/office/drawing/2014/main" id="{3BBEB240-F4A6-4571-917B-72152721D8B9}"/>
            </a:ext>
          </a:extLst>
        </xdr:cNvPr>
        <xdr:cNvPicPr>
          <a:picLocks noGrp="1" noChangeAspect="1" noChangeArrowheads="1"/>
        </xdr:cNvPicPr>
      </xdr:nvPicPr>
      <xdr:blipFill>
        <a:blip xmlns:r="http://schemas.openxmlformats.org/officeDocument/2006/relationships" r:embed="rId1" cstate="print"/>
        <a:srcRect/>
        <a:stretch>
          <a:fillRect/>
        </a:stretch>
      </xdr:blipFill>
      <xdr:spPr bwMode="auto">
        <a:xfrm>
          <a:off x="0" y="5181600"/>
          <a:ext cx="24765" cy="24765"/>
        </a:xfrm>
        <a:prstGeom prst="rect">
          <a:avLst/>
        </a:prstGeom>
        <a:noFill/>
        <a:ln w="9525">
          <a:noFill/>
          <a:miter lim="800000"/>
          <a:headEnd/>
          <a:tailEnd/>
        </a:ln>
      </xdr:spPr>
    </xdr:pic>
    <xdr:clientData/>
  </xdr:oneCellAnchor>
  <xdr:oneCellAnchor>
    <xdr:from>
      <xdr:col>2</xdr:col>
      <xdr:colOff>198120</xdr:colOff>
      <xdr:row>16</xdr:row>
      <xdr:rowOff>60960</xdr:rowOff>
    </xdr:from>
    <xdr:ext cx="7315200" cy="3657600"/>
    <xdr:graphicFrame macro="">
      <xdr:nvGraphicFramePr>
        <xdr:cNvPr id="7" name="Chart 6">
          <a:extLst>
            <a:ext uri="{FF2B5EF4-FFF2-40B4-BE49-F238E27FC236}">
              <a16:creationId xmlns:a16="http://schemas.microsoft.com/office/drawing/2014/main" id="{5B590F30-A81C-4887-8736-5F9EF8A10F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oneCellAnchor>
    <xdr:from>
      <xdr:col>2</xdr:col>
      <xdr:colOff>297180</xdr:colOff>
      <xdr:row>38</xdr:row>
      <xdr:rowOff>83820</xdr:rowOff>
    </xdr:from>
    <xdr:ext cx="7315200" cy="3657600"/>
    <xdr:graphicFrame macro="">
      <xdr:nvGraphicFramePr>
        <xdr:cNvPr id="8" name="Chart 7">
          <a:extLst>
            <a:ext uri="{FF2B5EF4-FFF2-40B4-BE49-F238E27FC236}">
              <a16:creationId xmlns:a16="http://schemas.microsoft.com/office/drawing/2014/main" id="{CD7EF0D6-E3CC-44F9-8586-1E1FF25B6E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oneCellAnchor>
  <xdr:oneCellAnchor>
    <xdr:from>
      <xdr:col>2</xdr:col>
      <xdr:colOff>414020</xdr:colOff>
      <xdr:row>60</xdr:row>
      <xdr:rowOff>99060</xdr:rowOff>
    </xdr:from>
    <xdr:ext cx="7315200" cy="3657600"/>
    <xdr:graphicFrame macro="">
      <xdr:nvGraphicFramePr>
        <xdr:cNvPr id="9" name="Chart 8">
          <a:extLst>
            <a:ext uri="{FF2B5EF4-FFF2-40B4-BE49-F238E27FC236}">
              <a16:creationId xmlns:a16="http://schemas.microsoft.com/office/drawing/2014/main" id="{594403B0-01C3-491D-81C0-2A09DCB7A5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oneCellAnchor>
  <xdr:oneCellAnchor>
    <xdr:from>
      <xdr:col>2</xdr:col>
      <xdr:colOff>415713</xdr:colOff>
      <xdr:row>82</xdr:row>
      <xdr:rowOff>92285</xdr:rowOff>
    </xdr:from>
    <xdr:ext cx="7315200" cy="3657600"/>
    <xdr:graphicFrame macro="">
      <xdr:nvGraphicFramePr>
        <xdr:cNvPr id="10" name="Chart 9">
          <a:extLst>
            <a:ext uri="{FF2B5EF4-FFF2-40B4-BE49-F238E27FC236}">
              <a16:creationId xmlns:a16="http://schemas.microsoft.com/office/drawing/2014/main" id="{540C3A6B-7776-4C6B-AA9C-AA94F74CCE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oneCellAnchor>
  <xdr:twoCellAnchor editAs="oneCell">
    <xdr:from>
      <xdr:col>13</xdr:col>
      <xdr:colOff>144780</xdr:colOff>
      <xdr:row>18</xdr:row>
      <xdr:rowOff>167640</xdr:rowOff>
    </xdr:from>
    <xdr:to>
      <xdr:col>15</xdr:col>
      <xdr:colOff>99060</xdr:colOff>
      <xdr:row>26</xdr:row>
      <xdr:rowOff>68580</xdr:rowOff>
    </xdr:to>
    <xdr:sp macro="" textlink="">
      <xdr:nvSpPr>
        <xdr:cNvPr id="13" name="Callout: Left Arrow 12" descr="40b7255e-4771-41a1-bdb8-a342ec882410">
          <a:extLst>
            <a:ext uri="{FF2B5EF4-FFF2-40B4-BE49-F238E27FC236}">
              <a16:creationId xmlns:a16="http://schemas.microsoft.com/office/drawing/2014/main" id="{B0893161-32C3-4AD0-A5BA-DBC1852C3F88}"/>
            </a:ext>
          </a:extLst>
        </xdr:cNvPr>
        <xdr:cNvSpPr/>
      </xdr:nvSpPr>
      <xdr:spPr>
        <a:xfrm>
          <a:off x="11216640" y="3520440"/>
          <a:ext cx="2880360" cy="1363980"/>
        </a:xfrm>
        <a:prstGeom prst="leftArrowCallout">
          <a:avLst>
            <a:gd name="adj1" fmla="val 27235"/>
            <a:gd name="adj2" fmla="val 25000"/>
            <a:gd name="adj3" fmla="val 31842"/>
            <a:gd name="adj4" fmla="val 82337"/>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This information should be automatically populated from the lookup tables to the right.  If not, recommend making sure your forecasts are defined </a:t>
          </a:r>
          <a:r>
            <a:rPr lang="en-US" sz="1100" b="1" baseline="0">
              <a:solidFill>
                <a:schemeClr val="lt1"/>
              </a:solidFill>
              <a:effectLst/>
              <a:latin typeface="+mn-lt"/>
              <a:ea typeface="+mn-ea"/>
              <a:cs typeface="+mn-cs"/>
            </a:rPr>
            <a:t>in the "H-Risk Register-Model" worksheet for each risk item.</a:t>
          </a:r>
          <a:endParaRPr lang="en-US">
            <a:effectLst/>
          </a:endParaRPr>
        </a:p>
      </xdr:txBody>
    </xdr:sp>
    <xdr:clientData fPrintsWithSheet="0"/>
  </xdr:twoCellAnchor>
  <xdr:twoCellAnchor editAs="oneCell">
    <xdr:from>
      <xdr:col>13</xdr:col>
      <xdr:colOff>137160</xdr:colOff>
      <xdr:row>41</xdr:row>
      <xdr:rowOff>91440</xdr:rowOff>
    </xdr:from>
    <xdr:to>
      <xdr:col>15</xdr:col>
      <xdr:colOff>91440</xdr:colOff>
      <xdr:row>48</xdr:row>
      <xdr:rowOff>175260</xdr:rowOff>
    </xdr:to>
    <xdr:sp macro="" textlink="">
      <xdr:nvSpPr>
        <xdr:cNvPr id="14" name="Callout: Left Arrow 13" descr="6ceb4852-3b06-49c3-898f-20fc902ba870">
          <a:extLst>
            <a:ext uri="{FF2B5EF4-FFF2-40B4-BE49-F238E27FC236}">
              <a16:creationId xmlns:a16="http://schemas.microsoft.com/office/drawing/2014/main" id="{CBC9FA4E-10C3-401F-8CBE-D395073A1951}"/>
            </a:ext>
          </a:extLst>
        </xdr:cNvPr>
        <xdr:cNvSpPr/>
      </xdr:nvSpPr>
      <xdr:spPr>
        <a:xfrm>
          <a:off x="11209020" y="7863840"/>
          <a:ext cx="2880360" cy="1363980"/>
        </a:xfrm>
        <a:prstGeom prst="leftArrowCallout">
          <a:avLst>
            <a:gd name="adj1" fmla="val 27235"/>
            <a:gd name="adj2" fmla="val 25000"/>
            <a:gd name="adj3" fmla="val 31842"/>
            <a:gd name="adj4" fmla="val 82337"/>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This information should be automatically populated from the lookup tables to the right.  If not, recommend making sure your forecasts are defined </a:t>
          </a:r>
          <a:r>
            <a:rPr lang="en-US" sz="1100" b="1" baseline="0">
              <a:solidFill>
                <a:schemeClr val="lt1"/>
              </a:solidFill>
              <a:effectLst/>
              <a:latin typeface="+mn-lt"/>
              <a:ea typeface="+mn-ea"/>
              <a:cs typeface="+mn-cs"/>
            </a:rPr>
            <a:t>in the "H-Risk Register-Model" worksheet for each risk item.</a:t>
          </a:r>
          <a:endParaRPr lang="en-US">
            <a:effectLst/>
          </a:endParaRPr>
        </a:p>
      </xdr:txBody>
    </xdr:sp>
    <xdr:clientData fPrintsWithSheet="0"/>
  </xdr:twoCellAnchor>
  <xdr:twoCellAnchor editAs="oneCell">
    <xdr:from>
      <xdr:col>13</xdr:col>
      <xdr:colOff>167640</xdr:colOff>
      <xdr:row>28</xdr:row>
      <xdr:rowOff>0</xdr:rowOff>
    </xdr:from>
    <xdr:to>
      <xdr:col>15</xdr:col>
      <xdr:colOff>121920</xdr:colOff>
      <xdr:row>31</xdr:row>
      <xdr:rowOff>0</xdr:rowOff>
    </xdr:to>
    <xdr:sp macro="" textlink="">
      <xdr:nvSpPr>
        <xdr:cNvPr id="5" name="Callout: Left Arrow 4" descr="40b7255e-4771-41a1-bdb8-a342ec882410">
          <a:extLst>
            <a:ext uri="{FF2B5EF4-FFF2-40B4-BE49-F238E27FC236}">
              <a16:creationId xmlns:a16="http://schemas.microsoft.com/office/drawing/2014/main" id="{AFE23D72-54E1-4CFB-B672-DF63684876E1}"/>
            </a:ext>
          </a:extLst>
        </xdr:cNvPr>
        <xdr:cNvSpPr/>
      </xdr:nvSpPr>
      <xdr:spPr>
        <a:xfrm>
          <a:off x="11346180" y="5455920"/>
          <a:ext cx="2872740" cy="548640"/>
        </a:xfrm>
        <a:prstGeom prst="leftArrowCallout">
          <a:avLst>
            <a:gd name="adj1" fmla="val 27235"/>
            <a:gd name="adj2" fmla="val 25000"/>
            <a:gd name="adj3" fmla="val 31842"/>
            <a:gd name="adj4" fmla="val 82337"/>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Show "Remaining Contingency" for Top Cost Risks?</a:t>
          </a:r>
          <a:r>
            <a:rPr lang="en-US" sz="1100" b="1" baseline="0">
              <a:solidFill>
                <a:schemeClr val="lt1"/>
              </a:solidFill>
              <a:effectLst/>
              <a:latin typeface="+mn-lt"/>
              <a:ea typeface="+mn-ea"/>
              <a:cs typeface="+mn-cs"/>
            </a:rPr>
            <a:t>  </a:t>
          </a:r>
          <a:r>
            <a:rPr lang="en-US" sz="1100" b="1">
              <a:solidFill>
                <a:schemeClr val="lt1"/>
              </a:solidFill>
              <a:effectLst/>
              <a:latin typeface="+mn-lt"/>
              <a:ea typeface="+mn-ea"/>
              <a:cs typeface="+mn-cs"/>
            </a:rPr>
            <a:t>Yes</a:t>
          </a:r>
          <a:r>
            <a:rPr lang="en-US" sz="1100" b="1" baseline="0">
              <a:solidFill>
                <a:schemeClr val="lt1"/>
              </a:solidFill>
              <a:effectLst/>
              <a:latin typeface="+mn-lt"/>
              <a:ea typeface="+mn-ea"/>
              <a:cs typeface="+mn-cs"/>
            </a:rPr>
            <a:t> or No</a:t>
          </a:r>
          <a:endParaRPr lang="en-US" sz="1100" b="1">
            <a:solidFill>
              <a:schemeClr val="lt1"/>
            </a:solidFill>
            <a:effectLst/>
            <a:latin typeface="+mn-lt"/>
            <a:ea typeface="+mn-ea"/>
            <a:cs typeface="+mn-cs"/>
          </a:endParaRPr>
        </a:p>
      </xdr:txBody>
    </xdr:sp>
    <xdr:clientData fPrintsWithSheet="0"/>
  </xdr:twoCellAnchor>
  <xdr:twoCellAnchor editAs="oneCell">
    <xdr:from>
      <xdr:col>13</xdr:col>
      <xdr:colOff>144780</xdr:colOff>
      <xdr:row>50</xdr:row>
      <xdr:rowOff>7620</xdr:rowOff>
    </xdr:from>
    <xdr:to>
      <xdr:col>15</xdr:col>
      <xdr:colOff>99060</xdr:colOff>
      <xdr:row>53</xdr:row>
      <xdr:rowOff>7620</xdr:rowOff>
    </xdr:to>
    <xdr:sp macro="" textlink="">
      <xdr:nvSpPr>
        <xdr:cNvPr id="6" name="Callout: Left Arrow 5" descr="40b7255e-4771-41a1-bdb8-a342ec882410">
          <a:extLst>
            <a:ext uri="{FF2B5EF4-FFF2-40B4-BE49-F238E27FC236}">
              <a16:creationId xmlns:a16="http://schemas.microsoft.com/office/drawing/2014/main" id="{ED936A66-B667-457D-B50E-E31BDE6AEFC4}"/>
            </a:ext>
          </a:extLst>
        </xdr:cNvPr>
        <xdr:cNvSpPr/>
      </xdr:nvSpPr>
      <xdr:spPr>
        <a:xfrm>
          <a:off x="11323320" y="9700260"/>
          <a:ext cx="2872740" cy="548640"/>
        </a:xfrm>
        <a:prstGeom prst="leftArrowCallout">
          <a:avLst>
            <a:gd name="adj1" fmla="val 27235"/>
            <a:gd name="adj2" fmla="val 25000"/>
            <a:gd name="adj3" fmla="val 31842"/>
            <a:gd name="adj4" fmla="val 82337"/>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Show "Remaining Contingency" for Top Schedule Risks?</a:t>
          </a:r>
          <a:r>
            <a:rPr lang="en-US" sz="1100" b="1" baseline="0">
              <a:solidFill>
                <a:schemeClr val="lt1"/>
              </a:solidFill>
              <a:effectLst/>
              <a:latin typeface="+mn-lt"/>
              <a:ea typeface="+mn-ea"/>
              <a:cs typeface="+mn-cs"/>
            </a:rPr>
            <a:t>  </a:t>
          </a:r>
          <a:r>
            <a:rPr lang="en-US" sz="1100" b="1">
              <a:solidFill>
                <a:schemeClr val="lt1"/>
              </a:solidFill>
              <a:effectLst/>
              <a:latin typeface="+mn-lt"/>
              <a:ea typeface="+mn-ea"/>
              <a:cs typeface="+mn-cs"/>
            </a:rPr>
            <a:t>Yes</a:t>
          </a:r>
          <a:r>
            <a:rPr lang="en-US" sz="1100" b="1" baseline="0">
              <a:solidFill>
                <a:schemeClr val="lt1"/>
              </a:solidFill>
              <a:effectLst/>
              <a:latin typeface="+mn-lt"/>
              <a:ea typeface="+mn-ea"/>
              <a:cs typeface="+mn-cs"/>
            </a:rPr>
            <a:t> or No</a:t>
          </a:r>
          <a:endParaRPr lang="en-US" sz="1100" b="1">
            <a:solidFill>
              <a:schemeClr val="lt1"/>
            </a:solidFill>
            <a:effectLst/>
            <a:latin typeface="+mn-lt"/>
            <a:ea typeface="+mn-ea"/>
            <a:cs typeface="+mn-cs"/>
          </a:endParaRPr>
        </a:p>
      </xdr:txBody>
    </xdr:sp>
    <xdr:clientData fPrintsWithSheet="0"/>
  </xdr:twoCellAnchor>
</xdr:wsDr>
</file>

<file path=xl/persons/person.xml><?xml version="1.0" encoding="utf-8"?>
<personList xmlns="http://schemas.microsoft.com/office/spreadsheetml/2018/threadedcomments" xmlns:x="http://schemas.openxmlformats.org/spreadsheetml/2006/main">
  <person displayName="Dustin Sawyers" id="{8D964E47-0F3D-4764-AB3B-29156849CC93}" userId="b5152a481551df19" providerId="Windows Live"/>
  <person displayName="Sawyers, Dustin L." id="{2FAE75C3-3358-4494-88FA-E4BAE0E71EA5}" userId="S::Dustin.Sawyers@va.gov::1e94e409-78e6-4407-94e2-451bc46c601d" providerId="AD"/>
</personList>
</file>

<file path=xl/tables/table1.xml><?xml version="1.0" encoding="utf-8"?>
<table xmlns="http://schemas.openxmlformats.org/spreadsheetml/2006/main" id="2" name="Table3" displayName="Table3" ref="A9:D41" totalsRowShown="0" headerRowDxfId="77" dataDxfId="76">
  <autoFilter ref="A9:D41"/>
  <tableColumns count="4">
    <tableColumn id="1" name="REV" dataDxfId="75"/>
    <tableColumn id="2" name="Date" dataDxfId="74"/>
    <tableColumn id="3" name="Description of Changes" dataDxfId="73"/>
    <tableColumn id="4" name="Change Made By" dataDxfId="72"/>
  </tableColumns>
  <tableStyleInfo name="TableStyleMedium1" showFirstColumn="0" showLastColumn="0" showRowStripes="1" showColumnStripes="0"/>
</table>
</file>

<file path=xl/tables/table2.xml><?xml version="1.0" encoding="utf-8"?>
<table xmlns="http://schemas.openxmlformats.org/spreadsheetml/2006/main" id="1" name="Table2" displayName="Table2" ref="A3:C23" totalsRowShown="0">
  <autoFilter ref="A3:C23"/>
  <tableColumns count="3">
    <tableColumn id="3" name="No." dataDxfId="71"/>
    <tableColumn id="1" name="Sheet" dataDxfId="70"/>
    <tableColumn id="2" name="Change" dataDxfId="69"/>
  </tableColumns>
  <tableStyleInfo name="TableStyleMedium1" showFirstColumn="0" showLastColumn="0" showRowStripes="1" showColumnStripes="0"/>
</table>
</file>

<file path=xl/tables/table3.xml><?xml version="1.0" encoding="utf-8"?>
<table xmlns="http://schemas.openxmlformats.org/spreadsheetml/2006/main" id="5" name="Table30" displayName="Table30" ref="B2:B13" totalsRowShown="0" headerRowDxfId="68" dataDxfId="66" headerRowBorderDxfId="67" tableBorderDxfId="65" totalsRowBorderDxfId="64">
  <autoFilter ref="B2:B13"/>
  <tableColumns count="1">
    <tableColumn id="1" name="Risk Register Legend" dataDxfId="63"/>
  </tableColumns>
  <tableStyleInfo name="TableStyleMedium15" showFirstColumn="0" showLastColumn="0" showRowStripes="1" showColumnStripes="0"/>
</table>
</file>

<file path=xl/tables/table4.xml><?xml version="1.0" encoding="utf-8"?>
<table xmlns="http://schemas.openxmlformats.org/spreadsheetml/2006/main" id="3" name="Table1" displayName="Table1" ref="A9:D34" totalsRowShown="0" headerRowDxfId="62" dataDxfId="60" headerRowBorderDxfId="61" tableBorderDxfId="59">
  <autoFilter ref="A9:D34"/>
  <sortState ref="A10:D34">
    <sortCondition ref="B9:B34"/>
  </sortState>
  <tableColumns count="4">
    <tableColumn id="2" name="Attendance" dataDxfId="58"/>
    <tableColumn id="3" name="Name" dataDxfId="57"/>
    <tableColumn id="4" name="Office" dataDxfId="56"/>
    <tableColumn id="5" name="Role / Discipline" dataDxfId="55"/>
  </tableColumns>
  <tableStyleInfo name="TableStyleMedium1" showFirstColumn="0" showLastColumn="0" showRowStripes="1" showColumnStripes="0"/>
</table>
</file>

<file path=xl/tables/table5.xml><?xml version="1.0" encoding="utf-8"?>
<table xmlns="http://schemas.openxmlformats.org/spreadsheetml/2006/main" id="4" name="Table13" displayName="Table13" ref="A40:D50" totalsRowShown="0" headerRowDxfId="54" dataDxfId="52" headerRowBorderDxfId="53" tableBorderDxfId="51">
  <autoFilter ref="A40:D50"/>
  <sortState ref="A41:D50">
    <sortCondition ref="B40:B50"/>
  </sortState>
  <tableColumns count="4">
    <tableColumn id="2" name="Attendance" dataDxfId="50"/>
    <tableColumn id="3" name="Name" dataDxfId="49"/>
    <tableColumn id="4" name="Office" dataDxfId="48"/>
    <tableColumn id="5" name="Role / Discipline" dataDxfId="47"/>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B29" dT="2023-10-19T17:55:04.95" personId="{2FAE75C3-3358-4494-88FA-E4BAE0E71EA5}" id="{3E08CB96-126F-46BF-86DE-A76B4D2AA7E9}">
    <text>Add CB sensitivity charts to this discussion.</text>
  </threadedComment>
  <threadedComment ref="B30" dT="2023-10-19T18:38:58.07" personId="{2FAE75C3-3358-4494-88FA-E4BAE0E71EA5}" id="{29423A4E-10AF-47BD-97A6-2309E82765D8}">
    <text>Add note for...Can click the "1" or "2" at the top left of the sheet to set those ranges.</text>
  </threadedComment>
</ThreadedComments>
</file>

<file path=xl/threadedComments/threadedComment2.xml><?xml version="1.0" encoding="utf-8"?>
<ThreadedComments xmlns="http://schemas.microsoft.com/office/spreadsheetml/2018/threadedcomments" xmlns:x="http://schemas.openxmlformats.org/spreadsheetml/2006/main">
  <threadedComment ref="Y17" dT="2022-03-30T19:16:28.79" personId="{8D964E47-0F3D-4764-AB3B-29156849CC93}" id="{3B947149-B857-4707-B827-9EDD159F302E}">
    <text>Default is 100%, if significant event and a two step is utilized then suggest use of "Yes/No" assumption curve or a binomial curve.</text>
  </threadedComment>
  <threadedComment ref="Z17" dT="2022-03-30T19:17:00.02" personId="{8D964E47-0F3D-4764-AB3B-29156849CC93}" id="{734AB3CA-ECDD-4F07-861F-5D57D7AECF9A}">
    <text>Default is 1, if significant event and a two step is utilized then suggest use of "Yes/No" assumption curve or a binomial curve.</text>
  </threadedComment>
</ThreadedComments>
</file>

<file path=xl/threadedComments/threadedComment3.xml><?xml version="1.0" encoding="utf-8"?>
<ThreadedComments xmlns="http://schemas.microsoft.com/office/spreadsheetml/2018/threadedcomments" xmlns:x="http://schemas.openxmlformats.org/spreadsheetml/2006/main">
  <threadedComment ref="E60" dT="2022-03-30T19:18:19.02" personId="{8D964E47-0F3D-4764-AB3B-29156849CC93}" id="{2D4313C2-E7C3-4F54-9474-509813339751}">
    <text>These are populated from the forecast above.</text>
  </threadedComment>
  <threadedComment ref="F60" dT="2022-03-30T19:18:44.51" personId="{8D964E47-0F3D-4764-AB3B-29156849CC93}" id="{6FFE8484-7FD8-4213-B804-735AA096A88B}">
    <text>This is rounded for presentation purposes. This way the numbers will match the TPCS.</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mailto:dean.hammonds@us.af.mil" TargetMode="External"/><Relationship Id="rId7" Type="http://schemas.openxmlformats.org/officeDocument/2006/relationships/table" Target="../tables/table1.xml"/><Relationship Id="rId2" Type="http://schemas.openxmlformats.org/officeDocument/2006/relationships/hyperlink" Target="mailto:ashley.l.kennedy5.civ@us.navy.mil" TargetMode="External"/><Relationship Id="rId1" Type="http://schemas.openxmlformats.org/officeDocument/2006/relationships/hyperlink" Target="mailto:dustin.l.sawyers@usace.army.mil"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brandon.d.scott@usace.army.mil"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14.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15.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tint="-0.499984740745262"/>
    <pageSetUpPr fitToPage="1"/>
  </sheetPr>
  <dimension ref="A1:R41"/>
  <sheetViews>
    <sheetView showGridLines="0" zoomScale="80" zoomScaleNormal="80" workbookViewId="0">
      <pane ySplit="9" topLeftCell="A19" activePane="bottomLeft" state="frozen"/>
      <selection pane="bottomLeft" activeCell="B21" sqref="B21"/>
    </sheetView>
  </sheetViews>
  <sheetFormatPr defaultColWidth="8.81640625" defaultRowHeight="14.5" x14ac:dyDescent="0.35"/>
  <cols>
    <col min="1" max="1" width="10.81640625" style="1" customWidth="1"/>
    <col min="2" max="2" width="15.81640625" style="1" customWidth="1"/>
    <col min="3" max="3" width="55.7265625" style="1" customWidth="1"/>
    <col min="4" max="4" width="30.7265625" style="1" customWidth="1"/>
    <col min="5" max="16384" width="8.81640625" style="1"/>
  </cols>
  <sheetData>
    <row r="1" spans="1:18" s="7" customFormat="1" ht="21" x14ac:dyDescent="0.5">
      <c r="A1" s="818" t="s">
        <v>1292</v>
      </c>
      <c r="B1" s="818"/>
      <c r="C1" s="818"/>
      <c r="D1" s="818"/>
      <c r="P1" s="671"/>
      <c r="Q1" s="671"/>
      <c r="R1" s="671"/>
    </row>
    <row r="2" spans="1:18" x14ac:dyDescent="0.35">
      <c r="A2" s="798"/>
      <c r="B2" s="76" t="s">
        <v>1282</v>
      </c>
      <c r="C2" t="s">
        <v>1285</v>
      </c>
      <c r="D2" s="670" t="s">
        <v>1290</v>
      </c>
    </row>
    <row r="3" spans="1:18" x14ac:dyDescent="0.35">
      <c r="A3" s="798"/>
      <c r="B3" s="76" t="s">
        <v>1284</v>
      </c>
      <c r="C3" t="s">
        <v>1291</v>
      </c>
      <c r="D3" s="670" t="s">
        <v>1288</v>
      </c>
    </row>
    <row r="4" spans="1:18" x14ac:dyDescent="0.35">
      <c r="A4" s="798"/>
      <c r="B4" s="76" t="s">
        <v>1283</v>
      </c>
      <c r="C4" t="s">
        <v>1287</v>
      </c>
      <c r="D4" s="670" t="s">
        <v>1289</v>
      </c>
    </row>
    <row r="5" spans="1:18" x14ac:dyDescent="0.35">
      <c r="A5" s="798"/>
      <c r="B5" s="76" t="s">
        <v>1281</v>
      </c>
      <c r="C5" t="s">
        <v>1286</v>
      </c>
      <c r="D5" s="670" t="s">
        <v>1240</v>
      </c>
    </row>
    <row r="7" spans="1:18" s="7" customFormat="1" ht="21" x14ac:dyDescent="0.5">
      <c r="A7" s="817" t="s">
        <v>4</v>
      </c>
      <c r="B7" s="817"/>
      <c r="C7" s="817"/>
      <c r="D7" s="817"/>
      <c r="P7" s="671"/>
      <c r="Q7" s="671"/>
      <c r="R7" s="671"/>
    </row>
    <row r="9" spans="1:18" x14ac:dyDescent="0.35">
      <c r="A9" s="2" t="s">
        <v>1237</v>
      </c>
      <c r="B9" s="2" t="s">
        <v>3</v>
      </c>
      <c r="C9" s="2" t="s">
        <v>1160</v>
      </c>
      <c r="D9" s="2" t="s">
        <v>1</v>
      </c>
    </row>
    <row r="10" spans="1:18" x14ac:dyDescent="0.35">
      <c r="A10" s="3">
        <v>1</v>
      </c>
      <c r="B10" s="4">
        <v>44588</v>
      </c>
      <c r="C10" s="5" t="s">
        <v>1158</v>
      </c>
      <c r="D10" s="6" t="s">
        <v>0</v>
      </c>
    </row>
    <row r="11" spans="1:18" ht="43.5" x14ac:dyDescent="0.35">
      <c r="A11" s="3">
        <v>2</v>
      </c>
      <c r="B11" s="4">
        <v>44588</v>
      </c>
      <c r="C11" s="5" t="s">
        <v>1159</v>
      </c>
      <c r="D11" s="6" t="s">
        <v>0</v>
      </c>
    </row>
    <row r="12" spans="1:18" ht="58" x14ac:dyDescent="0.35">
      <c r="A12" s="3">
        <v>3</v>
      </c>
      <c r="B12" s="4">
        <v>44650</v>
      </c>
      <c r="C12" s="5" t="s">
        <v>1258</v>
      </c>
      <c r="D12" s="6" t="s">
        <v>0</v>
      </c>
    </row>
    <row r="13" spans="1:18" ht="174" x14ac:dyDescent="0.35">
      <c r="A13" s="3">
        <v>4</v>
      </c>
      <c r="B13" s="4">
        <v>44841</v>
      </c>
      <c r="C13" s="5" t="s">
        <v>1191</v>
      </c>
      <c r="D13" s="6" t="s">
        <v>0</v>
      </c>
    </row>
    <row r="14" spans="1:18" ht="43.5" x14ac:dyDescent="0.35">
      <c r="A14" s="3">
        <v>5</v>
      </c>
      <c r="B14" s="4">
        <v>44861</v>
      </c>
      <c r="C14" s="5" t="s">
        <v>1200</v>
      </c>
      <c r="D14" s="6" t="s">
        <v>1201</v>
      </c>
    </row>
    <row r="15" spans="1:18" ht="43.5" x14ac:dyDescent="0.35">
      <c r="A15" s="3">
        <v>6</v>
      </c>
      <c r="B15" s="4">
        <v>44867</v>
      </c>
      <c r="C15" s="5" t="s">
        <v>1192</v>
      </c>
      <c r="D15" s="6" t="s">
        <v>0</v>
      </c>
    </row>
    <row r="16" spans="1:18" ht="87" x14ac:dyDescent="0.35">
      <c r="A16" s="3">
        <v>7</v>
      </c>
      <c r="B16" s="4">
        <v>44871</v>
      </c>
      <c r="C16" s="5" t="s">
        <v>1239</v>
      </c>
      <c r="D16" s="6" t="s">
        <v>0</v>
      </c>
    </row>
    <row r="17" spans="1:4" ht="29" x14ac:dyDescent="0.35">
      <c r="A17" s="3">
        <v>8</v>
      </c>
      <c r="B17" s="4">
        <v>44959</v>
      </c>
      <c r="C17" s="5" t="s">
        <v>1242</v>
      </c>
      <c r="D17" s="6" t="s">
        <v>0</v>
      </c>
    </row>
    <row r="18" spans="1:4" ht="58" x14ac:dyDescent="0.35">
      <c r="A18" s="3">
        <v>9</v>
      </c>
      <c r="B18" s="4">
        <v>44991</v>
      </c>
      <c r="C18" s="5" t="s">
        <v>1257</v>
      </c>
      <c r="D18" s="6" t="s">
        <v>0</v>
      </c>
    </row>
    <row r="19" spans="1:4" ht="87" x14ac:dyDescent="0.35">
      <c r="A19" s="3">
        <v>10</v>
      </c>
      <c r="B19" s="4">
        <v>45086</v>
      </c>
      <c r="C19" s="5" t="s">
        <v>1264</v>
      </c>
      <c r="D19" s="6" t="s">
        <v>0</v>
      </c>
    </row>
    <row r="20" spans="1:4" ht="117" customHeight="1" x14ac:dyDescent="0.35">
      <c r="A20" s="3">
        <v>11</v>
      </c>
      <c r="B20" s="4">
        <v>45245</v>
      </c>
      <c r="C20" s="5" t="s">
        <v>1295</v>
      </c>
      <c r="D20" s="6" t="s">
        <v>1293</v>
      </c>
    </row>
    <row r="21" spans="1:4" ht="290" x14ac:dyDescent="0.35">
      <c r="A21" s="3">
        <v>12</v>
      </c>
      <c r="B21" s="4">
        <v>45313</v>
      </c>
      <c r="C21" s="5" t="s">
        <v>1334</v>
      </c>
      <c r="D21" s="6" t="s">
        <v>1349</v>
      </c>
    </row>
    <row r="22" spans="1:4" x14ac:dyDescent="0.35">
      <c r="A22" s="3"/>
      <c r="B22" s="4"/>
      <c r="C22" s="5"/>
      <c r="D22" s="6" t="s">
        <v>1227</v>
      </c>
    </row>
    <row r="23" spans="1:4" x14ac:dyDescent="0.35">
      <c r="A23" s="3"/>
      <c r="B23" s="4"/>
      <c r="C23" s="5"/>
      <c r="D23" s="6"/>
    </row>
    <row r="24" spans="1:4" x14ac:dyDescent="0.35">
      <c r="A24" s="3"/>
      <c r="B24" s="4"/>
      <c r="C24" s="5"/>
      <c r="D24" s="6"/>
    </row>
    <row r="25" spans="1:4" x14ac:dyDescent="0.35">
      <c r="A25" s="3"/>
      <c r="B25" s="4"/>
      <c r="C25" s="5"/>
      <c r="D25" s="6"/>
    </row>
    <row r="26" spans="1:4" x14ac:dyDescent="0.35">
      <c r="A26" s="3"/>
      <c r="B26" s="4"/>
      <c r="C26" s="5"/>
      <c r="D26" s="6"/>
    </row>
    <row r="27" spans="1:4" x14ac:dyDescent="0.35">
      <c r="A27" s="3"/>
      <c r="B27" s="4"/>
      <c r="C27" s="5"/>
      <c r="D27" s="6"/>
    </row>
    <row r="28" spans="1:4" x14ac:dyDescent="0.35">
      <c r="A28" s="3"/>
      <c r="B28" s="4"/>
      <c r="C28" s="5"/>
      <c r="D28" s="6"/>
    </row>
    <row r="29" spans="1:4" x14ac:dyDescent="0.35">
      <c r="A29" s="3"/>
      <c r="B29" s="4"/>
      <c r="C29" s="5"/>
      <c r="D29" s="6"/>
    </row>
    <row r="30" spans="1:4" x14ac:dyDescent="0.35">
      <c r="A30" s="3"/>
      <c r="B30" s="4"/>
      <c r="C30" s="5"/>
      <c r="D30" s="6"/>
    </row>
    <row r="31" spans="1:4" x14ac:dyDescent="0.35">
      <c r="A31" s="3"/>
      <c r="B31" s="4"/>
      <c r="C31" s="5"/>
      <c r="D31" s="6"/>
    </row>
    <row r="32" spans="1:4" x14ac:dyDescent="0.35">
      <c r="A32" s="3"/>
      <c r="B32" s="4"/>
      <c r="C32" s="5"/>
      <c r="D32" s="6"/>
    </row>
    <row r="33" spans="1:4" x14ac:dyDescent="0.35">
      <c r="A33" s="3"/>
      <c r="B33" s="4"/>
      <c r="C33" s="5"/>
      <c r="D33" s="6"/>
    </row>
    <row r="34" spans="1:4" x14ac:dyDescent="0.35">
      <c r="A34" s="3"/>
      <c r="B34" s="4"/>
      <c r="C34" s="5"/>
      <c r="D34" s="6"/>
    </row>
    <row r="35" spans="1:4" x14ac:dyDescent="0.35">
      <c r="A35" s="3"/>
      <c r="B35" s="4"/>
      <c r="C35" s="5"/>
      <c r="D35" s="6"/>
    </row>
    <row r="36" spans="1:4" x14ac:dyDescent="0.35">
      <c r="A36" s="3"/>
      <c r="B36" s="4"/>
      <c r="C36" s="5"/>
      <c r="D36" s="6"/>
    </row>
    <row r="37" spans="1:4" x14ac:dyDescent="0.35">
      <c r="A37" s="3"/>
      <c r="B37" s="4"/>
      <c r="C37" s="5"/>
      <c r="D37" s="6"/>
    </row>
    <row r="38" spans="1:4" x14ac:dyDescent="0.35">
      <c r="A38" s="3"/>
      <c r="B38" s="4"/>
      <c r="C38" s="5"/>
      <c r="D38" s="6"/>
    </row>
    <row r="39" spans="1:4" x14ac:dyDescent="0.35">
      <c r="A39" s="3"/>
      <c r="B39" s="4"/>
      <c r="C39" s="5"/>
      <c r="D39" s="6"/>
    </row>
    <row r="40" spans="1:4" x14ac:dyDescent="0.35">
      <c r="A40" s="3"/>
      <c r="B40" s="4"/>
      <c r="C40" s="5"/>
      <c r="D40" s="6"/>
    </row>
    <row r="41" spans="1:4" x14ac:dyDescent="0.35">
      <c r="A41" s="3"/>
      <c r="B41" s="4"/>
      <c r="C41" s="5"/>
      <c r="D41" s="6"/>
    </row>
  </sheetData>
  <sortState ref="A3:D5">
    <sortCondition ref="A3:A5"/>
  </sortState>
  <mergeCells count="2">
    <mergeCell ref="A7:D7"/>
    <mergeCell ref="A1:D1"/>
  </mergeCells>
  <hyperlinks>
    <hyperlink ref="D5" r:id="rId1"/>
    <hyperlink ref="D3" r:id="rId2"/>
    <hyperlink ref="D4" r:id="rId3"/>
    <hyperlink ref="D2" r:id="rId4"/>
  </hyperlinks>
  <pageMargins left="0.25" right="0.25" top="0.25" bottom="0.5" header="0.25" footer="0.25"/>
  <pageSetup scale="90" fitToHeight="0" orientation="portrait" horizontalDpi="1200" verticalDpi="1200" r:id="rId5"/>
  <headerFooter>
    <oddFooter>&amp;CPage &amp;P of &amp;N</oddFooter>
  </headerFooter>
  <drawing r:id="rId6"/>
  <tableParts count="1">
    <tablePart r:id="rId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D16"/>
  <sheetViews>
    <sheetView showGridLines="0" zoomScaleNormal="100" workbookViewId="0">
      <pane ySplit="3" topLeftCell="A4" activePane="bottomLeft" state="frozen"/>
      <selection pane="bottomLeft" activeCell="G15" sqref="G15"/>
    </sheetView>
  </sheetViews>
  <sheetFormatPr defaultRowHeight="14.5" x14ac:dyDescent="0.35"/>
  <cols>
    <col min="1" max="1" width="1.54296875" style="8" customWidth="1"/>
    <col min="2" max="2" width="24.1796875" style="8" bestFit="1" customWidth="1"/>
    <col min="3" max="3" width="75.81640625" style="8" customWidth="1"/>
    <col min="4" max="4" width="8.81640625" style="8"/>
  </cols>
  <sheetData>
    <row r="1" spans="1:4" x14ac:dyDescent="0.35">
      <c r="A1" s="28"/>
      <c r="B1" s="28"/>
      <c r="C1" s="28"/>
      <c r="D1" s="28"/>
    </row>
    <row r="2" spans="1:4" s="35" customFormat="1" ht="21.5" thickBot="1" x14ac:dyDescent="0.55000000000000004">
      <c r="A2" s="32"/>
      <c r="B2" s="33" t="s">
        <v>641</v>
      </c>
      <c r="C2" s="34"/>
      <c r="D2" s="34"/>
    </row>
    <row r="3" spans="1:4" ht="15" thickTop="1" x14ac:dyDescent="0.35">
      <c r="A3" s="28"/>
      <c r="B3" s="28"/>
      <c r="C3" s="28"/>
      <c r="D3" s="28"/>
    </row>
    <row r="4" spans="1:4" x14ac:dyDescent="0.35">
      <c r="A4" s="28"/>
      <c r="B4" s="29" t="s">
        <v>642</v>
      </c>
      <c r="C4" s="691" t="s">
        <v>1062</v>
      </c>
      <c r="D4" s="28"/>
    </row>
    <row r="5" spans="1:4" x14ac:dyDescent="0.35">
      <c r="A5" s="28"/>
      <c r="B5" s="30" t="s">
        <v>1194</v>
      </c>
      <c r="C5" s="692" t="s">
        <v>907</v>
      </c>
      <c r="D5" s="28"/>
    </row>
    <row r="6" spans="1:4" x14ac:dyDescent="0.35">
      <c r="A6" s="28"/>
      <c r="B6" s="29" t="s">
        <v>998</v>
      </c>
      <c r="C6" s="622">
        <v>0.8</v>
      </c>
      <c r="D6" s="28"/>
    </row>
    <row r="7" spans="1:4" x14ac:dyDescent="0.35">
      <c r="A7" s="28"/>
      <c r="B7" s="28"/>
      <c r="C7" s="28"/>
      <c r="D7" s="28"/>
    </row>
    <row r="8" spans="1:4" x14ac:dyDescent="0.35">
      <c r="A8" s="28"/>
      <c r="B8" s="30" t="s">
        <v>640</v>
      </c>
      <c r="C8" s="693" t="s">
        <v>1142</v>
      </c>
      <c r="D8" s="28"/>
    </row>
    <row r="9" spans="1:4" x14ac:dyDescent="0.35">
      <c r="A9" s="28"/>
      <c r="B9" s="30" t="s">
        <v>638</v>
      </c>
      <c r="C9" s="693" t="s">
        <v>1147</v>
      </c>
      <c r="D9" s="28"/>
    </row>
    <row r="10" spans="1:4" x14ac:dyDescent="0.35">
      <c r="A10" s="28"/>
      <c r="B10" s="30" t="s">
        <v>637</v>
      </c>
      <c r="C10" s="693" t="s">
        <v>1148</v>
      </c>
      <c r="D10" s="28"/>
    </row>
    <row r="11" spans="1:4" x14ac:dyDescent="0.35">
      <c r="A11" s="28"/>
      <c r="B11" s="30" t="s">
        <v>1029</v>
      </c>
      <c r="C11" s="693" t="s">
        <v>728</v>
      </c>
      <c r="D11" s="28"/>
    </row>
    <row r="12" spans="1:4" x14ac:dyDescent="0.35">
      <c r="A12" s="28"/>
      <c r="B12" s="30" t="s">
        <v>635</v>
      </c>
      <c r="C12" s="693" t="s">
        <v>1218</v>
      </c>
      <c r="D12" s="28"/>
    </row>
    <row r="13" spans="1:4" x14ac:dyDescent="0.35">
      <c r="A13" s="28"/>
      <c r="B13" s="30" t="s">
        <v>634</v>
      </c>
      <c r="C13" s="694">
        <v>45200</v>
      </c>
      <c r="D13" s="28"/>
    </row>
    <row r="14" spans="1:4" x14ac:dyDescent="0.35">
      <c r="A14" s="28"/>
      <c r="B14" s="28"/>
      <c r="C14" s="28"/>
      <c r="D14" s="28"/>
    </row>
    <row r="15" spans="1:4" ht="400" customHeight="1" x14ac:dyDescent="0.35">
      <c r="A15" s="28"/>
      <c r="B15" s="391" t="s">
        <v>633</v>
      </c>
      <c r="C15" s="695" t="s">
        <v>1149</v>
      </c>
      <c r="D15" s="28"/>
    </row>
    <row r="16" spans="1:4" x14ac:dyDescent="0.35">
      <c r="A16" s="28"/>
      <c r="B16" s="28"/>
      <c r="C16" s="28"/>
      <c r="D16" s="28"/>
    </row>
  </sheetData>
  <dataValidations count="2">
    <dataValidation type="list" allowBlank="1" showInputMessage="1" showErrorMessage="1" sqref="C11">
      <formula1>PD</formula1>
    </dataValidation>
    <dataValidation type="list" allowBlank="1" showInputMessage="1" showErrorMessage="1" sqref="C5">
      <formula1>PROGRAM</formula1>
    </dataValidation>
  </dataValidations>
  <pageMargins left="0.25" right="0.25" top="0.25" bottom="0.5" header="0.25" footer="0.25"/>
  <pageSetup scale="92" fitToHeight="0"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'I-Project Contingency'!$C$23:$C$33</xm:f>
          </x14:formula1>
          <xm:sqref>C6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G54"/>
  <sheetViews>
    <sheetView showGridLines="0" zoomScaleNormal="100" workbookViewId="0">
      <pane xSplit="2" ySplit="11" topLeftCell="C20" activePane="bottomRight" state="frozen"/>
      <selection pane="topRight" activeCell="C1" sqref="C1"/>
      <selection pane="bottomLeft" activeCell="A10" sqref="A10"/>
      <selection pane="bottomRight" activeCell="G25" sqref="G25"/>
    </sheetView>
  </sheetViews>
  <sheetFormatPr defaultRowHeight="14.5" x14ac:dyDescent="0.35"/>
  <cols>
    <col min="1" max="1" width="5.81640625" style="36" customWidth="1"/>
    <col min="2" max="2" width="40.81640625" customWidth="1"/>
    <col min="3" max="3" width="45.54296875" customWidth="1"/>
    <col min="4" max="4" width="20.54296875" customWidth="1"/>
    <col min="5" max="7" width="22.81640625" customWidth="1"/>
    <col min="8" max="8" width="13.81640625" bestFit="1" customWidth="1"/>
    <col min="9" max="9" width="9.1796875" bestFit="1" customWidth="1"/>
  </cols>
  <sheetData>
    <row r="1" spans="1:7" ht="21" x14ac:dyDescent="0.35">
      <c r="B1" s="831" t="s">
        <v>1030</v>
      </c>
      <c r="C1" s="831"/>
      <c r="D1" s="831"/>
      <c r="E1" s="831"/>
      <c r="F1" s="831"/>
      <c r="G1" s="831"/>
    </row>
    <row r="2" spans="1:7" x14ac:dyDescent="0.35">
      <c r="A2" s="363"/>
      <c r="B2" s="38"/>
      <c r="C2" s="38"/>
      <c r="D2" s="38"/>
      <c r="E2" s="38"/>
      <c r="F2" s="38"/>
      <c r="G2" s="38"/>
    </row>
    <row r="3" spans="1:7" x14ac:dyDescent="0.35">
      <c r="A3" s="37"/>
      <c r="B3" s="47" t="str">
        <f>'D-Project Data'!B9</f>
        <v>Project:</v>
      </c>
      <c r="C3" s="832" t="str">
        <f>'D-Project Data'!C9</f>
        <v>Project Name</v>
      </c>
      <c r="D3" s="832"/>
      <c r="E3" s="48"/>
      <c r="F3" s="365"/>
      <c r="G3" s="365"/>
    </row>
    <row r="4" spans="1:7" x14ac:dyDescent="0.35">
      <c r="A4" s="37"/>
      <c r="B4" s="47" t="str">
        <f>'D-Project Data'!B11</f>
        <v>Project Development Phase:</v>
      </c>
      <c r="C4" s="832" t="str">
        <f>'D-Project Data'!C11</f>
        <v>Select From List</v>
      </c>
      <c r="D4" s="832"/>
      <c r="E4" s="49" t="s">
        <v>668</v>
      </c>
      <c r="F4" s="673" t="str">
        <f>'F-Meeting Attendance'!D7</f>
        <v>TBD</v>
      </c>
      <c r="G4" s="38"/>
    </row>
    <row r="5" spans="1:7" x14ac:dyDescent="0.35">
      <c r="A5" s="363"/>
      <c r="B5" s="38"/>
      <c r="C5" s="38"/>
      <c r="D5" s="38"/>
      <c r="E5" s="38"/>
      <c r="F5" s="38"/>
      <c r="G5" s="38"/>
    </row>
    <row r="6" spans="1:7" x14ac:dyDescent="0.35">
      <c r="A6" s="37"/>
      <c r="B6" s="49" t="s">
        <v>1031</v>
      </c>
      <c r="C6" s="679">
        <v>45200</v>
      </c>
      <c r="D6" s="424" t="s">
        <v>1034</v>
      </c>
      <c r="E6" s="38"/>
      <c r="F6" s="49" t="str">
        <f>'I-Project Contingency'!G12&amp;":"</f>
        <v>Schedule Contingency Duration:</v>
      </c>
      <c r="G6" s="674">
        <f>'I-Project Contingency'!I12</f>
        <v>6.12</v>
      </c>
    </row>
    <row r="7" spans="1:7" x14ac:dyDescent="0.35">
      <c r="A7" s="37"/>
      <c r="B7" s="49" t="s">
        <v>1032</v>
      </c>
      <c r="C7" s="678">
        <v>45566</v>
      </c>
      <c r="D7" s="424" t="s">
        <v>1034</v>
      </c>
      <c r="E7" s="38"/>
      <c r="F7" s="49" t="s">
        <v>1033</v>
      </c>
      <c r="G7" s="675">
        <f>'I-Project Contingency'!$J$12</f>
        <v>0.51</v>
      </c>
    </row>
    <row r="8" spans="1:7" x14ac:dyDescent="0.35">
      <c r="A8" s="37"/>
      <c r="B8" s="49" t="s">
        <v>1041</v>
      </c>
      <c r="C8" s="676">
        <f>YEARFRAC(C6,C7,1)*12</f>
        <v>12</v>
      </c>
      <c r="D8" s="38"/>
      <c r="E8" s="38"/>
      <c r="F8" s="49" t="str">
        <f>"Schedule with Contingency ("&amp;TEXT('I-Project Contingency'!G13,"0%")&amp;" Confidence):"</f>
        <v>Schedule with Contingency (80% Confidence):</v>
      </c>
      <c r="G8" s="676">
        <f>'I-Project Contingency'!I13</f>
        <v>18.12</v>
      </c>
    </row>
    <row r="9" spans="1:7" x14ac:dyDescent="0.35">
      <c r="A9" s="37"/>
      <c r="B9" s="49"/>
      <c r="C9" s="423"/>
      <c r="D9" s="38"/>
      <c r="E9" s="38"/>
      <c r="F9" s="49" t="str">
        <f>"Finish Date with Contingency ("&amp;TEXT('I-Project Contingency'!G14,"0%")&amp;" Confidence):"</f>
        <v>Finish Date with Contingency (80% Confidence):</v>
      </c>
      <c r="G9" s="677">
        <f>'I-Project Contingency'!I14</f>
        <v>45752</v>
      </c>
    </row>
    <row r="10" spans="1:7" ht="15" thickBot="1" x14ac:dyDescent="0.4">
      <c r="A10" s="37"/>
      <c r="B10" s="50"/>
      <c r="C10" s="51"/>
      <c r="D10" s="52"/>
      <c r="E10" s="38"/>
      <c r="F10" s="38"/>
    </row>
    <row r="11" spans="1:7" x14ac:dyDescent="0.35">
      <c r="A11" s="623"/>
      <c r="B11" s="624" t="str">
        <f>IF('D-Project Data'!C5="Civil Works",'1-Drop Down List'!K4,'1-Drop Down List'!L4)</f>
        <v>MILCON_WBS</v>
      </c>
      <c r="C11" s="624" t="s">
        <v>666</v>
      </c>
      <c r="D11" s="624" t="s">
        <v>665</v>
      </c>
      <c r="E11" s="625">
        <f>'D-Project Data'!$C$6</f>
        <v>0.8</v>
      </c>
      <c r="F11" s="626">
        <f>'D-Project Data'!$C$6</f>
        <v>0.8</v>
      </c>
      <c r="G11" s="627">
        <f>'D-Project Data'!$C$6</f>
        <v>0.8</v>
      </c>
    </row>
    <row r="12" spans="1:7" x14ac:dyDescent="0.35">
      <c r="A12" s="440"/>
      <c r="B12" s="441" t="s">
        <v>1216</v>
      </c>
      <c r="C12" s="441"/>
      <c r="D12" s="441"/>
      <c r="E12" s="442"/>
      <c r="F12" s="443"/>
      <c r="G12" s="444"/>
    </row>
    <row r="13" spans="1:7" x14ac:dyDescent="0.35">
      <c r="A13" s="39"/>
      <c r="B13" s="688" t="s">
        <v>969</v>
      </c>
      <c r="C13" s="680" t="s">
        <v>1238</v>
      </c>
      <c r="D13" s="681">
        <v>0</v>
      </c>
      <c r="E13" s="682">
        <v>0</v>
      </c>
      <c r="F13" s="62">
        <f>IF($D$13&gt;0,ROUNDUP($D$13*E13,0),0)</f>
        <v>0</v>
      </c>
      <c r="G13" s="63">
        <f>D13+F13</f>
        <v>0</v>
      </c>
    </row>
    <row r="14" spans="1:7" x14ac:dyDescent="0.35">
      <c r="A14" s="40"/>
      <c r="B14" s="687"/>
      <c r="C14" s="54"/>
      <c r="D14" s="681">
        <v>0</v>
      </c>
      <c r="E14" s="682">
        <v>0</v>
      </c>
      <c r="F14" s="62">
        <f t="shared" ref="F14:F16" si="0">IF($D$13&gt;0,ROUNDUP($D$13*E14,0),0)</f>
        <v>0</v>
      </c>
      <c r="G14" s="63">
        <f>D14+F14</f>
        <v>0</v>
      </c>
    </row>
    <row r="15" spans="1:7" x14ac:dyDescent="0.35">
      <c r="A15" s="40"/>
      <c r="B15" s="687"/>
      <c r="C15" s="54"/>
      <c r="D15" s="681">
        <v>0</v>
      </c>
      <c r="E15" s="682">
        <v>0</v>
      </c>
      <c r="F15" s="62">
        <f t="shared" si="0"/>
        <v>0</v>
      </c>
      <c r="G15" s="63">
        <f>D15+F15</f>
        <v>0</v>
      </c>
    </row>
    <row r="16" spans="1:7" x14ac:dyDescent="0.35">
      <c r="A16" s="40"/>
      <c r="B16" s="687"/>
      <c r="C16" s="54"/>
      <c r="D16" s="681">
        <v>0</v>
      </c>
      <c r="E16" s="682">
        <v>0</v>
      </c>
      <c r="F16" s="62">
        <f t="shared" si="0"/>
        <v>0</v>
      </c>
      <c r="G16" s="63">
        <f>D16+F16</f>
        <v>0</v>
      </c>
    </row>
    <row r="17" spans="1:7" x14ac:dyDescent="0.35">
      <c r="A17" s="440"/>
      <c r="B17" s="441" t="s">
        <v>1217</v>
      </c>
      <c r="C17" s="441"/>
      <c r="D17" s="445"/>
      <c r="E17" s="442"/>
      <c r="F17" s="446"/>
      <c r="G17" s="447"/>
    </row>
    <row r="18" spans="1:7" x14ac:dyDescent="0.35">
      <c r="A18" s="40">
        <v>1</v>
      </c>
      <c r="B18" s="687" t="s">
        <v>1202</v>
      </c>
      <c r="C18" s="684" t="s">
        <v>1208</v>
      </c>
      <c r="D18" s="683">
        <v>1000000</v>
      </c>
      <c r="E18" s="482">
        <f>IF(D18&gt;0,VLOOKUP($E$11,'I-Project Contingency'!$C$23:$E$33,3,FALSE),0)</f>
        <v>0.46</v>
      </c>
      <c r="F18" s="483">
        <f t="shared" ref="F18:F41" si="1">IF(D18&gt;0,ROUND(D18*E18,0),0)</f>
        <v>460000</v>
      </c>
      <c r="G18" s="484">
        <f t="shared" ref="G18:G42" si="2">D18+F18</f>
        <v>1460000</v>
      </c>
    </row>
    <row r="19" spans="1:7" x14ac:dyDescent="0.35">
      <c r="A19" s="40">
        <v>2</v>
      </c>
      <c r="B19" s="687" t="s">
        <v>1202</v>
      </c>
      <c r="C19" s="684" t="s">
        <v>1209</v>
      </c>
      <c r="D19" s="811">
        <v>1000000</v>
      </c>
      <c r="E19" s="482">
        <f>IF(D19&gt;0,VLOOKUP($E$11,'I-Project Contingency'!$C$23:$E$33,3,FALSE),0)</f>
        <v>0.46</v>
      </c>
      <c r="F19" s="483">
        <f>IF(D20&gt;0,ROUND(D20*E19,0),0)</f>
        <v>920000</v>
      </c>
      <c r="G19" s="484">
        <f>D20+F19</f>
        <v>2920000</v>
      </c>
    </row>
    <row r="20" spans="1:7" x14ac:dyDescent="0.35">
      <c r="A20" s="40">
        <v>3</v>
      </c>
      <c r="B20" s="687" t="s">
        <v>883</v>
      </c>
      <c r="C20" s="684" t="s">
        <v>1210</v>
      </c>
      <c r="D20" s="683">
        <v>2000000</v>
      </c>
      <c r="E20" s="482">
        <f>IF(D20&gt;0,VLOOKUP($E$11,'I-Project Contingency'!$C$23:$E$33,3,FALSE),0)</f>
        <v>0.46</v>
      </c>
      <c r="F20" s="483">
        <f>IF(D21&gt;0,ROUND(D21*E20,0),0)</f>
        <v>920000</v>
      </c>
      <c r="G20" s="484">
        <f>D21+F20</f>
        <v>2920000</v>
      </c>
    </row>
    <row r="21" spans="1:7" x14ac:dyDescent="0.35">
      <c r="A21" s="40">
        <v>4</v>
      </c>
      <c r="B21" s="687" t="s">
        <v>882</v>
      </c>
      <c r="C21" s="684" t="s">
        <v>1211</v>
      </c>
      <c r="D21" s="683">
        <v>2000000</v>
      </c>
      <c r="E21" s="482">
        <f>IF(D21&gt;0,VLOOKUP($E$11,'I-Project Contingency'!$C$23:$E$33,3,FALSE),0)</f>
        <v>0.46</v>
      </c>
      <c r="F21" s="483">
        <f t="shared" si="1"/>
        <v>920000</v>
      </c>
      <c r="G21" s="484">
        <f t="shared" si="2"/>
        <v>2920000</v>
      </c>
    </row>
    <row r="22" spans="1:7" x14ac:dyDescent="0.35">
      <c r="A22" s="40">
        <v>5</v>
      </c>
      <c r="B22" s="687" t="s">
        <v>881</v>
      </c>
      <c r="C22" s="684" t="s">
        <v>1212</v>
      </c>
      <c r="D22" s="683">
        <v>500000</v>
      </c>
      <c r="E22" s="482">
        <f>IF(D22&gt;0,VLOOKUP($E$11,'I-Project Contingency'!$C$23:$E$33,3,FALSE),0)</f>
        <v>0.46</v>
      </c>
      <c r="F22" s="483">
        <f t="shared" si="1"/>
        <v>230000</v>
      </c>
      <c r="G22" s="484">
        <f t="shared" si="2"/>
        <v>730000</v>
      </c>
    </row>
    <row r="23" spans="1:7" x14ac:dyDescent="0.35">
      <c r="A23" s="40">
        <v>6</v>
      </c>
      <c r="B23" s="687" t="s">
        <v>880</v>
      </c>
      <c r="C23" s="684" t="s">
        <v>1213</v>
      </c>
      <c r="D23" s="683">
        <v>500000</v>
      </c>
      <c r="E23" s="482">
        <f>IF(D23&gt;0,VLOOKUP($E$11,'I-Project Contingency'!$C$23:$E$33,3,FALSE),0)</f>
        <v>0.46</v>
      </c>
      <c r="F23" s="483">
        <f t="shared" si="1"/>
        <v>230000</v>
      </c>
      <c r="G23" s="484">
        <f t="shared" si="2"/>
        <v>730000</v>
      </c>
    </row>
    <row r="24" spans="1:7" x14ac:dyDescent="0.35">
      <c r="A24" s="40">
        <v>7</v>
      </c>
      <c r="B24" s="687" t="s">
        <v>1266</v>
      </c>
      <c r="C24" s="684" t="s">
        <v>1268</v>
      </c>
      <c r="D24" s="683">
        <v>250000</v>
      </c>
      <c r="E24" s="482">
        <f>IF(D24&gt;0,VLOOKUP($E$11,'I-Project Contingency'!$C$23:$E$33,3,FALSE),0)</f>
        <v>0.46</v>
      </c>
      <c r="F24" s="483">
        <f t="shared" si="1"/>
        <v>115000</v>
      </c>
      <c r="G24" s="484">
        <f t="shared" si="2"/>
        <v>365000</v>
      </c>
    </row>
    <row r="25" spans="1:7" x14ac:dyDescent="0.35">
      <c r="A25" s="40">
        <v>8</v>
      </c>
      <c r="B25" s="687"/>
      <c r="C25" s="684"/>
      <c r="D25" s="683">
        <v>0</v>
      </c>
      <c r="E25" s="482">
        <f>IF(D25&gt;0,VLOOKUP($E$11,'I-Project Contingency'!$C$23:$E$33,3,FALSE),0)</f>
        <v>0</v>
      </c>
      <c r="F25" s="483">
        <f t="shared" si="1"/>
        <v>0</v>
      </c>
      <c r="G25" s="484">
        <f t="shared" si="2"/>
        <v>0</v>
      </c>
    </row>
    <row r="26" spans="1:7" x14ac:dyDescent="0.35">
      <c r="A26" s="40">
        <v>9</v>
      </c>
      <c r="B26" s="687"/>
      <c r="C26" s="684"/>
      <c r="D26" s="683">
        <v>0</v>
      </c>
      <c r="E26" s="482">
        <f>IF(D26&gt;0,VLOOKUP($E$11,'I-Project Contingency'!$C$23:$E$33,3,FALSE),0)</f>
        <v>0</v>
      </c>
      <c r="F26" s="483">
        <f t="shared" si="1"/>
        <v>0</v>
      </c>
      <c r="G26" s="484">
        <f t="shared" si="2"/>
        <v>0</v>
      </c>
    </row>
    <row r="27" spans="1:7" x14ac:dyDescent="0.35">
      <c r="A27" s="40">
        <v>10</v>
      </c>
      <c r="B27" s="687"/>
      <c r="C27" s="684"/>
      <c r="D27" s="683">
        <v>0</v>
      </c>
      <c r="E27" s="482">
        <f>IF(D27&gt;0,VLOOKUP($E$11,'I-Project Contingency'!$C$23:$E$33,3,FALSE),0)</f>
        <v>0</v>
      </c>
      <c r="F27" s="483">
        <f t="shared" si="1"/>
        <v>0</v>
      </c>
      <c r="G27" s="484">
        <f t="shared" si="2"/>
        <v>0</v>
      </c>
    </row>
    <row r="28" spans="1:7" x14ac:dyDescent="0.35">
      <c r="A28" s="40">
        <v>11</v>
      </c>
      <c r="B28" s="687"/>
      <c r="C28" s="685"/>
      <c r="D28" s="480">
        <v>0</v>
      </c>
      <c r="E28" s="482">
        <f>IF(D28&gt;0,VLOOKUP($E$11,'I-Project Contingency'!$C$23:$E$33,3,FALSE),0)</f>
        <v>0</v>
      </c>
      <c r="F28" s="483">
        <f t="shared" si="1"/>
        <v>0</v>
      </c>
      <c r="G28" s="484">
        <f t="shared" si="2"/>
        <v>0</v>
      </c>
    </row>
    <row r="29" spans="1:7" x14ac:dyDescent="0.35">
      <c r="A29" s="40">
        <v>12</v>
      </c>
      <c r="B29" s="687"/>
      <c r="C29" s="684"/>
      <c r="D29" s="480">
        <v>0</v>
      </c>
      <c r="E29" s="482">
        <f>IF(D29&gt;0,VLOOKUP($E$11,'I-Project Contingency'!$C$23:$E$33,3,FALSE),0)</f>
        <v>0</v>
      </c>
      <c r="F29" s="483">
        <f t="shared" si="1"/>
        <v>0</v>
      </c>
      <c r="G29" s="484">
        <f t="shared" si="2"/>
        <v>0</v>
      </c>
    </row>
    <row r="30" spans="1:7" x14ac:dyDescent="0.35">
      <c r="A30" s="40">
        <v>13</v>
      </c>
      <c r="B30" s="687"/>
      <c r="C30" s="684"/>
      <c r="D30" s="480">
        <v>0</v>
      </c>
      <c r="E30" s="482">
        <f>IF(D30&gt;0,VLOOKUP($E$11,'I-Project Contingency'!$C$23:$E$33,3,FALSE),0)</f>
        <v>0</v>
      </c>
      <c r="F30" s="483">
        <f t="shared" si="1"/>
        <v>0</v>
      </c>
      <c r="G30" s="484">
        <f t="shared" si="2"/>
        <v>0</v>
      </c>
    </row>
    <row r="31" spans="1:7" x14ac:dyDescent="0.35">
      <c r="A31" s="40">
        <v>14</v>
      </c>
      <c r="B31" s="687"/>
      <c r="C31" s="684"/>
      <c r="D31" s="480">
        <v>0</v>
      </c>
      <c r="E31" s="482">
        <f>IF(D31&gt;0,VLOOKUP($E$11,'I-Project Contingency'!$C$23:$E$33,3,FALSE),0)</f>
        <v>0</v>
      </c>
      <c r="F31" s="483">
        <f t="shared" si="1"/>
        <v>0</v>
      </c>
      <c r="G31" s="484">
        <f t="shared" si="2"/>
        <v>0</v>
      </c>
    </row>
    <row r="32" spans="1:7" x14ac:dyDescent="0.35">
      <c r="A32" s="40">
        <v>15</v>
      </c>
      <c r="B32" s="687"/>
      <c r="C32" s="684"/>
      <c r="D32" s="480">
        <v>0</v>
      </c>
      <c r="E32" s="482">
        <f>IF(D32&gt;0,VLOOKUP($E$11,'I-Project Contingency'!$C$23:$E$33,3,FALSE),0)</f>
        <v>0</v>
      </c>
      <c r="F32" s="483">
        <f t="shared" si="1"/>
        <v>0</v>
      </c>
      <c r="G32" s="484">
        <f t="shared" si="2"/>
        <v>0</v>
      </c>
    </row>
    <row r="33" spans="1:7" x14ac:dyDescent="0.35">
      <c r="A33" s="40">
        <v>16</v>
      </c>
      <c r="B33" s="687"/>
      <c r="C33" s="684"/>
      <c r="D33" s="480">
        <v>0</v>
      </c>
      <c r="E33" s="482">
        <f>IF(D33&gt;0,VLOOKUP($E$11,'I-Project Contingency'!$C$23:$E$33,3,FALSE),0)</f>
        <v>0</v>
      </c>
      <c r="F33" s="483">
        <f t="shared" si="1"/>
        <v>0</v>
      </c>
      <c r="G33" s="484">
        <f t="shared" si="2"/>
        <v>0</v>
      </c>
    </row>
    <row r="34" spans="1:7" x14ac:dyDescent="0.35">
      <c r="A34" s="40">
        <v>17</v>
      </c>
      <c r="B34" s="687"/>
      <c r="C34" s="684"/>
      <c r="D34" s="480">
        <v>0</v>
      </c>
      <c r="E34" s="482">
        <f>IF(D34&gt;0,VLOOKUP($E$11,'I-Project Contingency'!$C$23:$E$33,3,FALSE),0)</f>
        <v>0</v>
      </c>
      <c r="F34" s="483">
        <f t="shared" si="1"/>
        <v>0</v>
      </c>
      <c r="G34" s="484">
        <f t="shared" si="2"/>
        <v>0</v>
      </c>
    </row>
    <row r="35" spans="1:7" x14ac:dyDescent="0.35">
      <c r="A35" s="40">
        <v>18</v>
      </c>
      <c r="B35" s="687"/>
      <c r="C35" s="684"/>
      <c r="D35" s="480">
        <v>0</v>
      </c>
      <c r="E35" s="482">
        <f>IF(D35&gt;0,VLOOKUP($E$11,'I-Project Contingency'!$C$23:$E$33,3,FALSE),0)</f>
        <v>0</v>
      </c>
      <c r="F35" s="483">
        <f t="shared" si="1"/>
        <v>0</v>
      </c>
      <c r="G35" s="484">
        <f t="shared" si="2"/>
        <v>0</v>
      </c>
    </row>
    <row r="36" spans="1:7" x14ac:dyDescent="0.35">
      <c r="A36" s="40">
        <v>19</v>
      </c>
      <c r="B36" s="687"/>
      <c r="C36" s="684"/>
      <c r="D36" s="480">
        <v>0</v>
      </c>
      <c r="E36" s="482">
        <f>IF(D36&gt;0,VLOOKUP($E$11,'I-Project Contingency'!$C$23:$E$33,3,FALSE),0)</f>
        <v>0</v>
      </c>
      <c r="F36" s="483">
        <f t="shared" si="1"/>
        <v>0</v>
      </c>
      <c r="G36" s="484">
        <f t="shared" si="2"/>
        <v>0</v>
      </c>
    </row>
    <row r="37" spans="1:7" x14ac:dyDescent="0.35">
      <c r="A37" s="40">
        <v>20</v>
      </c>
      <c r="B37" s="687"/>
      <c r="C37" s="684"/>
      <c r="D37" s="480">
        <v>0</v>
      </c>
      <c r="E37" s="482">
        <f>IF(D37&gt;0,VLOOKUP($E$11,'I-Project Contingency'!$C$23:$E$33,3,FALSE),0)</f>
        <v>0</v>
      </c>
      <c r="F37" s="483">
        <f t="shared" si="1"/>
        <v>0</v>
      </c>
      <c r="G37" s="484">
        <f t="shared" si="2"/>
        <v>0</v>
      </c>
    </row>
    <row r="38" spans="1:7" x14ac:dyDescent="0.35">
      <c r="A38" s="40">
        <v>21</v>
      </c>
      <c r="B38" s="687"/>
      <c r="C38" s="684"/>
      <c r="D38" s="480">
        <v>0</v>
      </c>
      <c r="E38" s="482">
        <f>IF(D38&gt;0,VLOOKUP($E$11,'I-Project Contingency'!$C$23:$E$33,3,FALSE),0)</f>
        <v>0</v>
      </c>
      <c r="F38" s="483">
        <f t="shared" si="1"/>
        <v>0</v>
      </c>
      <c r="G38" s="484">
        <f t="shared" si="2"/>
        <v>0</v>
      </c>
    </row>
    <row r="39" spans="1:7" x14ac:dyDescent="0.35">
      <c r="A39" s="40">
        <v>22</v>
      </c>
      <c r="B39" s="686"/>
      <c r="C39" s="684"/>
      <c r="D39" s="480">
        <v>0</v>
      </c>
      <c r="E39" s="482">
        <f>IF(D39&gt;0,VLOOKUP($E$11,'I-Project Contingency'!$C$23:$E$33,3,FALSE),0)</f>
        <v>0</v>
      </c>
      <c r="F39" s="483">
        <f t="shared" si="1"/>
        <v>0</v>
      </c>
      <c r="G39" s="484">
        <f t="shared" si="2"/>
        <v>0</v>
      </c>
    </row>
    <row r="40" spans="1:7" x14ac:dyDescent="0.35">
      <c r="A40" s="40">
        <v>23</v>
      </c>
      <c r="B40" s="689" t="s">
        <v>989</v>
      </c>
      <c r="C40" s="684" t="s">
        <v>1238</v>
      </c>
      <c r="D40" s="480">
        <v>0</v>
      </c>
      <c r="E40" s="482">
        <f>IF(D40&gt;0,VLOOKUP($E$11,'I-Project Contingency'!$C$23:$E$33,3,FALSE),0)</f>
        <v>0</v>
      </c>
      <c r="F40" s="483">
        <f t="shared" si="1"/>
        <v>0</v>
      </c>
      <c r="G40" s="484">
        <f t="shared" si="2"/>
        <v>0</v>
      </c>
    </row>
    <row r="41" spans="1:7" x14ac:dyDescent="0.35">
      <c r="A41" s="40">
        <v>24</v>
      </c>
      <c r="B41" s="689" t="s">
        <v>990</v>
      </c>
      <c r="C41" s="684" t="s">
        <v>1238</v>
      </c>
      <c r="D41" s="480">
        <v>0</v>
      </c>
      <c r="E41" s="482">
        <f>IF(D41&gt;0,VLOOKUP($E$11,'I-Project Contingency'!$C$23:$E$33,3,FALSE),0)</f>
        <v>0</v>
      </c>
      <c r="F41" s="483">
        <f t="shared" si="1"/>
        <v>0</v>
      </c>
      <c r="G41" s="484">
        <f t="shared" si="2"/>
        <v>0</v>
      </c>
    </row>
    <row r="42" spans="1:7" x14ac:dyDescent="0.35">
      <c r="A42" s="509" t="s">
        <v>653</v>
      </c>
      <c r="B42" s="690" t="s">
        <v>652</v>
      </c>
      <c r="C42" s="55"/>
      <c r="D42" s="481"/>
      <c r="E42" s="53"/>
      <c r="F42" s="656">
        <v>0</v>
      </c>
      <c r="G42" s="657">
        <f t="shared" si="2"/>
        <v>0</v>
      </c>
    </row>
    <row r="43" spans="1:7" ht="15" thickBot="1" x14ac:dyDescent="0.4">
      <c r="A43" s="41"/>
      <c r="B43" s="56" t="s">
        <v>643</v>
      </c>
      <c r="C43" s="57"/>
      <c r="D43" s="59"/>
      <c r="E43" s="42"/>
      <c r="F43" s="64"/>
      <c r="G43" s="65"/>
    </row>
    <row r="44" spans="1:7" x14ac:dyDescent="0.35">
      <c r="A44" s="41"/>
      <c r="B44" s="56" t="s">
        <v>643</v>
      </c>
      <c r="C44" s="58" t="s">
        <v>669</v>
      </c>
      <c r="D44" s="60"/>
      <c r="E44" s="43"/>
      <c r="F44" s="66"/>
      <c r="G44" s="67"/>
    </row>
    <row r="45" spans="1:7" x14ac:dyDescent="0.35">
      <c r="A45" s="41"/>
      <c r="B45" s="56" t="s">
        <v>643</v>
      </c>
      <c r="C45" s="44" t="str">
        <f>B12</f>
        <v>Risk Not Included In CSRA</v>
      </c>
      <c r="D45" s="649">
        <f>SUM(D13:D16)</f>
        <v>0</v>
      </c>
      <c r="E45" s="514">
        <f>IFERROR(F45/D45,0)</f>
        <v>0</v>
      </c>
      <c r="F45" s="650">
        <f>SUM(F13:F16)</f>
        <v>0</v>
      </c>
      <c r="G45" s="68">
        <f>SUM(G13:G16)</f>
        <v>0</v>
      </c>
    </row>
    <row r="46" spans="1:7" x14ac:dyDescent="0.35">
      <c r="A46" s="41"/>
      <c r="B46" s="56" t="s">
        <v>643</v>
      </c>
      <c r="C46" s="44" t="s">
        <v>650</v>
      </c>
      <c r="D46" s="651">
        <f>SUM(D18:D39)</f>
        <v>7250000</v>
      </c>
      <c r="E46" s="652">
        <f>E18</f>
        <v>0.46</v>
      </c>
      <c r="F46" s="653">
        <f>IF(D46&gt;0,ROUND(D46*E46,0),0)</f>
        <v>3335000</v>
      </c>
      <c r="G46" s="654">
        <f>D46+F46</f>
        <v>10585000</v>
      </c>
    </row>
    <row r="47" spans="1:7" x14ac:dyDescent="0.35">
      <c r="A47" s="41"/>
      <c r="B47" s="56" t="s">
        <v>649</v>
      </c>
      <c r="C47" s="44" t="s">
        <v>648</v>
      </c>
      <c r="D47" s="651">
        <f>D40</f>
        <v>0</v>
      </c>
      <c r="E47" s="652">
        <f>E46</f>
        <v>0.46</v>
      </c>
      <c r="F47" s="653">
        <f>IF(D47&gt;0,ROUNDUP(D47*E47,0),0)</f>
        <v>0</v>
      </c>
      <c r="G47" s="654">
        <f>D47+F47</f>
        <v>0</v>
      </c>
    </row>
    <row r="48" spans="1:7" x14ac:dyDescent="0.35">
      <c r="A48" s="41"/>
      <c r="B48" s="56" t="s">
        <v>643</v>
      </c>
      <c r="C48" s="44" t="s">
        <v>647</v>
      </c>
      <c r="D48" s="651">
        <f>D41</f>
        <v>0</v>
      </c>
      <c r="E48" s="652">
        <f>E47</f>
        <v>0.46</v>
      </c>
      <c r="F48" s="653">
        <f>IF(D48&gt;0,ROUNDUP(D48*E48,0),0)</f>
        <v>0</v>
      </c>
      <c r="G48" s="654">
        <f>D48+F48</f>
        <v>0</v>
      </c>
    </row>
    <row r="49" spans="1:7" ht="15" thickBot="1" x14ac:dyDescent="0.4">
      <c r="A49" s="41"/>
      <c r="B49" s="56" t="s">
        <v>643</v>
      </c>
      <c r="C49" s="44"/>
      <c r="D49" s="655"/>
      <c r="E49" s="515"/>
      <c r="F49" s="64"/>
      <c r="G49" s="65"/>
    </row>
    <row r="50" spans="1:7" ht="15" thickBot="1" x14ac:dyDescent="0.4">
      <c r="A50" s="41"/>
      <c r="B50" s="56" t="s">
        <v>643</v>
      </c>
      <c r="C50" s="510" t="str">
        <f>"Total EXCLUDING "&amp;B12</f>
        <v>Total EXCLUDING Risk Not Included In CSRA</v>
      </c>
      <c r="D50" s="61">
        <f>SUM(D46:D48)</f>
        <v>7250000</v>
      </c>
      <c r="E50" s="534">
        <f>ROUND(F50/D50,2)</f>
        <v>0.46</v>
      </c>
      <c r="F50" s="69">
        <f>SUM(F46:F48,F42)</f>
        <v>3335000</v>
      </c>
      <c r="G50" s="70">
        <f>SUM(G46:G48,G42)</f>
        <v>10585000</v>
      </c>
    </row>
    <row r="51" spans="1:7" ht="15" thickBot="1" x14ac:dyDescent="0.4">
      <c r="A51" s="41"/>
      <c r="B51" s="56" t="s">
        <v>643</v>
      </c>
      <c r="C51" s="510" t="str">
        <f>"Total INCLUDING "&amp;B12</f>
        <v>Total INCLUDING Risk Not Included In CSRA</v>
      </c>
      <c r="D51" s="361">
        <f>D50+D45</f>
        <v>7250000</v>
      </c>
      <c r="E51" s="534">
        <f>ROUND(F51/D51,2)</f>
        <v>0.46</v>
      </c>
      <c r="F51" s="69">
        <f t="shared" ref="F51:G51" si="3">F50+F45</f>
        <v>3335000</v>
      </c>
      <c r="G51" s="70">
        <f t="shared" si="3"/>
        <v>10585000</v>
      </c>
    </row>
    <row r="52" spans="1:7" ht="15" thickBot="1" x14ac:dyDescent="0.4">
      <c r="A52" s="41"/>
      <c r="B52" s="56" t="s">
        <v>644</v>
      </c>
      <c r="C52" s="511" t="s">
        <v>646</v>
      </c>
      <c r="D52" s="71"/>
      <c r="E52" s="72"/>
      <c r="F52" s="73"/>
      <c r="G52" s="74" t="s">
        <v>659</v>
      </c>
    </row>
    <row r="53" spans="1:7" x14ac:dyDescent="0.35">
      <c r="A53" s="41"/>
      <c r="B53" s="56" t="s">
        <v>644</v>
      </c>
      <c r="D53" s="45"/>
      <c r="E53" s="46"/>
      <c r="F53" s="46"/>
      <c r="G53" s="46"/>
    </row>
    <row r="54" spans="1:7" ht="25" customHeight="1" x14ac:dyDescent="0.35">
      <c r="A54" s="833" t="s">
        <v>1214</v>
      </c>
      <c r="B54" s="833"/>
      <c r="C54" s="833"/>
      <c r="D54" s="833"/>
      <c r="E54" s="833"/>
      <c r="F54" s="833"/>
      <c r="G54" s="834"/>
    </row>
  </sheetData>
  <dataConsolidate/>
  <mergeCells count="4">
    <mergeCell ref="B1:G1"/>
    <mergeCell ref="C3:D3"/>
    <mergeCell ref="C4:D4"/>
    <mergeCell ref="A54:G54"/>
  </mergeCells>
  <dataValidations disablePrompts="1" count="1">
    <dataValidation type="list" allowBlank="1" showInputMessage="1" showErrorMessage="1" sqref="B13:B16 B18:B41">
      <formula1>INDIRECT($B$11)</formula1>
    </dataValidation>
  </dataValidations>
  <printOptions horizontalCentered="1"/>
  <pageMargins left="0.25" right="0.25" top="0.25" bottom="0.5" header="0.25" footer="0.25"/>
  <pageSetup scale="70" fitToWidth="0" fitToHeight="0" orientation="landscape" horizontalDpi="1200" verticalDpi="1200" r:id="rId1"/>
  <headerFooter>
    <oddFooter>&amp;CPage &amp;P of &amp;N</oddFooter>
  </headerFooter>
  <ignoredErrors>
    <ignoredError sqref="C3:D4 C8" unlockedFormula="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E56"/>
  <sheetViews>
    <sheetView showGridLines="0" zoomScaleNormal="100" workbookViewId="0">
      <pane xSplit="1" ySplit="11" topLeftCell="B12" activePane="bottomRight" state="frozen"/>
      <selection pane="topRight" activeCell="C1" sqref="C1"/>
      <selection pane="bottomLeft" activeCell="A10" sqref="A10"/>
      <selection pane="bottomRight" activeCell="G34" sqref="G34"/>
    </sheetView>
  </sheetViews>
  <sheetFormatPr defaultRowHeight="14.5" x14ac:dyDescent="0.35"/>
  <cols>
    <col min="1" max="1" width="25.81640625" customWidth="1"/>
    <col min="2" max="2" width="60.81640625" customWidth="1"/>
    <col min="3" max="3" width="2.81640625" customWidth="1"/>
    <col min="4" max="4" width="20.81640625" customWidth="1"/>
    <col min="5" max="5" width="25.81640625" customWidth="1"/>
  </cols>
  <sheetData>
    <row r="1" spans="1:5" ht="21" x14ac:dyDescent="0.35">
      <c r="A1" s="831" t="s">
        <v>1030</v>
      </c>
      <c r="B1" s="831"/>
      <c r="C1" s="831"/>
      <c r="D1" s="831"/>
      <c r="E1" s="831"/>
    </row>
    <row r="2" spans="1:5" ht="21" x14ac:dyDescent="0.35">
      <c r="A2" s="75"/>
      <c r="B2" s="75"/>
      <c r="C2" s="75"/>
      <c r="D2" s="75"/>
      <c r="E2" s="75"/>
    </row>
    <row r="3" spans="1:5" x14ac:dyDescent="0.35">
      <c r="A3" s="47" t="str">
        <f>'D-Project Data'!B9</f>
        <v>Project:</v>
      </c>
      <c r="B3" s="373" t="str">
        <f>'D-Project Data'!C9</f>
        <v>Project Name</v>
      </c>
      <c r="C3" s="367"/>
      <c r="D3" s="49" t="s">
        <v>668</v>
      </c>
      <c r="E3" s="370" t="str">
        <f>'F-Meeting Attendance'!D7</f>
        <v>TBD</v>
      </c>
    </row>
    <row r="4" spans="1:5" x14ac:dyDescent="0.35">
      <c r="A4" s="47" t="str">
        <f>'D-Project Data'!B11</f>
        <v>Project Development Phase:</v>
      </c>
      <c r="B4" s="374" t="str">
        <f>'D-Project Data'!C11</f>
        <v>Select From List</v>
      </c>
      <c r="C4" s="367"/>
      <c r="D4" s="49" t="s">
        <v>1031</v>
      </c>
      <c r="E4" s="377">
        <v>44470</v>
      </c>
    </row>
    <row r="5" spans="1:5" x14ac:dyDescent="0.35">
      <c r="A5" s="49" t="e">
        <f>'D-Project Data'!#REF!</f>
        <v>#REF!</v>
      </c>
      <c r="B5" s="375" t="e">
        <f>'D-Project Data'!#REF!</f>
        <v>#REF!</v>
      </c>
      <c r="C5" s="366"/>
      <c r="D5" s="49" t="s">
        <v>1032</v>
      </c>
      <c r="E5" s="377">
        <v>46447</v>
      </c>
    </row>
    <row r="6" spans="1:5" x14ac:dyDescent="0.35">
      <c r="A6" s="49" t="str">
        <f>'D-Project Data'!B6</f>
        <v>Confidence Level:</v>
      </c>
      <c r="B6" s="376">
        <f>'D-Project Data'!C6</f>
        <v>0.8</v>
      </c>
      <c r="C6" s="365"/>
      <c r="D6" s="49" t="s">
        <v>667</v>
      </c>
      <c r="E6" s="371">
        <f>YEARFRAC(E4,E5,1)*12</f>
        <v>64.971830985915489</v>
      </c>
    </row>
    <row r="7" spans="1:5" x14ac:dyDescent="0.35">
      <c r="A7" s="38"/>
      <c r="B7" s="38"/>
      <c r="C7" s="368"/>
      <c r="D7" s="49" t="str">
        <f>'E-Cost &amp; Schedule Summary'!F6</f>
        <v>Schedule Contingency Duration:</v>
      </c>
      <c r="E7" s="371">
        <f>'E-Cost &amp; Schedule Summary'!G6</f>
        <v>6.12</v>
      </c>
    </row>
    <row r="8" spans="1:5" x14ac:dyDescent="0.35">
      <c r="A8" s="38"/>
      <c r="B8" s="38"/>
      <c r="C8" s="368"/>
      <c r="D8" s="49" t="s">
        <v>1033</v>
      </c>
      <c r="E8" s="372">
        <f>'I-Project Contingency'!$J$12</f>
        <v>0.51</v>
      </c>
    </row>
    <row r="9" spans="1:5" x14ac:dyDescent="0.35">
      <c r="A9" s="49"/>
      <c r="B9" s="365"/>
      <c r="C9" s="365"/>
      <c r="D9" s="425" t="str">
        <f>"Finish Date with Contingency ("&amp;TEXT('I-Project Contingency'!G14,"0%")&amp;" Confidence):"</f>
        <v>Finish Date with Contingency (80% Confidence):</v>
      </c>
      <c r="E9" s="378">
        <f>'I-Project Contingency'!I14</f>
        <v>45752</v>
      </c>
    </row>
    <row r="10" spans="1:5" ht="15" thickBot="1" x14ac:dyDescent="0.4">
      <c r="A10" s="38"/>
      <c r="B10" s="38"/>
      <c r="C10" s="38"/>
      <c r="D10" s="38"/>
      <c r="E10" s="38"/>
    </row>
    <row r="11" spans="1:5" ht="15" thickBot="1" x14ac:dyDescent="0.4">
      <c r="A11" s="392"/>
      <c r="B11" s="392" t="s">
        <v>1025</v>
      </c>
      <c r="C11" s="393"/>
      <c r="D11" s="394" t="s">
        <v>864</v>
      </c>
      <c r="E11" s="395"/>
    </row>
    <row r="12" spans="1:5" x14ac:dyDescent="0.35">
      <c r="A12" s="838" t="s">
        <v>1039</v>
      </c>
      <c r="B12" s="408" t="s">
        <v>651</v>
      </c>
      <c r="C12" s="409"/>
      <c r="D12" s="410">
        <f>'E-Cost &amp; Schedule Summary'!D13</f>
        <v>0</v>
      </c>
      <c r="E12" s="411"/>
    </row>
    <row r="13" spans="1:5" x14ac:dyDescent="0.35">
      <c r="A13" s="839"/>
      <c r="B13" s="401" t="s">
        <v>989</v>
      </c>
      <c r="C13" s="385"/>
      <c r="D13" s="404">
        <v>0</v>
      </c>
      <c r="E13" s="397"/>
    </row>
    <row r="14" spans="1:5" x14ac:dyDescent="0.35">
      <c r="A14" s="839"/>
      <c r="B14" s="401" t="s">
        <v>990</v>
      </c>
      <c r="C14" s="385"/>
      <c r="D14" s="404">
        <v>0</v>
      </c>
      <c r="E14" s="397"/>
    </row>
    <row r="15" spans="1:5" x14ac:dyDescent="0.35">
      <c r="A15" s="839"/>
      <c r="B15" s="401"/>
      <c r="C15" s="385"/>
      <c r="D15" s="404">
        <v>0</v>
      </c>
      <c r="E15" s="397"/>
    </row>
    <row r="16" spans="1:5" ht="15" thickBot="1" x14ac:dyDescent="0.4">
      <c r="A16" s="840"/>
      <c r="B16" s="402"/>
      <c r="C16" s="398"/>
      <c r="D16" s="405">
        <v>0</v>
      </c>
      <c r="E16" s="399"/>
    </row>
    <row r="17" spans="1:5" ht="15" thickBot="1" x14ac:dyDescent="0.4">
      <c r="A17" s="50"/>
      <c r="B17" s="57"/>
      <c r="C17" s="57"/>
      <c r="D17" s="59"/>
      <c r="E17" s="59"/>
    </row>
    <row r="18" spans="1:5" ht="14.5" customHeight="1" x14ac:dyDescent="0.35">
      <c r="A18" s="838" t="s">
        <v>1038</v>
      </c>
      <c r="B18" s="412" t="str">
        <f>'E-Cost &amp; Schedule Summary'!C18</f>
        <v>Primary Facilities- Flight Simulator</v>
      </c>
      <c r="C18" s="409"/>
      <c r="D18" s="410">
        <f>'E-Cost &amp; Schedule Summary'!D18</f>
        <v>1000000</v>
      </c>
      <c r="E18" s="411"/>
    </row>
    <row r="19" spans="1:5" x14ac:dyDescent="0.35">
      <c r="A19" s="839"/>
      <c r="B19" s="516" t="str">
        <f>'E-Cost &amp; Schedule Summary'!C19</f>
        <v>Primary Facilities- OPS Facility</v>
      </c>
      <c r="C19" s="517"/>
      <c r="D19" s="480">
        <f>'E-Cost &amp; Schedule Summary'!D20</f>
        <v>2000000</v>
      </c>
      <c r="E19" s="518"/>
    </row>
    <row r="20" spans="1:5" x14ac:dyDescent="0.35">
      <c r="A20" s="839"/>
      <c r="B20" s="516" t="str">
        <f>'E-Cost &amp; Schedule Summary'!C20</f>
        <v>Site Preparations</v>
      </c>
      <c r="C20" s="517"/>
      <c r="D20" s="480" t="e">
        <f>'E-Cost &amp; Schedule Summary'!#REF!</f>
        <v>#REF!</v>
      </c>
      <c r="E20" s="518"/>
    </row>
    <row r="21" spans="1:5" x14ac:dyDescent="0.35">
      <c r="A21" s="839"/>
      <c r="B21" s="516"/>
      <c r="C21" s="517"/>
      <c r="D21" s="480">
        <v>0</v>
      </c>
      <c r="E21" s="518"/>
    </row>
    <row r="22" spans="1:5" x14ac:dyDescent="0.35">
      <c r="A22" s="839"/>
      <c r="B22" s="516"/>
      <c r="C22" s="517"/>
      <c r="D22" s="480">
        <v>0</v>
      </c>
      <c r="E22" s="518"/>
    </row>
    <row r="23" spans="1:5" x14ac:dyDescent="0.35">
      <c r="A23" s="839"/>
      <c r="B23" s="516"/>
      <c r="C23" s="517"/>
      <c r="D23" s="480">
        <v>0</v>
      </c>
      <c r="E23" s="518"/>
    </row>
    <row r="24" spans="1:5" x14ac:dyDescent="0.35">
      <c r="A24" s="839"/>
      <c r="B24" s="516"/>
      <c r="C24" s="517"/>
      <c r="D24" s="480">
        <v>0</v>
      </c>
      <c r="E24" s="518"/>
    </row>
    <row r="25" spans="1:5" x14ac:dyDescent="0.35">
      <c r="A25" s="839"/>
      <c r="B25" s="516"/>
      <c r="C25" s="517"/>
      <c r="D25" s="480">
        <v>0</v>
      </c>
      <c r="E25" s="518"/>
    </row>
    <row r="26" spans="1:5" x14ac:dyDescent="0.35">
      <c r="A26" s="839"/>
      <c r="B26" s="516"/>
      <c r="C26" s="517"/>
      <c r="D26" s="480">
        <v>0</v>
      </c>
      <c r="E26" s="518"/>
    </row>
    <row r="27" spans="1:5" x14ac:dyDescent="0.35">
      <c r="A27" s="839"/>
      <c r="B27" s="516"/>
      <c r="C27" s="517"/>
      <c r="D27" s="480">
        <v>0</v>
      </c>
      <c r="E27" s="518"/>
    </row>
    <row r="28" spans="1:5" x14ac:dyDescent="0.35">
      <c r="A28" s="839"/>
      <c r="B28" s="516"/>
      <c r="C28" s="517"/>
      <c r="D28" s="480">
        <v>0</v>
      </c>
      <c r="E28" s="518"/>
    </row>
    <row r="29" spans="1:5" x14ac:dyDescent="0.35">
      <c r="A29" s="839"/>
      <c r="B29" s="516"/>
      <c r="C29" s="517"/>
      <c r="D29" s="480">
        <v>0</v>
      </c>
      <c r="E29" s="518"/>
    </row>
    <row r="30" spans="1:5" x14ac:dyDescent="0.35">
      <c r="A30" s="839"/>
      <c r="B30" s="516"/>
      <c r="C30" s="517"/>
      <c r="D30" s="480">
        <v>0</v>
      </c>
      <c r="E30" s="518"/>
    </row>
    <row r="31" spans="1:5" x14ac:dyDescent="0.35">
      <c r="A31" s="839"/>
      <c r="B31" s="516"/>
      <c r="C31" s="517"/>
      <c r="D31" s="480">
        <v>0</v>
      </c>
      <c r="E31" s="518"/>
    </row>
    <row r="32" spans="1:5" x14ac:dyDescent="0.35">
      <c r="A32" s="839"/>
      <c r="B32" s="516"/>
      <c r="C32" s="517"/>
      <c r="D32" s="480">
        <v>0</v>
      </c>
      <c r="E32" s="518"/>
    </row>
    <row r="33" spans="1:5" x14ac:dyDescent="0.35">
      <c r="A33" s="839"/>
      <c r="B33" s="516"/>
      <c r="C33" s="517"/>
      <c r="D33" s="480">
        <v>0</v>
      </c>
      <c r="E33" s="518"/>
    </row>
    <row r="34" spans="1:5" x14ac:dyDescent="0.35">
      <c r="A34" s="839"/>
      <c r="B34" s="516"/>
      <c r="C34" s="517"/>
      <c r="D34" s="480">
        <v>0</v>
      </c>
      <c r="E34" s="518"/>
    </row>
    <row r="35" spans="1:5" x14ac:dyDescent="0.35">
      <c r="A35" s="839"/>
      <c r="B35" s="516"/>
      <c r="C35" s="517"/>
      <c r="D35" s="480">
        <v>0</v>
      </c>
      <c r="E35" s="518"/>
    </row>
    <row r="36" spans="1:5" x14ac:dyDescent="0.35">
      <c r="A36" s="839"/>
      <c r="B36" s="516"/>
      <c r="C36" s="517"/>
      <c r="D36" s="480">
        <v>0</v>
      </c>
      <c r="E36" s="518"/>
    </row>
    <row r="37" spans="1:5" x14ac:dyDescent="0.35">
      <c r="A37" s="839"/>
      <c r="B37" s="516"/>
      <c r="C37" s="517"/>
      <c r="D37" s="480">
        <v>0</v>
      </c>
      <c r="E37" s="518"/>
    </row>
    <row r="38" spans="1:5" x14ac:dyDescent="0.35">
      <c r="A38" s="839"/>
      <c r="B38" s="516"/>
      <c r="C38" s="517"/>
      <c r="D38" s="480">
        <v>0</v>
      </c>
      <c r="E38" s="518"/>
    </row>
    <row r="39" spans="1:5" x14ac:dyDescent="0.35">
      <c r="A39" s="839"/>
      <c r="B39" s="516"/>
      <c r="C39" s="517"/>
      <c r="D39" s="480">
        <v>0</v>
      </c>
      <c r="E39" s="518"/>
    </row>
    <row r="40" spans="1:5" x14ac:dyDescent="0.35">
      <c r="A40" s="839"/>
      <c r="B40" s="516" t="s">
        <v>989</v>
      </c>
      <c r="C40" s="517"/>
      <c r="D40" s="480" t="e">
        <f>SUM(D18:D39)*15%</f>
        <v>#REF!</v>
      </c>
      <c r="E40" s="519"/>
    </row>
    <row r="41" spans="1:5" ht="15" thickBot="1" x14ac:dyDescent="0.4">
      <c r="A41" s="840"/>
      <c r="B41" s="520" t="s">
        <v>990</v>
      </c>
      <c r="C41" s="521"/>
      <c r="D41" s="522" t="e">
        <f>SUM(D18:D39)*7.5%</f>
        <v>#REF!</v>
      </c>
      <c r="E41" s="523"/>
    </row>
    <row r="42" spans="1:5" ht="15" thickBot="1" x14ac:dyDescent="0.4">
      <c r="A42" s="50"/>
      <c r="B42" s="57"/>
      <c r="C42" s="57"/>
      <c r="D42" s="59"/>
      <c r="E42" s="59"/>
    </row>
    <row r="43" spans="1:5" x14ac:dyDescent="0.35">
      <c r="A43" s="841" t="s">
        <v>1026</v>
      </c>
      <c r="B43" s="412" t="s">
        <v>1028</v>
      </c>
      <c r="C43" s="413"/>
      <c r="D43" s="410">
        <v>0</v>
      </c>
      <c r="E43" s="411"/>
    </row>
    <row r="44" spans="1:5" x14ac:dyDescent="0.35">
      <c r="A44" s="842"/>
      <c r="B44" s="417" t="s">
        <v>1027</v>
      </c>
      <c r="C44" s="385"/>
      <c r="D44" s="403">
        <f>'I-Project Contingency'!I5</f>
        <v>3335000</v>
      </c>
      <c r="E44" s="418" t="str">
        <f>"&lt;-- "&amp;TEXT('D-Project Data'!$C$6,"0%")&amp;" Confidence Level"</f>
        <v>&lt;-- 80% Confidence Level</v>
      </c>
    </row>
    <row r="45" spans="1:5" ht="29.5" thickBot="1" x14ac:dyDescent="0.4">
      <c r="A45" s="843"/>
      <c r="B45" s="414" t="s">
        <v>1036</v>
      </c>
      <c r="C45" s="398"/>
      <c r="D45" s="415">
        <v>0</v>
      </c>
      <c r="E45" s="416"/>
    </row>
    <row r="46" spans="1:5" ht="15" thickBot="1" x14ac:dyDescent="0.4">
      <c r="A46" s="50"/>
      <c r="B46" s="57"/>
      <c r="C46" s="57"/>
      <c r="D46" s="59"/>
      <c r="E46" s="59"/>
    </row>
    <row r="47" spans="1:5" ht="15" customHeight="1" thickBot="1" x14ac:dyDescent="0.4">
      <c r="A47" s="838" t="s">
        <v>1040</v>
      </c>
      <c r="B47" s="400"/>
      <c r="C47" s="369"/>
      <c r="D47" s="420" t="s">
        <v>864</v>
      </c>
      <c r="E47" s="421" t="s">
        <v>842</v>
      </c>
    </row>
    <row r="48" spans="1:5" x14ac:dyDescent="0.35">
      <c r="A48" s="839"/>
      <c r="B48" s="44" t="str">
        <f>"Not Included Within CSRA Model:  "&amp;TEXT(IFERROR(E48/D48,0),"0%")&amp;" Contingency"</f>
        <v>Not Included Within CSRA Model:  0% Contingency</v>
      </c>
      <c r="C48" s="364"/>
      <c r="D48" s="419">
        <f>SUM(D12:D16)</f>
        <v>0</v>
      </c>
      <c r="E48" s="422">
        <f>D43</f>
        <v>0</v>
      </c>
    </row>
    <row r="49" spans="1:5" x14ac:dyDescent="0.35">
      <c r="A49" s="839"/>
      <c r="B49" s="44" t="str">
        <f>"Included Within CSRA Model:  "&amp;TEXT(IFERROR(E49/D49,0),"0%")&amp;" Contingency"</f>
        <v>Included Within CSRA Model:  0% Contingency</v>
      </c>
      <c r="C49" s="364"/>
      <c r="D49" s="406" t="e">
        <f>SUM(D18:D41)</f>
        <v>#REF!</v>
      </c>
      <c r="E49" s="422">
        <f>D44</f>
        <v>3335000</v>
      </c>
    </row>
    <row r="50" spans="1:5" ht="14.5" customHeight="1" x14ac:dyDescent="0.35">
      <c r="A50" s="839"/>
      <c r="B50" s="44" t="s">
        <v>1153</v>
      </c>
      <c r="C50" s="364"/>
      <c r="D50" s="419"/>
      <c r="E50" s="422">
        <f>D45</f>
        <v>0</v>
      </c>
    </row>
    <row r="51" spans="1:5" ht="15" thickBot="1" x14ac:dyDescent="0.4">
      <c r="A51" s="839"/>
      <c r="B51" s="382"/>
      <c r="C51" s="383"/>
      <c r="D51" s="407"/>
      <c r="E51" s="384"/>
    </row>
    <row r="52" spans="1:5" ht="15" thickBot="1" x14ac:dyDescent="0.4">
      <c r="A52" s="840"/>
      <c r="B52" s="513" t="str">
        <f>"TOTAL:  "&amp;TEXT(IFERROR(E52/D52,0),"0%")&amp;" Contingency"</f>
        <v>TOTAL:  0% Contingency</v>
      </c>
      <c r="C52" s="369"/>
      <c r="D52" s="471" t="e">
        <f>SUM(D48:D50)</f>
        <v>#REF!</v>
      </c>
      <c r="E52" s="472">
        <f>SUM(E48:E50)</f>
        <v>3335000</v>
      </c>
    </row>
    <row r="53" spans="1:5" ht="15" thickBot="1" x14ac:dyDescent="0.4"/>
    <row r="54" spans="1:5" ht="15" thickBot="1" x14ac:dyDescent="0.4">
      <c r="A54" s="379"/>
      <c r="B54" s="512" t="s">
        <v>646</v>
      </c>
      <c r="C54" s="380"/>
      <c r="D54" s="73" t="s">
        <v>645</v>
      </c>
      <c r="E54" s="381"/>
    </row>
    <row r="55" spans="1:5" ht="15" thickBot="1" x14ac:dyDescent="0.4">
      <c r="A55" s="56" t="s">
        <v>644</v>
      </c>
      <c r="D55" s="45"/>
      <c r="E55" s="45"/>
    </row>
    <row r="56" spans="1:5" ht="25" customHeight="1" thickBot="1" x14ac:dyDescent="0.4">
      <c r="A56" s="835" t="s">
        <v>1037</v>
      </c>
      <c r="B56" s="836"/>
      <c r="C56" s="836"/>
      <c r="D56" s="836"/>
      <c r="E56" s="837"/>
    </row>
  </sheetData>
  <dataConsolidate/>
  <mergeCells count="6">
    <mergeCell ref="A56:E56"/>
    <mergeCell ref="A1:E1"/>
    <mergeCell ref="A12:A16"/>
    <mergeCell ref="A18:A41"/>
    <mergeCell ref="A43:A45"/>
    <mergeCell ref="A47:A52"/>
  </mergeCells>
  <pageMargins left="0.25" right="0.25" top="0.25" bottom="0.5" header="0.25" footer="0.25"/>
  <pageSetup scale="76" fitToHeight="0" orientation="portrait" horizontalDpi="1200" verticalDpi="1200" r:id="rId1"/>
  <ignoredErrors>
    <ignoredError sqref="B3:B5" unlocked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D50"/>
  <sheetViews>
    <sheetView showGridLines="0" zoomScaleNormal="100" workbookViewId="0">
      <pane ySplit="2" topLeftCell="A3" activePane="bottomLeft" state="frozen"/>
      <selection pane="bottomLeft" activeCell="A3" sqref="A3"/>
    </sheetView>
  </sheetViews>
  <sheetFormatPr defaultRowHeight="14.5" x14ac:dyDescent="0.35"/>
  <cols>
    <col min="1" max="1" width="16.54296875" style="8" customWidth="1"/>
    <col min="2" max="2" width="33.54296875" style="8" customWidth="1"/>
    <col min="3" max="3" width="18.54296875" style="8" customWidth="1"/>
    <col min="4" max="4" width="31.81640625" style="8" customWidth="1"/>
  </cols>
  <sheetData>
    <row r="1" spans="1:4" s="35" customFormat="1" ht="21" x14ac:dyDescent="0.5">
      <c r="A1" s="846" t="s">
        <v>683</v>
      </c>
      <c r="B1" s="846"/>
      <c r="C1" s="846"/>
      <c r="D1" s="846"/>
    </row>
    <row r="2" spans="1:4" x14ac:dyDescent="0.35">
      <c r="A2" s="86"/>
      <c r="B2" s="85"/>
      <c r="C2" s="80"/>
      <c r="D2" s="87"/>
    </row>
    <row r="3" spans="1:4" x14ac:dyDescent="0.35">
      <c r="A3" s="91" t="s">
        <v>682</v>
      </c>
      <c r="B3" s="710" t="s">
        <v>639</v>
      </c>
      <c r="C3" s="80"/>
      <c r="D3" s="84"/>
    </row>
    <row r="4" spans="1:4" x14ac:dyDescent="0.35">
      <c r="A4" s="80"/>
      <c r="B4" s="80"/>
      <c r="C4" s="80"/>
      <c r="D4" s="80"/>
    </row>
    <row r="5" spans="1:4" ht="18.5" x14ac:dyDescent="0.35">
      <c r="A5" s="844" t="s">
        <v>681</v>
      </c>
      <c r="B5" s="844"/>
      <c r="C5" s="844"/>
      <c r="D5" s="844"/>
    </row>
    <row r="6" spans="1:4" ht="5.15" customHeight="1" x14ac:dyDescent="0.35">
      <c r="A6" s="80"/>
      <c r="B6" s="80"/>
      <c r="C6" s="80"/>
      <c r="D6" s="80"/>
    </row>
    <row r="7" spans="1:4" x14ac:dyDescent="0.35">
      <c r="A7" s="80"/>
      <c r="B7" s="80"/>
      <c r="C7" s="81" t="s">
        <v>634</v>
      </c>
      <c r="D7" s="713" t="s">
        <v>639</v>
      </c>
    </row>
    <row r="8" spans="1:4" ht="5.15" customHeight="1" x14ac:dyDescent="0.35">
      <c r="A8" s="80"/>
      <c r="B8" s="80"/>
      <c r="C8" s="80"/>
      <c r="D8" s="80"/>
    </row>
    <row r="9" spans="1:4" x14ac:dyDescent="0.35">
      <c r="A9" s="609" t="s">
        <v>678</v>
      </c>
      <c r="B9" s="610" t="s">
        <v>677</v>
      </c>
      <c r="C9" s="610" t="s">
        <v>676</v>
      </c>
      <c r="D9" s="611" t="s">
        <v>675</v>
      </c>
    </row>
    <row r="10" spans="1:4" ht="29" x14ac:dyDescent="0.35">
      <c r="A10" s="711" t="s">
        <v>1143</v>
      </c>
      <c r="B10" s="712" t="s">
        <v>1243</v>
      </c>
      <c r="C10" s="711" t="s">
        <v>676</v>
      </c>
      <c r="D10" s="712" t="s">
        <v>742</v>
      </c>
    </row>
    <row r="11" spans="1:4" x14ac:dyDescent="0.35">
      <c r="A11" s="711"/>
      <c r="B11" s="712" t="s">
        <v>1243</v>
      </c>
      <c r="C11" s="711" t="s">
        <v>676</v>
      </c>
      <c r="D11" s="712" t="s">
        <v>680</v>
      </c>
    </row>
    <row r="12" spans="1:4" x14ac:dyDescent="0.35">
      <c r="A12" s="711"/>
      <c r="B12" s="712" t="s">
        <v>1243</v>
      </c>
      <c r="C12" s="711" t="s">
        <v>676</v>
      </c>
      <c r="D12" s="712" t="s">
        <v>928</v>
      </c>
    </row>
    <row r="13" spans="1:4" x14ac:dyDescent="0.35">
      <c r="A13" s="711"/>
      <c r="B13" s="712" t="s">
        <v>1243</v>
      </c>
      <c r="C13" s="711" t="s">
        <v>676</v>
      </c>
      <c r="D13" s="712" t="s">
        <v>1246</v>
      </c>
    </row>
    <row r="14" spans="1:4" x14ac:dyDescent="0.35">
      <c r="A14" s="711"/>
      <c r="B14" s="712" t="s">
        <v>1243</v>
      </c>
      <c r="C14" s="711" t="s">
        <v>676</v>
      </c>
      <c r="D14" s="712" t="s">
        <v>948</v>
      </c>
    </row>
    <row r="15" spans="1:4" x14ac:dyDescent="0.35">
      <c r="A15" s="711"/>
      <c r="B15" s="712" t="s">
        <v>1243</v>
      </c>
      <c r="C15" s="711" t="s">
        <v>676</v>
      </c>
      <c r="D15" s="712" t="s">
        <v>1247</v>
      </c>
    </row>
    <row r="16" spans="1:4" x14ac:dyDescent="0.35">
      <c r="A16" s="711"/>
      <c r="B16" s="712" t="s">
        <v>1243</v>
      </c>
      <c r="C16" s="711" t="s">
        <v>676</v>
      </c>
      <c r="D16" s="712" t="s">
        <v>651</v>
      </c>
    </row>
    <row r="17" spans="1:4" x14ac:dyDescent="0.35">
      <c r="A17" s="711"/>
      <c r="B17" s="712" t="s">
        <v>1243</v>
      </c>
      <c r="C17" s="711" t="s">
        <v>676</v>
      </c>
      <c r="D17" s="712" t="s">
        <v>1248</v>
      </c>
    </row>
    <row r="18" spans="1:4" x14ac:dyDescent="0.35">
      <c r="A18" s="711"/>
      <c r="B18" s="712" t="s">
        <v>1243</v>
      </c>
      <c r="C18" s="711" t="s">
        <v>676</v>
      </c>
      <c r="D18" s="712" t="s">
        <v>1249</v>
      </c>
    </row>
    <row r="19" spans="1:4" x14ac:dyDescent="0.35">
      <c r="A19" s="711"/>
      <c r="B19" s="712" t="s">
        <v>1243</v>
      </c>
      <c r="C19" s="711" t="s">
        <v>676</v>
      </c>
      <c r="D19" s="712" t="s">
        <v>1250</v>
      </c>
    </row>
    <row r="20" spans="1:4" x14ac:dyDescent="0.35">
      <c r="A20" s="711"/>
      <c r="B20" s="712" t="s">
        <v>1243</v>
      </c>
      <c r="C20" s="711" t="s">
        <v>676</v>
      </c>
      <c r="D20" s="712" t="s">
        <v>1251</v>
      </c>
    </row>
    <row r="21" spans="1:4" x14ac:dyDescent="0.35">
      <c r="A21" s="711"/>
      <c r="B21" s="712" t="s">
        <v>1243</v>
      </c>
      <c r="C21" s="711" t="s">
        <v>676</v>
      </c>
      <c r="D21" s="712" t="s">
        <v>1252</v>
      </c>
    </row>
    <row r="22" spans="1:4" x14ac:dyDescent="0.35">
      <c r="A22" s="711"/>
      <c r="B22" s="712" t="s">
        <v>1243</v>
      </c>
      <c r="C22" s="711" t="s">
        <v>676</v>
      </c>
      <c r="D22" s="712" t="s">
        <v>1253</v>
      </c>
    </row>
    <row r="23" spans="1:4" x14ac:dyDescent="0.35">
      <c r="A23" s="711"/>
      <c r="B23" s="712" t="s">
        <v>1243</v>
      </c>
      <c r="C23" s="711" t="s">
        <v>676</v>
      </c>
      <c r="D23" s="712" t="s">
        <v>224</v>
      </c>
    </row>
    <row r="24" spans="1:4" x14ac:dyDescent="0.35">
      <c r="A24" s="711"/>
      <c r="B24" s="712" t="s">
        <v>1243</v>
      </c>
      <c r="C24" s="711" t="s">
        <v>676</v>
      </c>
      <c r="D24" s="712" t="s">
        <v>730</v>
      </c>
    </row>
    <row r="25" spans="1:4" x14ac:dyDescent="0.35">
      <c r="A25" s="711"/>
      <c r="B25" s="712" t="s">
        <v>1243</v>
      </c>
      <c r="C25" s="711" t="s">
        <v>676</v>
      </c>
      <c r="D25" s="712" t="s">
        <v>1254</v>
      </c>
    </row>
    <row r="26" spans="1:4" x14ac:dyDescent="0.35">
      <c r="A26" s="711"/>
      <c r="B26" s="712" t="s">
        <v>1243</v>
      </c>
      <c r="C26" s="711" t="s">
        <v>676</v>
      </c>
      <c r="D26" s="712" t="s">
        <v>737</v>
      </c>
    </row>
    <row r="27" spans="1:4" x14ac:dyDescent="0.35">
      <c r="A27" s="711"/>
      <c r="B27" s="712" t="s">
        <v>1243</v>
      </c>
      <c r="C27" s="711" t="s">
        <v>676</v>
      </c>
      <c r="D27" s="712" t="s">
        <v>1241</v>
      </c>
    </row>
    <row r="28" spans="1:4" x14ac:dyDescent="0.35">
      <c r="A28" s="711"/>
      <c r="B28" s="712" t="s">
        <v>1243</v>
      </c>
      <c r="C28" s="711" t="s">
        <v>676</v>
      </c>
      <c r="D28" s="712" t="s">
        <v>1245</v>
      </c>
    </row>
    <row r="29" spans="1:4" x14ac:dyDescent="0.35">
      <c r="A29" s="711"/>
      <c r="B29" s="712" t="s">
        <v>1243</v>
      </c>
      <c r="C29" s="711" t="s">
        <v>676</v>
      </c>
      <c r="D29" s="712" t="s">
        <v>1255</v>
      </c>
    </row>
    <row r="30" spans="1:4" x14ac:dyDescent="0.35">
      <c r="A30" s="711"/>
      <c r="B30" s="712" t="s">
        <v>1243</v>
      </c>
      <c r="C30" s="711" t="s">
        <v>676</v>
      </c>
      <c r="D30" s="712" t="s">
        <v>1255</v>
      </c>
    </row>
    <row r="31" spans="1:4" x14ac:dyDescent="0.35">
      <c r="A31" s="711"/>
      <c r="B31" s="712" t="s">
        <v>1243</v>
      </c>
      <c r="C31" s="711" t="s">
        <v>676</v>
      </c>
      <c r="D31" s="712" t="s">
        <v>1256</v>
      </c>
    </row>
    <row r="32" spans="1:4" x14ac:dyDescent="0.35">
      <c r="A32" s="711"/>
      <c r="B32" s="712" t="s">
        <v>1243</v>
      </c>
      <c r="C32" s="711" t="s">
        <v>676</v>
      </c>
      <c r="D32" s="712" t="s">
        <v>1256</v>
      </c>
    </row>
    <row r="33" spans="1:4" x14ac:dyDescent="0.35">
      <c r="A33" s="711"/>
      <c r="B33" s="712" t="s">
        <v>1243</v>
      </c>
      <c r="C33" s="711" t="s">
        <v>676</v>
      </c>
      <c r="D33" s="712" t="s">
        <v>1256</v>
      </c>
    </row>
    <row r="34" spans="1:4" x14ac:dyDescent="0.35">
      <c r="A34" s="711"/>
      <c r="B34" s="712" t="s">
        <v>1243</v>
      </c>
      <c r="C34" s="711" t="s">
        <v>676</v>
      </c>
      <c r="D34" s="712" t="s">
        <v>1256</v>
      </c>
    </row>
    <row r="35" spans="1:4" x14ac:dyDescent="0.35">
      <c r="A35" s="82"/>
      <c r="B35" s="82"/>
      <c r="C35" s="83"/>
      <c r="D35" s="82"/>
    </row>
    <row r="36" spans="1:4" ht="18.5" x14ac:dyDescent="0.35">
      <c r="A36" s="845" t="s">
        <v>674</v>
      </c>
      <c r="B36" s="845"/>
      <c r="C36" s="845"/>
      <c r="D36" s="845"/>
    </row>
    <row r="37" spans="1:4" x14ac:dyDescent="0.35">
      <c r="A37" s="80"/>
      <c r="B37" s="80"/>
      <c r="C37" s="80"/>
      <c r="D37" s="80"/>
    </row>
    <row r="38" spans="1:4" x14ac:dyDescent="0.35">
      <c r="A38" s="81" t="s">
        <v>634</v>
      </c>
      <c r="B38" s="714" t="s">
        <v>639</v>
      </c>
      <c r="C38" s="9" t="s">
        <v>679</v>
      </c>
      <c r="D38" s="714" t="s">
        <v>639</v>
      </c>
    </row>
    <row r="39" spans="1:4" x14ac:dyDescent="0.35">
      <c r="A39" s="80"/>
      <c r="B39" s="80"/>
      <c r="C39" s="80"/>
      <c r="D39" s="80"/>
    </row>
    <row r="40" spans="1:4" x14ac:dyDescent="0.35">
      <c r="A40" s="609" t="s">
        <v>678</v>
      </c>
      <c r="B40" s="610" t="s">
        <v>677</v>
      </c>
      <c r="C40" s="610" t="s">
        <v>676</v>
      </c>
      <c r="D40" s="611" t="s">
        <v>675</v>
      </c>
    </row>
    <row r="41" spans="1:4" x14ac:dyDescent="0.35">
      <c r="A41" s="711"/>
      <c r="B41" s="712" t="s">
        <v>1243</v>
      </c>
      <c r="C41" s="711" t="s">
        <v>676</v>
      </c>
      <c r="D41" s="712" t="s">
        <v>1244</v>
      </c>
    </row>
    <row r="42" spans="1:4" x14ac:dyDescent="0.35">
      <c r="A42" s="711"/>
      <c r="B42" s="712" t="s">
        <v>1243</v>
      </c>
      <c r="C42" s="711" t="s">
        <v>676</v>
      </c>
      <c r="D42" s="712" t="s">
        <v>1244</v>
      </c>
    </row>
    <row r="43" spans="1:4" x14ac:dyDescent="0.35">
      <c r="A43" s="711"/>
      <c r="B43" s="712" t="s">
        <v>1243</v>
      </c>
      <c r="C43" s="711" t="s">
        <v>676</v>
      </c>
      <c r="D43" s="712" t="s">
        <v>1244</v>
      </c>
    </row>
    <row r="44" spans="1:4" x14ac:dyDescent="0.35">
      <c r="A44" s="711"/>
      <c r="B44" s="712" t="s">
        <v>1243</v>
      </c>
      <c r="C44" s="711" t="s">
        <v>676</v>
      </c>
      <c r="D44" s="712" t="s">
        <v>1244</v>
      </c>
    </row>
    <row r="45" spans="1:4" x14ac:dyDescent="0.35">
      <c r="A45" s="711"/>
      <c r="B45" s="712" t="s">
        <v>1243</v>
      </c>
      <c r="C45" s="711" t="s">
        <v>676</v>
      </c>
      <c r="D45" s="712" t="s">
        <v>1244</v>
      </c>
    </row>
    <row r="46" spans="1:4" x14ac:dyDescent="0.35">
      <c r="A46" s="711"/>
      <c r="B46" s="712" t="s">
        <v>1243</v>
      </c>
      <c r="C46" s="711" t="s">
        <v>676</v>
      </c>
      <c r="D46" s="712" t="s">
        <v>1244</v>
      </c>
    </row>
    <row r="47" spans="1:4" x14ac:dyDescent="0.35">
      <c r="A47" s="711"/>
      <c r="B47" s="712" t="s">
        <v>1243</v>
      </c>
      <c r="C47" s="711" t="s">
        <v>676</v>
      </c>
      <c r="D47" s="712" t="s">
        <v>1244</v>
      </c>
    </row>
    <row r="48" spans="1:4" x14ac:dyDescent="0.35">
      <c r="A48" s="711"/>
      <c r="B48" s="712" t="s">
        <v>1243</v>
      </c>
      <c r="C48" s="711" t="s">
        <v>676</v>
      </c>
      <c r="D48" s="712" t="s">
        <v>1244</v>
      </c>
    </row>
    <row r="49" spans="1:4" x14ac:dyDescent="0.35">
      <c r="A49" s="711"/>
      <c r="B49" s="712" t="s">
        <v>1243</v>
      </c>
      <c r="C49" s="711" t="s">
        <v>676</v>
      </c>
      <c r="D49" s="712" t="s">
        <v>1244</v>
      </c>
    </row>
    <row r="50" spans="1:4" x14ac:dyDescent="0.35">
      <c r="A50" s="711"/>
      <c r="B50" s="712" t="s">
        <v>1243</v>
      </c>
      <c r="C50" s="711" t="s">
        <v>676</v>
      </c>
      <c r="D50" s="712" t="s">
        <v>1244</v>
      </c>
    </row>
  </sheetData>
  <mergeCells count="3">
    <mergeCell ref="A5:D5"/>
    <mergeCell ref="A36:D36"/>
    <mergeCell ref="A1:D1"/>
  </mergeCells>
  <pageMargins left="0.25" right="0.25" top="0.25" bottom="0.5" header="0.25" footer="0.25"/>
  <pageSetup fitToHeight="0" orientation="portrait" horizontalDpi="1200" verticalDpi="1200" r:id="rId1"/>
  <headerFooter>
    <oddFooter>&amp;CPage &amp;P of &amp;N</oddFooter>
  </headerFooter>
  <rowBreaks count="1" manualBreakCount="1">
    <brk id="50" max="16383" man="1"/>
  </rowBreaks>
  <tableParts count="2">
    <tablePart r:id="rId2"/>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N78"/>
  <sheetViews>
    <sheetView showGridLines="0" zoomScaleNormal="100" workbookViewId="0">
      <pane ySplit="2" topLeftCell="A9" activePane="bottomLeft" state="frozen"/>
      <selection pane="bottomLeft" activeCell="E40" sqref="E40"/>
    </sheetView>
  </sheetViews>
  <sheetFormatPr defaultRowHeight="14.5" x14ac:dyDescent="0.35"/>
  <cols>
    <col min="1" max="1" width="2.54296875" style="8" customWidth="1"/>
    <col min="2" max="4" width="18.81640625" style="8" customWidth="1"/>
    <col min="5" max="5" width="1.54296875" style="8" customWidth="1"/>
    <col min="6" max="10" width="18.81640625" style="8" customWidth="1"/>
    <col min="11" max="11" width="1.54296875" style="8" customWidth="1"/>
    <col min="12" max="12" width="2.54296875" style="8" customWidth="1"/>
    <col min="13" max="14" width="20.81640625" style="8" customWidth="1"/>
  </cols>
  <sheetData>
    <row r="1" spans="1:14" s="35" customFormat="1" ht="21" x14ac:dyDescent="0.5">
      <c r="A1" s="88"/>
      <c r="B1" s="882" t="s">
        <v>1163</v>
      </c>
      <c r="C1" s="882"/>
      <c r="D1" s="882"/>
      <c r="E1" s="882"/>
      <c r="F1" s="882"/>
      <c r="G1" s="882"/>
      <c r="H1" s="882"/>
      <c r="I1" s="882"/>
      <c r="J1" s="882"/>
      <c r="K1" s="882"/>
      <c r="L1" s="88"/>
      <c r="M1" s="88"/>
      <c r="N1" s="88"/>
    </row>
    <row r="3" spans="1:14" ht="18.5" x14ac:dyDescent="0.35">
      <c r="B3" s="883" t="s">
        <v>713</v>
      </c>
      <c r="C3" s="883"/>
      <c r="D3" s="883"/>
      <c r="E3" s="883"/>
      <c r="F3" s="883"/>
      <c r="G3" s="883"/>
      <c r="H3" s="883"/>
      <c r="I3" s="883"/>
      <c r="J3" s="883"/>
      <c r="K3" s="883"/>
    </row>
    <row r="4" spans="1:14" x14ac:dyDescent="0.35">
      <c r="B4" s="884" t="s">
        <v>712</v>
      </c>
      <c r="C4" s="885"/>
      <c r="D4" s="80"/>
      <c r="E4" s="80"/>
      <c r="F4" s="80"/>
      <c r="G4" s="80"/>
      <c r="H4" s="80"/>
      <c r="I4" s="80"/>
      <c r="J4" s="80"/>
      <c r="K4" s="92"/>
    </row>
    <row r="5" spans="1:14" ht="19" thickBot="1" x14ac:dyDescent="0.4">
      <c r="B5" s="884"/>
      <c r="C5" s="885"/>
      <c r="D5" s="80"/>
      <c r="E5" s="80"/>
      <c r="F5" s="892" t="s">
        <v>702</v>
      </c>
      <c r="G5" s="892"/>
      <c r="H5" s="892"/>
      <c r="I5" s="892"/>
      <c r="J5" s="892"/>
      <c r="K5" s="92"/>
    </row>
    <row r="6" spans="1:14" ht="15.5" thickTop="1" thickBot="1" x14ac:dyDescent="0.4">
      <c r="B6" s="884"/>
      <c r="C6" s="885"/>
      <c r="D6" s="80"/>
      <c r="E6" s="80"/>
      <c r="F6" s="93" t="s">
        <v>711</v>
      </c>
      <c r="G6" s="93" t="s">
        <v>710</v>
      </c>
      <c r="H6" s="76" t="s">
        <v>709</v>
      </c>
      <c r="I6" s="93" t="s">
        <v>708</v>
      </c>
      <c r="J6" s="93" t="s">
        <v>707</v>
      </c>
      <c r="K6" s="92"/>
    </row>
    <row r="7" spans="1:14" x14ac:dyDescent="0.35">
      <c r="B7" s="884"/>
      <c r="C7" s="885"/>
      <c r="D7" s="94" t="s">
        <v>697</v>
      </c>
      <c r="E7" s="94"/>
      <c r="F7" s="893" t="s">
        <v>706</v>
      </c>
      <c r="G7" s="894"/>
      <c r="H7" s="894"/>
      <c r="I7" s="894"/>
      <c r="J7" s="895"/>
      <c r="K7" s="92"/>
    </row>
    <row r="8" spans="1:14" x14ac:dyDescent="0.35">
      <c r="B8" s="884"/>
      <c r="C8" s="885"/>
      <c r="D8" s="94" t="s">
        <v>696</v>
      </c>
      <c r="E8" s="94"/>
      <c r="F8" s="468" t="s">
        <v>704</v>
      </c>
      <c r="G8" s="307" t="s">
        <v>703</v>
      </c>
      <c r="H8" s="307" t="s">
        <v>705</v>
      </c>
      <c r="I8" s="307" t="s">
        <v>705</v>
      </c>
      <c r="J8" s="469" t="s">
        <v>705</v>
      </c>
      <c r="K8" s="92"/>
    </row>
    <row r="9" spans="1:14" x14ac:dyDescent="0.35">
      <c r="B9" s="884"/>
      <c r="C9" s="885"/>
      <c r="D9" s="94" t="s">
        <v>695</v>
      </c>
      <c r="E9" s="94"/>
      <c r="F9" s="468" t="s">
        <v>704</v>
      </c>
      <c r="G9" s="307" t="s">
        <v>703</v>
      </c>
      <c r="H9" s="307" t="s">
        <v>703</v>
      </c>
      <c r="I9" s="307" t="s">
        <v>705</v>
      </c>
      <c r="J9" s="469" t="s">
        <v>705</v>
      </c>
      <c r="K9" s="92"/>
    </row>
    <row r="10" spans="1:14" x14ac:dyDescent="0.35">
      <c r="B10" s="884"/>
      <c r="C10" s="885"/>
      <c r="D10" s="94" t="s">
        <v>694</v>
      </c>
      <c r="E10" s="94"/>
      <c r="F10" s="468" t="s">
        <v>704</v>
      </c>
      <c r="G10" s="307" t="s">
        <v>704</v>
      </c>
      <c r="H10" s="307" t="s">
        <v>703</v>
      </c>
      <c r="I10" s="307" t="s">
        <v>703</v>
      </c>
      <c r="J10" s="469" t="s">
        <v>705</v>
      </c>
      <c r="K10" s="92"/>
    </row>
    <row r="11" spans="1:14" ht="15" thickBot="1" x14ac:dyDescent="0.4">
      <c r="B11" s="884"/>
      <c r="C11" s="885"/>
      <c r="D11" s="94" t="s">
        <v>693</v>
      </c>
      <c r="E11" s="94"/>
      <c r="F11" s="470" t="s">
        <v>704</v>
      </c>
      <c r="G11" s="459" t="s">
        <v>704</v>
      </c>
      <c r="H11" s="459" t="s">
        <v>704</v>
      </c>
      <c r="I11" s="459" t="s">
        <v>703</v>
      </c>
      <c r="J11" s="466" t="s">
        <v>703</v>
      </c>
      <c r="K11" s="92"/>
    </row>
    <row r="12" spans="1:14" x14ac:dyDescent="0.35">
      <c r="B12" s="884"/>
      <c r="C12" s="885"/>
      <c r="D12" s="95"/>
      <c r="E12" s="95"/>
      <c r="F12" s="95"/>
      <c r="G12" s="95"/>
      <c r="H12" s="95"/>
      <c r="I12" s="95"/>
      <c r="J12" s="95"/>
      <c r="K12" s="96"/>
    </row>
    <row r="13" spans="1:14" ht="15" thickBot="1" x14ac:dyDescent="0.4"/>
    <row r="14" spans="1:14" ht="19" thickBot="1" x14ac:dyDescent="0.4">
      <c r="B14" s="896" t="s">
        <v>721</v>
      </c>
      <c r="C14" s="897"/>
      <c r="D14" s="897"/>
      <c r="E14" s="897"/>
      <c r="F14" s="897"/>
      <c r="G14" s="897"/>
      <c r="H14" s="897"/>
      <c r="I14" s="897"/>
      <c r="J14" s="897"/>
      <c r="K14" s="898"/>
    </row>
    <row r="15" spans="1:14" ht="15" thickBot="1" x14ac:dyDescent="0.4">
      <c r="B15" s="107"/>
      <c r="C15" s="107"/>
      <c r="D15" s="107"/>
      <c r="K15" s="98"/>
    </row>
    <row r="16" spans="1:14" ht="14.5" customHeight="1" x14ac:dyDescent="0.35">
      <c r="B16" s="886" t="s">
        <v>700</v>
      </c>
      <c r="C16" s="888" t="s">
        <v>715</v>
      </c>
      <c r="D16" s="890" t="s">
        <v>716</v>
      </c>
      <c r="I16" s="862" t="s">
        <v>699</v>
      </c>
      <c r="J16" s="863"/>
      <c r="K16" s="864"/>
    </row>
    <row r="17" spans="1:11" ht="15" thickBot="1" x14ac:dyDescent="0.4">
      <c r="B17" s="887"/>
      <c r="C17" s="889"/>
      <c r="D17" s="891"/>
      <c r="I17" s="865"/>
      <c r="J17" s="866"/>
      <c r="K17" s="867"/>
    </row>
    <row r="18" spans="1:11" x14ac:dyDescent="0.35">
      <c r="B18" s="602" t="str">
        <f>'1-Drop Down List'!D6</f>
        <v>Certain</v>
      </c>
      <c r="C18" s="715">
        <v>0.9</v>
      </c>
      <c r="D18" s="716">
        <v>1</v>
      </c>
      <c r="I18" s="865"/>
      <c r="J18" s="866"/>
      <c r="K18" s="867"/>
    </row>
    <row r="19" spans="1:11" x14ac:dyDescent="0.35">
      <c r="B19" s="603" t="str">
        <f>'1-Drop Down List'!D7</f>
        <v>Very Likely</v>
      </c>
      <c r="C19" s="717">
        <v>0.7</v>
      </c>
      <c r="D19" s="718">
        <v>0.9</v>
      </c>
      <c r="I19" s="865"/>
      <c r="J19" s="866"/>
      <c r="K19" s="867"/>
    </row>
    <row r="20" spans="1:11" x14ac:dyDescent="0.35">
      <c r="B20" s="604" t="str">
        <f>'1-Drop Down List'!D8</f>
        <v>Likely</v>
      </c>
      <c r="C20" s="719">
        <v>0.3</v>
      </c>
      <c r="D20" s="720">
        <v>0.7</v>
      </c>
      <c r="I20" s="865"/>
      <c r="J20" s="866"/>
      <c r="K20" s="867"/>
    </row>
    <row r="21" spans="1:11" x14ac:dyDescent="0.35">
      <c r="A21" s="99"/>
      <c r="B21" s="603" t="str">
        <f>'1-Drop Down List'!D9</f>
        <v>Possible</v>
      </c>
      <c r="C21" s="721">
        <v>0.05</v>
      </c>
      <c r="D21" s="718">
        <v>0.3</v>
      </c>
      <c r="I21" s="865"/>
      <c r="J21" s="866"/>
      <c r="K21" s="867"/>
    </row>
    <row r="22" spans="1:11" x14ac:dyDescent="0.35">
      <c r="A22" s="99"/>
      <c r="B22" s="604" t="str">
        <f>'1-Drop Down List'!D10</f>
        <v>Unlikely</v>
      </c>
      <c r="C22" s="719">
        <v>0</v>
      </c>
      <c r="D22" s="720">
        <v>0.05</v>
      </c>
      <c r="I22" s="865"/>
      <c r="J22" s="866"/>
      <c r="K22" s="867"/>
    </row>
    <row r="23" spans="1:11" ht="15" thickBot="1" x14ac:dyDescent="0.4">
      <c r="A23" s="99"/>
      <c r="B23" s="606" t="str">
        <f>'1-Drop Down List'!D11</f>
        <v>Unrated</v>
      </c>
      <c r="C23" s="857" t="s">
        <v>714</v>
      </c>
      <c r="D23" s="858"/>
      <c r="I23" s="868"/>
      <c r="J23" s="869"/>
      <c r="K23" s="870"/>
    </row>
    <row r="24" spans="1:11" ht="14.5" customHeight="1" thickBot="1" x14ac:dyDescent="0.4">
      <c r="A24" s="99"/>
      <c r="K24" s="98"/>
    </row>
    <row r="25" spans="1:11" ht="29.5" customHeight="1" thickBot="1" x14ac:dyDescent="0.4">
      <c r="B25" s="426" t="s">
        <v>692</v>
      </c>
      <c r="C25" s="872" t="s">
        <v>719</v>
      </c>
      <c r="D25" s="873"/>
      <c r="F25" s="871" t="s">
        <v>720</v>
      </c>
      <c r="G25" s="872"/>
      <c r="H25" s="872"/>
      <c r="I25" s="872"/>
      <c r="J25" s="872"/>
      <c r="K25" s="873"/>
    </row>
    <row r="26" spans="1:11" ht="14.5" customHeight="1" x14ac:dyDescent="0.35">
      <c r="B26" s="100" t="s">
        <v>697</v>
      </c>
      <c r="C26" s="880" t="str">
        <f>TEXT('G-Assumptions'!C18*100,0%)&amp;"% and "&amp;TEXT('G-Assumptions'!D18*100,0%)&amp;"%"</f>
        <v>90% and 100%</v>
      </c>
      <c r="D26" s="881"/>
      <c r="F26" s="874" t="str">
        <f>B18&amp;":  implies the event has a "&amp;TEXT('G-Assumptions'!C18*100,0%)&amp;"% to "&amp;TEXT('G-Assumptions'!D18*100,0%)&amp;"% chance of occurrence.  Relook at basis of estimate."</f>
        <v>Certain:  implies the event has a 90% to 100% chance of occurrence.  Relook at basis of estimate.</v>
      </c>
      <c r="G26" s="875"/>
      <c r="H26" s="875"/>
      <c r="I26" s="875"/>
      <c r="J26" s="875"/>
      <c r="K26" s="876"/>
    </row>
    <row r="27" spans="1:11" ht="14.5" customHeight="1" x14ac:dyDescent="0.35">
      <c r="B27" s="100" t="s">
        <v>696</v>
      </c>
      <c r="C27" s="880" t="str">
        <f>TEXT('G-Assumptions'!C19*100,0%)&amp;"% and "&amp;TEXT('G-Assumptions'!D19*100,0%)&amp;"%"</f>
        <v>70% and 90%</v>
      </c>
      <c r="D27" s="881"/>
      <c r="F27" s="874" t="str">
        <f>B19&amp;":  implies the event has a "&amp;TEXT('G-Assumptions'!C19*100,0%)&amp;"% to "&amp;TEXT('G-Assumptions'!D19*100,0%)&amp;"% chance of occurrence."</f>
        <v>Very Likely:  implies the event has a 70% to 90% chance of occurrence.</v>
      </c>
      <c r="G27" s="875"/>
      <c r="H27" s="875"/>
      <c r="I27" s="875"/>
      <c r="J27" s="875"/>
      <c r="K27" s="876"/>
    </row>
    <row r="28" spans="1:11" ht="14.5" customHeight="1" x14ac:dyDescent="0.35">
      <c r="B28" s="100" t="s">
        <v>695</v>
      </c>
      <c r="C28" s="880" t="str">
        <f>TEXT('G-Assumptions'!C20*100,0%)&amp;"% and "&amp;TEXT('G-Assumptions'!D20*100,0%)&amp;"%"</f>
        <v>30% and 70%</v>
      </c>
      <c r="D28" s="881"/>
      <c r="F28" s="874" t="str">
        <f>B20&amp;":  implies the event has a "&amp;TEXT('G-Assumptions'!C20*100,0%)&amp;"% to "&amp;TEXT('G-Assumptions'!D20*100,0%)&amp;"% chance of occurrence."</f>
        <v>Likely:  implies the event has a 30% to 70% chance of occurrence.</v>
      </c>
      <c r="G28" s="875"/>
      <c r="H28" s="875"/>
      <c r="I28" s="875"/>
      <c r="J28" s="875"/>
      <c r="K28" s="876"/>
    </row>
    <row r="29" spans="1:11" ht="14.5" customHeight="1" x14ac:dyDescent="0.35">
      <c r="B29" s="100" t="s">
        <v>694</v>
      </c>
      <c r="C29" s="880" t="str">
        <f>TEXT('G-Assumptions'!C21*100,0%)&amp;"% and "&amp;TEXT('G-Assumptions'!D21*100,0%)&amp;"%"</f>
        <v>5% and 30%</v>
      </c>
      <c r="D29" s="881"/>
      <c r="F29" s="874" t="str">
        <f>B21&amp;":  implies the event has a "&amp;TEXT('G-Assumptions'!C21*100,0%)&amp;"% to "&amp;TEXT('G-Assumptions'!D21*100,0%)&amp;"% chance of occurrence."</f>
        <v>Possible:  implies the event has a 5% to 30% chance of occurrence.</v>
      </c>
      <c r="G29" s="875"/>
      <c r="H29" s="875"/>
      <c r="I29" s="875"/>
      <c r="J29" s="875"/>
      <c r="K29" s="876"/>
    </row>
    <row r="30" spans="1:11" ht="15" customHeight="1" thickBot="1" x14ac:dyDescent="0.4">
      <c r="B30" s="101" t="s">
        <v>693</v>
      </c>
      <c r="C30" s="906" t="str">
        <f>TEXT('G-Assumptions'!C22*100,0%)&amp;"% and "&amp;TEXT('G-Assumptions'!D22*100,0%)&amp;"%"</f>
        <v>0% and 5%</v>
      </c>
      <c r="D30" s="907"/>
      <c r="E30" s="102"/>
      <c r="F30" s="877" t="str">
        <f>B22&amp;":  implies the event has a "&amp;TEXT('G-Assumptions'!C22*100,0%)&amp;"% to "&amp;TEXT('G-Assumptions'!D22*100,0%)&amp;"% chance of occurrence."</f>
        <v>Unlikely:  implies the event has a 0% to 5% chance of occurrence.</v>
      </c>
      <c r="G30" s="878"/>
      <c r="H30" s="878"/>
      <c r="I30" s="878"/>
      <c r="J30" s="878"/>
      <c r="K30" s="879"/>
    </row>
    <row r="31" spans="1:11" ht="15" thickBot="1" x14ac:dyDescent="0.4"/>
    <row r="32" spans="1:11" ht="19" thickBot="1" x14ac:dyDescent="0.4">
      <c r="B32" s="896" t="str">
        <f>F5</f>
        <v>Impact or Consequence of Occurrence</v>
      </c>
      <c r="C32" s="897"/>
      <c r="D32" s="897"/>
      <c r="E32" s="897"/>
      <c r="F32" s="897"/>
      <c r="G32" s="897"/>
      <c r="H32" s="897"/>
      <c r="I32" s="897"/>
      <c r="J32" s="897"/>
      <c r="K32" s="898"/>
    </row>
    <row r="33" spans="2:11" ht="14.5" customHeight="1" x14ac:dyDescent="0.35">
      <c r="B33" s="910" t="s">
        <v>698</v>
      </c>
      <c r="C33" s="911"/>
      <c r="D33" s="911"/>
      <c r="E33" s="911"/>
      <c r="F33" s="911"/>
      <c r="G33" s="911"/>
      <c r="H33" s="911"/>
      <c r="I33" s="911"/>
      <c r="J33" s="911"/>
      <c r="K33" s="912"/>
    </row>
    <row r="34" spans="2:11" ht="15" thickBot="1" x14ac:dyDescent="0.4">
      <c r="B34" s="913"/>
      <c r="C34" s="914"/>
      <c r="D34" s="914"/>
      <c r="E34" s="914"/>
      <c r="F34" s="914"/>
      <c r="G34" s="914"/>
      <c r="H34" s="914"/>
      <c r="I34" s="914"/>
      <c r="J34" s="914"/>
      <c r="K34" s="915"/>
    </row>
    <row r="35" spans="2:11" ht="15" thickBot="1" x14ac:dyDescent="0.4">
      <c r="E35" s="103"/>
    </row>
    <row r="36" spans="2:11" ht="14.5" customHeight="1" thickBot="1" x14ac:dyDescent="0.4">
      <c r="B36" s="852" t="s">
        <v>701</v>
      </c>
      <c r="C36" s="853"/>
      <c r="D36" s="854"/>
      <c r="I36" s="862" t="s">
        <v>699</v>
      </c>
      <c r="J36" s="863"/>
      <c r="K36" s="864"/>
    </row>
    <row r="37" spans="2:11" ht="29.5" thickBot="1" x14ac:dyDescent="0.4">
      <c r="B37" s="586" t="s">
        <v>700</v>
      </c>
      <c r="C37" s="607" t="s">
        <v>717</v>
      </c>
      <c r="D37" s="608" t="s">
        <v>718</v>
      </c>
      <c r="I37" s="865"/>
      <c r="J37" s="866"/>
      <c r="K37" s="867"/>
    </row>
    <row r="38" spans="2:11" x14ac:dyDescent="0.35">
      <c r="B38" s="602" t="str">
        <f>'1-Drop Down List'!E6</f>
        <v>Negligible</v>
      </c>
      <c r="C38" s="722">
        <v>0</v>
      </c>
      <c r="D38" s="723">
        <v>0</v>
      </c>
      <c r="I38" s="865"/>
      <c r="J38" s="866"/>
      <c r="K38" s="867"/>
    </row>
    <row r="39" spans="2:11" x14ac:dyDescent="0.35">
      <c r="B39" s="603" t="str">
        <f>'1-Drop Down List'!E7</f>
        <v>Marginal</v>
      </c>
      <c r="C39" s="724">
        <v>5.0000000000000001E-3</v>
      </c>
      <c r="D39" s="725">
        <v>0.01</v>
      </c>
      <c r="I39" s="865"/>
      <c r="J39" s="866"/>
      <c r="K39" s="867"/>
    </row>
    <row r="40" spans="2:11" x14ac:dyDescent="0.35">
      <c r="B40" s="604" t="str">
        <f>'1-Drop Down List'!E8</f>
        <v>Moderate</v>
      </c>
      <c r="C40" s="726">
        <v>0.01</v>
      </c>
      <c r="D40" s="727">
        <v>2.5000000000000001E-2</v>
      </c>
      <c r="I40" s="865"/>
      <c r="J40" s="866"/>
      <c r="K40" s="867"/>
    </row>
    <row r="41" spans="2:11" x14ac:dyDescent="0.35">
      <c r="B41" s="603" t="str">
        <f>'1-Drop Down List'!E9</f>
        <v>Significant</v>
      </c>
      <c r="C41" s="724">
        <v>2.5000000000000001E-2</v>
      </c>
      <c r="D41" s="725">
        <v>0.05</v>
      </c>
      <c r="I41" s="865"/>
      <c r="J41" s="866"/>
      <c r="K41" s="867"/>
    </row>
    <row r="42" spans="2:11" ht="15" thickBot="1" x14ac:dyDescent="0.4">
      <c r="B42" s="605" t="str">
        <f>'1-Drop Down List'!E10</f>
        <v>Critical</v>
      </c>
      <c r="C42" s="728">
        <v>0.05</v>
      </c>
      <c r="D42" s="729">
        <v>0.1</v>
      </c>
      <c r="I42" s="868"/>
      <c r="J42" s="869"/>
      <c r="K42" s="870"/>
    </row>
    <row r="43" spans="2:11" ht="15" thickBot="1" x14ac:dyDescent="0.4"/>
    <row r="44" spans="2:11" ht="19" thickBot="1" x14ac:dyDescent="0.4">
      <c r="B44" s="896" t="s">
        <v>722</v>
      </c>
      <c r="C44" s="897"/>
      <c r="D44" s="897"/>
      <c r="E44" s="897"/>
      <c r="F44" s="897"/>
      <c r="G44" s="897"/>
      <c r="H44" s="897"/>
      <c r="I44" s="897"/>
      <c r="J44" s="897"/>
      <c r="K44" s="898"/>
    </row>
    <row r="45" spans="2:11" ht="15" thickBot="1" x14ac:dyDescent="0.4"/>
    <row r="46" spans="2:11" ht="29.5" thickBot="1" x14ac:dyDescent="0.4">
      <c r="B46" s="426" t="s">
        <v>692</v>
      </c>
      <c r="C46" s="908" t="s">
        <v>724</v>
      </c>
      <c r="D46" s="909"/>
      <c r="F46" s="871" t="s">
        <v>720</v>
      </c>
      <c r="G46" s="872"/>
      <c r="H46" s="872"/>
      <c r="I46" s="872"/>
      <c r="J46" s="872"/>
      <c r="K46" s="873"/>
    </row>
    <row r="47" spans="2:11" ht="14.5" customHeight="1" x14ac:dyDescent="0.35">
      <c r="B47" s="100" t="str">
        <f>B38</f>
        <v>Negligible</v>
      </c>
      <c r="C47" s="855" t="str">
        <f>TEXT('G-Assumptions'!C38,"0.00%")&amp;" and "&amp;TEXT('G-Assumptions'!C39,"0.00%")</f>
        <v>0.00% and 0.50%</v>
      </c>
      <c r="D47" s="856"/>
      <c r="F47" s="847" t="str">
        <f>B38&amp;":  implies the event has a "&amp;TEXT(C38,"0.00%")&amp;" to "&amp;TEXT('G-Assumptions'!C39,"0.00%")&amp;" impact to project cost."</f>
        <v>Negligible:  implies the event has a 0.00% to 0.50% impact to project cost.</v>
      </c>
      <c r="G47" s="848"/>
      <c r="H47" s="848"/>
      <c r="I47" s="848"/>
      <c r="J47" s="848"/>
      <c r="K47" s="849"/>
    </row>
    <row r="48" spans="2:11" ht="14.5" customHeight="1" x14ac:dyDescent="0.35">
      <c r="B48" s="100" t="str">
        <f>B39</f>
        <v>Marginal</v>
      </c>
      <c r="C48" s="850" t="str">
        <f>TEXT('G-Assumptions'!C39,"0.00%")&amp;" and "&amp;TEXT('G-Assumptions'!C40,"0.00%")</f>
        <v>0.50% and 1.00%</v>
      </c>
      <c r="D48" s="851"/>
      <c r="F48" s="847" t="str">
        <f>B39&amp;":  implies the event has a "&amp;TEXT(C39,"0.00%")&amp;" to "&amp;TEXT('G-Assumptions'!C40,"0.00%")&amp;" impact to project cost."</f>
        <v>Marginal:  implies the event has a 0.50% to 1.00% impact to project cost.</v>
      </c>
      <c r="G48" s="848"/>
      <c r="H48" s="848"/>
      <c r="I48" s="848"/>
      <c r="J48" s="848"/>
      <c r="K48" s="849"/>
    </row>
    <row r="49" spans="2:11" ht="14.5" customHeight="1" x14ac:dyDescent="0.35">
      <c r="B49" s="100" t="str">
        <f>B40</f>
        <v>Moderate</v>
      </c>
      <c r="C49" s="850" t="str">
        <f>TEXT('G-Assumptions'!C40,"0.00%")&amp;" and "&amp;TEXT('G-Assumptions'!C41,"0.00%")</f>
        <v>1.00% and 2.50%</v>
      </c>
      <c r="D49" s="851"/>
      <c r="F49" s="847" t="str">
        <f>B40&amp;":  implies the event has a "&amp;TEXT(C40,"0.00%")&amp;" to "&amp;TEXT('G-Assumptions'!C41,"0.00%")&amp;" impact to project cost."</f>
        <v>Moderate:  implies the event has a 1.00% to 2.50% impact to project cost.</v>
      </c>
      <c r="G49" s="848"/>
      <c r="H49" s="848"/>
      <c r="I49" s="848"/>
      <c r="J49" s="848"/>
      <c r="K49" s="849"/>
    </row>
    <row r="50" spans="2:11" ht="14.5" customHeight="1" x14ac:dyDescent="0.35">
      <c r="B50" s="100" t="str">
        <f>B41</f>
        <v>Significant</v>
      </c>
      <c r="C50" s="850" t="str">
        <f>TEXT('G-Assumptions'!C41,"0.00%")&amp;" and "&amp;TEXT('G-Assumptions'!C42,"0.00%")</f>
        <v>2.50% and 5.00%</v>
      </c>
      <c r="D50" s="851"/>
      <c r="F50" s="847" t="str">
        <f>B41&amp;":  implies the event has a "&amp;TEXT(C41,"0.00%")&amp;" to "&amp;TEXT('G-Assumptions'!C42,"0.00%")&amp;" impact to project cost."</f>
        <v>Significant:  implies the event has a 2.50% to 5.00% impact to project cost.</v>
      </c>
      <c r="G50" s="848"/>
      <c r="H50" s="848"/>
      <c r="I50" s="848"/>
      <c r="J50" s="848"/>
      <c r="K50" s="849"/>
    </row>
    <row r="51" spans="2:11" ht="15" customHeight="1" thickBot="1" x14ac:dyDescent="0.4">
      <c r="B51" s="101" t="str">
        <f>B42</f>
        <v>Critical</v>
      </c>
      <c r="C51" s="904" t="str">
        <f>"Over "&amp;TEXT('G-Assumptions'!C42,"0.00%")</f>
        <v>Over 5.00%</v>
      </c>
      <c r="D51" s="905"/>
      <c r="F51" s="859" t="str">
        <f>B42&amp;":  implies the event has a greater than "&amp;TEXT(C42,"0.00%")&amp;" impact to project cost."</f>
        <v>Critical:  implies the event has a greater than 5.00% impact to project cost.</v>
      </c>
      <c r="G51" s="860"/>
      <c r="H51" s="860"/>
      <c r="I51" s="860"/>
      <c r="J51" s="860"/>
      <c r="K51" s="861"/>
    </row>
    <row r="52" spans="2:11" ht="15" thickBot="1" x14ac:dyDescent="0.4"/>
    <row r="53" spans="2:11" ht="19" thickBot="1" x14ac:dyDescent="0.4">
      <c r="B53" s="896" t="s">
        <v>723</v>
      </c>
      <c r="C53" s="897"/>
      <c r="D53" s="897"/>
      <c r="E53" s="897"/>
      <c r="F53" s="897"/>
      <c r="G53" s="897"/>
      <c r="H53" s="897"/>
      <c r="I53" s="897"/>
      <c r="J53" s="897"/>
      <c r="K53" s="898"/>
    </row>
    <row r="54" spans="2:11" ht="15" thickBot="1" x14ac:dyDescent="0.4"/>
    <row r="55" spans="2:11" ht="29.5" thickBot="1" x14ac:dyDescent="0.4">
      <c r="B55" s="426" t="s">
        <v>692</v>
      </c>
      <c r="C55" s="908" t="s">
        <v>725</v>
      </c>
      <c r="D55" s="909"/>
      <c r="F55" s="871" t="s">
        <v>720</v>
      </c>
      <c r="G55" s="872"/>
      <c r="H55" s="872"/>
      <c r="I55" s="872"/>
      <c r="J55" s="872"/>
      <c r="K55" s="873"/>
    </row>
    <row r="56" spans="2:11" ht="14.5" customHeight="1" x14ac:dyDescent="0.35">
      <c r="B56" s="104" t="str">
        <f>B38</f>
        <v>Negligible</v>
      </c>
      <c r="C56" s="855" t="str">
        <f>TEXT('G-Assumptions'!D38,"0.00%")&amp;" and "&amp;TEXT('G-Assumptions'!D39,"0.00%")</f>
        <v>0.00% and 1.00%</v>
      </c>
      <c r="D56" s="856"/>
      <c r="F56" s="847" t="str">
        <f>B38&amp;":  implies the event has a "&amp;TEXT(D38,"0.00%")&amp;" to "&amp;TEXT('G-Assumptions'!D39,"0.00%")&amp;" impact to project schedule."</f>
        <v>Negligible:  implies the event has a 0.00% to 1.00% impact to project schedule.</v>
      </c>
      <c r="G56" s="848"/>
      <c r="H56" s="848"/>
      <c r="I56" s="848"/>
      <c r="J56" s="848"/>
      <c r="K56" s="849"/>
    </row>
    <row r="57" spans="2:11" ht="14.5" customHeight="1" x14ac:dyDescent="0.35">
      <c r="B57" s="100" t="str">
        <f>B39</f>
        <v>Marginal</v>
      </c>
      <c r="C57" s="850" t="str">
        <f>TEXT('G-Assumptions'!D39,"0.00%")&amp;" and "&amp;TEXT('G-Assumptions'!D40,"0.00%")</f>
        <v>1.00% and 2.50%</v>
      </c>
      <c r="D57" s="851"/>
      <c r="F57" s="847" t="str">
        <f>B39&amp;":  implies the event has a "&amp;TEXT(D39,"0.00%")&amp;" to "&amp;TEXT('G-Assumptions'!D40,"0.00%")&amp;" impact to project schedule."</f>
        <v>Marginal:  implies the event has a 1.00% to 2.50% impact to project schedule.</v>
      </c>
      <c r="G57" s="848"/>
      <c r="H57" s="848"/>
      <c r="I57" s="848"/>
      <c r="J57" s="848"/>
      <c r="K57" s="849"/>
    </row>
    <row r="58" spans="2:11" ht="14.5" customHeight="1" x14ac:dyDescent="0.35">
      <c r="B58" s="100" t="str">
        <f>B40</f>
        <v>Moderate</v>
      </c>
      <c r="C58" s="850" t="str">
        <f>TEXT('G-Assumptions'!D40,"0.00%")&amp;" and "&amp;TEXT('G-Assumptions'!D41,"0.00%")</f>
        <v>2.50% and 5.00%</v>
      </c>
      <c r="D58" s="851"/>
      <c r="F58" s="847" t="str">
        <f>B40&amp;":  implies the event has a "&amp;TEXT(D40,"0.00%")&amp;" to "&amp;TEXT('G-Assumptions'!D41,"0.00%")&amp;" impact to project schedule."</f>
        <v>Moderate:  implies the event has a 2.50% to 5.00% impact to project schedule.</v>
      </c>
      <c r="G58" s="848"/>
      <c r="H58" s="848"/>
      <c r="I58" s="848"/>
      <c r="J58" s="848"/>
      <c r="K58" s="849"/>
    </row>
    <row r="59" spans="2:11" ht="14.5" customHeight="1" x14ac:dyDescent="0.35">
      <c r="B59" s="100" t="str">
        <f>B41</f>
        <v>Significant</v>
      </c>
      <c r="C59" s="850" t="str">
        <f>TEXT('G-Assumptions'!D41,"0.00%")&amp;" and "&amp;TEXT('G-Assumptions'!D42,"0.00%")</f>
        <v>5.00% and 10.00%</v>
      </c>
      <c r="D59" s="851"/>
      <c r="F59" s="847" t="str">
        <f>B41&amp;":  implies the event has a "&amp;TEXT(D41,"0.00%")&amp;" to "&amp;TEXT('G-Assumptions'!D42,"0.00%")&amp;" impact to project schedule."</f>
        <v>Significant:  implies the event has a 5.00% to 10.00% impact to project schedule.</v>
      </c>
      <c r="G59" s="848"/>
      <c r="H59" s="848"/>
      <c r="I59" s="848"/>
      <c r="J59" s="848"/>
      <c r="K59" s="849"/>
    </row>
    <row r="60" spans="2:11" ht="15" customHeight="1" thickBot="1" x14ac:dyDescent="0.4">
      <c r="B60" s="101" t="str">
        <f>B42</f>
        <v>Critical</v>
      </c>
      <c r="C60" s="904" t="str">
        <f>"Over "&amp;TEXT('G-Assumptions'!D42,"0.00%")</f>
        <v>Over 10.00%</v>
      </c>
      <c r="D60" s="905"/>
      <c r="F60" s="859" t="str">
        <f>B42&amp;":  implies the event has a greater than "&amp;TEXT(D42,"0.00%")&amp;" impact to project schedule."</f>
        <v>Critical:  implies the event has a greater than 10.00% impact to project schedule.</v>
      </c>
      <c r="G60" s="860"/>
      <c r="H60" s="860"/>
      <c r="I60" s="860"/>
      <c r="J60" s="860"/>
      <c r="K60" s="861"/>
    </row>
    <row r="61" spans="2:11" ht="15" thickBot="1" x14ac:dyDescent="0.4"/>
    <row r="62" spans="2:11" ht="19" thickBot="1" x14ac:dyDescent="0.4">
      <c r="B62" s="896" t="s">
        <v>726</v>
      </c>
      <c r="C62" s="897"/>
      <c r="D62" s="897"/>
      <c r="E62" s="897"/>
      <c r="F62" s="897"/>
      <c r="G62" s="897"/>
      <c r="H62" s="897"/>
      <c r="I62" s="897"/>
      <c r="J62" s="897"/>
      <c r="K62" s="898"/>
    </row>
    <row r="63" spans="2:11" ht="15" thickBot="1" x14ac:dyDescent="0.4">
      <c r="F63" s="105"/>
      <c r="G63" s="105"/>
      <c r="H63" s="105"/>
      <c r="I63" s="105"/>
      <c r="J63" s="105"/>
    </row>
    <row r="64" spans="2:11" ht="15" thickBot="1" x14ac:dyDescent="0.4">
      <c r="F64" s="106"/>
      <c r="G64" s="886" t="s">
        <v>688</v>
      </c>
      <c r="H64" s="902"/>
      <c r="I64" s="903" t="s">
        <v>687</v>
      </c>
      <c r="J64" s="902"/>
    </row>
    <row r="65" spans="6:10" ht="15" thickBot="1" x14ac:dyDescent="0.4">
      <c r="F65" s="493" t="s">
        <v>691</v>
      </c>
      <c r="G65" s="493" t="s">
        <v>690</v>
      </c>
      <c r="H65" s="427" t="s">
        <v>689</v>
      </c>
      <c r="I65" s="494" t="s">
        <v>690</v>
      </c>
      <c r="J65" s="427" t="s">
        <v>689</v>
      </c>
    </row>
    <row r="66" spans="6:10" x14ac:dyDescent="0.35">
      <c r="F66" s="602" t="str">
        <f t="shared" ref="F66:G70" si="0">B38</f>
        <v>Negligible</v>
      </c>
      <c r="G66" s="730">
        <f t="shared" si="0"/>
        <v>0</v>
      </c>
      <c r="H66" s="731">
        <f>G67</f>
        <v>5.0000000000000001E-3</v>
      </c>
      <c r="I66" s="732">
        <f>D38</f>
        <v>0</v>
      </c>
      <c r="J66" s="731">
        <f>I67</f>
        <v>0.01</v>
      </c>
    </row>
    <row r="67" spans="6:10" x14ac:dyDescent="0.35">
      <c r="F67" s="603" t="str">
        <f t="shared" si="0"/>
        <v>Marginal</v>
      </c>
      <c r="G67" s="733">
        <f t="shared" si="0"/>
        <v>5.0000000000000001E-3</v>
      </c>
      <c r="H67" s="734">
        <f>G68</f>
        <v>0.01</v>
      </c>
      <c r="I67" s="735">
        <f>D39</f>
        <v>0.01</v>
      </c>
      <c r="J67" s="734">
        <f>I68</f>
        <v>2.5000000000000001E-2</v>
      </c>
    </row>
    <row r="68" spans="6:10" x14ac:dyDescent="0.35">
      <c r="F68" s="604" t="str">
        <f t="shared" si="0"/>
        <v>Moderate</v>
      </c>
      <c r="G68" s="736">
        <f t="shared" si="0"/>
        <v>0.01</v>
      </c>
      <c r="H68" s="737">
        <f>G69</f>
        <v>2.5000000000000001E-2</v>
      </c>
      <c r="I68" s="738">
        <f>D40</f>
        <v>2.5000000000000001E-2</v>
      </c>
      <c r="J68" s="737">
        <f>I69</f>
        <v>0.05</v>
      </c>
    </row>
    <row r="69" spans="6:10" x14ac:dyDescent="0.35">
      <c r="F69" s="603" t="str">
        <f t="shared" si="0"/>
        <v>Significant</v>
      </c>
      <c r="G69" s="733">
        <f t="shared" si="0"/>
        <v>2.5000000000000001E-2</v>
      </c>
      <c r="H69" s="734">
        <f>G70</f>
        <v>0.05</v>
      </c>
      <c r="I69" s="735">
        <f>D41</f>
        <v>0.05</v>
      </c>
      <c r="J69" s="734">
        <f>I70</f>
        <v>0.1</v>
      </c>
    </row>
    <row r="70" spans="6:10" ht="15" thickBot="1" x14ac:dyDescent="0.4">
      <c r="F70" s="605" t="str">
        <f t="shared" si="0"/>
        <v>Critical</v>
      </c>
      <c r="G70" s="739">
        <f t="shared" si="0"/>
        <v>0.05</v>
      </c>
      <c r="H70" s="740">
        <v>1</v>
      </c>
      <c r="I70" s="741">
        <f>D42</f>
        <v>0.1</v>
      </c>
      <c r="J70" s="740">
        <v>1</v>
      </c>
    </row>
    <row r="71" spans="6:10" ht="15" thickBot="1" x14ac:dyDescent="0.4"/>
    <row r="72" spans="6:10" ht="15" thickBot="1" x14ac:dyDescent="0.4">
      <c r="G72" s="899" t="s">
        <v>688</v>
      </c>
      <c r="H72" s="900"/>
      <c r="I72" s="901" t="s">
        <v>687</v>
      </c>
      <c r="J72" s="901"/>
    </row>
    <row r="73" spans="6:10" ht="15" thickBot="1" x14ac:dyDescent="0.4">
      <c r="F73" s="493" t="str">
        <f t="shared" ref="F73:F78" si="1">F65</f>
        <v>Impact</v>
      </c>
      <c r="G73" s="493" t="s">
        <v>686</v>
      </c>
      <c r="H73" s="427" t="s">
        <v>685</v>
      </c>
      <c r="I73" s="494" t="s">
        <v>686</v>
      </c>
      <c r="J73" s="427" t="s">
        <v>685</v>
      </c>
    </row>
    <row r="74" spans="6:10" x14ac:dyDescent="0.35">
      <c r="F74" s="602" t="str">
        <f t="shared" si="1"/>
        <v>Negligible</v>
      </c>
      <c r="G74" s="742">
        <f>CEILING('H-Risk Register-Model'!$B$4*G66,'H-Risk Register-Model'!$B$6)</f>
        <v>0</v>
      </c>
      <c r="H74" s="743">
        <f>G75</f>
        <v>100000</v>
      </c>
      <c r="I74" s="744">
        <f>CEILING('H-Risk Register-Model'!$C$4*I66,'H-Risk Register-Model'!$C$6)</f>
        <v>0</v>
      </c>
      <c r="J74" s="745">
        <f>I75</f>
        <v>0.25</v>
      </c>
    </row>
    <row r="75" spans="6:10" x14ac:dyDescent="0.35">
      <c r="F75" s="603" t="str">
        <f t="shared" si="1"/>
        <v>Marginal</v>
      </c>
      <c r="G75" s="746">
        <f>CEILING('H-Risk Register-Model'!$B$4*G67,'H-Risk Register-Model'!$B$6)</f>
        <v>100000</v>
      </c>
      <c r="H75" s="747">
        <f t="shared" ref="H75:H77" si="2">G76</f>
        <v>100000</v>
      </c>
      <c r="I75" s="748">
        <f>CEILING('H-Risk Register-Model'!$C$4*I67,'H-Risk Register-Model'!$C$6)</f>
        <v>0.25</v>
      </c>
      <c r="J75" s="749">
        <f t="shared" ref="J75:J77" si="3">I76</f>
        <v>0.5</v>
      </c>
    </row>
    <row r="76" spans="6:10" x14ac:dyDescent="0.35">
      <c r="F76" s="604" t="str">
        <f t="shared" si="1"/>
        <v>Moderate</v>
      </c>
      <c r="G76" s="750">
        <f>CEILING('H-Risk Register-Model'!$B$4*G68,'H-Risk Register-Model'!$B$6)</f>
        <v>100000</v>
      </c>
      <c r="H76" s="751">
        <f t="shared" si="2"/>
        <v>200000</v>
      </c>
      <c r="I76" s="752">
        <f>CEILING('H-Risk Register-Model'!$C$4*I68,'H-Risk Register-Model'!$C$6)</f>
        <v>0.5</v>
      </c>
      <c r="J76" s="753">
        <f t="shared" si="3"/>
        <v>0.75</v>
      </c>
    </row>
    <row r="77" spans="6:10" x14ac:dyDescent="0.35">
      <c r="F77" s="603" t="str">
        <f t="shared" si="1"/>
        <v>Significant</v>
      </c>
      <c r="G77" s="746">
        <f>CEILING('H-Risk Register-Model'!$B$4*G69,'H-Risk Register-Model'!$B$6)</f>
        <v>200000</v>
      </c>
      <c r="H77" s="747">
        <f t="shared" si="2"/>
        <v>400000</v>
      </c>
      <c r="I77" s="748">
        <f>CEILING('H-Risk Register-Model'!$C$4*I69,'H-Risk Register-Model'!$C$6)</f>
        <v>0.75</v>
      </c>
      <c r="J77" s="749">
        <f t="shared" si="3"/>
        <v>1.25</v>
      </c>
    </row>
    <row r="78" spans="6:10" ht="15" thickBot="1" x14ac:dyDescent="0.4">
      <c r="F78" s="605" t="str">
        <f t="shared" si="1"/>
        <v>Critical</v>
      </c>
      <c r="G78" s="754">
        <f>CEILING('H-Risk Register-Model'!$B$4*G70,'H-Risk Register-Model'!$B$6)</f>
        <v>400000</v>
      </c>
      <c r="H78" s="755" t="s">
        <v>684</v>
      </c>
      <c r="I78" s="756">
        <f>CEILING('H-Risk Register-Model'!$C$4*I70,'H-Risk Register-Model'!$C$6)</f>
        <v>1.25</v>
      </c>
      <c r="J78" s="757" t="s">
        <v>684</v>
      </c>
    </row>
  </sheetData>
  <mergeCells count="58">
    <mergeCell ref="C58:D58"/>
    <mergeCell ref="C59:D59"/>
    <mergeCell ref="C56:D56"/>
    <mergeCell ref="C57:D57"/>
    <mergeCell ref="C51:D51"/>
    <mergeCell ref="B53:K53"/>
    <mergeCell ref="F56:K56"/>
    <mergeCell ref="F57:K57"/>
    <mergeCell ref="F58:K58"/>
    <mergeCell ref="F59:K59"/>
    <mergeCell ref="C55:D55"/>
    <mergeCell ref="F55:K55"/>
    <mergeCell ref="C27:D27"/>
    <mergeCell ref="C28:D28"/>
    <mergeCell ref="C29:D29"/>
    <mergeCell ref="C30:D30"/>
    <mergeCell ref="C46:D46"/>
    <mergeCell ref="B44:K44"/>
    <mergeCell ref="B32:K32"/>
    <mergeCell ref="B33:K34"/>
    <mergeCell ref="F46:K46"/>
    <mergeCell ref="G72:H72"/>
    <mergeCell ref="I72:J72"/>
    <mergeCell ref="G64:H64"/>
    <mergeCell ref="I64:J64"/>
    <mergeCell ref="C60:D60"/>
    <mergeCell ref="B62:K62"/>
    <mergeCell ref="F60:K60"/>
    <mergeCell ref="B1:K1"/>
    <mergeCell ref="B3:K3"/>
    <mergeCell ref="B4:C12"/>
    <mergeCell ref="B16:B17"/>
    <mergeCell ref="C16:C17"/>
    <mergeCell ref="D16:D17"/>
    <mergeCell ref="F5:J5"/>
    <mergeCell ref="F7:J7"/>
    <mergeCell ref="B14:K14"/>
    <mergeCell ref="C23:D23"/>
    <mergeCell ref="F50:K50"/>
    <mergeCell ref="F51:K51"/>
    <mergeCell ref="I16:K23"/>
    <mergeCell ref="F25:K25"/>
    <mergeCell ref="F26:K26"/>
    <mergeCell ref="F27:K27"/>
    <mergeCell ref="F28:K28"/>
    <mergeCell ref="F29:K29"/>
    <mergeCell ref="F30:K30"/>
    <mergeCell ref="I36:K42"/>
    <mergeCell ref="C50:D50"/>
    <mergeCell ref="F47:K47"/>
    <mergeCell ref="C49:D49"/>
    <mergeCell ref="C25:D25"/>
    <mergeCell ref="C26:D26"/>
    <mergeCell ref="F48:K48"/>
    <mergeCell ref="F49:K49"/>
    <mergeCell ref="C48:D48"/>
    <mergeCell ref="B36:D36"/>
    <mergeCell ref="C47:D47"/>
  </mergeCells>
  <conditionalFormatting sqref="F7:J11">
    <cfRule type="expression" dxfId="46" priority="5" stopIfTrue="1">
      <formula>LEFT(F7,1)="H"</formula>
    </cfRule>
    <cfRule type="expression" dxfId="45" priority="6" stopIfTrue="1">
      <formula>LEFT(F7,1)="M"</formula>
    </cfRule>
    <cfRule type="expression" dxfId="44" priority="7" stopIfTrue="1">
      <formula>LEFT(F7,1)="L"</formula>
    </cfRule>
    <cfRule type="expression" dxfId="43" priority="8" stopIfTrue="1">
      <formula>LEFT(D7,3)="Cer"</formula>
    </cfRule>
  </conditionalFormatting>
  <printOptions horizontalCentered="1"/>
  <pageMargins left="0.25" right="0.25" top="0.25" bottom="0.5" header="0.25" footer="0.25"/>
  <pageSetup scale="59" orientation="portrait" horizontalDpi="1200" verticalDpi="1200" r:id="rId1"/>
  <headerFooter>
    <oddFooter>&amp;CPage &amp;P of &amp;N</oddFooter>
  </headerFooter>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pageSetUpPr fitToPage="1"/>
  </sheetPr>
  <dimension ref="A1:BX792"/>
  <sheetViews>
    <sheetView showGridLines="0" zoomScale="75" zoomScaleNormal="75" zoomScaleSheetLayoutView="75" workbookViewId="0">
      <pane xSplit="3" ySplit="17" topLeftCell="D18" activePane="bottomRight" state="frozen"/>
      <selection activeCell="A3" sqref="A3"/>
      <selection pane="topRight" activeCell="A3" sqref="A3"/>
      <selection pane="bottomLeft" activeCell="A3" sqref="A3"/>
      <selection pane="bottomRight" activeCell="E18" sqref="E18"/>
    </sheetView>
  </sheetViews>
  <sheetFormatPr defaultColWidth="8.81640625" defaultRowHeight="14.5" outlineLevelCol="1" x14ac:dyDescent="0.35"/>
  <cols>
    <col min="1" max="1" width="12.54296875" style="173" customWidth="1"/>
    <col min="2" max="2" width="25.453125" style="173" customWidth="1"/>
    <col min="3" max="3" width="25.54296875" style="97" customWidth="1"/>
    <col min="4" max="4" width="40.54296875" style="27" customWidth="1"/>
    <col min="5" max="5" width="75.54296875" style="27" customWidth="1"/>
    <col min="6" max="6" width="11.54296875" style="125" customWidth="1"/>
    <col min="7" max="7" width="11.54296875" style="126" customWidth="1"/>
    <col min="8" max="10" width="11.54296875" style="125" customWidth="1"/>
    <col min="11" max="11" width="11.54296875" style="127" customWidth="1"/>
    <col min="12" max="13" width="11.54296875" style="125" customWidth="1"/>
    <col min="14" max="14" width="15.81640625" style="125" customWidth="1"/>
    <col min="15" max="15" width="13.453125" style="125" customWidth="1"/>
    <col min="16" max="18" width="15.81640625" style="123" customWidth="1" outlineLevel="1"/>
    <col min="19" max="21" width="15.81640625" style="128" customWidth="1" outlineLevel="1"/>
    <col min="22" max="24" width="15.81640625" style="123" customWidth="1" outlineLevel="1"/>
    <col min="25" max="25" width="10.81640625" style="108" customWidth="1" outlineLevel="1"/>
    <col min="26" max="26" width="8.453125" style="109" customWidth="1" outlineLevel="1"/>
    <col min="27" max="30" width="15.81640625" style="109" customWidth="1" outlineLevel="1"/>
    <col min="31" max="31" width="15.81640625" style="123" customWidth="1" outlineLevel="1" collapsed="1"/>
    <col min="32" max="32" width="15.81640625" style="108" customWidth="1" outlineLevel="1"/>
    <col min="33" max="33" width="15.81640625" style="124" customWidth="1" outlineLevel="1"/>
    <col min="34" max="34" width="65.54296875" style="90" customWidth="1" outlineLevel="1"/>
    <col min="35" max="35" width="65.453125" style="90" customWidth="1"/>
    <col min="36" max="36" width="2.81640625" customWidth="1"/>
    <col min="37" max="41" width="15.81640625" customWidth="1" outlineLevel="1"/>
    <col min="42" max="42" width="17.7265625" customWidth="1" outlineLevel="1"/>
    <col min="43" max="45" width="15.81640625" customWidth="1" outlineLevel="1"/>
    <col min="46" max="46" width="2.81640625" customWidth="1"/>
    <col min="47" max="76" width="15.81640625" customWidth="1" outlineLevel="1"/>
  </cols>
  <sheetData>
    <row r="1" spans="1:76" ht="21.5" thickBot="1" x14ac:dyDescent="0.4">
      <c r="A1" s="175" t="s">
        <v>815</v>
      </c>
      <c r="B1" s="111"/>
      <c r="C1" s="112"/>
      <c r="D1" s="112"/>
      <c r="E1" s="113"/>
      <c r="F1" s="129"/>
      <c r="G1" s="113"/>
      <c r="H1" s="129"/>
      <c r="I1" s="129"/>
      <c r="J1" s="129"/>
      <c r="K1" s="130"/>
      <c r="L1" s="129"/>
      <c r="M1" s="129"/>
      <c r="N1" s="129"/>
      <c r="O1" s="174"/>
      <c r="P1" s="131">
        <f t="shared" ref="P1:W1" si="0">SUM(P18:P1050)</f>
        <v>-100000</v>
      </c>
      <c r="Q1" s="131">
        <f t="shared" si="0"/>
        <v>0</v>
      </c>
      <c r="R1" s="131">
        <f t="shared" si="0"/>
        <v>3000000</v>
      </c>
      <c r="S1" s="177">
        <f t="shared" si="0"/>
        <v>-1</v>
      </c>
      <c r="T1" s="177">
        <f t="shared" si="0"/>
        <v>0</v>
      </c>
      <c r="U1" s="177">
        <f t="shared" si="0"/>
        <v>6</v>
      </c>
      <c r="V1" s="131">
        <f t="shared" si="0"/>
        <v>-150000</v>
      </c>
      <c r="W1" s="131">
        <f t="shared" si="0"/>
        <v>0</v>
      </c>
      <c r="X1" s="131">
        <f>SUM(X19:X1050)</f>
        <v>0</v>
      </c>
      <c r="Y1" s="132"/>
      <c r="Z1" s="133"/>
      <c r="AA1" s="133"/>
      <c r="AB1" s="133"/>
      <c r="AC1" s="133"/>
      <c r="AD1" s="133"/>
      <c r="AE1" s="134">
        <f>SUM(AE18:AE1050)</f>
        <v>0</v>
      </c>
      <c r="AF1" s="135"/>
      <c r="AG1" s="176">
        <f>SUM(AG18:AG1050)</f>
        <v>0</v>
      </c>
      <c r="AH1" s="114"/>
      <c r="AI1" s="114"/>
    </row>
    <row r="2" spans="1:76" ht="15" thickBot="1" x14ac:dyDescent="0.4">
      <c r="A2" s="136"/>
      <c r="B2" s="916" t="s">
        <v>1296</v>
      </c>
      <c r="C2" s="916"/>
      <c r="D2" s="115" t="s">
        <v>813</v>
      </c>
      <c r="E2" s="944" t="s">
        <v>812</v>
      </c>
      <c r="F2" s="138" t="str">
        <f>'G-Assumptions'!B18</f>
        <v>Certain</v>
      </c>
      <c r="G2" s="139" t="str">
        <f>'G-Assumptions'!B19</f>
        <v>Very Likely</v>
      </c>
      <c r="H2" s="139" t="str">
        <f>'G-Assumptions'!B20</f>
        <v>Likely</v>
      </c>
      <c r="I2" s="139" t="str">
        <f>'G-Assumptions'!B21</f>
        <v>Possible</v>
      </c>
      <c r="J2" s="139" t="str">
        <f>'G-Assumptions'!B22</f>
        <v>Unlikely</v>
      </c>
      <c r="K2" s="140" t="str">
        <f>'G-Assumptions'!B23</f>
        <v>Unrated</v>
      </c>
      <c r="L2" s="141"/>
      <c r="M2" s="141"/>
      <c r="N2" s="141"/>
      <c r="O2" s="141"/>
      <c r="P2" s="142"/>
      <c r="Q2" s="142"/>
      <c r="R2" s="142"/>
      <c r="S2" s="143"/>
      <c r="T2" s="143"/>
      <c r="U2" s="143"/>
      <c r="V2" s="142"/>
      <c r="W2" s="142"/>
      <c r="X2" s="142"/>
      <c r="Y2" s="144"/>
      <c r="Z2" s="145"/>
      <c r="AA2" s="145"/>
      <c r="AB2" s="145"/>
      <c r="AC2" s="145"/>
      <c r="AD2" s="145"/>
      <c r="AE2" s="142"/>
      <c r="AF2" s="144"/>
      <c r="AG2" s="146"/>
      <c r="AH2" s="116"/>
      <c r="AI2" s="116"/>
    </row>
    <row r="3" spans="1:76" ht="15" thickBot="1" x14ac:dyDescent="0.4">
      <c r="A3" s="147"/>
      <c r="B3" s="801" t="s">
        <v>665</v>
      </c>
      <c r="C3" s="802" t="s">
        <v>671</v>
      </c>
      <c r="D3" s="118"/>
      <c r="E3" s="945"/>
      <c r="F3" s="148" t="str">
        <f>"&gt; "&amp;TEXT('G-Assumptions'!C18*100,0%)&amp;"%"</f>
        <v>&gt; 90%</v>
      </c>
      <c r="G3" s="149" t="str">
        <f>TEXT('G-Assumptions'!C19*100,0%)&amp;"-"&amp;TEXT('G-Assumptions'!D19*100,0%)&amp;"%"</f>
        <v>70-90%</v>
      </c>
      <c r="H3" s="149" t="str">
        <f>TEXT('G-Assumptions'!C20*100,0%)&amp;"-"&amp;TEXT('G-Assumptions'!D20*100,0%)&amp;"%"</f>
        <v>30-70%</v>
      </c>
      <c r="I3" s="149" t="str">
        <f>TEXT('G-Assumptions'!C21*100,0%)&amp;"-"&amp;TEXT('G-Assumptions'!D21*100,0%)&amp;"%"</f>
        <v>5-30%</v>
      </c>
      <c r="J3" s="149" t="str">
        <f>"&lt; "&amp;TEXT('G-Assumptions'!D22*100,0%)&amp;"%"</f>
        <v>&lt; 5%</v>
      </c>
      <c r="K3" s="150" t="s">
        <v>645</v>
      </c>
      <c r="L3" s="141"/>
      <c r="M3" s="141"/>
      <c r="N3" s="141"/>
      <c r="O3" s="141"/>
      <c r="P3" s="142"/>
      <c r="Q3" s="142"/>
      <c r="R3" s="142"/>
      <c r="S3" s="143"/>
      <c r="T3" s="143"/>
      <c r="U3" s="143"/>
      <c r="V3" s="142"/>
      <c r="W3" s="142"/>
      <c r="X3" s="142"/>
      <c r="Y3" s="144"/>
      <c r="Z3" s="145"/>
      <c r="AA3" s="145"/>
      <c r="AB3" s="145"/>
      <c r="AC3" s="145"/>
      <c r="AD3" s="145"/>
      <c r="AE3" s="142"/>
      <c r="AF3" s="144"/>
      <c r="AG3" s="146"/>
      <c r="AH3" s="116"/>
      <c r="AI3" s="116"/>
    </row>
    <row r="4" spans="1:76" ht="15" thickBot="1" x14ac:dyDescent="0.4">
      <c r="A4" s="137"/>
      <c r="B4" s="803">
        <f>'E-Cost &amp; Schedule Summary'!D50</f>
        <v>7250000</v>
      </c>
      <c r="C4" s="804">
        <f>'E-Cost &amp; Schedule Summary'!C8</f>
        <v>12</v>
      </c>
      <c r="D4" s="118"/>
      <c r="E4" s="946" t="s">
        <v>811</v>
      </c>
      <c r="F4" s="950" t="str">
        <f>'G-Assumptions'!B38</f>
        <v>Negligible</v>
      </c>
      <c r="G4" s="951"/>
      <c r="H4" s="951" t="str">
        <f>'G-Assumptions'!B39</f>
        <v>Marginal</v>
      </c>
      <c r="I4" s="951"/>
      <c r="J4" s="951" t="str">
        <f>'G-Assumptions'!B40</f>
        <v>Moderate</v>
      </c>
      <c r="K4" s="951"/>
      <c r="L4" s="951" t="str">
        <f>'G-Assumptions'!B41</f>
        <v>Significant</v>
      </c>
      <c r="M4" s="951"/>
      <c r="N4" s="951" t="str">
        <f>'G-Assumptions'!B42</f>
        <v>Critical</v>
      </c>
      <c r="O4" s="952"/>
      <c r="P4" s="142"/>
      <c r="Q4" s="142"/>
      <c r="R4" s="142"/>
      <c r="S4" s="143"/>
      <c r="T4" s="143"/>
      <c r="U4" s="143"/>
      <c r="V4" s="142"/>
      <c r="W4" s="142"/>
      <c r="X4" s="142"/>
      <c r="Y4" s="144"/>
      <c r="Z4" s="145"/>
      <c r="AA4" s="145"/>
      <c r="AB4" s="145"/>
      <c r="AC4" s="145"/>
      <c r="AD4" s="145"/>
      <c r="AE4" s="142"/>
      <c r="AF4" s="144"/>
      <c r="AG4" s="146"/>
      <c r="AH4" s="116"/>
      <c r="AI4" s="116"/>
    </row>
    <row r="5" spans="1:76" ht="15" thickBot="1" x14ac:dyDescent="0.4">
      <c r="A5" s="137"/>
      <c r="B5" s="917" t="s">
        <v>727</v>
      </c>
      <c r="C5" s="918"/>
      <c r="D5" s="118"/>
      <c r="E5" s="947"/>
      <c r="F5" s="953" t="str">
        <f>"&lt; "&amp;TEXT('G-Assumptions'!G75,"$#,##0")</f>
        <v>&lt; $100,000</v>
      </c>
      <c r="G5" s="926"/>
      <c r="H5" s="926" t="str">
        <f>TEXT('G-Assumptions'!G75,"$#,##0")&amp;" to "&amp;TEXT('G-Assumptions'!G76,"$#,##0")</f>
        <v>$100,000 to $100,000</v>
      </c>
      <c r="I5" s="926"/>
      <c r="J5" s="926" t="str">
        <f>TEXT('G-Assumptions'!G76,"$#,##0")&amp;" to "&amp;TEXT('G-Assumptions'!G77,"$#,##0")</f>
        <v>$100,000 to $200,000</v>
      </c>
      <c r="K5" s="926"/>
      <c r="L5" s="926" t="str">
        <f>TEXT('G-Assumptions'!G77,"$#,##0")&amp;" to "&amp;TEXT('G-Assumptions'!G78,"$#,##0")</f>
        <v>$200,000 to $400,000</v>
      </c>
      <c r="M5" s="926"/>
      <c r="N5" s="926" t="str">
        <f>"&gt; "&amp;TEXT('G-Assumptions'!G78,"$#,##0")</f>
        <v>&gt; $400,000</v>
      </c>
      <c r="O5" s="927"/>
      <c r="P5" s="142"/>
      <c r="Q5" s="142"/>
      <c r="R5" s="142"/>
      <c r="S5" s="143"/>
      <c r="T5" s="143"/>
      <c r="U5" s="143"/>
      <c r="V5" s="142"/>
      <c r="W5" s="142"/>
      <c r="X5" s="142"/>
      <c r="Y5" s="144"/>
      <c r="Z5" s="145"/>
      <c r="AA5" s="145"/>
      <c r="AB5" s="145"/>
      <c r="AC5" s="145"/>
      <c r="AD5" s="145"/>
      <c r="AE5" s="142"/>
      <c r="AF5" s="144"/>
      <c r="AG5" s="146"/>
      <c r="AH5" s="116"/>
      <c r="AI5" s="116"/>
    </row>
    <row r="6" spans="1:76" ht="15" thickBot="1" x14ac:dyDescent="0.4">
      <c r="A6" s="137"/>
      <c r="B6" s="799">
        <v>100000</v>
      </c>
      <c r="C6" s="800">
        <v>0.25</v>
      </c>
      <c r="D6" s="118"/>
      <c r="E6" s="948"/>
      <c r="F6" s="938" t="str">
        <f>" &lt; "&amp;TEXT('G-Assumptions'!I75,"0.00")&amp;" MO"</f>
        <v xml:space="preserve"> &lt; 0.25 MO</v>
      </c>
      <c r="G6" s="936"/>
      <c r="H6" s="936" t="str">
        <f>TEXT('G-Assumptions'!I75,"0.00")&amp;" MO to "&amp;TEXT('G-Assumptions'!I76,"0.00")&amp;" MO"</f>
        <v>0.25 MO to 0.50 MO</v>
      </c>
      <c r="I6" s="936"/>
      <c r="J6" s="936" t="str">
        <f>TEXT('G-Assumptions'!I76,"0.00")&amp;" MO to "&amp;TEXT('G-Assumptions'!I77,"0.00")&amp;" MO"</f>
        <v>0.50 MO to 0.75 MO</v>
      </c>
      <c r="K6" s="936"/>
      <c r="L6" s="936" t="str">
        <f>TEXT('G-Assumptions'!I77,"0.00")&amp;" MO to "&amp;TEXT('G-Assumptions'!I78,"0.00")&amp;" MO"</f>
        <v>0.75 MO to 1.25 MO</v>
      </c>
      <c r="M6" s="936"/>
      <c r="N6" s="936" t="str">
        <f>"&gt; "&amp;TEXT('G-Assumptions'!I78,"0.00")&amp;" MO"</f>
        <v>&gt; 1.25 MO</v>
      </c>
      <c r="O6" s="937"/>
      <c r="P6" s="28"/>
      <c r="Q6" s="28"/>
      <c r="R6" s="142"/>
      <c r="S6" s="143"/>
      <c r="T6" s="143"/>
      <c r="U6" s="143"/>
      <c r="V6" s="142"/>
      <c r="W6" s="142"/>
      <c r="X6" s="142"/>
      <c r="Y6" s="144"/>
      <c r="Z6" s="145"/>
      <c r="AA6" s="145"/>
      <c r="AB6" s="145"/>
      <c r="AC6" s="145"/>
      <c r="AD6" s="145"/>
      <c r="AE6" s="142"/>
      <c r="AF6" s="144"/>
      <c r="AG6" s="146"/>
      <c r="AH6" s="116"/>
      <c r="AI6" s="116"/>
      <c r="AL6" s="929" t="s">
        <v>688</v>
      </c>
      <c r="AM6" s="929"/>
      <c r="AN6" s="929"/>
      <c r="AP6" s="929" t="s">
        <v>687</v>
      </c>
      <c r="AQ6" s="929"/>
      <c r="AR6" s="929"/>
    </row>
    <row r="7" spans="1:76" ht="15" thickBot="1" x14ac:dyDescent="0.4">
      <c r="A7" s="137"/>
      <c r="B7" s="28"/>
      <c r="C7" s="28"/>
      <c r="D7" s="118"/>
      <c r="E7" s="141"/>
      <c r="F7" s="141"/>
      <c r="G7" s="141"/>
      <c r="H7" s="141"/>
      <c r="I7" s="141"/>
      <c r="J7" s="141"/>
      <c r="K7" s="141"/>
      <c r="L7" s="141"/>
      <c r="M7" s="141"/>
      <c r="N7" s="28"/>
      <c r="O7" s="28"/>
      <c r="P7" s="28"/>
      <c r="Q7" s="28"/>
      <c r="R7" s="28"/>
      <c r="S7" s="28"/>
      <c r="T7" s="28"/>
      <c r="U7" s="28"/>
      <c r="V7" s="28"/>
      <c r="W7" s="143"/>
      <c r="X7" s="142"/>
      <c r="Y7" s="144"/>
      <c r="Z7" s="145"/>
      <c r="AA7" s="145"/>
      <c r="AB7" s="145"/>
      <c r="AC7" s="145"/>
      <c r="AD7" s="145"/>
      <c r="AE7" s="142"/>
      <c r="AF7" s="144"/>
      <c r="AG7" s="146"/>
      <c r="AH7" s="116"/>
      <c r="AI7" s="116"/>
    </row>
    <row r="8" spans="1:76" ht="15" customHeight="1" thickBot="1" x14ac:dyDescent="0.4">
      <c r="A8" s="137"/>
      <c r="B8" s="137"/>
      <c r="C8" s="117"/>
      <c r="D8" s="118"/>
      <c r="E8" s="944" t="s">
        <v>810</v>
      </c>
      <c r="F8" s="141"/>
      <c r="G8" s="151" t="str">
        <f>'G-Assumptions'!F6</f>
        <v>Negligible</v>
      </c>
      <c r="H8" s="152" t="str">
        <f>'G-Assumptions'!G6</f>
        <v>Marginal</v>
      </c>
      <c r="I8" s="152" t="str">
        <f>'G-Assumptions'!H6</f>
        <v>Moderate</v>
      </c>
      <c r="J8" s="152" t="str">
        <f>'G-Assumptions'!I6</f>
        <v>Significant</v>
      </c>
      <c r="K8" s="153" t="str">
        <f>'G-Assumptions'!J6</f>
        <v>Critical</v>
      </c>
      <c r="L8" s="141"/>
      <c r="M8" s="941" t="s">
        <v>1263</v>
      </c>
      <c r="N8" s="942"/>
      <c r="O8" s="943"/>
      <c r="P8" s="28"/>
      <c r="Q8" s="28"/>
      <c r="R8" s="28"/>
      <c r="S8" s="28"/>
      <c r="T8" s="28"/>
      <c r="U8" s="28"/>
      <c r="V8" s="28"/>
      <c r="W8" s="143"/>
      <c r="X8" s="142"/>
      <c r="Y8" s="144"/>
      <c r="Z8" s="145"/>
      <c r="AA8" s="145"/>
      <c r="AB8" s="145"/>
      <c r="AC8" s="145"/>
      <c r="AD8" s="145"/>
      <c r="AE8" s="142"/>
      <c r="AF8" s="144"/>
      <c r="AG8" s="146"/>
      <c r="AH8" s="116"/>
      <c r="AI8" s="116"/>
      <c r="AL8" s="665" t="s">
        <v>691</v>
      </c>
      <c r="AM8" s="110" t="s">
        <v>686</v>
      </c>
      <c r="AN8" s="110" t="s">
        <v>685</v>
      </c>
      <c r="AP8" s="665" t="s">
        <v>691</v>
      </c>
      <c r="AQ8" s="110" t="s">
        <v>686</v>
      </c>
      <c r="AR8" s="110" t="s">
        <v>685</v>
      </c>
    </row>
    <row r="9" spans="1:76" ht="15" thickTop="1" x14ac:dyDescent="0.35">
      <c r="A9" s="137"/>
      <c r="B9" s="137"/>
      <c r="C9" s="117"/>
      <c r="D9" s="118"/>
      <c r="E9" s="949"/>
      <c r="F9" s="154" t="str">
        <f>'G-Assumptions'!D7</f>
        <v>Certain</v>
      </c>
      <c r="G9" s="893" t="s">
        <v>706</v>
      </c>
      <c r="H9" s="894"/>
      <c r="I9" s="894"/>
      <c r="J9" s="894"/>
      <c r="K9" s="895"/>
      <c r="L9" s="141"/>
      <c r="M9" s="774" t="s">
        <v>865</v>
      </c>
      <c r="N9" s="773" t="s">
        <v>864</v>
      </c>
      <c r="O9" s="775" t="s">
        <v>863</v>
      </c>
      <c r="P9" s="28"/>
      <c r="Q9" s="28"/>
      <c r="R9" s="28"/>
      <c r="S9" s="28"/>
      <c r="T9" s="28"/>
      <c r="U9" s="28"/>
      <c r="V9" s="28"/>
      <c r="W9" s="143"/>
      <c r="X9" s="142"/>
      <c r="Y9" s="144"/>
      <c r="Z9" s="145"/>
      <c r="AA9" s="145"/>
      <c r="AB9" s="145"/>
      <c r="AC9" s="145"/>
      <c r="AD9" s="145"/>
      <c r="AE9" s="142"/>
      <c r="AF9" s="144"/>
      <c r="AG9" s="146"/>
      <c r="AH9" s="116"/>
      <c r="AI9" s="116"/>
      <c r="AL9" s="666" t="str">
        <f>'G-Assumptions'!F74</f>
        <v>Negligible</v>
      </c>
      <c r="AM9" s="119">
        <f>'G-Assumptions'!G74</f>
        <v>0</v>
      </c>
      <c r="AN9" s="119">
        <f>'G-Assumptions'!H74</f>
        <v>100000</v>
      </c>
      <c r="AO9" s="77" t="str">
        <f>AL9</f>
        <v>Negligible</v>
      </c>
      <c r="AP9" s="666" t="str">
        <f>AL9</f>
        <v>Negligible</v>
      </c>
      <c r="AQ9" s="658">
        <f>'G-Assumptions'!I74</f>
        <v>0</v>
      </c>
      <c r="AR9" s="658">
        <f>'G-Assumptions'!J74</f>
        <v>0.25</v>
      </c>
      <c r="AS9" s="77" t="str">
        <f>AP9</f>
        <v>Negligible</v>
      </c>
    </row>
    <row r="10" spans="1:76" x14ac:dyDescent="0.35">
      <c r="A10" s="137"/>
      <c r="B10" s="137"/>
      <c r="C10" s="117"/>
      <c r="D10" s="118"/>
      <c r="E10" s="949"/>
      <c r="F10" s="155" t="str">
        <f>'G-Assumptions'!D8</f>
        <v>Very Likely</v>
      </c>
      <c r="G10" s="156" t="s">
        <v>704</v>
      </c>
      <c r="H10" s="157" t="s">
        <v>703</v>
      </c>
      <c r="I10" s="157" t="s">
        <v>705</v>
      </c>
      <c r="J10" s="157" t="s">
        <v>705</v>
      </c>
      <c r="K10" s="158" t="s">
        <v>705</v>
      </c>
      <c r="L10" s="141"/>
      <c r="M10" s="772" t="s">
        <v>705</v>
      </c>
      <c r="N10" s="524">
        <f>COUNTIF($H$18:$H$116,M10)</f>
        <v>0</v>
      </c>
      <c r="O10" s="778">
        <f>COUNTIF($J$18:$J$116,M10)</f>
        <v>0</v>
      </c>
      <c r="P10" s="28"/>
      <c r="Q10" s="28"/>
      <c r="R10" s="28"/>
      <c r="S10" s="28"/>
      <c r="T10" s="28"/>
      <c r="U10" s="28"/>
      <c r="V10" s="28"/>
      <c r="W10" s="143"/>
      <c r="X10" s="142"/>
      <c r="Y10" s="144"/>
      <c r="Z10" s="145"/>
      <c r="AA10" s="145"/>
      <c r="AB10" s="145"/>
      <c r="AC10" s="145"/>
      <c r="AD10" s="145"/>
      <c r="AE10" s="142"/>
      <c r="AF10" s="144"/>
      <c r="AG10" s="146"/>
      <c r="AH10" s="116"/>
      <c r="AI10" s="116"/>
      <c r="AL10" s="667" t="str">
        <f>'G-Assumptions'!F75</f>
        <v>Marginal</v>
      </c>
      <c r="AM10" s="120">
        <f>'G-Assumptions'!G75</f>
        <v>100000</v>
      </c>
      <c r="AN10" s="120">
        <f>'G-Assumptions'!H75</f>
        <v>100000</v>
      </c>
      <c r="AO10" s="77" t="str">
        <f t="shared" ref="AO10:AO13" si="1">AL10</f>
        <v>Marginal</v>
      </c>
      <c r="AP10" s="667" t="str">
        <f>AL10</f>
        <v>Marginal</v>
      </c>
      <c r="AQ10" s="659">
        <f>'G-Assumptions'!I75</f>
        <v>0.25</v>
      </c>
      <c r="AR10" s="659">
        <f>'G-Assumptions'!J75</f>
        <v>0.5</v>
      </c>
      <c r="AS10" s="77" t="str">
        <f t="shared" ref="AS10:AS13" si="2">AP10</f>
        <v>Marginal</v>
      </c>
    </row>
    <row r="11" spans="1:76" x14ac:dyDescent="0.35">
      <c r="A11" s="137"/>
      <c r="B11" s="137"/>
      <c r="C11" s="117"/>
      <c r="D11" s="118"/>
      <c r="E11" s="949"/>
      <c r="F11" s="155" t="str">
        <f>'G-Assumptions'!D9</f>
        <v>Likely</v>
      </c>
      <c r="G11" s="156" t="s">
        <v>704</v>
      </c>
      <c r="H11" s="157" t="s">
        <v>703</v>
      </c>
      <c r="I11" s="157" t="s">
        <v>703</v>
      </c>
      <c r="J11" s="157" t="s">
        <v>705</v>
      </c>
      <c r="K11" s="158" t="s">
        <v>705</v>
      </c>
      <c r="L11" s="141"/>
      <c r="M11" s="772" t="s">
        <v>703</v>
      </c>
      <c r="N11" s="524">
        <f>COUNTIF($H$18:$H$116,M11)</f>
        <v>1</v>
      </c>
      <c r="O11" s="778">
        <f>COUNTIF($J$18:$J$116,M11)</f>
        <v>1</v>
      </c>
      <c r="P11" s="28"/>
      <c r="Q11" s="28"/>
      <c r="R11" s="28"/>
      <c r="S11" s="28"/>
      <c r="T11" s="28"/>
      <c r="U11" s="28"/>
      <c r="V11" s="28"/>
      <c r="W11" s="143"/>
      <c r="X11" s="142"/>
      <c r="Y11" s="144"/>
      <c r="Z11" s="145"/>
      <c r="AA11" s="145"/>
      <c r="AB11" s="145"/>
      <c r="AC11" s="145"/>
      <c r="AD11" s="145"/>
      <c r="AE11" s="142"/>
      <c r="AF11" s="144"/>
      <c r="AG11" s="146"/>
      <c r="AH11" s="116"/>
      <c r="AI11" s="116"/>
      <c r="AL11" s="668" t="str">
        <f>'G-Assumptions'!F76</f>
        <v>Moderate</v>
      </c>
      <c r="AM11" s="121">
        <f>'G-Assumptions'!G76</f>
        <v>100000</v>
      </c>
      <c r="AN11" s="121">
        <f>'G-Assumptions'!H76</f>
        <v>200000</v>
      </c>
      <c r="AO11" s="77" t="str">
        <f t="shared" si="1"/>
        <v>Moderate</v>
      </c>
      <c r="AP11" s="668" t="str">
        <f>AL11</f>
        <v>Moderate</v>
      </c>
      <c r="AQ11" s="660">
        <f>'G-Assumptions'!I76</f>
        <v>0.5</v>
      </c>
      <c r="AR11" s="660">
        <f>'G-Assumptions'!J76</f>
        <v>0.75</v>
      </c>
      <c r="AS11" s="77" t="str">
        <f t="shared" si="2"/>
        <v>Moderate</v>
      </c>
    </row>
    <row r="12" spans="1:76" x14ac:dyDescent="0.35">
      <c r="A12" s="137"/>
      <c r="B12" s="137"/>
      <c r="C12" s="117"/>
      <c r="D12" s="118"/>
      <c r="E12" s="949"/>
      <c r="F12" s="155" t="str">
        <f>'G-Assumptions'!D10</f>
        <v>Possible</v>
      </c>
      <c r="G12" s="156" t="s">
        <v>704</v>
      </c>
      <c r="H12" s="157" t="s">
        <v>704</v>
      </c>
      <c r="I12" s="157" t="s">
        <v>703</v>
      </c>
      <c r="J12" s="157" t="s">
        <v>703</v>
      </c>
      <c r="K12" s="158" t="s">
        <v>705</v>
      </c>
      <c r="L12" s="141"/>
      <c r="M12" s="772" t="s">
        <v>704</v>
      </c>
      <c r="N12" s="524">
        <f>COUNTIF($H$18:$H$116,M12)</f>
        <v>0</v>
      </c>
      <c r="O12" s="778">
        <f>COUNTIF($J$18:$J$116,M12)</f>
        <v>0</v>
      </c>
      <c r="P12" s="28"/>
      <c r="Q12" s="28"/>
      <c r="R12" s="28"/>
      <c r="S12" s="28"/>
      <c r="T12" s="28"/>
      <c r="U12" s="28"/>
      <c r="V12" s="28"/>
      <c r="W12" s="142"/>
      <c r="X12" s="142"/>
      <c r="Y12" s="144"/>
      <c r="Z12" s="145"/>
      <c r="AA12" s="145"/>
      <c r="AB12" s="145"/>
      <c r="AC12" s="145"/>
      <c r="AD12" s="145"/>
      <c r="AE12" s="142"/>
      <c r="AF12" s="144"/>
      <c r="AG12" s="146"/>
      <c r="AH12" s="116"/>
      <c r="AI12" s="116"/>
      <c r="AL12" s="667" t="str">
        <f>'G-Assumptions'!F77</f>
        <v>Significant</v>
      </c>
      <c r="AM12" s="120">
        <f>'G-Assumptions'!G77</f>
        <v>200000</v>
      </c>
      <c r="AN12" s="120">
        <f>'G-Assumptions'!H77</f>
        <v>400000</v>
      </c>
      <c r="AO12" s="77" t="str">
        <f t="shared" si="1"/>
        <v>Significant</v>
      </c>
      <c r="AP12" s="667" t="str">
        <f>AL12</f>
        <v>Significant</v>
      </c>
      <c r="AQ12" s="659">
        <f>'G-Assumptions'!I77</f>
        <v>0.75</v>
      </c>
      <c r="AR12" s="659">
        <f>'G-Assumptions'!J77</f>
        <v>1.25</v>
      </c>
      <c r="AS12" s="77" t="str">
        <f t="shared" si="2"/>
        <v>Significant</v>
      </c>
    </row>
    <row r="13" spans="1:76" ht="15" thickBot="1" x14ac:dyDescent="0.4">
      <c r="A13" s="137"/>
      <c r="B13" s="137"/>
      <c r="C13" s="117"/>
      <c r="D13" s="118"/>
      <c r="E13" s="945"/>
      <c r="F13" s="159" t="str">
        <f>'G-Assumptions'!D11</f>
        <v>Unlikely</v>
      </c>
      <c r="G13" s="160" t="s">
        <v>704</v>
      </c>
      <c r="H13" s="161" t="s">
        <v>704</v>
      </c>
      <c r="I13" s="161" t="s">
        <v>704</v>
      </c>
      <c r="J13" s="161" t="s">
        <v>703</v>
      </c>
      <c r="K13" s="162" t="s">
        <v>703</v>
      </c>
      <c r="L13" s="141"/>
      <c r="M13" s="160" t="s">
        <v>944</v>
      </c>
      <c r="N13" s="779">
        <f>COUNTIF($H$18:$H$116,M13)</f>
        <v>98</v>
      </c>
      <c r="O13" s="780">
        <f>COUNTIF($J$18:$J$116,M13)</f>
        <v>98</v>
      </c>
      <c r="P13" s="141"/>
      <c r="Q13" s="141"/>
      <c r="R13" s="142"/>
      <c r="S13" s="143"/>
      <c r="T13" s="143"/>
      <c r="U13" s="143"/>
      <c r="V13" s="142"/>
      <c r="W13" s="142"/>
      <c r="X13" s="142"/>
      <c r="Y13" s="144"/>
      <c r="Z13" s="145"/>
      <c r="AA13" s="145"/>
      <c r="AB13" s="145"/>
      <c r="AC13" s="145"/>
      <c r="AD13" s="145"/>
      <c r="AE13" s="142"/>
      <c r="AF13" s="144"/>
      <c r="AG13" s="146"/>
      <c r="AH13" s="116"/>
      <c r="AI13" s="116"/>
      <c r="AL13" s="669" t="str">
        <f>'G-Assumptions'!F78</f>
        <v>Critical</v>
      </c>
      <c r="AM13" s="122">
        <f>'G-Assumptions'!G78</f>
        <v>400000</v>
      </c>
      <c r="AN13" s="122" t="str">
        <f>'G-Assumptions'!H78</f>
        <v>∞</v>
      </c>
      <c r="AO13" s="77" t="str">
        <f t="shared" si="1"/>
        <v>Critical</v>
      </c>
      <c r="AP13" s="669" t="str">
        <f>AL13</f>
        <v>Critical</v>
      </c>
      <c r="AQ13" s="661">
        <f>'G-Assumptions'!I78</f>
        <v>1.25</v>
      </c>
      <c r="AR13" s="661" t="str">
        <f>'G-Assumptions'!J78</f>
        <v>∞</v>
      </c>
      <c r="AS13" s="77" t="str">
        <f t="shared" si="2"/>
        <v>Critical</v>
      </c>
    </row>
    <row r="14" spans="1:76" ht="15" thickBot="1" x14ac:dyDescent="0.4">
      <c r="A14" s="137"/>
      <c r="B14" s="137"/>
      <c r="C14" s="117"/>
      <c r="D14" s="118"/>
      <c r="E14" s="141"/>
      <c r="F14" s="141"/>
      <c r="G14" s="141"/>
      <c r="H14" s="141"/>
      <c r="I14" s="141"/>
      <c r="J14" s="141"/>
      <c r="K14" s="141"/>
      <c r="L14" s="141"/>
      <c r="M14" s="141"/>
      <c r="N14" s="28"/>
      <c r="O14" s="28"/>
      <c r="P14" s="796"/>
      <c r="Q14" s="797"/>
      <c r="R14" s="797"/>
      <c r="S14" s="797"/>
      <c r="T14" s="796"/>
      <c r="U14" s="796"/>
      <c r="V14" s="473"/>
      <c r="W14" s="473"/>
      <c r="X14" s="142"/>
      <c r="Y14" s="144"/>
      <c r="Z14" s="145"/>
      <c r="AA14" s="145"/>
      <c r="AB14" s="145"/>
      <c r="AC14" s="145"/>
      <c r="AD14" s="145"/>
      <c r="AE14" s="142"/>
      <c r="AF14" s="144"/>
      <c r="AG14" s="146"/>
      <c r="AH14" s="116"/>
      <c r="AI14" s="116"/>
    </row>
    <row r="15" spans="1:76" ht="15" thickBot="1" x14ac:dyDescent="0.4">
      <c r="A15" s="428" t="str">
        <f>'D-Project Data'!C9&amp;" - "&amp;'D-Project Data'!C11</f>
        <v>Project Name - Select From List</v>
      </c>
      <c r="B15" s="429"/>
      <c r="C15" s="429"/>
      <c r="D15" s="429"/>
      <c r="E15" s="429"/>
      <c r="F15" s="429"/>
      <c r="G15" s="429"/>
      <c r="H15" s="429"/>
      <c r="I15" s="429"/>
      <c r="J15" s="429"/>
      <c r="K15" s="430"/>
      <c r="L15" s="430"/>
      <c r="M15" s="430"/>
      <c r="N15" s="430"/>
      <c r="O15" s="431"/>
      <c r="P15" s="922"/>
      <c r="Q15" s="922"/>
      <c r="R15" s="922"/>
      <c r="S15" s="925"/>
      <c r="T15" s="925"/>
      <c r="U15" s="925"/>
      <c r="V15" s="924"/>
      <c r="W15" s="924"/>
      <c r="X15" s="924"/>
      <c r="Y15" s="432"/>
      <c r="Z15" s="433"/>
      <c r="AA15" s="433"/>
      <c r="AB15" s="433"/>
      <c r="AC15" s="433"/>
      <c r="AD15" s="433"/>
      <c r="AE15" s="434" t="s">
        <v>659</v>
      </c>
      <c r="AF15" s="432"/>
      <c r="AG15" s="434" t="s">
        <v>659</v>
      </c>
      <c r="AH15" s="434" t="s">
        <v>659</v>
      </c>
      <c r="AI15" s="434"/>
      <c r="AJ15" s="8"/>
      <c r="AK15" s="532"/>
      <c r="AL15" s="533"/>
      <c r="AM15" s="533"/>
      <c r="AN15" s="533"/>
      <c r="AO15" s="533"/>
      <c r="AP15" s="533"/>
      <c r="AQ15" s="533"/>
      <c r="AR15" s="530"/>
      <c r="AS15" s="531"/>
      <c r="AU15" s="434"/>
      <c r="AV15" s="434"/>
      <c r="AW15" s="434"/>
      <c r="AX15" s="434"/>
      <c r="AY15" s="434"/>
      <c r="AZ15" s="434"/>
      <c r="BA15" s="434"/>
      <c r="BB15" s="434"/>
      <c r="BC15" s="434"/>
      <c r="BD15" s="434"/>
      <c r="BE15" s="434"/>
      <c r="BF15" s="434"/>
      <c r="BG15" s="434"/>
      <c r="BH15" s="434"/>
      <c r="BI15" s="434"/>
      <c r="BJ15" s="434"/>
      <c r="BK15" s="434"/>
      <c r="BL15" s="434"/>
      <c r="BM15" s="434"/>
      <c r="BN15" s="434"/>
      <c r="BO15" s="434"/>
      <c r="BP15" s="434"/>
      <c r="BQ15" s="434"/>
      <c r="BR15" s="434"/>
      <c r="BS15" s="434"/>
      <c r="BT15" s="434"/>
      <c r="BU15" s="434"/>
      <c r="BV15" s="434"/>
      <c r="BW15" s="434"/>
      <c r="BX15" s="435"/>
    </row>
    <row r="16" spans="1:76" ht="15" thickBot="1" x14ac:dyDescent="0.4">
      <c r="A16" s="939">
        <f>'D-Project Data'!C13</f>
        <v>45200</v>
      </c>
      <c r="B16" s="940"/>
      <c r="C16" s="940"/>
      <c r="D16" s="940"/>
      <c r="E16" s="940"/>
      <c r="F16" s="940"/>
      <c r="G16" s="928" t="s">
        <v>729</v>
      </c>
      <c r="H16" s="928"/>
      <c r="I16" s="928" t="s">
        <v>809</v>
      </c>
      <c r="J16" s="928"/>
      <c r="K16" s="928" t="s">
        <v>808</v>
      </c>
      <c r="L16" s="928"/>
      <c r="M16" s="928"/>
      <c r="N16" s="928"/>
      <c r="O16" s="928"/>
      <c r="P16" s="923" t="s">
        <v>688</v>
      </c>
      <c r="Q16" s="923"/>
      <c r="R16" s="923"/>
      <c r="S16" s="930" t="s">
        <v>687</v>
      </c>
      <c r="T16" s="931"/>
      <c r="U16" s="931"/>
      <c r="V16" s="932" t="s">
        <v>994</v>
      </c>
      <c r="W16" s="933"/>
      <c r="X16" s="933"/>
      <c r="Y16" s="934" t="s">
        <v>995</v>
      </c>
      <c r="Z16" s="934"/>
      <c r="AA16" s="934" t="s">
        <v>996</v>
      </c>
      <c r="AB16" s="934"/>
      <c r="AC16" s="934"/>
      <c r="AD16" s="934"/>
      <c r="AE16" s="934"/>
      <c r="AF16" s="928" t="s">
        <v>997</v>
      </c>
      <c r="AG16" s="928"/>
      <c r="AH16" s="931" t="s">
        <v>999</v>
      </c>
      <c r="AI16" s="935"/>
      <c r="AJ16" s="8"/>
      <c r="AK16" s="871" t="s">
        <v>1000</v>
      </c>
      <c r="AL16" s="872"/>
      <c r="AM16" s="872"/>
      <c r="AN16" s="872"/>
      <c r="AO16" s="872"/>
      <c r="AP16" s="872"/>
      <c r="AQ16" s="873"/>
      <c r="AR16" s="920" t="s">
        <v>1002</v>
      </c>
      <c r="AS16" s="921"/>
      <c r="AU16" s="919" t="s">
        <v>1003</v>
      </c>
      <c r="AV16" s="919"/>
      <c r="AW16" s="919"/>
      <c r="AX16" s="919"/>
      <c r="AY16" s="919"/>
      <c r="AZ16" s="919"/>
      <c r="BA16" s="919"/>
      <c r="BB16" s="919" t="s">
        <v>1004</v>
      </c>
      <c r="BC16" s="919"/>
      <c r="BD16" s="919"/>
      <c r="BE16" s="919"/>
      <c r="BF16" s="919"/>
      <c r="BG16" s="919"/>
      <c r="BH16" s="919"/>
      <c r="BI16" s="919" t="s">
        <v>1005</v>
      </c>
      <c r="BJ16" s="919"/>
      <c r="BK16" s="919"/>
      <c r="BL16" s="919"/>
      <c r="BM16" s="919"/>
      <c r="BN16" s="919" t="s">
        <v>1006</v>
      </c>
      <c r="BO16" s="919"/>
      <c r="BP16" s="919"/>
      <c r="BQ16" s="919"/>
      <c r="BR16" s="919"/>
      <c r="BS16" s="919" t="s">
        <v>1007</v>
      </c>
      <c r="BT16" s="919"/>
      <c r="BU16" s="919"/>
      <c r="BV16" s="919"/>
      <c r="BW16" s="919"/>
      <c r="BX16" s="919"/>
    </row>
    <row r="17" spans="1:76" ht="58.5" thickBot="1" x14ac:dyDescent="0.4">
      <c r="A17" s="342" t="s">
        <v>807</v>
      </c>
      <c r="B17" s="343" t="s">
        <v>806</v>
      </c>
      <c r="C17" s="343" t="s">
        <v>476</v>
      </c>
      <c r="D17" s="343" t="s">
        <v>805</v>
      </c>
      <c r="E17" s="343" t="s">
        <v>1259</v>
      </c>
      <c r="F17" s="343" t="s">
        <v>700</v>
      </c>
      <c r="G17" s="343" t="s">
        <v>804</v>
      </c>
      <c r="H17" s="343" t="s">
        <v>803</v>
      </c>
      <c r="I17" s="343" t="s">
        <v>802</v>
      </c>
      <c r="J17" s="343" t="s">
        <v>801</v>
      </c>
      <c r="K17" s="343" t="s">
        <v>800</v>
      </c>
      <c r="L17" s="343" t="s">
        <v>799</v>
      </c>
      <c r="M17" s="343" t="s">
        <v>798</v>
      </c>
      <c r="N17" s="343" t="s">
        <v>797</v>
      </c>
      <c r="O17" s="343" t="s">
        <v>796</v>
      </c>
      <c r="P17" s="808" t="s">
        <v>816</v>
      </c>
      <c r="Q17" s="808" t="s">
        <v>795</v>
      </c>
      <c r="R17" s="808" t="s">
        <v>817</v>
      </c>
      <c r="S17" s="809" t="s">
        <v>818</v>
      </c>
      <c r="T17" s="809" t="s">
        <v>794</v>
      </c>
      <c r="U17" s="809" t="s">
        <v>819</v>
      </c>
      <c r="V17" s="808" t="s">
        <v>820</v>
      </c>
      <c r="W17" s="808" t="s">
        <v>821</v>
      </c>
      <c r="X17" s="808" t="s">
        <v>822</v>
      </c>
      <c r="Y17" s="345" t="s">
        <v>826</v>
      </c>
      <c r="Z17" s="346" t="s">
        <v>793</v>
      </c>
      <c r="AA17" s="344" t="s">
        <v>823</v>
      </c>
      <c r="AB17" s="344" t="s">
        <v>824</v>
      </c>
      <c r="AC17" s="344" t="s">
        <v>825</v>
      </c>
      <c r="AD17" s="805" t="s">
        <v>792</v>
      </c>
      <c r="AE17" s="344" t="s">
        <v>1260</v>
      </c>
      <c r="AF17" s="806" t="s">
        <v>791</v>
      </c>
      <c r="AG17" s="347" t="s">
        <v>1261</v>
      </c>
      <c r="AH17" s="347" t="s">
        <v>790</v>
      </c>
      <c r="AI17" s="348" t="s">
        <v>789</v>
      </c>
      <c r="AJ17" s="76"/>
      <c r="AK17" s="314" t="s">
        <v>1001</v>
      </c>
      <c r="AL17" s="351" t="s">
        <v>1262</v>
      </c>
      <c r="AM17" s="351" t="s">
        <v>788</v>
      </c>
      <c r="AN17" s="351" t="s">
        <v>814</v>
      </c>
      <c r="AO17" s="351" t="s">
        <v>787</v>
      </c>
      <c r="AP17" s="351" t="s">
        <v>722</v>
      </c>
      <c r="AQ17" s="351" t="s">
        <v>723</v>
      </c>
      <c r="AR17" s="351" t="s">
        <v>786</v>
      </c>
      <c r="AS17" s="352" t="s">
        <v>785</v>
      </c>
      <c r="AU17" s="314" t="s">
        <v>784</v>
      </c>
      <c r="AV17" s="351" t="s">
        <v>783</v>
      </c>
      <c r="AW17" s="351" t="s">
        <v>782</v>
      </c>
      <c r="AX17" s="351" t="s">
        <v>781</v>
      </c>
      <c r="AY17" s="351" t="s">
        <v>780</v>
      </c>
      <c r="AZ17" s="351" t="s">
        <v>779</v>
      </c>
      <c r="BA17" s="351" t="s">
        <v>778</v>
      </c>
      <c r="BB17" s="351" t="s">
        <v>777</v>
      </c>
      <c r="BC17" s="351" t="s">
        <v>776</v>
      </c>
      <c r="BD17" s="351" t="s">
        <v>775</v>
      </c>
      <c r="BE17" s="351" t="s">
        <v>774</v>
      </c>
      <c r="BF17" s="351" t="s">
        <v>773</v>
      </c>
      <c r="BG17" s="351" t="s">
        <v>772</v>
      </c>
      <c r="BH17" s="351" t="s">
        <v>771</v>
      </c>
      <c r="BI17" s="351" t="str">
        <f>"ABS Value Cost Risk @ "&amp;TEXT('D-Project Data'!$C$6,"0%")</f>
        <v>ABS Value Cost Risk @ 80%</v>
      </c>
      <c r="BJ17" s="351" t="str">
        <f>"Cost Risk Rank @ "&amp;TEXT('D-Project Data'!$C$6,"0%")</f>
        <v>Cost Risk Rank @ 80%</v>
      </c>
      <c r="BK17" s="351" t="s">
        <v>770</v>
      </c>
      <c r="BL17" s="351" t="s">
        <v>769</v>
      </c>
      <c r="BM17" s="351" t="s">
        <v>768</v>
      </c>
      <c r="BN17" s="351" t="str">
        <f>"ABS Value Schedule Risk @ "&amp;TEXT('D-Project Data'!$C$6,"0%")</f>
        <v>ABS Value Schedule Risk @ 80%</v>
      </c>
      <c r="BO17" s="351" t="str">
        <f>"Schedule Risk Rank @ "&amp;TEXT('D-Project Data'!$C$6,"0%")</f>
        <v>Schedule Risk Rank @ 80%</v>
      </c>
      <c r="BP17" s="351" t="s">
        <v>767</v>
      </c>
      <c r="BQ17" s="351" t="s">
        <v>766</v>
      </c>
      <c r="BR17" s="351" t="s">
        <v>765</v>
      </c>
      <c r="BS17" s="351" t="s">
        <v>764</v>
      </c>
      <c r="BT17" s="351" t="s">
        <v>763</v>
      </c>
      <c r="BU17" s="351" t="s">
        <v>762</v>
      </c>
      <c r="BV17" s="351" t="s">
        <v>761</v>
      </c>
      <c r="BW17" s="351" t="s">
        <v>760</v>
      </c>
      <c r="BX17" s="352" t="s">
        <v>759</v>
      </c>
    </row>
    <row r="18" spans="1:76" ht="87" x14ac:dyDescent="0.35">
      <c r="A18" s="163">
        <v>1</v>
      </c>
      <c r="B18" s="758" t="s">
        <v>743</v>
      </c>
      <c r="C18" s="760" t="s">
        <v>1299</v>
      </c>
      <c r="D18" s="760" t="s">
        <v>1342</v>
      </c>
      <c r="E18" s="760" t="s">
        <v>1345</v>
      </c>
      <c r="F18" s="759" t="s">
        <v>695</v>
      </c>
      <c r="G18" s="759" t="s">
        <v>710</v>
      </c>
      <c r="H18" s="157" t="str">
        <f>IFERROR(IF('H-Risk Register-Model'!F18="Certain","Relook at Basis of Estimate",INDEX('G-Assumptions'!$F$8:$J$11,MATCH(F18,'G-Assumptions'!$D$8:$D$11,0),MATCH(G18,'G-Assumptions'!$F$6:$J$6,0))),"Unrated")</f>
        <v>Medium</v>
      </c>
      <c r="I18" s="759" t="s">
        <v>709</v>
      </c>
      <c r="J18" s="157" t="str">
        <f>IFERROR(IF('H-Risk Register-Model'!F18="Certain","Relook at Basis of Estimate",INDEX('G-Assumptions'!$F$8:$J$11,MATCH(F18,'G-Assumptions'!$D$8:$D$11,0),MATCH(I18,'G-Assumptions'!$F$6:$J$6,0))),"Unrated")</f>
        <v>Medium</v>
      </c>
      <c r="K18" s="759" t="s">
        <v>1297</v>
      </c>
      <c r="L18" s="759" t="s">
        <v>1297</v>
      </c>
      <c r="M18" s="759"/>
      <c r="N18" s="763" t="s">
        <v>728</v>
      </c>
      <c r="O18" s="763" t="s">
        <v>728</v>
      </c>
      <c r="P18" s="764">
        <v>-100000</v>
      </c>
      <c r="Q18" s="764">
        <v>0</v>
      </c>
      <c r="R18" s="764">
        <v>3000000</v>
      </c>
      <c r="S18" s="765">
        <v>-1</v>
      </c>
      <c r="T18" s="765">
        <v>0</v>
      </c>
      <c r="U18" s="765">
        <v>6</v>
      </c>
      <c r="V18" s="764">
        <v>-150000</v>
      </c>
      <c r="W18" s="764">
        <v>0</v>
      </c>
      <c r="X18" s="764">
        <v>300000</v>
      </c>
      <c r="Y18" s="767">
        <v>1</v>
      </c>
      <c r="Z18" s="770">
        <v>1</v>
      </c>
      <c r="AA18" s="166">
        <f t="shared" ref="AA18:AA46" si="3">P18+V18</f>
        <v>-250000</v>
      </c>
      <c r="AB18" s="166">
        <f t="shared" ref="AB18:AB46" si="4">Q18+W18</f>
        <v>0</v>
      </c>
      <c r="AC18" s="166">
        <f>R18+X18</f>
        <v>3300000</v>
      </c>
      <c r="AD18" s="807">
        <v>0</v>
      </c>
      <c r="AE18" s="164">
        <f t="shared" ref="AE18:AE46" si="5">AD18*Z18</f>
        <v>0</v>
      </c>
      <c r="AF18" s="810">
        <v>0</v>
      </c>
      <c r="AG18" s="165">
        <f t="shared" ref="AG18:AG46" si="6">AF18*Z18</f>
        <v>0</v>
      </c>
      <c r="AH18" s="760" t="s">
        <v>1341</v>
      </c>
      <c r="AI18" s="760" t="s">
        <v>1340</v>
      </c>
      <c r="AJ18" s="8"/>
      <c r="AK18" s="524" t="str">
        <f t="shared" ref="AK18:AK46" si="7">IF(OR(H18="Medium",H18="High",J18="Medium",J18="High"),"Yes","No")</f>
        <v>Yes</v>
      </c>
      <c r="AL18" s="525">
        <f>'I-Project Contingency'!$I$4</f>
        <v>7250000</v>
      </c>
      <c r="AM18" s="350">
        <f>'I-Project Contingency'!$I$11</f>
        <v>12</v>
      </c>
      <c r="AN18" s="349">
        <f t="shared" ref="AN18:AN79" si="8">IF(B18="","",MAX(ABS(AA18),ABS(AB18),ABS(AC18)))</f>
        <v>3300000</v>
      </c>
      <c r="AO18" s="350">
        <f t="shared" ref="AO18:AO79" si="9">IF(B18="","",MAX(ABS(S18),ABS(T18),ABS(U18)))</f>
        <v>6</v>
      </c>
      <c r="AP18" s="672" t="str">
        <f>IF(H18="Unrated","",IF(AND(H18="Low",AN18=0),G18,IF(ISNUMBER(AN18),IF(AND(AN18&gt;=VLOOKUP(G18,$AL$9:$AN$13,2,FALSE),AN18&lt;=VLOOKUP(G18,$AL$9:$AN$13,3,FALSE)),G18,VLOOKUP(AN18,$AM$9:$AO$13,3,TRUE)),G18)))</f>
        <v>Critical</v>
      </c>
      <c r="AQ18" s="672" t="str">
        <f>IF(J18="Unrated","",IF(AND(J18="Low",AO18=0),I18,IF(ISNUMBER(AO18),IF(AND(AO18&gt;=VLOOKUP(I18,$AP$9:$AR$13,2,FALSE),AO18&lt;=VLOOKUP(I18,$AP$9:$AR$13,3,FALSE)),I18,VLOOKUP(AO18,$AQ$9:$AS$13,3,TRUE)),I18)))</f>
        <v>Critical</v>
      </c>
      <c r="AR18" s="526" t="str">
        <f t="shared" ref="AR18" si="10">IF(AP18="","",IF(B18="","",IF(G18=AP18,"","Check Impact")))</f>
        <v>Check Impact</v>
      </c>
      <c r="AS18" s="526" t="str">
        <f>IF(AQ18="","",IF(B18="","",IF(I18=AQ18,"","Check Impact")))</f>
        <v>Check Impact</v>
      </c>
      <c r="AT18" s="8"/>
      <c r="AU18" s="353">
        <f>'I-Project Contingency'!$O$4-AE18</f>
        <v>0</v>
      </c>
      <c r="AV18" s="354">
        <v>0</v>
      </c>
      <c r="AW18" s="354">
        <v>0</v>
      </c>
      <c r="AX18" s="354">
        <v>0</v>
      </c>
      <c r="AY18" s="354">
        <f>'I-Project Contingency'!$E$66-AV18</f>
        <v>1687645.9248406207</v>
      </c>
      <c r="AZ18" s="354">
        <f>'I-Project Contingency'!$E$69-AW18</f>
        <v>3291004.7254658043</v>
      </c>
      <c r="BA18" s="354">
        <f>'I-Project Contingency'!$E$70-AX18</f>
        <v>4159167.8232088853</v>
      </c>
      <c r="BB18" s="355">
        <f>'I-Project Contingency'!$O$5-AG18</f>
        <v>0</v>
      </c>
      <c r="BC18" s="356">
        <v>0</v>
      </c>
      <c r="BD18" s="356">
        <v>0</v>
      </c>
      <c r="BE18" s="357">
        <v>0</v>
      </c>
      <c r="BF18" s="356">
        <f>'I-Project Contingency'!$E$81-BC18</f>
        <v>2.9615115956254372</v>
      </c>
      <c r="BG18" s="356">
        <f>'I-Project Contingency'!$E$84-BD18</f>
        <v>6.001919642116226</v>
      </c>
      <c r="BH18" s="356">
        <f>'I-Project Contingency'!$E$85-BE18</f>
        <v>7.5913096572662919</v>
      </c>
      <c r="BI18" s="358">
        <f>IF(BK18="N/A","N/A",IF('D-Project Data'!$C$6=50%,ABS(BK18),IF('D-Project Data'!$C$6=80%,ABS(BL18),IF('D-Project Data'!$C$6=90%,ABS(BM18)))))</f>
        <v>3335000</v>
      </c>
      <c r="BJ18" s="359">
        <f>IF(BI18="N/A","N/A",RANK(BI18,$BI$18:$BI$116,0)+COUNTIF($BI$18:BI18,BI18)-1)</f>
        <v>1</v>
      </c>
      <c r="BK18" s="358">
        <f>IF(AY18/SUM(AY:AY)*'I-Project Contingency'!$F$66=0,0,AY18/SUM(AY:AY)*'I-Project Contingency'!$F$66)</f>
        <v>1740000.0000000002</v>
      </c>
      <c r="BL18" s="358">
        <f>IF(AZ18/SUM(AZ:AZ)*'I-Project Contingency'!$F$69=0,0,AZ18/SUM(AZ:AZ)*'I-Project Contingency'!$F$69)</f>
        <v>3335000</v>
      </c>
      <c r="BM18" s="358">
        <f>IF(BA18/SUM(BA:BA)*'I-Project Contingency'!$F$70=0,0,BA18/SUM(BA:BA)*'I-Project Contingency'!$F$70)</f>
        <v>4205000</v>
      </c>
      <c r="BN18" s="357">
        <f>IF(BP18="N/A","N/A",IF('D-Project Data'!$C$6=50%,ABS(BP18),IF('D-Project Data'!$C$6=80%,ABS(BQ18),IF('D-Project Data'!$C$6=90%,ABS(BR18)))))</f>
        <v>6.12</v>
      </c>
      <c r="BO18" s="359">
        <f>IF(BN18="N/A","N/A",RANK(BN18,$BN$18:$BN$116,0)+COUNTIF($BN$18:BN18,BN18)-1)</f>
        <v>1</v>
      </c>
      <c r="BP18" s="357">
        <f>IF(BF18/SUM(BF:BF)*'I-Project Contingency'!$F$81=0,0,BF18/SUM(BF:BF)*'I-Project Contingency'!$F$81)</f>
        <v>3</v>
      </c>
      <c r="BQ18" s="357">
        <f>IF(BG18/SUM(BG:BG)*'I-Project Contingency'!$F$84=0,0,BG18/SUM(BG:BG)*'I-Project Contingency'!$F$84)</f>
        <v>6.12</v>
      </c>
      <c r="BR18" s="357">
        <f>IF(BH18/SUM(BH:BH)*'I-Project Contingency'!$F$85=0,0,BH18/SUM(BH:BH)*'I-Project Contingency'!$F$85)</f>
        <v>7.68</v>
      </c>
      <c r="BS18" s="359">
        <f t="shared" ref="BS18:BS46" si="11">A18</f>
        <v>1</v>
      </c>
      <c r="BT18" s="360" t="str">
        <f t="shared" ref="BT18:BT46" si="12">A18&amp;" - "&amp;C18</f>
        <v>1 - PLEASE TYPE FIRST RISK OVER THE TOP OF THIS ONE</v>
      </c>
      <c r="BU18" s="354">
        <f t="shared" ref="BU18:BU46" si="13">AA18</f>
        <v>-250000</v>
      </c>
      <c r="BV18" s="354">
        <f t="shared" ref="BV18:BV46" si="14">AC18</f>
        <v>3300000</v>
      </c>
      <c r="BW18" s="356">
        <f t="shared" ref="BW18:BW46" si="15">IFERROR(S18,0)</f>
        <v>-1</v>
      </c>
      <c r="BX18" s="356">
        <f t="shared" ref="BX18:BX46" si="16">IFERROR(U18,0)</f>
        <v>6</v>
      </c>
    </row>
    <row r="19" spans="1:76" ht="29" x14ac:dyDescent="0.35">
      <c r="A19" s="163">
        <f>A18+1</f>
        <v>2</v>
      </c>
      <c r="B19" s="758" t="s">
        <v>728</v>
      </c>
      <c r="C19" s="760" t="s">
        <v>659</v>
      </c>
      <c r="D19" s="760" t="s">
        <v>659</v>
      </c>
      <c r="E19" s="760"/>
      <c r="F19" s="759" t="s">
        <v>728</v>
      </c>
      <c r="G19" s="759" t="s">
        <v>728</v>
      </c>
      <c r="H19" s="157" t="str">
        <f>IFERROR(IF('H-Risk Register-Model'!F19="Certain","Relook at Basis of Estimate",INDEX('G-Assumptions'!$F$8:$J$11,MATCH(F19,'G-Assumptions'!$D$8:$D$11,0),MATCH(G19,'G-Assumptions'!$F$6:$J$6,0))),"Unrated")</f>
        <v>Unrated</v>
      </c>
      <c r="I19" s="759" t="s">
        <v>728</v>
      </c>
      <c r="J19" s="157" t="str">
        <f>IFERROR(IF('H-Risk Register-Model'!F19="Certain","Relook at Basis of Estimate",INDEX('G-Assumptions'!$F$8:$J$11,MATCH(F19,'G-Assumptions'!$D$8:$D$11,0),MATCH(I19,'G-Assumptions'!$F$6:$J$6,0))),"Unrated")</f>
        <v>Unrated</v>
      </c>
      <c r="K19" s="759" t="s">
        <v>728</v>
      </c>
      <c r="L19" s="759" t="s">
        <v>728</v>
      </c>
      <c r="M19" s="759"/>
      <c r="N19" s="763" t="s">
        <v>728</v>
      </c>
      <c r="O19" s="763" t="s">
        <v>728</v>
      </c>
      <c r="P19" s="764"/>
      <c r="Q19" s="764"/>
      <c r="R19" s="764"/>
      <c r="S19" s="765"/>
      <c r="T19" s="765"/>
      <c r="U19" s="765"/>
      <c r="V19" s="766"/>
      <c r="W19" s="766"/>
      <c r="X19" s="764"/>
      <c r="Y19" s="767">
        <v>1</v>
      </c>
      <c r="Z19" s="770">
        <v>1</v>
      </c>
      <c r="AA19" s="166">
        <f t="shared" si="3"/>
        <v>0</v>
      </c>
      <c r="AB19" s="166">
        <f t="shared" si="4"/>
        <v>0</v>
      </c>
      <c r="AC19" s="166">
        <f t="shared" ref="AC19:AC46" si="17">R19+X19</f>
        <v>0</v>
      </c>
      <c r="AD19" s="166"/>
      <c r="AE19" s="164">
        <f t="shared" si="5"/>
        <v>0</v>
      </c>
      <c r="AF19" s="167"/>
      <c r="AG19" s="165">
        <f t="shared" si="6"/>
        <v>0</v>
      </c>
      <c r="AH19" s="760"/>
      <c r="AI19" s="760"/>
      <c r="AJ19" s="8"/>
      <c r="AK19" s="524" t="str">
        <f t="shared" si="7"/>
        <v>No</v>
      </c>
      <c r="AL19" s="525">
        <f>'I-Project Contingency'!$I$4</f>
        <v>7250000</v>
      </c>
      <c r="AM19" s="350">
        <f>'I-Project Contingency'!$I$11</f>
        <v>12</v>
      </c>
      <c r="AN19" s="349">
        <f t="shared" si="8"/>
        <v>0</v>
      </c>
      <c r="AO19" s="350">
        <f t="shared" si="9"/>
        <v>0</v>
      </c>
      <c r="AP19" s="672" t="str">
        <f t="shared" ref="AP19:AP82" si="18">IF(H19="Unrated","",IF(AND(H19="Low",AN19=0),G19,IF(ISNUMBER(AN19),IF(AND(AN19&gt;=VLOOKUP(G19,$AL$9:$AN$13,2,FALSE),AN19&lt;=VLOOKUP(G19,$AL$9:$AN$13,3,FALSE)),G19,VLOOKUP(AN19,$AM$9:$AO$13,3,TRUE)),G19)))</f>
        <v/>
      </c>
      <c r="AQ19" s="672" t="str">
        <f t="shared" ref="AQ19:AQ82" si="19">IF(J19="Unrated","",IF(AND(J19="Low",AO19=0),I19,IF(ISNUMBER(AO19),IF(AND(AO19&gt;=VLOOKUP(I19,$AP$9:$AR$13,2,FALSE),AO19&lt;=VLOOKUP(I19,$AP$9:$AR$13,3,FALSE)),I19,VLOOKUP(AO19,$AQ$9:$AS$13,3,TRUE)),I19)))</f>
        <v/>
      </c>
      <c r="AR19" s="526" t="str">
        <f>IF(AP19="","",IF(B19="","",IF(G19=AP19,"","Check Impact")))</f>
        <v/>
      </c>
      <c r="AS19" s="526" t="str">
        <f t="shared" ref="AS19:AS82" si="20">IF(AQ19="","",IF(B19="","",IF(I19=AQ19,"","Check Impact")))</f>
        <v/>
      </c>
      <c r="AT19" s="8"/>
      <c r="AU19" s="353">
        <f>'I-Project Contingency'!$O$4-AE19</f>
        <v>0</v>
      </c>
      <c r="AV19" s="354">
        <v>1687645.9248406207</v>
      </c>
      <c r="AW19" s="354">
        <v>3291004.7254658043</v>
      </c>
      <c r="AX19" s="354">
        <v>4159167.8232088853</v>
      </c>
      <c r="AY19" s="354">
        <f>'I-Project Contingency'!$E$66-AV19</f>
        <v>0</v>
      </c>
      <c r="AZ19" s="354">
        <f>'I-Project Contingency'!$E$69-AW19</f>
        <v>0</v>
      </c>
      <c r="BA19" s="354">
        <f>'I-Project Contingency'!$E$70-AX19</f>
        <v>0</v>
      </c>
      <c r="BB19" s="355">
        <f>'I-Project Contingency'!$O$5-AG19</f>
        <v>0</v>
      </c>
      <c r="BC19" s="356">
        <v>2.9615115956254372</v>
      </c>
      <c r="BD19" s="356">
        <v>6.001919642116226</v>
      </c>
      <c r="BE19" s="357">
        <v>7.5913096572662919</v>
      </c>
      <c r="BF19" s="356">
        <f>'I-Project Contingency'!$E$81-BC19</f>
        <v>0</v>
      </c>
      <c r="BG19" s="356">
        <f>'I-Project Contingency'!$E$84-BD19</f>
        <v>0</v>
      </c>
      <c r="BH19" s="356">
        <f>'I-Project Contingency'!$E$85-BE19</f>
        <v>0</v>
      </c>
      <c r="BI19" s="358">
        <f>IF(BK19="N/A","N/A",IF('D-Project Data'!$C$6=50%,ABS(BK19),IF('D-Project Data'!$C$6=80%,ABS(BL19),IF('D-Project Data'!$C$6=90%,ABS(BM19)))))</f>
        <v>0</v>
      </c>
      <c r="BJ19" s="359">
        <f>IF(BI19="N/A","N/A",RANK(BI19,$BI$18:$BI$116,0)+COUNTIF($BI$18:BI19,BI19)-1)</f>
        <v>2</v>
      </c>
      <c r="BK19" s="358">
        <f>IF(AY19/SUM(AY:AY)*'I-Project Contingency'!$F$66=0,0,AY19/SUM(AY:AY)*'I-Project Contingency'!$F$66)</f>
        <v>0</v>
      </c>
      <c r="BL19" s="358">
        <f>IF(AZ19/SUM(AZ:AZ)*'I-Project Contingency'!$F$69=0,0,AZ19/SUM(AZ:AZ)*'I-Project Contingency'!$F$69)</f>
        <v>0</v>
      </c>
      <c r="BM19" s="358">
        <f>IF(BA19/SUM(BA:BA)*'I-Project Contingency'!$F$70=0,0,BA19/SUM(BA:BA)*'I-Project Contingency'!$F$70)</f>
        <v>0</v>
      </c>
      <c r="BN19" s="357">
        <f>IF(BP19="N/A","N/A",IF('D-Project Data'!$C$6=50%,ABS(BP19),IF('D-Project Data'!$C$6=80%,ABS(BQ19),IF('D-Project Data'!$C$6=90%,ABS(BR19)))))</f>
        <v>0</v>
      </c>
      <c r="BO19" s="359">
        <f>IF(BN19="N/A","N/A",RANK(BN19,$BN$18:$BN$116,0)+COUNTIF($BN$18:BN19,BN19)-1)</f>
        <v>2</v>
      </c>
      <c r="BP19" s="357">
        <f>IF(BF19/SUM(BF:BF)*'I-Project Contingency'!$F$81=0,0,BF19/SUM(BF:BF)*'I-Project Contingency'!$F$81)</f>
        <v>0</v>
      </c>
      <c r="BQ19" s="357">
        <f>IF(BG19/SUM(BG:BG)*'I-Project Contingency'!$F$84=0,0,BG19/SUM(BG:BG)*'I-Project Contingency'!$F$84)</f>
        <v>0</v>
      </c>
      <c r="BR19" s="357">
        <f>IF(BH19/SUM(BH:BH)*'I-Project Contingency'!$F$85=0,0,BH19/SUM(BH:BH)*'I-Project Contingency'!$F$85)</f>
        <v>0</v>
      </c>
      <c r="BS19" s="359">
        <f t="shared" si="11"/>
        <v>2</v>
      </c>
      <c r="BT19" s="360" t="str">
        <f t="shared" si="12"/>
        <v xml:space="preserve">2 -  </v>
      </c>
      <c r="BU19" s="354">
        <f t="shared" si="13"/>
        <v>0</v>
      </c>
      <c r="BV19" s="354">
        <f t="shared" si="14"/>
        <v>0</v>
      </c>
      <c r="BW19" s="356">
        <f t="shared" si="15"/>
        <v>0</v>
      </c>
      <c r="BX19" s="356">
        <f t="shared" si="16"/>
        <v>0</v>
      </c>
    </row>
    <row r="20" spans="1:76" ht="29" x14ac:dyDescent="0.35">
      <c r="A20" s="163">
        <f t="shared" ref="A20:A113" si="21">A19+1</f>
        <v>3</v>
      </c>
      <c r="B20" s="758" t="s">
        <v>728</v>
      </c>
      <c r="C20" s="760"/>
      <c r="D20" s="760"/>
      <c r="E20" s="760"/>
      <c r="F20" s="759" t="s">
        <v>728</v>
      </c>
      <c r="G20" s="759" t="s">
        <v>728</v>
      </c>
      <c r="H20" s="157" t="str">
        <f>IFERROR(IF('H-Risk Register-Model'!F20="Certain","Relook at Basis of Estimate",INDEX('G-Assumptions'!$F$8:$J$11,MATCH(F20,'G-Assumptions'!$D$8:$D$11,0),MATCH(G20,'G-Assumptions'!$F$6:$J$6,0))),"Unrated")</f>
        <v>Unrated</v>
      </c>
      <c r="I20" s="759" t="s">
        <v>728</v>
      </c>
      <c r="J20" s="157" t="str">
        <f>IFERROR(IF('H-Risk Register-Model'!F20="Certain","Relook at Basis of Estimate",INDEX('G-Assumptions'!$F$8:$J$11,MATCH(F20,'G-Assumptions'!$D$8:$D$11,0),MATCH(I20,'G-Assumptions'!$F$6:$J$6,0))),"Unrated")</f>
        <v>Unrated</v>
      </c>
      <c r="K20" s="759" t="s">
        <v>728</v>
      </c>
      <c r="L20" s="759" t="s">
        <v>728</v>
      </c>
      <c r="M20" s="759"/>
      <c r="N20" s="763" t="s">
        <v>728</v>
      </c>
      <c r="O20" s="763" t="s">
        <v>728</v>
      </c>
      <c r="P20" s="764"/>
      <c r="Q20" s="764"/>
      <c r="R20" s="764"/>
      <c r="S20" s="765"/>
      <c r="T20" s="765"/>
      <c r="U20" s="765"/>
      <c r="V20" s="766"/>
      <c r="W20" s="764"/>
      <c r="X20" s="764"/>
      <c r="Y20" s="767">
        <v>1</v>
      </c>
      <c r="Z20" s="770">
        <v>1</v>
      </c>
      <c r="AA20" s="166">
        <f t="shared" si="3"/>
        <v>0</v>
      </c>
      <c r="AB20" s="166">
        <f t="shared" si="4"/>
        <v>0</v>
      </c>
      <c r="AC20" s="166">
        <f t="shared" si="17"/>
        <v>0</v>
      </c>
      <c r="AD20" s="166"/>
      <c r="AE20" s="164">
        <f t="shared" si="5"/>
        <v>0</v>
      </c>
      <c r="AF20" s="167"/>
      <c r="AG20" s="165">
        <f t="shared" si="6"/>
        <v>0</v>
      </c>
      <c r="AH20" s="760"/>
      <c r="AI20" s="760"/>
      <c r="AJ20" s="8"/>
      <c r="AK20" s="524" t="str">
        <f t="shared" si="7"/>
        <v>No</v>
      </c>
      <c r="AL20" s="525">
        <f>'I-Project Contingency'!$I$4</f>
        <v>7250000</v>
      </c>
      <c r="AM20" s="350">
        <f>'I-Project Contingency'!$I$11</f>
        <v>12</v>
      </c>
      <c r="AN20" s="349">
        <f t="shared" si="8"/>
        <v>0</v>
      </c>
      <c r="AO20" s="350">
        <f t="shared" si="9"/>
        <v>0</v>
      </c>
      <c r="AP20" s="672" t="str">
        <f t="shared" si="18"/>
        <v/>
      </c>
      <c r="AQ20" s="672" t="str">
        <f t="shared" si="19"/>
        <v/>
      </c>
      <c r="AR20" s="526" t="str">
        <f t="shared" ref="AR20:AR83" si="22">IF(AP20="","",IF(B20="","",IF(G20=AP20,"","Check Impact")))</f>
        <v/>
      </c>
      <c r="AS20" s="526" t="str">
        <f t="shared" si="20"/>
        <v/>
      </c>
      <c r="AT20" s="8"/>
      <c r="AU20" s="353">
        <f>'I-Project Contingency'!$O$4-AE20</f>
        <v>0</v>
      </c>
      <c r="AV20" s="354">
        <v>1687645.9248406207</v>
      </c>
      <c r="AW20" s="354">
        <v>3291004.7254658043</v>
      </c>
      <c r="AX20" s="354">
        <v>4159167.8232088853</v>
      </c>
      <c r="AY20" s="354">
        <f>'I-Project Contingency'!$E$66-AV20</f>
        <v>0</v>
      </c>
      <c r="AZ20" s="354">
        <f>'I-Project Contingency'!$E$69-AW20</f>
        <v>0</v>
      </c>
      <c r="BA20" s="354">
        <f>'I-Project Contingency'!$E$70-AX20</f>
        <v>0</v>
      </c>
      <c r="BB20" s="355">
        <f>'I-Project Contingency'!$O$5-AG20</f>
        <v>0</v>
      </c>
      <c r="BC20" s="356">
        <v>2.9615115956254372</v>
      </c>
      <c r="BD20" s="356">
        <v>6.001919642116226</v>
      </c>
      <c r="BE20" s="357">
        <v>7.5913096572662919</v>
      </c>
      <c r="BF20" s="356">
        <f>'I-Project Contingency'!$E$81-BC20</f>
        <v>0</v>
      </c>
      <c r="BG20" s="356">
        <f>'I-Project Contingency'!$E$84-BD20</f>
        <v>0</v>
      </c>
      <c r="BH20" s="356">
        <f>'I-Project Contingency'!$E$85-BE20</f>
        <v>0</v>
      </c>
      <c r="BI20" s="358">
        <f>IF(BK20="N/A","N/A",IF('D-Project Data'!$C$6=50%,ABS(BK20),IF('D-Project Data'!$C$6=80%,ABS(BL20),IF('D-Project Data'!$C$6=90%,ABS(BM20)))))</f>
        <v>0</v>
      </c>
      <c r="BJ20" s="359">
        <f>IF(BI20="N/A","N/A",RANK(BI20,$BI$18:$BI$116,0)+COUNTIF($BI$18:BI20,BI20)-1)</f>
        <v>3</v>
      </c>
      <c r="BK20" s="358">
        <f>IF(AY20/SUM(AY:AY)*'I-Project Contingency'!$F$66=0,0,AY20/SUM(AY:AY)*'I-Project Contingency'!$F$66)</f>
        <v>0</v>
      </c>
      <c r="BL20" s="358">
        <f>IF(AZ20/SUM(AZ:AZ)*'I-Project Contingency'!$F$69=0,0,AZ20/SUM(AZ:AZ)*'I-Project Contingency'!$F$69)</f>
        <v>0</v>
      </c>
      <c r="BM20" s="358">
        <f>IF(BA20/SUM(BA:BA)*'I-Project Contingency'!$F$70=0,0,BA20/SUM(BA:BA)*'I-Project Contingency'!$F$70)</f>
        <v>0</v>
      </c>
      <c r="BN20" s="357">
        <f>IF(BP20="N/A","N/A",IF('D-Project Data'!$C$6=50%,ABS(BP20),IF('D-Project Data'!$C$6=80%,ABS(BQ20),IF('D-Project Data'!$C$6=90%,ABS(BR20)))))</f>
        <v>0</v>
      </c>
      <c r="BO20" s="359">
        <f>IF(BN20="N/A","N/A",RANK(BN20,$BN$18:$BN$116,0)+COUNTIF($BN$18:BN20,BN20)-1)</f>
        <v>3</v>
      </c>
      <c r="BP20" s="357">
        <f>IF(BF20/SUM(BF:BF)*'I-Project Contingency'!$F$81=0,0,BF20/SUM(BF:BF)*'I-Project Contingency'!$F$81)</f>
        <v>0</v>
      </c>
      <c r="BQ20" s="357">
        <f>IF(BG20/SUM(BG:BG)*'I-Project Contingency'!$F$84=0,0,BG20/SUM(BG:BG)*'I-Project Contingency'!$F$84)</f>
        <v>0</v>
      </c>
      <c r="BR20" s="357">
        <f>IF(BH20/SUM(BH:BH)*'I-Project Contingency'!$F$85=0,0,BH20/SUM(BH:BH)*'I-Project Contingency'!$F$85)</f>
        <v>0</v>
      </c>
      <c r="BS20" s="359">
        <f t="shared" si="11"/>
        <v>3</v>
      </c>
      <c r="BT20" s="360" t="str">
        <f t="shared" si="12"/>
        <v xml:space="preserve">3 - </v>
      </c>
      <c r="BU20" s="354">
        <f t="shared" si="13"/>
        <v>0</v>
      </c>
      <c r="BV20" s="354">
        <f t="shared" si="14"/>
        <v>0</v>
      </c>
      <c r="BW20" s="356">
        <f t="shared" si="15"/>
        <v>0</v>
      </c>
      <c r="BX20" s="356">
        <f t="shared" si="16"/>
        <v>0</v>
      </c>
    </row>
    <row r="21" spans="1:76" ht="29" x14ac:dyDescent="0.35">
      <c r="A21" s="163">
        <f t="shared" si="21"/>
        <v>4</v>
      </c>
      <c r="B21" s="758" t="s">
        <v>728</v>
      </c>
      <c r="C21" s="760"/>
      <c r="D21" s="760"/>
      <c r="E21" s="760"/>
      <c r="F21" s="759" t="s">
        <v>728</v>
      </c>
      <c r="G21" s="759" t="s">
        <v>728</v>
      </c>
      <c r="H21" s="157" t="str">
        <f>IFERROR(IF('H-Risk Register-Model'!F21="Certain","Relook at Basis of Estimate",INDEX('G-Assumptions'!$F$8:$J$11,MATCH(F21,'G-Assumptions'!$D$8:$D$11,0),MATCH(G21,'G-Assumptions'!$F$6:$J$6,0))),"Unrated")</f>
        <v>Unrated</v>
      </c>
      <c r="I21" s="759" t="s">
        <v>728</v>
      </c>
      <c r="J21" s="157" t="str">
        <f>IFERROR(IF('H-Risk Register-Model'!F21="Certain","Relook at Basis of Estimate",INDEX('G-Assumptions'!$F$8:$J$11,MATCH(F21,'G-Assumptions'!$D$8:$D$11,0),MATCH(I21,'G-Assumptions'!$F$6:$J$6,0))),"Unrated")</f>
        <v>Unrated</v>
      </c>
      <c r="K21" s="759" t="s">
        <v>728</v>
      </c>
      <c r="L21" s="759" t="s">
        <v>728</v>
      </c>
      <c r="M21" s="759"/>
      <c r="N21" s="763" t="s">
        <v>728</v>
      </c>
      <c r="O21" s="763" t="s">
        <v>728</v>
      </c>
      <c r="P21" s="764"/>
      <c r="Q21" s="764"/>
      <c r="R21" s="764"/>
      <c r="S21" s="765"/>
      <c r="T21" s="765"/>
      <c r="U21" s="765"/>
      <c r="V21" s="766"/>
      <c r="W21" s="764"/>
      <c r="X21" s="764"/>
      <c r="Y21" s="767">
        <v>1</v>
      </c>
      <c r="Z21" s="770">
        <v>1</v>
      </c>
      <c r="AA21" s="166">
        <f t="shared" si="3"/>
        <v>0</v>
      </c>
      <c r="AB21" s="166">
        <f t="shared" si="4"/>
        <v>0</v>
      </c>
      <c r="AC21" s="166">
        <f t="shared" si="17"/>
        <v>0</v>
      </c>
      <c r="AD21" s="166"/>
      <c r="AE21" s="164">
        <f t="shared" si="5"/>
        <v>0</v>
      </c>
      <c r="AF21" s="167"/>
      <c r="AG21" s="165">
        <f t="shared" si="6"/>
        <v>0</v>
      </c>
      <c r="AH21" s="760"/>
      <c r="AI21" s="760"/>
      <c r="AJ21" s="8"/>
      <c r="AK21" s="524" t="str">
        <f t="shared" si="7"/>
        <v>No</v>
      </c>
      <c r="AL21" s="525">
        <f>'I-Project Contingency'!$I$4</f>
        <v>7250000</v>
      </c>
      <c r="AM21" s="350">
        <f>'I-Project Contingency'!$I$11</f>
        <v>12</v>
      </c>
      <c r="AN21" s="349">
        <f t="shared" si="8"/>
        <v>0</v>
      </c>
      <c r="AO21" s="350">
        <f t="shared" si="9"/>
        <v>0</v>
      </c>
      <c r="AP21" s="672" t="str">
        <f t="shared" si="18"/>
        <v/>
      </c>
      <c r="AQ21" s="672" t="str">
        <f t="shared" si="19"/>
        <v/>
      </c>
      <c r="AR21" s="526" t="str">
        <f t="shared" si="22"/>
        <v/>
      </c>
      <c r="AS21" s="526" t="str">
        <f t="shared" si="20"/>
        <v/>
      </c>
      <c r="AT21" s="8"/>
      <c r="AU21" s="353">
        <f>'I-Project Contingency'!$O$4-AE21</f>
        <v>0</v>
      </c>
      <c r="AV21" s="354">
        <v>1687645.9248406207</v>
      </c>
      <c r="AW21" s="354">
        <v>3291004.7254658043</v>
      </c>
      <c r="AX21" s="354">
        <v>4159167.8232088853</v>
      </c>
      <c r="AY21" s="354">
        <f>'I-Project Contingency'!$E$66-AV21</f>
        <v>0</v>
      </c>
      <c r="AZ21" s="354">
        <f>'I-Project Contingency'!$E$69-AW21</f>
        <v>0</v>
      </c>
      <c r="BA21" s="354">
        <f>'I-Project Contingency'!$E$70-AX21</f>
        <v>0</v>
      </c>
      <c r="BB21" s="355">
        <f>'I-Project Contingency'!$O$5-AG21</f>
        <v>0</v>
      </c>
      <c r="BC21" s="356">
        <v>2.9615115956254372</v>
      </c>
      <c r="BD21" s="356">
        <v>6.001919642116226</v>
      </c>
      <c r="BE21" s="357">
        <v>7.5913096572662919</v>
      </c>
      <c r="BF21" s="356">
        <f>'I-Project Contingency'!$E$81-BC21</f>
        <v>0</v>
      </c>
      <c r="BG21" s="356">
        <f>'I-Project Contingency'!$E$84-BD21</f>
        <v>0</v>
      </c>
      <c r="BH21" s="356">
        <f>'I-Project Contingency'!$E$85-BE21</f>
        <v>0</v>
      </c>
      <c r="BI21" s="358">
        <f>IF(BK21="N/A","N/A",IF('D-Project Data'!$C$6=50%,ABS(BK21),IF('D-Project Data'!$C$6=80%,ABS(BL21),IF('D-Project Data'!$C$6=90%,ABS(BM21)))))</f>
        <v>0</v>
      </c>
      <c r="BJ21" s="359">
        <f>IF(BI21="N/A","N/A",RANK(BI21,$BI$18:$BI$116,0)+COUNTIF($BI$18:BI21,BI21)-1)</f>
        <v>4</v>
      </c>
      <c r="BK21" s="358">
        <f>IF(AY21/SUM(AY:AY)*'I-Project Contingency'!$F$66=0,0,AY21/SUM(AY:AY)*'I-Project Contingency'!$F$66)</f>
        <v>0</v>
      </c>
      <c r="BL21" s="358">
        <f>IF(AZ21/SUM(AZ:AZ)*'I-Project Contingency'!$F$69=0,0,AZ21/SUM(AZ:AZ)*'I-Project Contingency'!$F$69)</f>
        <v>0</v>
      </c>
      <c r="BM21" s="358">
        <f>IF(BA21/SUM(BA:BA)*'I-Project Contingency'!$F$70=0,0,BA21/SUM(BA:BA)*'I-Project Contingency'!$F$70)</f>
        <v>0</v>
      </c>
      <c r="BN21" s="357">
        <f>IF(BP21="N/A","N/A",IF('D-Project Data'!$C$6=50%,ABS(BP21),IF('D-Project Data'!$C$6=80%,ABS(BQ21),IF('D-Project Data'!$C$6=90%,ABS(BR21)))))</f>
        <v>0</v>
      </c>
      <c r="BO21" s="359">
        <f>IF(BN21="N/A","N/A",RANK(BN21,$BN$18:$BN$116,0)+COUNTIF($BN$18:BN21,BN21)-1)</f>
        <v>4</v>
      </c>
      <c r="BP21" s="357">
        <f>IF(BF21/SUM(BF:BF)*'I-Project Contingency'!$F$81=0,0,BF21/SUM(BF:BF)*'I-Project Contingency'!$F$81)</f>
        <v>0</v>
      </c>
      <c r="BQ21" s="357">
        <f>IF(BG21/SUM(BG:BG)*'I-Project Contingency'!$F$84=0,0,BG21/SUM(BG:BG)*'I-Project Contingency'!$F$84)</f>
        <v>0</v>
      </c>
      <c r="BR21" s="357">
        <f>IF(BH21/SUM(BH:BH)*'I-Project Contingency'!$F$85=0,0,BH21/SUM(BH:BH)*'I-Project Contingency'!$F$85)</f>
        <v>0</v>
      </c>
      <c r="BS21" s="359">
        <f t="shared" si="11"/>
        <v>4</v>
      </c>
      <c r="BT21" s="360" t="str">
        <f t="shared" si="12"/>
        <v xml:space="preserve">4 - </v>
      </c>
      <c r="BU21" s="354">
        <f t="shared" si="13"/>
        <v>0</v>
      </c>
      <c r="BV21" s="354">
        <f t="shared" si="14"/>
        <v>0</v>
      </c>
      <c r="BW21" s="356">
        <f t="shared" si="15"/>
        <v>0</v>
      </c>
      <c r="BX21" s="356">
        <f t="shared" si="16"/>
        <v>0</v>
      </c>
    </row>
    <row r="22" spans="1:76" ht="29" x14ac:dyDescent="0.35">
      <c r="A22" s="163">
        <f t="shared" si="21"/>
        <v>5</v>
      </c>
      <c r="B22" s="758" t="s">
        <v>728</v>
      </c>
      <c r="C22" s="760"/>
      <c r="D22" s="760"/>
      <c r="E22" s="760"/>
      <c r="F22" s="759" t="s">
        <v>728</v>
      </c>
      <c r="G22" s="759" t="s">
        <v>728</v>
      </c>
      <c r="H22" s="157" t="str">
        <f>IFERROR(IF('H-Risk Register-Model'!F22="Certain","Relook at Basis of Estimate",INDEX('G-Assumptions'!$F$8:$J$11,MATCH(F22,'G-Assumptions'!$D$8:$D$11,0),MATCH(G22,'G-Assumptions'!$F$6:$J$6,0))),"Unrated")</f>
        <v>Unrated</v>
      </c>
      <c r="I22" s="759" t="s">
        <v>728</v>
      </c>
      <c r="J22" s="157" t="str">
        <f>IFERROR(IF('H-Risk Register-Model'!F22="Certain","Relook at Basis of Estimate",INDEX('G-Assumptions'!$F$8:$J$11,MATCH(F22,'G-Assumptions'!$D$8:$D$11,0),MATCH(I22,'G-Assumptions'!$F$6:$J$6,0))),"Unrated")</f>
        <v>Unrated</v>
      </c>
      <c r="K22" s="759" t="s">
        <v>728</v>
      </c>
      <c r="L22" s="759" t="s">
        <v>728</v>
      </c>
      <c r="M22" s="759"/>
      <c r="N22" s="763" t="s">
        <v>728</v>
      </c>
      <c r="O22" s="763" t="s">
        <v>728</v>
      </c>
      <c r="P22" s="764"/>
      <c r="Q22" s="764"/>
      <c r="R22" s="764"/>
      <c r="S22" s="765"/>
      <c r="T22" s="765"/>
      <c r="U22" s="765"/>
      <c r="V22" s="766"/>
      <c r="W22" s="764"/>
      <c r="X22" s="764"/>
      <c r="Y22" s="767">
        <v>1</v>
      </c>
      <c r="Z22" s="770">
        <v>1</v>
      </c>
      <c r="AA22" s="166">
        <f t="shared" si="3"/>
        <v>0</v>
      </c>
      <c r="AB22" s="166">
        <f t="shared" si="4"/>
        <v>0</v>
      </c>
      <c r="AC22" s="166">
        <f t="shared" si="17"/>
        <v>0</v>
      </c>
      <c r="AD22" s="166"/>
      <c r="AE22" s="164">
        <f t="shared" si="5"/>
        <v>0</v>
      </c>
      <c r="AF22" s="167"/>
      <c r="AG22" s="165">
        <f t="shared" si="6"/>
        <v>0</v>
      </c>
      <c r="AH22" s="760"/>
      <c r="AI22" s="760"/>
      <c r="AJ22" s="8"/>
      <c r="AK22" s="524" t="str">
        <f t="shared" si="7"/>
        <v>No</v>
      </c>
      <c r="AL22" s="525">
        <f>'I-Project Contingency'!$I$4</f>
        <v>7250000</v>
      </c>
      <c r="AM22" s="350">
        <f>'I-Project Contingency'!$I$11</f>
        <v>12</v>
      </c>
      <c r="AN22" s="349">
        <f t="shared" si="8"/>
        <v>0</v>
      </c>
      <c r="AO22" s="350">
        <f t="shared" si="9"/>
        <v>0</v>
      </c>
      <c r="AP22" s="672" t="str">
        <f t="shared" si="18"/>
        <v/>
      </c>
      <c r="AQ22" s="672" t="str">
        <f t="shared" si="19"/>
        <v/>
      </c>
      <c r="AR22" s="526" t="str">
        <f t="shared" si="22"/>
        <v/>
      </c>
      <c r="AS22" s="526" t="str">
        <f t="shared" si="20"/>
        <v/>
      </c>
      <c r="AT22" s="8"/>
      <c r="AU22" s="353">
        <f>'I-Project Contingency'!$O$4-AE22</f>
        <v>0</v>
      </c>
      <c r="AV22" s="354">
        <v>1687645.9248406207</v>
      </c>
      <c r="AW22" s="354">
        <v>3291004.7254658043</v>
      </c>
      <c r="AX22" s="354">
        <v>4159167.8232088853</v>
      </c>
      <c r="AY22" s="354">
        <f>'I-Project Contingency'!$E$66-AV22</f>
        <v>0</v>
      </c>
      <c r="AZ22" s="354">
        <f>'I-Project Contingency'!$E$69-AW22</f>
        <v>0</v>
      </c>
      <c r="BA22" s="354">
        <f>'I-Project Contingency'!$E$70-AX22</f>
        <v>0</v>
      </c>
      <c r="BB22" s="355">
        <f>'I-Project Contingency'!$O$5-AG22</f>
        <v>0</v>
      </c>
      <c r="BC22" s="356">
        <v>2.9615115956254372</v>
      </c>
      <c r="BD22" s="356">
        <v>6.001919642116226</v>
      </c>
      <c r="BE22" s="357">
        <v>7.5913096572662919</v>
      </c>
      <c r="BF22" s="356">
        <f>'I-Project Contingency'!$E$81-BC22</f>
        <v>0</v>
      </c>
      <c r="BG22" s="356">
        <f>'I-Project Contingency'!$E$84-BD22</f>
        <v>0</v>
      </c>
      <c r="BH22" s="356">
        <f>'I-Project Contingency'!$E$85-BE22</f>
        <v>0</v>
      </c>
      <c r="BI22" s="358">
        <f>IF(BK22="N/A","N/A",IF('D-Project Data'!$C$6=50%,ABS(BK22),IF('D-Project Data'!$C$6=80%,ABS(BL22),IF('D-Project Data'!$C$6=90%,ABS(BM22)))))</f>
        <v>0</v>
      </c>
      <c r="BJ22" s="359">
        <f>IF(BI22="N/A","N/A",RANK(BI22,$BI$18:$BI$116,0)+COUNTIF($BI$18:BI22,BI22)-1)</f>
        <v>5</v>
      </c>
      <c r="BK22" s="358">
        <f>IF(AY22/SUM(AY:AY)*'I-Project Contingency'!$F$66=0,0,AY22/SUM(AY:AY)*'I-Project Contingency'!$F$66)</f>
        <v>0</v>
      </c>
      <c r="BL22" s="358">
        <f>IF(AZ22/SUM(AZ:AZ)*'I-Project Contingency'!$F$69=0,0,AZ22/SUM(AZ:AZ)*'I-Project Contingency'!$F$69)</f>
        <v>0</v>
      </c>
      <c r="BM22" s="358">
        <f>IF(BA22/SUM(BA:BA)*'I-Project Contingency'!$F$70=0,0,BA22/SUM(BA:BA)*'I-Project Contingency'!$F$70)</f>
        <v>0</v>
      </c>
      <c r="BN22" s="357">
        <f>IF(BP22="N/A","N/A",IF('D-Project Data'!$C$6=50%,ABS(BP22),IF('D-Project Data'!$C$6=80%,ABS(BQ22),IF('D-Project Data'!$C$6=90%,ABS(BR22)))))</f>
        <v>0</v>
      </c>
      <c r="BO22" s="359">
        <f>IF(BN22="N/A","N/A",RANK(BN22,$BN$18:$BN$116,0)+COUNTIF($BN$18:BN22,BN22)-1)</f>
        <v>5</v>
      </c>
      <c r="BP22" s="357">
        <f>IF(BF22/SUM(BF:BF)*'I-Project Contingency'!$F$81=0,0,BF22/SUM(BF:BF)*'I-Project Contingency'!$F$81)</f>
        <v>0</v>
      </c>
      <c r="BQ22" s="357">
        <f>IF(BG22/SUM(BG:BG)*'I-Project Contingency'!$F$84=0,0,BG22/SUM(BG:BG)*'I-Project Contingency'!$F$84)</f>
        <v>0</v>
      </c>
      <c r="BR22" s="357">
        <f>IF(BH22/SUM(BH:BH)*'I-Project Contingency'!$F$85=0,0,BH22/SUM(BH:BH)*'I-Project Contingency'!$F$85)</f>
        <v>0</v>
      </c>
      <c r="BS22" s="359">
        <f t="shared" si="11"/>
        <v>5</v>
      </c>
      <c r="BT22" s="360" t="str">
        <f t="shared" si="12"/>
        <v xml:space="preserve">5 - </v>
      </c>
      <c r="BU22" s="354">
        <f t="shared" si="13"/>
        <v>0</v>
      </c>
      <c r="BV22" s="354">
        <f t="shared" si="14"/>
        <v>0</v>
      </c>
      <c r="BW22" s="356">
        <f t="shared" si="15"/>
        <v>0</v>
      </c>
      <c r="BX22" s="356">
        <f t="shared" si="16"/>
        <v>0</v>
      </c>
    </row>
    <row r="23" spans="1:76" ht="29" x14ac:dyDescent="0.35">
      <c r="A23" s="163">
        <f t="shared" si="21"/>
        <v>6</v>
      </c>
      <c r="B23" s="758" t="s">
        <v>728</v>
      </c>
      <c r="C23" s="760"/>
      <c r="D23" s="760"/>
      <c r="E23" s="760"/>
      <c r="F23" s="759" t="s">
        <v>728</v>
      </c>
      <c r="G23" s="759" t="s">
        <v>728</v>
      </c>
      <c r="H23" s="157" t="str">
        <f>IFERROR(IF('H-Risk Register-Model'!F23="Certain","Relook at Basis of Estimate",INDEX('G-Assumptions'!$F$8:$J$11,MATCH(F23,'G-Assumptions'!$D$8:$D$11,0),MATCH(G23,'G-Assumptions'!$F$6:$J$6,0))),"Unrated")</f>
        <v>Unrated</v>
      </c>
      <c r="I23" s="759" t="s">
        <v>728</v>
      </c>
      <c r="J23" s="157" t="str">
        <f>IFERROR(IF('H-Risk Register-Model'!F23="Certain","Relook at Basis of Estimate",INDEX('G-Assumptions'!$F$8:$J$11,MATCH(F23,'G-Assumptions'!$D$8:$D$11,0),MATCH(I23,'G-Assumptions'!$F$6:$J$6,0))),"Unrated")</f>
        <v>Unrated</v>
      </c>
      <c r="K23" s="759" t="s">
        <v>728</v>
      </c>
      <c r="L23" s="759" t="s">
        <v>728</v>
      </c>
      <c r="M23" s="759"/>
      <c r="N23" s="763" t="s">
        <v>728</v>
      </c>
      <c r="O23" s="763" t="s">
        <v>728</v>
      </c>
      <c r="P23" s="764"/>
      <c r="Q23" s="764"/>
      <c r="R23" s="764"/>
      <c r="S23" s="765"/>
      <c r="T23" s="765"/>
      <c r="U23" s="765"/>
      <c r="V23" s="766"/>
      <c r="W23" s="764"/>
      <c r="X23" s="764"/>
      <c r="Y23" s="767">
        <v>1</v>
      </c>
      <c r="Z23" s="770">
        <v>1</v>
      </c>
      <c r="AA23" s="166">
        <f t="shared" si="3"/>
        <v>0</v>
      </c>
      <c r="AB23" s="166">
        <f t="shared" si="4"/>
        <v>0</v>
      </c>
      <c r="AC23" s="166">
        <f t="shared" si="17"/>
        <v>0</v>
      </c>
      <c r="AD23" s="166"/>
      <c r="AE23" s="164">
        <f t="shared" si="5"/>
        <v>0</v>
      </c>
      <c r="AF23" s="167"/>
      <c r="AG23" s="165">
        <f t="shared" si="6"/>
        <v>0</v>
      </c>
      <c r="AH23" s="760"/>
      <c r="AI23" s="760"/>
      <c r="AJ23" s="8"/>
      <c r="AK23" s="524" t="str">
        <f t="shared" si="7"/>
        <v>No</v>
      </c>
      <c r="AL23" s="525">
        <f>'I-Project Contingency'!$I$4</f>
        <v>7250000</v>
      </c>
      <c r="AM23" s="350">
        <f>'I-Project Contingency'!$I$11</f>
        <v>12</v>
      </c>
      <c r="AN23" s="349">
        <f t="shared" si="8"/>
        <v>0</v>
      </c>
      <c r="AO23" s="350">
        <f t="shared" si="9"/>
        <v>0</v>
      </c>
      <c r="AP23" s="672" t="str">
        <f t="shared" si="18"/>
        <v/>
      </c>
      <c r="AQ23" s="672" t="str">
        <f t="shared" si="19"/>
        <v/>
      </c>
      <c r="AR23" s="526" t="str">
        <f t="shared" si="22"/>
        <v/>
      </c>
      <c r="AS23" s="526" t="str">
        <f t="shared" si="20"/>
        <v/>
      </c>
      <c r="AT23" s="8"/>
      <c r="AU23" s="353">
        <f>'I-Project Contingency'!$O$4-AE23</f>
        <v>0</v>
      </c>
      <c r="AV23" s="354">
        <v>1687645.9248406207</v>
      </c>
      <c r="AW23" s="354">
        <v>3291004.7254658043</v>
      </c>
      <c r="AX23" s="354">
        <v>4159167.8232088853</v>
      </c>
      <c r="AY23" s="354">
        <f>'I-Project Contingency'!$E$66-AV23</f>
        <v>0</v>
      </c>
      <c r="AZ23" s="354">
        <f>'I-Project Contingency'!$E$69-AW23</f>
        <v>0</v>
      </c>
      <c r="BA23" s="354">
        <f>'I-Project Contingency'!$E$70-AX23</f>
        <v>0</v>
      </c>
      <c r="BB23" s="355">
        <f>'I-Project Contingency'!$O$5-AG23</f>
        <v>0</v>
      </c>
      <c r="BC23" s="356">
        <v>2.9615115956254372</v>
      </c>
      <c r="BD23" s="356">
        <v>6.001919642116226</v>
      </c>
      <c r="BE23" s="357">
        <v>7.5913096572662919</v>
      </c>
      <c r="BF23" s="356">
        <f>'I-Project Contingency'!$E$81-BC23</f>
        <v>0</v>
      </c>
      <c r="BG23" s="356">
        <f>'I-Project Contingency'!$E$84-BD23</f>
        <v>0</v>
      </c>
      <c r="BH23" s="356">
        <f>'I-Project Contingency'!$E$85-BE23</f>
        <v>0</v>
      </c>
      <c r="BI23" s="358">
        <f>IF(BK23="N/A","N/A",IF('D-Project Data'!$C$6=50%,ABS(BK23),IF('D-Project Data'!$C$6=80%,ABS(BL23),IF('D-Project Data'!$C$6=90%,ABS(BM23)))))</f>
        <v>0</v>
      </c>
      <c r="BJ23" s="359">
        <f>IF(BI23="N/A","N/A",RANK(BI23,$BI$18:$BI$116,0)+COUNTIF($BI$18:BI23,BI23)-1)</f>
        <v>6</v>
      </c>
      <c r="BK23" s="358">
        <f>IF(AY23/SUM(AY:AY)*'I-Project Contingency'!$F$66=0,0,AY23/SUM(AY:AY)*'I-Project Contingency'!$F$66)</f>
        <v>0</v>
      </c>
      <c r="BL23" s="358">
        <f>IF(AZ23/SUM(AZ:AZ)*'I-Project Contingency'!$F$69=0,0,AZ23/SUM(AZ:AZ)*'I-Project Contingency'!$F$69)</f>
        <v>0</v>
      </c>
      <c r="BM23" s="358">
        <f>IF(BA23/SUM(BA:BA)*'I-Project Contingency'!$F$70=0,0,BA23/SUM(BA:BA)*'I-Project Contingency'!$F$70)</f>
        <v>0</v>
      </c>
      <c r="BN23" s="357">
        <f>IF(BP23="N/A","N/A",IF('D-Project Data'!$C$6=50%,ABS(BP23),IF('D-Project Data'!$C$6=80%,ABS(BQ23),IF('D-Project Data'!$C$6=90%,ABS(BR23)))))</f>
        <v>0</v>
      </c>
      <c r="BO23" s="359">
        <f>IF(BN23="N/A","N/A",RANK(BN23,$BN$18:$BN$116,0)+COUNTIF($BN$18:BN23,BN23)-1)</f>
        <v>6</v>
      </c>
      <c r="BP23" s="357">
        <f>IF(BF23/SUM(BF:BF)*'I-Project Contingency'!$F$81=0,0,BF23/SUM(BF:BF)*'I-Project Contingency'!$F$81)</f>
        <v>0</v>
      </c>
      <c r="BQ23" s="357">
        <f>IF(BG23/SUM(BG:BG)*'I-Project Contingency'!$F$84=0,0,BG23/SUM(BG:BG)*'I-Project Contingency'!$F$84)</f>
        <v>0</v>
      </c>
      <c r="BR23" s="357">
        <f>IF(BH23/SUM(BH:BH)*'I-Project Contingency'!$F$85=0,0,BH23/SUM(BH:BH)*'I-Project Contingency'!$F$85)</f>
        <v>0</v>
      </c>
      <c r="BS23" s="359">
        <f t="shared" si="11"/>
        <v>6</v>
      </c>
      <c r="BT23" s="360" t="str">
        <f t="shared" si="12"/>
        <v xml:space="preserve">6 - </v>
      </c>
      <c r="BU23" s="354">
        <f t="shared" si="13"/>
        <v>0</v>
      </c>
      <c r="BV23" s="354">
        <f t="shared" si="14"/>
        <v>0</v>
      </c>
      <c r="BW23" s="356">
        <f t="shared" si="15"/>
        <v>0</v>
      </c>
      <c r="BX23" s="356">
        <f t="shared" si="16"/>
        <v>0</v>
      </c>
    </row>
    <row r="24" spans="1:76" ht="29" x14ac:dyDescent="0.35">
      <c r="A24" s="163">
        <f t="shared" si="21"/>
        <v>7</v>
      </c>
      <c r="B24" s="758" t="s">
        <v>728</v>
      </c>
      <c r="C24" s="760"/>
      <c r="D24" s="760"/>
      <c r="E24" s="760"/>
      <c r="F24" s="759" t="s">
        <v>728</v>
      </c>
      <c r="G24" s="759" t="s">
        <v>728</v>
      </c>
      <c r="H24" s="157" t="str">
        <f>IFERROR(IF('H-Risk Register-Model'!F24="Certain","Relook at Basis of Estimate",INDEX('G-Assumptions'!$F$8:$J$11,MATCH(F24,'G-Assumptions'!$D$8:$D$11,0),MATCH(G24,'G-Assumptions'!$F$6:$J$6,0))),"Unrated")</f>
        <v>Unrated</v>
      </c>
      <c r="I24" s="759" t="s">
        <v>728</v>
      </c>
      <c r="J24" s="157" t="str">
        <f>IFERROR(IF('H-Risk Register-Model'!F24="Certain","Relook at Basis of Estimate",INDEX('G-Assumptions'!$F$8:$J$11,MATCH(F24,'G-Assumptions'!$D$8:$D$11,0),MATCH(I24,'G-Assumptions'!$F$6:$J$6,0))),"Unrated")</f>
        <v>Unrated</v>
      </c>
      <c r="K24" s="759" t="s">
        <v>728</v>
      </c>
      <c r="L24" s="759" t="s">
        <v>728</v>
      </c>
      <c r="M24" s="759"/>
      <c r="N24" s="763" t="s">
        <v>728</v>
      </c>
      <c r="O24" s="763" t="s">
        <v>728</v>
      </c>
      <c r="P24" s="764"/>
      <c r="Q24" s="764"/>
      <c r="R24" s="764"/>
      <c r="S24" s="765"/>
      <c r="T24" s="765"/>
      <c r="U24" s="765"/>
      <c r="V24" s="766"/>
      <c r="W24" s="764"/>
      <c r="X24" s="764"/>
      <c r="Y24" s="767">
        <v>1</v>
      </c>
      <c r="Z24" s="770">
        <v>1</v>
      </c>
      <c r="AA24" s="166">
        <f t="shared" si="3"/>
        <v>0</v>
      </c>
      <c r="AB24" s="166">
        <f t="shared" si="4"/>
        <v>0</v>
      </c>
      <c r="AC24" s="166">
        <f t="shared" si="17"/>
        <v>0</v>
      </c>
      <c r="AD24" s="166"/>
      <c r="AE24" s="164">
        <f t="shared" si="5"/>
        <v>0</v>
      </c>
      <c r="AF24" s="167"/>
      <c r="AG24" s="165">
        <f t="shared" si="6"/>
        <v>0</v>
      </c>
      <c r="AH24" s="760"/>
      <c r="AI24" s="760"/>
      <c r="AJ24" s="8"/>
      <c r="AK24" s="524" t="str">
        <f t="shared" si="7"/>
        <v>No</v>
      </c>
      <c r="AL24" s="525">
        <f>'I-Project Contingency'!$I$4</f>
        <v>7250000</v>
      </c>
      <c r="AM24" s="350">
        <f>'I-Project Contingency'!$I$11</f>
        <v>12</v>
      </c>
      <c r="AN24" s="349">
        <f t="shared" si="8"/>
        <v>0</v>
      </c>
      <c r="AO24" s="350">
        <f t="shared" si="9"/>
        <v>0</v>
      </c>
      <c r="AP24" s="672" t="str">
        <f t="shared" si="18"/>
        <v/>
      </c>
      <c r="AQ24" s="672" t="str">
        <f t="shared" si="19"/>
        <v/>
      </c>
      <c r="AR24" s="526" t="str">
        <f t="shared" si="22"/>
        <v/>
      </c>
      <c r="AS24" s="526" t="str">
        <f t="shared" si="20"/>
        <v/>
      </c>
      <c r="AT24" s="8"/>
      <c r="AU24" s="353">
        <f>'I-Project Contingency'!$O$4-AE24</f>
        <v>0</v>
      </c>
      <c r="AV24" s="354">
        <v>1687645.9248406207</v>
      </c>
      <c r="AW24" s="354">
        <v>3291004.7254658043</v>
      </c>
      <c r="AX24" s="354">
        <v>4159167.8232088853</v>
      </c>
      <c r="AY24" s="354">
        <f>'I-Project Contingency'!$E$66-AV24</f>
        <v>0</v>
      </c>
      <c r="AZ24" s="354">
        <f>'I-Project Contingency'!$E$69-AW24</f>
        <v>0</v>
      </c>
      <c r="BA24" s="354">
        <f>'I-Project Contingency'!$E$70-AX24</f>
        <v>0</v>
      </c>
      <c r="BB24" s="355">
        <f>'I-Project Contingency'!$O$5-AG24</f>
        <v>0</v>
      </c>
      <c r="BC24" s="356">
        <v>2.9615115956254372</v>
      </c>
      <c r="BD24" s="356">
        <v>6.001919642116226</v>
      </c>
      <c r="BE24" s="357">
        <v>7.5913096572662919</v>
      </c>
      <c r="BF24" s="356">
        <f>'I-Project Contingency'!$E$81-BC24</f>
        <v>0</v>
      </c>
      <c r="BG24" s="356">
        <f>'I-Project Contingency'!$E$84-BD24</f>
        <v>0</v>
      </c>
      <c r="BH24" s="356">
        <f>'I-Project Contingency'!$E$85-BE24</f>
        <v>0</v>
      </c>
      <c r="BI24" s="358">
        <f>IF(BK24="N/A","N/A",IF('D-Project Data'!$C$6=50%,ABS(BK24),IF('D-Project Data'!$C$6=80%,ABS(BL24),IF('D-Project Data'!$C$6=90%,ABS(BM24)))))</f>
        <v>0</v>
      </c>
      <c r="BJ24" s="359">
        <f>IF(BI24="N/A","N/A",RANK(BI24,$BI$18:$BI$116,0)+COUNTIF($BI$18:BI24,BI24)-1)</f>
        <v>7</v>
      </c>
      <c r="BK24" s="358">
        <f>IF(AY24/SUM(AY:AY)*'I-Project Contingency'!$F$66=0,0,AY24/SUM(AY:AY)*'I-Project Contingency'!$F$66)</f>
        <v>0</v>
      </c>
      <c r="BL24" s="358">
        <f>IF(AZ24/SUM(AZ:AZ)*'I-Project Contingency'!$F$69=0,0,AZ24/SUM(AZ:AZ)*'I-Project Contingency'!$F$69)</f>
        <v>0</v>
      </c>
      <c r="BM24" s="358">
        <f>IF(BA24/SUM(BA:BA)*'I-Project Contingency'!$F$70=0,0,BA24/SUM(BA:BA)*'I-Project Contingency'!$F$70)</f>
        <v>0</v>
      </c>
      <c r="BN24" s="357">
        <f>IF(BP24="N/A","N/A",IF('D-Project Data'!$C$6=50%,ABS(BP24),IF('D-Project Data'!$C$6=80%,ABS(BQ24),IF('D-Project Data'!$C$6=90%,ABS(BR24)))))</f>
        <v>0</v>
      </c>
      <c r="BO24" s="359">
        <f>IF(BN24="N/A","N/A",RANK(BN24,$BN$18:$BN$116,0)+COUNTIF($BN$18:BN24,BN24)-1)</f>
        <v>7</v>
      </c>
      <c r="BP24" s="357">
        <f>IF(BF24/SUM(BF:BF)*'I-Project Contingency'!$F$81=0,0,BF24/SUM(BF:BF)*'I-Project Contingency'!$F$81)</f>
        <v>0</v>
      </c>
      <c r="BQ24" s="357">
        <f>IF(BG24/SUM(BG:BG)*'I-Project Contingency'!$F$84=0,0,BG24/SUM(BG:BG)*'I-Project Contingency'!$F$84)</f>
        <v>0</v>
      </c>
      <c r="BR24" s="357">
        <f>IF(BH24/SUM(BH:BH)*'I-Project Contingency'!$F$85=0,0,BH24/SUM(BH:BH)*'I-Project Contingency'!$F$85)</f>
        <v>0</v>
      </c>
      <c r="BS24" s="359">
        <f t="shared" si="11"/>
        <v>7</v>
      </c>
      <c r="BT24" s="360" t="str">
        <f t="shared" si="12"/>
        <v xml:space="preserve">7 - </v>
      </c>
      <c r="BU24" s="354">
        <f t="shared" si="13"/>
        <v>0</v>
      </c>
      <c r="BV24" s="354">
        <f t="shared" si="14"/>
        <v>0</v>
      </c>
      <c r="BW24" s="356">
        <f t="shared" si="15"/>
        <v>0</v>
      </c>
      <c r="BX24" s="356">
        <f t="shared" si="16"/>
        <v>0</v>
      </c>
    </row>
    <row r="25" spans="1:76" ht="29" x14ac:dyDescent="0.35">
      <c r="A25" s="163">
        <f t="shared" si="21"/>
        <v>8</v>
      </c>
      <c r="B25" s="758" t="s">
        <v>728</v>
      </c>
      <c r="C25" s="760"/>
      <c r="D25" s="760"/>
      <c r="E25" s="760"/>
      <c r="F25" s="759" t="s">
        <v>728</v>
      </c>
      <c r="G25" s="759" t="s">
        <v>728</v>
      </c>
      <c r="H25" s="157" t="str">
        <f>IFERROR(IF('H-Risk Register-Model'!F25="Certain","Relook at Basis of Estimate",INDEX('G-Assumptions'!$F$8:$J$11,MATCH(F25,'G-Assumptions'!$D$8:$D$11,0),MATCH(G25,'G-Assumptions'!$F$6:$J$6,0))),"Unrated")</f>
        <v>Unrated</v>
      </c>
      <c r="I25" s="759" t="s">
        <v>728</v>
      </c>
      <c r="J25" s="157" t="str">
        <f>IFERROR(IF('H-Risk Register-Model'!F25="Certain","Relook at Basis of Estimate",INDEX('G-Assumptions'!$F$8:$J$11,MATCH(F25,'G-Assumptions'!$D$8:$D$11,0),MATCH(I25,'G-Assumptions'!$F$6:$J$6,0))),"Unrated")</f>
        <v>Unrated</v>
      </c>
      <c r="K25" s="759" t="s">
        <v>728</v>
      </c>
      <c r="L25" s="759" t="s">
        <v>728</v>
      </c>
      <c r="M25" s="759"/>
      <c r="N25" s="763" t="s">
        <v>728</v>
      </c>
      <c r="O25" s="763" t="s">
        <v>728</v>
      </c>
      <c r="P25" s="764"/>
      <c r="Q25" s="764"/>
      <c r="R25" s="764"/>
      <c r="S25" s="765"/>
      <c r="T25" s="765"/>
      <c r="U25" s="765"/>
      <c r="V25" s="766"/>
      <c r="W25" s="764"/>
      <c r="X25" s="764"/>
      <c r="Y25" s="767">
        <v>1</v>
      </c>
      <c r="Z25" s="770">
        <v>1</v>
      </c>
      <c r="AA25" s="166">
        <f t="shared" si="3"/>
        <v>0</v>
      </c>
      <c r="AB25" s="166">
        <f t="shared" si="4"/>
        <v>0</v>
      </c>
      <c r="AC25" s="166">
        <f t="shared" si="17"/>
        <v>0</v>
      </c>
      <c r="AD25" s="166"/>
      <c r="AE25" s="164">
        <f t="shared" si="5"/>
        <v>0</v>
      </c>
      <c r="AF25" s="167"/>
      <c r="AG25" s="165">
        <f t="shared" si="6"/>
        <v>0</v>
      </c>
      <c r="AH25" s="760"/>
      <c r="AI25" s="760"/>
      <c r="AJ25" s="8"/>
      <c r="AK25" s="524" t="str">
        <f t="shared" si="7"/>
        <v>No</v>
      </c>
      <c r="AL25" s="525">
        <f>'I-Project Contingency'!$I$4</f>
        <v>7250000</v>
      </c>
      <c r="AM25" s="350">
        <f>'I-Project Contingency'!$I$11</f>
        <v>12</v>
      </c>
      <c r="AN25" s="349">
        <f t="shared" si="8"/>
        <v>0</v>
      </c>
      <c r="AO25" s="350">
        <f t="shared" si="9"/>
        <v>0</v>
      </c>
      <c r="AP25" s="672" t="str">
        <f t="shared" si="18"/>
        <v/>
      </c>
      <c r="AQ25" s="672" t="str">
        <f t="shared" si="19"/>
        <v/>
      </c>
      <c r="AR25" s="526" t="str">
        <f t="shared" si="22"/>
        <v/>
      </c>
      <c r="AS25" s="526" t="str">
        <f t="shared" si="20"/>
        <v/>
      </c>
      <c r="AT25" s="8"/>
      <c r="AU25" s="353">
        <f>'I-Project Contingency'!$O$4-AE25</f>
        <v>0</v>
      </c>
      <c r="AV25" s="354">
        <v>1687645.9248406207</v>
      </c>
      <c r="AW25" s="354">
        <v>3291004.7254658043</v>
      </c>
      <c r="AX25" s="354">
        <v>4159167.8232088853</v>
      </c>
      <c r="AY25" s="354">
        <f>'I-Project Contingency'!$E$66-AV25</f>
        <v>0</v>
      </c>
      <c r="AZ25" s="354">
        <f>'I-Project Contingency'!$E$69-AW25</f>
        <v>0</v>
      </c>
      <c r="BA25" s="354">
        <f>'I-Project Contingency'!$E$70-AX25</f>
        <v>0</v>
      </c>
      <c r="BB25" s="355">
        <f>'I-Project Contingency'!$O$5-AG25</f>
        <v>0</v>
      </c>
      <c r="BC25" s="356">
        <v>2.9615115956254372</v>
      </c>
      <c r="BD25" s="356">
        <v>6.001919642116226</v>
      </c>
      <c r="BE25" s="357">
        <v>7.5913096572662919</v>
      </c>
      <c r="BF25" s="356">
        <f>'I-Project Contingency'!$E$81-BC25</f>
        <v>0</v>
      </c>
      <c r="BG25" s="356">
        <f>'I-Project Contingency'!$E$84-BD25</f>
        <v>0</v>
      </c>
      <c r="BH25" s="356">
        <f>'I-Project Contingency'!$E$85-BE25</f>
        <v>0</v>
      </c>
      <c r="BI25" s="358">
        <f>IF(BK25="N/A","N/A",IF('D-Project Data'!$C$6=50%,ABS(BK25),IF('D-Project Data'!$C$6=80%,ABS(BL25),IF('D-Project Data'!$C$6=90%,ABS(BM25)))))</f>
        <v>0</v>
      </c>
      <c r="BJ25" s="359">
        <f>IF(BI25="N/A","N/A",RANK(BI25,$BI$18:$BI$116,0)+COUNTIF($BI$18:BI25,BI25)-1)</f>
        <v>8</v>
      </c>
      <c r="BK25" s="358">
        <f>IF(AY25/SUM(AY:AY)*'I-Project Contingency'!$F$66=0,0,AY25/SUM(AY:AY)*'I-Project Contingency'!$F$66)</f>
        <v>0</v>
      </c>
      <c r="BL25" s="358">
        <f>IF(AZ25/SUM(AZ:AZ)*'I-Project Contingency'!$F$69=0,0,AZ25/SUM(AZ:AZ)*'I-Project Contingency'!$F$69)</f>
        <v>0</v>
      </c>
      <c r="BM25" s="358">
        <f>IF(BA25/SUM(BA:BA)*'I-Project Contingency'!$F$70=0,0,BA25/SUM(BA:BA)*'I-Project Contingency'!$F$70)</f>
        <v>0</v>
      </c>
      <c r="BN25" s="357">
        <f>IF(BP25="N/A","N/A",IF('D-Project Data'!$C$6=50%,ABS(BP25),IF('D-Project Data'!$C$6=80%,ABS(BQ25),IF('D-Project Data'!$C$6=90%,ABS(BR25)))))</f>
        <v>0</v>
      </c>
      <c r="BO25" s="359">
        <f>IF(BN25="N/A","N/A",RANK(BN25,$BN$18:$BN$116,0)+COUNTIF($BN$18:BN25,BN25)-1)</f>
        <v>8</v>
      </c>
      <c r="BP25" s="357">
        <f>IF(BF25/SUM(BF:BF)*'I-Project Contingency'!$F$81=0,0,BF25/SUM(BF:BF)*'I-Project Contingency'!$F$81)</f>
        <v>0</v>
      </c>
      <c r="BQ25" s="357">
        <f>IF(BG25/SUM(BG:BG)*'I-Project Contingency'!$F$84=0,0,BG25/SUM(BG:BG)*'I-Project Contingency'!$F$84)</f>
        <v>0</v>
      </c>
      <c r="BR25" s="357">
        <f>IF(BH25/SUM(BH:BH)*'I-Project Contingency'!$F$85=0,0,BH25/SUM(BH:BH)*'I-Project Contingency'!$F$85)</f>
        <v>0</v>
      </c>
      <c r="BS25" s="359">
        <f t="shared" si="11"/>
        <v>8</v>
      </c>
      <c r="BT25" s="360" t="str">
        <f t="shared" si="12"/>
        <v xml:space="preserve">8 - </v>
      </c>
      <c r="BU25" s="354">
        <f t="shared" si="13"/>
        <v>0</v>
      </c>
      <c r="BV25" s="354">
        <f t="shared" si="14"/>
        <v>0</v>
      </c>
      <c r="BW25" s="356">
        <f t="shared" si="15"/>
        <v>0</v>
      </c>
      <c r="BX25" s="356">
        <f t="shared" si="16"/>
        <v>0</v>
      </c>
    </row>
    <row r="26" spans="1:76" ht="29" x14ac:dyDescent="0.35">
      <c r="A26" s="163">
        <f t="shared" si="21"/>
        <v>9</v>
      </c>
      <c r="B26" s="758" t="s">
        <v>728</v>
      </c>
      <c r="C26" s="760"/>
      <c r="D26" s="760"/>
      <c r="E26" s="760"/>
      <c r="F26" s="759" t="s">
        <v>728</v>
      </c>
      <c r="G26" s="759" t="s">
        <v>728</v>
      </c>
      <c r="H26" s="157" t="str">
        <f>IFERROR(IF('H-Risk Register-Model'!F26="Certain","Relook at Basis of Estimate",INDEX('G-Assumptions'!$F$8:$J$11,MATCH(F26,'G-Assumptions'!$D$8:$D$11,0),MATCH(G26,'G-Assumptions'!$F$6:$J$6,0))),"Unrated")</f>
        <v>Unrated</v>
      </c>
      <c r="I26" s="759" t="s">
        <v>728</v>
      </c>
      <c r="J26" s="157" t="str">
        <f>IFERROR(IF('H-Risk Register-Model'!F26="Certain","Relook at Basis of Estimate",INDEX('G-Assumptions'!$F$8:$J$11,MATCH(F26,'G-Assumptions'!$D$8:$D$11,0),MATCH(I26,'G-Assumptions'!$F$6:$J$6,0))),"Unrated")</f>
        <v>Unrated</v>
      </c>
      <c r="K26" s="759" t="s">
        <v>728</v>
      </c>
      <c r="L26" s="759" t="s">
        <v>728</v>
      </c>
      <c r="M26" s="759"/>
      <c r="N26" s="763" t="s">
        <v>728</v>
      </c>
      <c r="O26" s="763" t="s">
        <v>728</v>
      </c>
      <c r="P26" s="764"/>
      <c r="Q26" s="764"/>
      <c r="R26" s="764"/>
      <c r="S26" s="765"/>
      <c r="T26" s="765"/>
      <c r="U26" s="765"/>
      <c r="V26" s="766"/>
      <c r="W26" s="764"/>
      <c r="X26" s="764"/>
      <c r="Y26" s="767">
        <v>1</v>
      </c>
      <c r="Z26" s="770">
        <v>1</v>
      </c>
      <c r="AA26" s="166">
        <f t="shared" si="3"/>
        <v>0</v>
      </c>
      <c r="AB26" s="166">
        <f t="shared" si="4"/>
        <v>0</v>
      </c>
      <c r="AC26" s="166">
        <f t="shared" si="17"/>
        <v>0</v>
      </c>
      <c r="AD26" s="166"/>
      <c r="AE26" s="164">
        <f t="shared" si="5"/>
        <v>0</v>
      </c>
      <c r="AF26" s="167"/>
      <c r="AG26" s="165">
        <f t="shared" si="6"/>
        <v>0</v>
      </c>
      <c r="AH26" s="760"/>
      <c r="AI26" s="760"/>
      <c r="AJ26" s="8"/>
      <c r="AK26" s="524" t="str">
        <f t="shared" si="7"/>
        <v>No</v>
      </c>
      <c r="AL26" s="525">
        <f>'I-Project Contingency'!$I$4</f>
        <v>7250000</v>
      </c>
      <c r="AM26" s="350">
        <f>'I-Project Contingency'!$I$11</f>
        <v>12</v>
      </c>
      <c r="AN26" s="349">
        <f t="shared" si="8"/>
        <v>0</v>
      </c>
      <c r="AO26" s="350">
        <f t="shared" si="9"/>
        <v>0</v>
      </c>
      <c r="AP26" s="672" t="str">
        <f t="shared" si="18"/>
        <v/>
      </c>
      <c r="AQ26" s="672" t="str">
        <f t="shared" si="19"/>
        <v/>
      </c>
      <c r="AR26" s="526" t="str">
        <f t="shared" si="22"/>
        <v/>
      </c>
      <c r="AS26" s="526" t="str">
        <f t="shared" si="20"/>
        <v/>
      </c>
      <c r="AT26" s="8"/>
      <c r="AU26" s="353">
        <f>'I-Project Contingency'!$O$4-AE26</f>
        <v>0</v>
      </c>
      <c r="AV26" s="354">
        <v>1687645.9248406207</v>
      </c>
      <c r="AW26" s="354">
        <v>3291004.7254658043</v>
      </c>
      <c r="AX26" s="354">
        <v>4159167.8232088853</v>
      </c>
      <c r="AY26" s="354">
        <f>'I-Project Contingency'!$E$66-AV26</f>
        <v>0</v>
      </c>
      <c r="AZ26" s="354">
        <f>'I-Project Contingency'!$E$69-AW26</f>
        <v>0</v>
      </c>
      <c r="BA26" s="354">
        <f>'I-Project Contingency'!$E$70-AX26</f>
        <v>0</v>
      </c>
      <c r="BB26" s="355">
        <f>'I-Project Contingency'!$O$5-AG26</f>
        <v>0</v>
      </c>
      <c r="BC26" s="356">
        <v>2.9615115956254372</v>
      </c>
      <c r="BD26" s="356">
        <v>6.001919642116226</v>
      </c>
      <c r="BE26" s="357">
        <v>7.5913096572662919</v>
      </c>
      <c r="BF26" s="356">
        <f>'I-Project Contingency'!$E$81-BC26</f>
        <v>0</v>
      </c>
      <c r="BG26" s="356">
        <f>'I-Project Contingency'!$E$84-BD26</f>
        <v>0</v>
      </c>
      <c r="BH26" s="356">
        <f>'I-Project Contingency'!$E$85-BE26</f>
        <v>0</v>
      </c>
      <c r="BI26" s="358">
        <f>IF(BK26="N/A","N/A",IF('D-Project Data'!$C$6=50%,ABS(BK26),IF('D-Project Data'!$C$6=80%,ABS(BL26),IF('D-Project Data'!$C$6=90%,ABS(BM26)))))</f>
        <v>0</v>
      </c>
      <c r="BJ26" s="359">
        <f>IF(BI26="N/A","N/A",RANK(BI26,$BI$18:$BI$116,0)+COUNTIF($BI$18:BI26,BI26)-1)</f>
        <v>9</v>
      </c>
      <c r="BK26" s="358">
        <f>IF(AY26/SUM(AY:AY)*'I-Project Contingency'!$F$66=0,0,AY26/SUM(AY:AY)*'I-Project Contingency'!$F$66)</f>
        <v>0</v>
      </c>
      <c r="BL26" s="358">
        <f>IF(AZ26/SUM(AZ:AZ)*'I-Project Contingency'!$F$69=0,0,AZ26/SUM(AZ:AZ)*'I-Project Contingency'!$F$69)</f>
        <v>0</v>
      </c>
      <c r="BM26" s="358">
        <f>IF(BA26/SUM(BA:BA)*'I-Project Contingency'!$F$70=0,0,BA26/SUM(BA:BA)*'I-Project Contingency'!$F$70)</f>
        <v>0</v>
      </c>
      <c r="BN26" s="357">
        <f>IF(BP26="N/A","N/A",IF('D-Project Data'!$C$6=50%,ABS(BP26),IF('D-Project Data'!$C$6=80%,ABS(BQ26),IF('D-Project Data'!$C$6=90%,ABS(BR26)))))</f>
        <v>0</v>
      </c>
      <c r="BO26" s="359">
        <f>IF(BN26="N/A","N/A",RANK(BN26,$BN$18:$BN$116,0)+COUNTIF($BN$18:BN26,BN26)-1)</f>
        <v>9</v>
      </c>
      <c r="BP26" s="357">
        <f>IF(BF26/SUM(BF:BF)*'I-Project Contingency'!$F$81=0,0,BF26/SUM(BF:BF)*'I-Project Contingency'!$F$81)</f>
        <v>0</v>
      </c>
      <c r="BQ26" s="357">
        <f>IF(BG26/SUM(BG:BG)*'I-Project Contingency'!$F$84=0,0,BG26/SUM(BG:BG)*'I-Project Contingency'!$F$84)</f>
        <v>0</v>
      </c>
      <c r="BR26" s="357">
        <f>IF(BH26/SUM(BH:BH)*'I-Project Contingency'!$F$85=0,0,BH26/SUM(BH:BH)*'I-Project Contingency'!$F$85)</f>
        <v>0</v>
      </c>
      <c r="BS26" s="359">
        <f t="shared" si="11"/>
        <v>9</v>
      </c>
      <c r="BT26" s="360" t="str">
        <f t="shared" si="12"/>
        <v xml:space="preserve">9 - </v>
      </c>
      <c r="BU26" s="354">
        <f t="shared" si="13"/>
        <v>0</v>
      </c>
      <c r="BV26" s="354">
        <f t="shared" si="14"/>
        <v>0</v>
      </c>
      <c r="BW26" s="356">
        <f t="shared" si="15"/>
        <v>0</v>
      </c>
      <c r="BX26" s="356">
        <f t="shared" si="16"/>
        <v>0</v>
      </c>
    </row>
    <row r="27" spans="1:76" s="508" customFormat="1" ht="29" x14ac:dyDescent="0.35">
      <c r="A27" s="495">
        <f t="shared" si="21"/>
        <v>10</v>
      </c>
      <c r="B27" s="761" t="s">
        <v>728</v>
      </c>
      <c r="C27" s="762"/>
      <c r="D27" s="762"/>
      <c r="E27" s="762"/>
      <c r="F27" s="759" t="s">
        <v>728</v>
      </c>
      <c r="G27" s="759" t="s">
        <v>728</v>
      </c>
      <c r="H27" s="496" t="str">
        <f>IFERROR(IF('H-Risk Register-Model'!F27="Certain","Relook at Basis of Estimate",INDEX('G-Assumptions'!$F$8:$J$11,MATCH(F27,'G-Assumptions'!$D$8:$D$11,0),MATCH(G27,'G-Assumptions'!$F$6:$J$6,0))),"Unrated")</f>
        <v>Unrated</v>
      </c>
      <c r="I27" s="759" t="s">
        <v>728</v>
      </c>
      <c r="J27" s="496" t="str">
        <f>IFERROR(IF('H-Risk Register-Model'!F27="Certain","Relook at Basis of Estimate",INDEX('G-Assumptions'!$F$8:$J$11,MATCH(F27,'G-Assumptions'!$D$8:$D$11,0),MATCH(I27,'G-Assumptions'!$F$6:$J$6,0))),"Unrated")</f>
        <v>Unrated</v>
      </c>
      <c r="K27" s="759" t="s">
        <v>728</v>
      </c>
      <c r="L27" s="759" t="s">
        <v>728</v>
      </c>
      <c r="M27" s="768"/>
      <c r="N27" s="763" t="s">
        <v>728</v>
      </c>
      <c r="O27" s="763" t="s">
        <v>728</v>
      </c>
      <c r="P27" s="764"/>
      <c r="Q27" s="764"/>
      <c r="R27" s="764"/>
      <c r="S27" s="765"/>
      <c r="T27" s="765"/>
      <c r="U27" s="765"/>
      <c r="V27" s="766"/>
      <c r="W27" s="764"/>
      <c r="X27" s="764"/>
      <c r="Y27" s="769">
        <v>1</v>
      </c>
      <c r="Z27" s="771">
        <v>1</v>
      </c>
      <c r="AA27" s="499">
        <f t="shared" si="3"/>
        <v>0</v>
      </c>
      <c r="AB27" s="499">
        <f t="shared" si="4"/>
        <v>0</v>
      </c>
      <c r="AC27" s="499">
        <f t="shared" si="17"/>
        <v>0</v>
      </c>
      <c r="AD27" s="499"/>
      <c r="AE27" s="497">
        <f t="shared" si="5"/>
        <v>0</v>
      </c>
      <c r="AF27" s="500"/>
      <c r="AG27" s="498">
        <f t="shared" si="6"/>
        <v>0</v>
      </c>
      <c r="AH27" s="760"/>
      <c r="AI27" s="760"/>
      <c r="AJ27" s="501"/>
      <c r="AK27" s="527" t="str">
        <f t="shared" si="7"/>
        <v>No</v>
      </c>
      <c r="AL27" s="528">
        <f>'I-Project Contingency'!$I$4</f>
        <v>7250000</v>
      </c>
      <c r="AM27" s="350">
        <f>'I-Project Contingency'!$I$11</f>
        <v>12</v>
      </c>
      <c r="AN27" s="349">
        <f t="shared" si="8"/>
        <v>0</v>
      </c>
      <c r="AO27" s="350">
        <f t="shared" si="9"/>
        <v>0</v>
      </c>
      <c r="AP27" s="672" t="str">
        <f t="shared" si="18"/>
        <v/>
      </c>
      <c r="AQ27" s="672" t="str">
        <f t="shared" si="19"/>
        <v/>
      </c>
      <c r="AR27" s="529" t="str">
        <f t="shared" si="22"/>
        <v/>
      </c>
      <c r="AS27" s="529" t="str">
        <f t="shared" si="20"/>
        <v/>
      </c>
      <c r="AT27" s="501"/>
      <c r="AU27" s="353">
        <f>'I-Project Contingency'!$O$4-AE27</f>
        <v>0</v>
      </c>
      <c r="AV27" s="502">
        <v>1687645.9248406207</v>
      </c>
      <c r="AW27" s="502">
        <v>3291004.7254658043</v>
      </c>
      <c r="AX27" s="502">
        <v>4159167.8232088853</v>
      </c>
      <c r="AY27" s="502">
        <f>'I-Project Contingency'!$E$66-AV27</f>
        <v>0</v>
      </c>
      <c r="AZ27" s="502">
        <f>'I-Project Contingency'!$E$69-AW27</f>
        <v>0</v>
      </c>
      <c r="BA27" s="502">
        <f>'I-Project Contingency'!$E$70-AX27</f>
        <v>0</v>
      </c>
      <c r="BB27" s="355">
        <f>'I-Project Contingency'!$O$5-AG27</f>
        <v>0</v>
      </c>
      <c r="BC27" s="503">
        <v>2.9615115956254372</v>
      </c>
      <c r="BD27" s="503">
        <v>6.001919642116226</v>
      </c>
      <c r="BE27" s="504">
        <v>7.5913096572662919</v>
      </c>
      <c r="BF27" s="503">
        <f>'I-Project Contingency'!$E$81-BC27</f>
        <v>0</v>
      </c>
      <c r="BG27" s="503">
        <f>'I-Project Contingency'!$E$84-BD27</f>
        <v>0</v>
      </c>
      <c r="BH27" s="503">
        <f>'I-Project Contingency'!$E$85-BE27</f>
        <v>0</v>
      </c>
      <c r="BI27" s="505">
        <f>IF(BK27="N/A","N/A",IF('D-Project Data'!$C$6=50%,ABS(BK27),IF('D-Project Data'!$C$6=80%,ABS(BL27),IF('D-Project Data'!$C$6=90%,ABS(BM27)))))</f>
        <v>0</v>
      </c>
      <c r="BJ27" s="506">
        <f>IF(BI27="N/A","N/A",RANK(BI27,$BI$18:$BI$116,0)+COUNTIF($BI$18:BI27,BI27)-1)</f>
        <v>10</v>
      </c>
      <c r="BK27" s="505">
        <f>IF(AY27/SUM(AY:AY)*'I-Project Contingency'!$F$66=0,0,AY27/SUM(AY:AY)*'I-Project Contingency'!$F$66)</f>
        <v>0</v>
      </c>
      <c r="BL27" s="505">
        <f>IF(AZ27/SUM(AZ:AZ)*'I-Project Contingency'!$F$69=0,0,AZ27/SUM(AZ:AZ)*'I-Project Contingency'!$F$69)</f>
        <v>0</v>
      </c>
      <c r="BM27" s="505">
        <f>IF(BA27/SUM(BA:BA)*'I-Project Contingency'!$F$70=0,0,BA27/SUM(BA:BA)*'I-Project Contingency'!$F$70)</f>
        <v>0</v>
      </c>
      <c r="BN27" s="504">
        <f>IF(BP27="N/A","N/A",IF('D-Project Data'!$C$6=50%,ABS(BP27),IF('D-Project Data'!$C$6=80%,ABS(BQ27),IF('D-Project Data'!$C$6=90%,ABS(BR27)))))</f>
        <v>0</v>
      </c>
      <c r="BO27" s="506">
        <f>IF(BN27="N/A","N/A",RANK(BN27,$BN$18:$BN$116,0)+COUNTIF($BN$18:BN27,BN27)-1)</f>
        <v>10</v>
      </c>
      <c r="BP27" s="504">
        <f>IF(BF27/SUM(BF:BF)*'I-Project Contingency'!$F$81=0,0,BF27/SUM(BF:BF)*'I-Project Contingency'!$F$81)</f>
        <v>0</v>
      </c>
      <c r="BQ27" s="504">
        <f>IF(BG27/SUM(BG:BG)*'I-Project Contingency'!$F$84=0,0,BG27/SUM(BG:BG)*'I-Project Contingency'!$F$84)</f>
        <v>0</v>
      </c>
      <c r="BR27" s="504">
        <f>IF(BH27/SUM(BH:BH)*'I-Project Contingency'!$F$85=0,0,BH27/SUM(BH:BH)*'I-Project Contingency'!$F$85)</f>
        <v>0</v>
      </c>
      <c r="BS27" s="506">
        <f t="shared" si="11"/>
        <v>10</v>
      </c>
      <c r="BT27" s="507" t="str">
        <f t="shared" si="12"/>
        <v xml:space="preserve">10 - </v>
      </c>
      <c r="BU27" s="502">
        <f t="shared" si="13"/>
        <v>0</v>
      </c>
      <c r="BV27" s="502">
        <f t="shared" si="14"/>
        <v>0</v>
      </c>
      <c r="BW27" s="503">
        <f t="shared" si="15"/>
        <v>0</v>
      </c>
      <c r="BX27" s="503">
        <f t="shared" si="16"/>
        <v>0</v>
      </c>
    </row>
    <row r="28" spans="1:76" ht="29" x14ac:dyDescent="0.35">
      <c r="A28" s="163">
        <f t="shared" si="21"/>
        <v>11</v>
      </c>
      <c r="B28" s="758" t="s">
        <v>728</v>
      </c>
      <c r="C28" s="760"/>
      <c r="D28" s="760"/>
      <c r="E28" s="760"/>
      <c r="F28" s="759" t="s">
        <v>728</v>
      </c>
      <c r="G28" s="759" t="s">
        <v>728</v>
      </c>
      <c r="H28" s="157" t="str">
        <f>IFERROR(IF('H-Risk Register-Model'!F28="Certain","Relook at Basis of Estimate",INDEX('G-Assumptions'!$F$8:$J$11,MATCH(F28,'G-Assumptions'!$D$8:$D$11,0),MATCH(G28,'G-Assumptions'!$F$6:$J$6,0))),"Unrated")</f>
        <v>Unrated</v>
      </c>
      <c r="I28" s="759" t="s">
        <v>728</v>
      </c>
      <c r="J28" s="157" t="str">
        <f>IFERROR(IF('H-Risk Register-Model'!F28="Certain","Relook at Basis of Estimate",INDEX('G-Assumptions'!$F$8:$J$11,MATCH(F28,'G-Assumptions'!$D$8:$D$11,0),MATCH(I28,'G-Assumptions'!$F$6:$J$6,0))),"Unrated")</f>
        <v>Unrated</v>
      </c>
      <c r="K28" s="759" t="s">
        <v>728</v>
      </c>
      <c r="L28" s="759" t="s">
        <v>728</v>
      </c>
      <c r="M28" s="759"/>
      <c r="N28" s="763" t="s">
        <v>728</v>
      </c>
      <c r="O28" s="763" t="s">
        <v>728</v>
      </c>
      <c r="P28" s="764"/>
      <c r="Q28" s="764"/>
      <c r="R28" s="764"/>
      <c r="S28" s="765"/>
      <c r="T28" s="765"/>
      <c r="U28" s="765"/>
      <c r="V28" s="766"/>
      <c r="W28" s="764"/>
      <c r="X28" s="764"/>
      <c r="Y28" s="767">
        <v>1</v>
      </c>
      <c r="Z28" s="770">
        <v>1</v>
      </c>
      <c r="AA28" s="166">
        <f t="shared" si="3"/>
        <v>0</v>
      </c>
      <c r="AB28" s="166">
        <f t="shared" si="4"/>
        <v>0</v>
      </c>
      <c r="AC28" s="166">
        <f t="shared" si="17"/>
        <v>0</v>
      </c>
      <c r="AD28" s="166"/>
      <c r="AE28" s="164">
        <f t="shared" si="5"/>
        <v>0</v>
      </c>
      <c r="AF28" s="167"/>
      <c r="AG28" s="165">
        <f t="shared" si="6"/>
        <v>0</v>
      </c>
      <c r="AH28" s="760"/>
      <c r="AI28" s="760"/>
      <c r="AJ28" s="8"/>
      <c r="AK28" s="524" t="str">
        <f t="shared" si="7"/>
        <v>No</v>
      </c>
      <c r="AL28" s="525">
        <f>'I-Project Contingency'!$I$4</f>
        <v>7250000</v>
      </c>
      <c r="AM28" s="350">
        <f>'I-Project Contingency'!$I$11</f>
        <v>12</v>
      </c>
      <c r="AN28" s="349">
        <f t="shared" si="8"/>
        <v>0</v>
      </c>
      <c r="AO28" s="350">
        <f t="shared" si="9"/>
        <v>0</v>
      </c>
      <c r="AP28" s="672" t="str">
        <f t="shared" si="18"/>
        <v/>
      </c>
      <c r="AQ28" s="672" t="str">
        <f t="shared" si="19"/>
        <v/>
      </c>
      <c r="AR28" s="526" t="str">
        <f t="shared" si="22"/>
        <v/>
      </c>
      <c r="AS28" s="526" t="str">
        <f t="shared" si="20"/>
        <v/>
      </c>
      <c r="AT28" s="8"/>
      <c r="AU28" s="353">
        <f>'I-Project Contingency'!$O$4-AE28</f>
        <v>0</v>
      </c>
      <c r="AV28" s="354">
        <v>1687645.9248406207</v>
      </c>
      <c r="AW28" s="354">
        <v>3291004.7254658043</v>
      </c>
      <c r="AX28" s="354">
        <v>4159167.8232088853</v>
      </c>
      <c r="AY28" s="354">
        <f>'I-Project Contingency'!$E$66-AV28</f>
        <v>0</v>
      </c>
      <c r="AZ28" s="354">
        <f>'I-Project Contingency'!$E$69-AW28</f>
        <v>0</v>
      </c>
      <c r="BA28" s="354">
        <f>'I-Project Contingency'!$E$70-AX28</f>
        <v>0</v>
      </c>
      <c r="BB28" s="355">
        <f>'I-Project Contingency'!$O$5-AG28</f>
        <v>0</v>
      </c>
      <c r="BC28" s="356">
        <v>2.9615115956254372</v>
      </c>
      <c r="BD28" s="356">
        <v>6.001919642116226</v>
      </c>
      <c r="BE28" s="357">
        <v>7.5913096572662919</v>
      </c>
      <c r="BF28" s="356">
        <f>'I-Project Contingency'!$E$81-BC28</f>
        <v>0</v>
      </c>
      <c r="BG28" s="356">
        <f>'I-Project Contingency'!$E$84-BD28</f>
        <v>0</v>
      </c>
      <c r="BH28" s="356">
        <f>'I-Project Contingency'!$E$85-BE28</f>
        <v>0</v>
      </c>
      <c r="BI28" s="358">
        <f>IF(BK28="N/A","N/A",IF('D-Project Data'!$C$6=50%,ABS(BK28),IF('D-Project Data'!$C$6=80%,ABS(BL28),IF('D-Project Data'!$C$6=90%,ABS(BM28)))))</f>
        <v>0</v>
      </c>
      <c r="BJ28" s="359">
        <f>IF(BI28="N/A","N/A",RANK(BI28,$BI$18:$BI$116,0)+COUNTIF($BI$18:BI28,BI28)-1)</f>
        <v>11</v>
      </c>
      <c r="BK28" s="358">
        <f>IF(AY28/SUM(AY:AY)*'I-Project Contingency'!$F$66=0,0,AY28/SUM(AY:AY)*'I-Project Contingency'!$F$66)</f>
        <v>0</v>
      </c>
      <c r="BL28" s="358">
        <f>IF(AZ28/SUM(AZ:AZ)*'I-Project Contingency'!$F$69=0,0,AZ28/SUM(AZ:AZ)*'I-Project Contingency'!$F$69)</f>
        <v>0</v>
      </c>
      <c r="BM28" s="358">
        <f>IF(BA28/SUM(BA:BA)*'I-Project Contingency'!$F$70=0,0,BA28/SUM(BA:BA)*'I-Project Contingency'!$F$70)</f>
        <v>0</v>
      </c>
      <c r="BN28" s="357">
        <f>IF(BP28="N/A","N/A",IF('D-Project Data'!$C$6=50%,ABS(BP28),IF('D-Project Data'!$C$6=80%,ABS(BQ28),IF('D-Project Data'!$C$6=90%,ABS(BR28)))))</f>
        <v>0</v>
      </c>
      <c r="BO28" s="359">
        <f>IF(BN28="N/A","N/A",RANK(BN28,$BN$18:$BN$116,0)+COUNTIF($BN$18:BN28,BN28)-1)</f>
        <v>11</v>
      </c>
      <c r="BP28" s="357">
        <f>IF(BF28/SUM(BF:BF)*'I-Project Contingency'!$F$81=0,0,BF28/SUM(BF:BF)*'I-Project Contingency'!$F$81)</f>
        <v>0</v>
      </c>
      <c r="BQ28" s="357">
        <f>IF(BG28/SUM(BG:BG)*'I-Project Contingency'!$F$84=0,0,BG28/SUM(BG:BG)*'I-Project Contingency'!$F$84)</f>
        <v>0</v>
      </c>
      <c r="BR28" s="357">
        <f>IF(BH28/SUM(BH:BH)*'I-Project Contingency'!$F$85=0,0,BH28/SUM(BH:BH)*'I-Project Contingency'!$F$85)</f>
        <v>0</v>
      </c>
      <c r="BS28" s="359">
        <f t="shared" si="11"/>
        <v>11</v>
      </c>
      <c r="BT28" s="360" t="str">
        <f t="shared" si="12"/>
        <v xml:space="preserve">11 - </v>
      </c>
      <c r="BU28" s="354">
        <f t="shared" si="13"/>
        <v>0</v>
      </c>
      <c r="BV28" s="354">
        <f t="shared" si="14"/>
        <v>0</v>
      </c>
      <c r="BW28" s="356">
        <f t="shared" si="15"/>
        <v>0</v>
      </c>
      <c r="BX28" s="356">
        <f t="shared" si="16"/>
        <v>0</v>
      </c>
    </row>
    <row r="29" spans="1:76" ht="29" x14ac:dyDescent="0.35">
      <c r="A29" s="163">
        <f t="shared" si="21"/>
        <v>12</v>
      </c>
      <c r="B29" s="758" t="s">
        <v>728</v>
      </c>
      <c r="C29" s="760"/>
      <c r="D29" s="760"/>
      <c r="E29" s="760"/>
      <c r="F29" s="759" t="s">
        <v>728</v>
      </c>
      <c r="G29" s="759" t="s">
        <v>728</v>
      </c>
      <c r="H29" s="157" t="str">
        <f>IFERROR(IF('H-Risk Register-Model'!F29="Certain","Relook at Basis of Estimate",INDEX('G-Assumptions'!$F$8:$J$11,MATCH(F29,'G-Assumptions'!$D$8:$D$11,0),MATCH(G29,'G-Assumptions'!$F$6:$J$6,0))),"Unrated")</f>
        <v>Unrated</v>
      </c>
      <c r="I29" s="759" t="s">
        <v>728</v>
      </c>
      <c r="J29" s="157" t="str">
        <f>IFERROR(IF('H-Risk Register-Model'!F29="Certain","Relook at Basis of Estimate",INDEX('G-Assumptions'!$F$8:$J$11,MATCH(F29,'G-Assumptions'!$D$8:$D$11,0),MATCH(I29,'G-Assumptions'!$F$6:$J$6,0))),"Unrated")</f>
        <v>Unrated</v>
      </c>
      <c r="K29" s="759" t="s">
        <v>728</v>
      </c>
      <c r="L29" s="759" t="s">
        <v>728</v>
      </c>
      <c r="M29" s="759"/>
      <c r="N29" s="763" t="s">
        <v>728</v>
      </c>
      <c r="O29" s="763" t="s">
        <v>728</v>
      </c>
      <c r="P29" s="764"/>
      <c r="Q29" s="764"/>
      <c r="R29" s="764"/>
      <c r="S29" s="765"/>
      <c r="T29" s="765"/>
      <c r="U29" s="765"/>
      <c r="V29" s="766"/>
      <c r="W29" s="764"/>
      <c r="X29" s="764"/>
      <c r="Y29" s="767">
        <v>1</v>
      </c>
      <c r="Z29" s="770">
        <v>1</v>
      </c>
      <c r="AA29" s="166">
        <f t="shared" si="3"/>
        <v>0</v>
      </c>
      <c r="AB29" s="166">
        <f t="shared" si="4"/>
        <v>0</v>
      </c>
      <c r="AC29" s="166">
        <f t="shared" si="17"/>
        <v>0</v>
      </c>
      <c r="AD29" s="166"/>
      <c r="AE29" s="164">
        <f t="shared" si="5"/>
        <v>0</v>
      </c>
      <c r="AF29" s="167"/>
      <c r="AG29" s="165">
        <f t="shared" si="6"/>
        <v>0</v>
      </c>
      <c r="AH29" s="760"/>
      <c r="AI29" s="760"/>
      <c r="AJ29" s="8"/>
      <c r="AK29" s="524" t="str">
        <f t="shared" si="7"/>
        <v>No</v>
      </c>
      <c r="AL29" s="525">
        <f>'I-Project Contingency'!$I$4</f>
        <v>7250000</v>
      </c>
      <c r="AM29" s="350">
        <f>'I-Project Contingency'!$I$11</f>
        <v>12</v>
      </c>
      <c r="AN29" s="349">
        <f t="shared" si="8"/>
        <v>0</v>
      </c>
      <c r="AO29" s="350">
        <f t="shared" si="9"/>
        <v>0</v>
      </c>
      <c r="AP29" s="672" t="str">
        <f t="shared" si="18"/>
        <v/>
      </c>
      <c r="AQ29" s="672" t="str">
        <f t="shared" si="19"/>
        <v/>
      </c>
      <c r="AR29" s="526" t="str">
        <f t="shared" si="22"/>
        <v/>
      </c>
      <c r="AS29" s="526" t="str">
        <f t="shared" si="20"/>
        <v/>
      </c>
      <c r="AT29" s="8"/>
      <c r="AU29" s="353">
        <f>'I-Project Contingency'!$O$4-AE29</f>
        <v>0</v>
      </c>
      <c r="AV29" s="354">
        <v>1687645.9248406207</v>
      </c>
      <c r="AW29" s="354">
        <v>3291004.7254658043</v>
      </c>
      <c r="AX29" s="354">
        <v>4159167.8232088853</v>
      </c>
      <c r="AY29" s="354">
        <f>'I-Project Contingency'!$E$66-AV29</f>
        <v>0</v>
      </c>
      <c r="AZ29" s="354">
        <f>'I-Project Contingency'!$E$69-AW29</f>
        <v>0</v>
      </c>
      <c r="BA29" s="354">
        <f>'I-Project Contingency'!$E$70-AX29</f>
        <v>0</v>
      </c>
      <c r="BB29" s="355">
        <f>'I-Project Contingency'!$O$5-AG29</f>
        <v>0</v>
      </c>
      <c r="BC29" s="356">
        <v>2.9615115956254372</v>
      </c>
      <c r="BD29" s="356">
        <v>6.001919642116226</v>
      </c>
      <c r="BE29" s="357">
        <v>7.5913096572662919</v>
      </c>
      <c r="BF29" s="356">
        <f>'I-Project Contingency'!$E$81-BC29</f>
        <v>0</v>
      </c>
      <c r="BG29" s="356">
        <f>'I-Project Contingency'!$E$84-BD29</f>
        <v>0</v>
      </c>
      <c r="BH29" s="356">
        <f>'I-Project Contingency'!$E$85-BE29</f>
        <v>0</v>
      </c>
      <c r="BI29" s="358">
        <f>IF(BK29="N/A","N/A",IF('D-Project Data'!$C$6=50%,ABS(BK29),IF('D-Project Data'!$C$6=80%,ABS(BL29),IF('D-Project Data'!$C$6=90%,ABS(BM29)))))</f>
        <v>0</v>
      </c>
      <c r="BJ29" s="359">
        <f>IF(BI29="N/A","N/A",RANK(BI29,$BI$18:$BI$116,0)+COUNTIF($BI$18:BI29,BI29)-1)</f>
        <v>12</v>
      </c>
      <c r="BK29" s="358">
        <f>IF(AY29/SUM(AY:AY)*'I-Project Contingency'!$F$66=0,0,AY29/SUM(AY:AY)*'I-Project Contingency'!$F$66)</f>
        <v>0</v>
      </c>
      <c r="BL29" s="358">
        <f>IF(AZ29/SUM(AZ:AZ)*'I-Project Contingency'!$F$69=0,0,AZ29/SUM(AZ:AZ)*'I-Project Contingency'!$F$69)</f>
        <v>0</v>
      </c>
      <c r="BM29" s="358">
        <f>IF(BA29/SUM(BA:BA)*'I-Project Contingency'!$F$70=0,0,BA29/SUM(BA:BA)*'I-Project Contingency'!$F$70)</f>
        <v>0</v>
      </c>
      <c r="BN29" s="357">
        <f>IF(BP29="N/A","N/A",IF('D-Project Data'!$C$6=50%,ABS(BP29),IF('D-Project Data'!$C$6=80%,ABS(BQ29),IF('D-Project Data'!$C$6=90%,ABS(BR29)))))</f>
        <v>0</v>
      </c>
      <c r="BO29" s="359">
        <f>IF(BN29="N/A","N/A",RANK(BN29,$BN$18:$BN$116,0)+COUNTIF($BN$18:BN29,BN29)-1)</f>
        <v>12</v>
      </c>
      <c r="BP29" s="357">
        <f>IF(BF29/SUM(BF:BF)*'I-Project Contingency'!$F$81=0,0,BF29/SUM(BF:BF)*'I-Project Contingency'!$F$81)</f>
        <v>0</v>
      </c>
      <c r="BQ29" s="357">
        <f>IF(BG29/SUM(BG:BG)*'I-Project Contingency'!$F$84=0,0,BG29/SUM(BG:BG)*'I-Project Contingency'!$F$84)</f>
        <v>0</v>
      </c>
      <c r="BR29" s="357">
        <f>IF(BH29/SUM(BH:BH)*'I-Project Contingency'!$F$85=0,0,BH29/SUM(BH:BH)*'I-Project Contingency'!$F$85)</f>
        <v>0</v>
      </c>
      <c r="BS29" s="359">
        <f t="shared" si="11"/>
        <v>12</v>
      </c>
      <c r="BT29" s="360" t="str">
        <f t="shared" si="12"/>
        <v xml:space="preserve">12 - </v>
      </c>
      <c r="BU29" s="354">
        <f t="shared" si="13"/>
        <v>0</v>
      </c>
      <c r="BV29" s="354">
        <f t="shared" si="14"/>
        <v>0</v>
      </c>
      <c r="BW29" s="356">
        <f t="shared" si="15"/>
        <v>0</v>
      </c>
      <c r="BX29" s="356">
        <f t="shared" si="16"/>
        <v>0</v>
      </c>
    </row>
    <row r="30" spans="1:76" ht="29" x14ac:dyDescent="0.35">
      <c r="A30" s="163">
        <f t="shared" si="21"/>
        <v>13</v>
      </c>
      <c r="B30" s="758" t="s">
        <v>728</v>
      </c>
      <c r="C30" s="760"/>
      <c r="D30" s="760"/>
      <c r="E30" s="760"/>
      <c r="F30" s="759" t="s">
        <v>728</v>
      </c>
      <c r="G30" s="759" t="s">
        <v>728</v>
      </c>
      <c r="H30" s="157" t="str">
        <f>IFERROR(IF('H-Risk Register-Model'!F30="Certain","Relook at Basis of Estimate",INDEX('G-Assumptions'!$F$8:$J$11,MATCH(F30,'G-Assumptions'!$D$8:$D$11,0),MATCH(G30,'G-Assumptions'!$F$6:$J$6,0))),"Unrated")</f>
        <v>Unrated</v>
      </c>
      <c r="I30" s="759" t="s">
        <v>728</v>
      </c>
      <c r="J30" s="157" t="str">
        <f>IFERROR(IF('H-Risk Register-Model'!F30="Certain","Relook at Basis of Estimate",INDEX('G-Assumptions'!$F$8:$J$11,MATCH(F30,'G-Assumptions'!$D$8:$D$11,0),MATCH(I30,'G-Assumptions'!$F$6:$J$6,0))),"Unrated")</f>
        <v>Unrated</v>
      </c>
      <c r="K30" s="759" t="s">
        <v>728</v>
      </c>
      <c r="L30" s="759" t="s">
        <v>728</v>
      </c>
      <c r="M30" s="759"/>
      <c r="N30" s="763" t="s">
        <v>728</v>
      </c>
      <c r="O30" s="763" t="s">
        <v>728</v>
      </c>
      <c r="P30" s="764"/>
      <c r="Q30" s="764"/>
      <c r="R30" s="764"/>
      <c r="S30" s="765"/>
      <c r="T30" s="765"/>
      <c r="U30" s="765"/>
      <c r="V30" s="766"/>
      <c r="W30" s="764"/>
      <c r="X30" s="764"/>
      <c r="Y30" s="767">
        <v>1</v>
      </c>
      <c r="Z30" s="770">
        <v>1</v>
      </c>
      <c r="AA30" s="166">
        <f t="shared" si="3"/>
        <v>0</v>
      </c>
      <c r="AB30" s="166">
        <f t="shared" si="4"/>
        <v>0</v>
      </c>
      <c r="AC30" s="166">
        <f t="shared" si="17"/>
        <v>0</v>
      </c>
      <c r="AD30" s="166"/>
      <c r="AE30" s="164">
        <f t="shared" si="5"/>
        <v>0</v>
      </c>
      <c r="AF30" s="167"/>
      <c r="AG30" s="165">
        <f t="shared" si="6"/>
        <v>0</v>
      </c>
      <c r="AH30" s="760"/>
      <c r="AI30" s="760"/>
      <c r="AJ30" s="8"/>
      <c r="AK30" s="524" t="str">
        <f t="shared" si="7"/>
        <v>No</v>
      </c>
      <c r="AL30" s="525">
        <f>'I-Project Contingency'!$I$4</f>
        <v>7250000</v>
      </c>
      <c r="AM30" s="350">
        <f>'I-Project Contingency'!$I$11</f>
        <v>12</v>
      </c>
      <c r="AN30" s="349">
        <f t="shared" si="8"/>
        <v>0</v>
      </c>
      <c r="AO30" s="350">
        <f t="shared" si="9"/>
        <v>0</v>
      </c>
      <c r="AP30" s="672" t="str">
        <f t="shared" si="18"/>
        <v/>
      </c>
      <c r="AQ30" s="672" t="str">
        <f t="shared" si="19"/>
        <v/>
      </c>
      <c r="AR30" s="526" t="str">
        <f t="shared" si="22"/>
        <v/>
      </c>
      <c r="AS30" s="526" t="str">
        <f t="shared" si="20"/>
        <v/>
      </c>
      <c r="AT30" s="8"/>
      <c r="AU30" s="353">
        <f>'I-Project Contingency'!$O$4-AE30</f>
        <v>0</v>
      </c>
      <c r="AV30" s="354">
        <v>1687645.9248406207</v>
      </c>
      <c r="AW30" s="354">
        <v>3291004.7254658043</v>
      </c>
      <c r="AX30" s="354">
        <v>4159167.8232088853</v>
      </c>
      <c r="AY30" s="354">
        <f>'I-Project Contingency'!$E$66-AV30</f>
        <v>0</v>
      </c>
      <c r="AZ30" s="354">
        <f>'I-Project Contingency'!$E$69-AW30</f>
        <v>0</v>
      </c>
      <c r="BA30" s="354">
        <f>'I-Project Contingency'!$E$70-AX30</f>
        <v>0</v>
      </c>
      <c r="BB30" s="355">
        <f>'I-Project Contingency'!$O$5-AG30</f>
        <v>0</v>
      </c>
      <c r="BC30" s="356">
        <v>2.9615115956254372</v>
      </c>
      <c r="BD30" s="356">
        <v>6.001919642116226</v>
      </c>
      <c r="BE30" s="357">
        <v>7.5913096572662919</v>
      </c>
      <c r="BF30" s="356">
        <f>'I-Project Contingency'!$E$81-BC30</f>
        <v>0</v>
      </c>
      <c r="BG30" s="356">
        <f>'I-Project Contingency'!$E$84-BD30</f>
        <v>0</v>
      </c>
      <c r="BH30" s="356">
        <f>'I-Project Contingency'!$E$85-BE30</f>
        <v>0</v>
      </c>
      <c r="BI30" s="358">
        <f>IF(BK30="N/A","N/A",IF('D-Project Data'!$C$6=50%,ABS(BK30),IF('D-Project Data'!$C$6=80%,ABS(BL30),IF('D-Project Data'!$C$6=90%,ABS(BM30)))))</f>
        <v>0</v>
      </c>
      <c r="BJ30" s="359">
        <f>IF(BI30="N/A","N/A",RANK(BI30,$BI$18:$BI$116,0)+COUNTIF($BI$18:BI30,BI30)-1)</f>
        <v>13</v>
      </c>
      <c r="BK30" s="358">
        <f>IF(AY30/SUM(AY:AY)*'I-Project Contingency'!$F$66=0,0,AY30/SUM(AY:AY)*'I-Project Contingency'!$F$66)</f>
        <v>0</v>
      </c>
      <c r="BL30" s="358">
        <f>IF(AZ30/SUM(AZ:AZ)*'I-Project Contingency'!$F$69=0,0,AZ30/SUM(AZ:AZ)*'I-Project Contingency'!$F$69)</f>
        <v>0</v>
      </c>
      <c r="BM30" s="358">
        <f>IF(BA30/SUM(BA:BA)*'I-Project Contingency'!$F$70=0,0,BA30/SUM(BA:BA)*'I-Project Contingency'!$F$70)</f>
        <v>0</v>
      </c>
      <c r="BN30" s="357">
        <f>IF(BP30="N/A","N/A",IF('D-Project Data'!$C$6=50%,ABS(BP30),IF('D-Project Data'!$C$6=80%,ABS(BQ30),IF('D-Project Data'!$C$6=90%,ABS(BR30)))))</f>
        <v>0</v>
      </c>
      <c r="BO30" s="359">
        <f>IF(BN30="N/A","N/A",RANK(BN30,$BN$18:$BN$116,0)+COUNTIF($BN$18:BN30,BN30)-1)</f>
        <v>13</v>
      </c>
      <c r="BP30" s="357">
        <f>IF(BF30/SUM(BF:BF)*'I-Project Contingency'!$F$81=0,0,BF30/SUM(BF:BF)*'I-Project Contingency'!$F$81)</f>
        <v>0</v>
      </c>
      <c r="BQ30" s="357">
        <f>IF(BG30/SUM(BG:BG)*'I-Project Contingency'!$F$84=0,0,BG30/SUM(BG:BG)*'I-Project Contingency'!$F$84)</f>
        <v>0</v>
      </c>
      <c r="BR30" s="357">
        <f>IF(BH30/SUM(BH:BH)*'I-Project Contingency'!$F$85=0,0,BH30/SUM(BH:BH)*'I-Project Contingency'!$F$85)</f>
        <v>0</v>
      </c>
      <c r="BS30" s="359">
        <f t="shared" si="11"/>
        <v>13</v>
      </c>
      <c r="BT30" s="360" t="str">
        <f t="shared" si="12"/>
        <v xml:space="preserve">13 - </v>
      </c>
      <c r="BU30" s="354">
        <f t="shared" si="13"/>
        <v>0</v>
      </c>
      <c r="BV30" s="354">
        <f t="shared" si="14"/>
        <v>0</v>
      </c>
      <c r="BW30" s="356">
        <f t="shared" si="15"/>
        <v>0</v>
      </c>
      <c r="BX30" s="356">
        <f t="shared" si="16"/>
        <v>0</v>
      </c>
    </row>
    <row r="31" spans="1:76" ht="29" x14ac:dyDescent="0.35">
      <c r="A31" s="163">
        <f t="shared" si="21"/>
        <v>14</v>
      </c>
      <c r="B31" s="758" t="s">
        <v>728</v>
      </c>
      <c r="C31" s="760"/>
      <c r="D31" s="760"/>
      <c r="E31" s="760"/>
      <c r="F31" s="759" t="s">
        <v>728</v>
      </c>
      <c r="G31" s="759" t="s">
        <v>728</v>
      </c>
      <c r="H31" s="157" t="str">
        <f>IFERROR(IF('H-Risk Register-Model'!F31="Certain","Relook at Basis of Estimate",INDEX('G-Assumptions'!$F$8:$J$11,MATCH(F31,'G-Assumptions'!$D$8:$D$11,0),MATCH(G31,'G-Assumptions'!$F$6:$J$6,0))),"Unrated")</f>
        <v>Unrated</v>
      </c>
      <c r="I31" s="759" t="s">
        <v>728</v>
      </c>
      <c r="J31" s="157" t="str">
        <f>IFERROR(IF('H-Risk Register-Model'!F31="Certain","Relook at Basis of Estimate",INDEX('G-Assumptions'!$F$8:$J$11,MATCH(F31,'G-Assumptions'!$D$8:$D$11,0),MATCH(I31,'G-Assumptions'!$F$6:$J$6,0))),"Unrated")</f>
        <v>Unrated</v>
      </c>
      <c r="K31" s="759" t="s">
        <v>728</v>
      </c>
      <c r="L31" s="759" t="s">
        <v>728</v>
      </c>
      <c r="M31" s="759"/>
      <c r="N31" s="763" t="s">
        <v>728</v>
      </c>
      <c r="O31" s="763" t="s">
        <v>728</v>
      </c>
      <c r="P31" s="764"/>
      <c r="Q31" s="764"/>
      <c r="R31" s="764"/>
      <c r="S31" s="765"/>
      <c r="T31" s="765"/>
      <c r="U31" s="765"/>
      <c r="V31" s="766"/>
      <c r="W31" s="764"/>
      <c r="X31" s="764"/>
      <c r="Y31" s="767">
        <v>1</v>
      </c>
      <c r="Z31" s="770">
        <v>1</v>
      </c>
      <c r="AA31" s="166">
        <f t="shared" si="3"/>
        <v>0</v>
      </c>
      <c r="AB31" s="166">
        <f t="shared" si="4"/>
        <v>0</v>
      </c>
      <c r="AC31" s="166">
        <f t="shared" si="17"/>
        <v>0</v>
      </c>
      <c r="AD31" s="166"/>
      <c r="AE31" s="164">
        <f t="shared" si="5"/>
        <v>0</v>
      </c>
      <c r="AF31" s="167"/>
      <c r="AG31" s="165">
        <f t="shared" si="6"/>
        <v>0</v>
      </c>
      <c r="AH31" s="760"/>
      <c r="AI31" s="760"/>
      <c r="AJ31" s="8"/>
      <c r="AK31" s="524" t="str">
        <f t="shared" si="7"/>
        <v>No</v>
      </c>
      <c r="AL31" s="525">
        <f>'I-Project Contingency'!$I$4</f>
        <v>7250000</v>
      </c>
      <c r="AM31" s="350">
        <f>'I-Project Contingency'!$I$11</f>
        <v>12</v>
      </c>
      <c r="AN31" s="349">
        <f t="shared" si="8"/>
        <v>0</v>
      </c>
      <c r="AO31" s="350">
        <f t="shared" si="9"/>
        <v>0</v>
      </c>
      <c r="AP31" s="672" t="str">
        <f t="shared" si="18"/>
        <v/>
      </c>
      <c r="AQ31" s="672" t="str">
        <f t="shared" si="19"/>
        <v/>
      </c>
      <c r="AR31" s="526" t="str">
        <f t="shared" si="22"/>
        <v/>
      </c>
      <c r="AS31" s="526" t="str">
        <f t="shared" si="20"/>
        <v/>
      </c>
      <c r="AT31" s="8"/>
      <c r="AU31" s="353">
        <f>'I-Project Contingency'!$O$4-AE31</f>
        <v>0</v>
      </c>
      <c r="AV31" s="354">
        <v>1687645.9248406207</v>
      </c>
      <c r="AW31" s="354">
        <v>3291004.7254658043</v>
      </c>
      <c r="AX31" s="354">
        <v>4159167.8232088853</v>
      </c>
      <c r="AY31" s="354">
        <f>'I-Project Contingency'!$E$66-AV31</f>
        <v>0</v>
      </c>
      <c r="AZ31" s="354">
        <f>'I-Project Contingency'!$E$69-AW31</f>
        <v>0</v>
      </c>
      <c r="BA31" s="354">
        <f>'I-Project Contingency'!$E$70-AX31</f>
        <v>0</v>
      </c>
      <c r="BB31" s="355">
        <f>'I-Project Contingency'!$O$5-AG31</f>
        <v>0</v>
      </c>
      <c r="BC31" s="356">
        <v>2.9615115956254372</v>
      </c>
      <c r="BD31" s="356">
        <v>6.001919642116226</v>
      </c>
      <c r="BE31" s="357">
        <v>7.5913096572662919</v>
      </c>
      <c r="BF31" s="356">
        <f>'I-Project Contingency'!$E$81-BC31</f>
        <v>0</v>
      </c>
      <c r="BG31" s="356">
        <f>'I-Project Contingency'!$E$84-BD31</f>
        <v>0</v>
      </c>
      <c r="BH31" s="356">
        <f>'I-Project Contingency'!$E$85-BE31</f>
        <v>0</v>
      </c>
      <c r="BI31" s="358">
        <f>IF(BK31="N/A","N/A",IF('D-Project Data'!$C$6=50%,ABS(BK31),IF('D-Project Data'!$C$6=80%,ABS(BL31),IF('D-Project Data'!$C$6=90%,ABS(BM31)))))</f>
        <v>0</v>
      </c>
      <c r="BJ31" s="359">
        <f>IF(BI31="N/A","N/A",RANK(BI31,$BI$18:$BI$116,0)+COUNTIF($BI$18:BI31,BI31)-1)</f>
        <v>14</v>
      </c>
      <c r="BK31" s="358">
        <f>IF(AY31/SUM(AY:AY)*'I-Project Contingency'!$F$66=0,0,AY31/SUM(AY:AY)*'I-Project Contingency'!$F$66)</f>
        <v>0</v>
      </c>
      <c r="BL31" s="358">
        <f>IF(AZ31/SUM(AZ:AZ)*'I-Project Contingency'!$F$69=0,0,AZ31/SUM(AZ:AZ)*'I-Project Contingency'!$F$69)</f>
        <v>0</v>
      </c>
      <c r="BM31" s="358">
        <f>IF(BA31/SUM(BA:BA)*'I-Project Contingency'!$F$70=0,0,BA31/SUM(BA:BA)*'I-Project Contingency'!$F$70)</f>
        <v>0</v>
      </c>
      <c r="BN31" s="357">
        <f>IF(BP31="N/A","N/A",IF('D-Project Data'!$C$6=50%,ABS(BP31),IF('D-Project Data'!$C$6=80%,ABS(BQ31),IF('D-Project Data'!$C$6=90%,ABS(BR31)))))</f>
        <v>0</v>
      </c>
      <c r="BO31" s="359">
        <f>IF(BN31="N/A","N/A",RANK(BN31,$BN$18:$BN$116,0)+COUNTIF($BN$18:BN31,BN31)-1)</f>
        <v>14</v>
      </c>
      <c r="BP31" s="357">
        <f>IF(BF31/SUM(BF:BF)*'I-Project Contingency'!$F$81=0,0,BF31/SUM(BF:BF)*'I-Project Contingency'!$F$81)</f>
        <v>0</v>
      </c>
      <c r="BQ31" s="357">
        <f>IF(BG31/SUM(BG:BG)*'I-Project Contingency'!$F$84=0,0,BG31/SUM(BG:BG)*'I-Project Contingency'!$F$84)</f>
        <v>0</v>
      </c>
      <c r="BR31" s="357">
        <f>IF(BH31/SUM(BH:BH)*'I-Project Contingency'!$F$85=0,0,BH31/SUM(BH:BH)*'I-Project Contingency'!$F$85)</f>
        <v>0</v>
      </c>
      <c r="BS31" s="359">
        <f t="shared" si="11"/>
        <v>14</v>
      </c>
      <c r="BT31" s="360" t="str">
        <f t="shared" si="12"/>
        <v xml:space="preserve">14 - </v>
      </c>
      <c r="BU31" s="354">
        <f t="shared" si="13"/>
        <v>0</v>
      </c>
      <c r="BV31" s="354">
        <f t="shared" si="14"/>
        <v>0</v>
      </c>
      <c r="BW31" s="356">
        <f t="shared" si="15"/>
        <v>0</v>
      </c>
      <c r="BX31" s="356">
        <f t="shared" si="16"/>
        <v>0</v>
      </c>
    </row>
    <row r="32" spans="1:76" ht="29" x14ac:dyDescent="0.35">
      <c r="A32" s="163">
        <f t="shared" si="21"/>
        <v>15</v>
      </c>
      <c r="B32" s="758" t="s">
        <v>728</v>
      </c>
      <c r="C32" s="760"/>
      <c r="D32" s="760"/>
      <c r="E32" s="760"/>
      <c r="F32" s="759" t="s">
        <v>728</v>
      </c>
      <c r="G32" s="759" t="s">
        <v>728</v>
      </c>
      <c r="H32" s="157" t="str">
        <f>IFERROR(IF('H-Risk Register-Model'!F32="Certain","Relook at Basis of Estimate",INDEX('G-Assumptions'!$F$8:$J$11,MATCH(F32,'G-Assumptions'!$D$8:$D$11,0),MATCH(G32,'G-Assumptions'!$F$6:$J$6,0))),"Unrated")</f>
        <v>Unrated</v>
      </c>
      <c r="I32" s="759" t="s">
        <v>728</v>
      </c>
      <c r="J32" s="157" t="str">
        <f>IFERROR(IF('H-Risk Register-Model'!F32="Certain","Relook at Basis of Estimate",INDEX('G-Assumptions'!$F$8:$J$11,MATCH(F32,'G-Assumptions'!$D$8:$D$11,0),MATCH(I32,'G-Assumptions'!$F$6:$J$6,0))),"Unrated")</f>
        <v>Unrated</v>
      </c>
      <c r="K32" s="759" t="s">
        <v>728</v>
      </c>
      <c r="L32" s="759" t="s">
        <v>728</v>
      </c>
      <c r="M32" s="759"/>
      <c r="N32" s="763" t="s">
        <v>728</v>
      </c>
      <c r="O32" s="763" t="s">
        <v>728</v>
      </c>
      <c r="P32" s="764"/>
      <c r="Q32" s="764"/>
      <c r="R32" s="764"/>
      <c r="S32" s="765"/>
      <c r="T32" s="765"/>
      <c r="U32" s="765"/>
      <c r="V32" s="766"/>
      <c r="W32" s="764"/>
      <c r="X32" s="764"/>
      <c r="Y32" s="767">
        <v>1</v>
      </c>
      <c r="Z32" s="770">
        <v>1</v>
      </c>
      <c r="AA32" s="166">
        <f t="shared" si="3"/>
        <v>0</v>
      </c>
      <c r="AB32" s="166">
        <f t="shared" si="4"/>
        <v>0</v>
      </c>
      <c r="AC32" s="166">
        <f t="shared" si="17"/>
        <v>0</v>
      </c>
      <c r="AD32" s="166"/>
      <c r="AE32" s="164">
        <f t="shared" si="5"/>
        <v>0</v>
      </c>
      <c r="AF32" s="167"/>
      <c r="AG32" s="165">
        <f t="shared" si="6"/>
        <v>0</v>
      </c>
      <c r="AH32" s="760"/>
      <c r="AI32" s="760"/>
      <c r="AJ32" s="8"/>
      <c r="AK32" s="524" t="str">
        <f t="shared" si="7"/>
        <v>No</v>
      </c>
      <c r="AL32" s="525">
        <f>'I-Project Contingency'!$I$4</f>
        <v>7250000</v>
      </c>
      <c r="AM32" s="350">
        <f>'I-Project Contingency'!$I$11</f>
        <v>12</v>
      </c>
      <c r="AN32" s="349">
        <f t="shared" si="8"/>
        <v>0</v>
      </c>
      <c r="AO32" s="350">
        <f t="shared" si="9"/>
        <v>0</v>
      </c>
      <c r="AP32" s="672" t="str">
        <f t="shared" si="18"/>
        <v/>
      </c>
      <c r="AQ32" s="672" t="str">
        <f t="shared" si="19"/>
        <v/>
      </c>
      <c r="AR32" s="526" t="str">
        <f t="shared" si="22"/>
        <v/>
      </c>
      <c r="AS32" s="526" t="str">
        <f t="shared" si="20"/>
        <v/>
      </c>
      <c r="AT32" s="8"/>
      <c r="AU32" s="353">
        <f>'I-Project Contingency'!$O$4-AE32</f>
        <v>0</v>
      </c>
      <c r="AV32" s="354">
        <v>1687645.9248406207</v>
      </c>
      <c r="AW32" s="354">
        <v>3291004.7254658043</v>
      </c>
      <c r="AX32" s="354">
        <v>4159167.8232088853</v>
      </c>
      <c r="AY32" s="354">
        <f>'I-Project Contingency'!$E$66-AV32</f>
        <v>0</v>
      </c>
      <c r="AZ32" s="354">
        <f>'I-Project Contingency'!$E$69-AW32</f>
        <v>0</v>
      </c>
      <c r="BA32" s="354">
        <f>'I-Project Contingency'!$E$70-AX32</f>
        <v>0</v>
      </c>
      <c r="BB32" s="355">
        <f>'I-Project Contingency'!$O$5-AG32</f>
        <v>0</v>
      </c>
      <c r="BC32" s="356">
        <v>2.9615115956254372</v>
      </c>
      <c r="BD32" s="356">
        <v>6.001919642116226</v>
      </c>
      <c r="BE32" s="357">
        <v>7.5913096572662919</v>
      </c>
      <c r="BF32" s="356">
        <f>'I-Project Contingency'!$E$81-BC32</f>
        <v>0</v>
      </c>
      <c r="BG32" s="356">
        <f>'I-Project Contingency'!$E$84-BD32</f>
        <v>0</v>
      </c>
      <c r="BH32" s="356">
        <f>'I-Project Contingency'!$E$85-BE32</f>
        <v>0</v>
      </c>
      <c r="BI32" s="358">
        <f>IF(BK32="N/A","N/A",IF('D-Project Data'!$C$6=50%,ABS(BK32),IF('D-Project Data'!$C$6=80%,ABS(BL32),IF('D-Project Data'!$C$6=90%,ABS(BM32)))))</f>
        <v>0</v>
      </c>
      <c r="BJ32" s="359">
        <f>IF(BI32="N/A","N/A",RANK(BI32,$BI$18:$BI$116,0)+COUNTIF($BI$18:BI32,BI32)-1)</f>
        <v>15</v>
      </c>
      <c r="BK32" s="358">
        <f>IF(AY32/SUM(AY:AY)*'I-Project Contingency'!$F$66=0,0,AY32/SUM(AY:AY)*'I-Project Contingency'!$F$66)</f>
        <v>0</v>
      </c>
      <c r="BL32" s="358">
        <f>IF(AZ32/SUM(AZ:AZ)*'I-Project Contingency'!$F$69=0,0,AZ32/SUM(AZ:AZ)*'I-Project Contingency'!$F$69)</f>
        <v>0</v>
      </c>
      <c r="BM32" s="358">
        <f>IF(BA32/SUM(BA:BA)*'I-Project Contingency'!$F$70=0,0,BA32/SUM(BA:BA)*'I-Project Contingency'!$F$70)</f>
        <v>0</v>
      </c>
      <c r="BN32" s="357">
        <f>IF(BP32="N/A","N/A",IF('D-Project Data'!$C$6=50%,ABS(BP32),IF('D-Project Data'!$C$6=80%,ABS(BQ32),IF('D-Project Data'!$C$6=90%,ABS(BR32)))))</f>
        <v>0</v>
      </c>
      <c r="BO32" s="359">
        <f>IF(BN32="N/A","N/A",RANK(BN32,$BN$18:$BN$116,0)+COUNTIF($BN$18:BN32,BN32)-1)</f>
        <v>15</v>
      </c>
      <c r="BP32" s="357">
        <f>IF(BF32/SUM(BF:BF)*'I-Project Contingency'!$F$81=0,0,BF32/SUM(BF:BF)*'I-Project Contingency'!$F$81)</f>
        <v>0</v>
      </c>
      <c r="BQ32" s="357">
        <f>IF(BG32/SUM(BG:BG)*'I-Project Contingency'!$F$84=0,0,BG32/SUM(BG:BG)*'I-Project Contingency'!$F$84)</f>
        <v>0</v>
      </c>
      <c r="BR32" s="357">
        <f>IF(BH32/SUM(BH:BH)*'I-Project Contingency'!$F$85=0,0,BH32/SUM(BH:BH)*'I-Project Contingency'!$F$85)</f>
        <v>0</v>
      </c>
      <c r="BS32" s="359">
        <f t="shared" si="11"/>
        <v>15</v>
      </c>
      <c r="BT32" s="360" t="str">
        <f t="shared" si="12"/>
        <v xml:space="preserve">15 - </v>
      </c>
      <c r="BU32" s="354">
        <f t="shared" si="13"/>
        <v>0</v>
      </c>
      <c r="BV32" s="354">
        <f t="shared" si="14"/>
        <v>0</v>
      </c>
      <c r="BW32" s="356">
        <f t="shared" si="15"/>
        <v>0</v>
      </c>
      <c r="BX32" s="356">
        <f t="shared" si="16"/>
        <v>0</v>
      </c>
    </row>
    <row r="33" spans="1:76" ht="29" x14ac:dyDescent="0.35">
      <c r="A33" s="163">
        <f t="shared" si="21"/>
        <v>16</v>
      </c>
      <c r="B33" s="758" t="s">
        <v>728</v>
      </c>
      <c r="C33" s="760"/>
      <c r="D33" s="760"/>
      <c r="E33" s="760"/>
      <c r="F33" s="759" t="s">
        <v>728</v>
      </c>
      <c r="G33" s="759" t="s">
        <v>728</v>
      </c>
      <c r="H33" s="157" t="str">
        <f>IFERROR(IF('H-Risk Register-Model'!F33="Certain","Relook at Basis of Estimate",INDEX('G-Assumptions'!$F$8:$J$11,MATCH(F33,'G-Assumptions'!$D$8:$D$11,0),MATCH(G33,'G-Assumptions'!$F$6:$J$6,0))),"Unrated")</f>
        <v>Unrated</v>
      </c>
      <c r="I33" s="759" t="s">
        <v>728</v>
      </c>
      <c r="J33" s="157" t="str">
        <f>IFERROR(IF('H-Risk Register-Model'!F33="Certain","Relook at Basis of Estimate",INDEX('G-Assumptions'!$F$8:$J$11,MATCH(F33,'G-Assumptions'!$D$8:$D$11,0),MATCH(I33,'G-Assumptions'!$F$6:$J$6,0))),"Unrated")</f>
        <v>Unrated</v>
      </c>
      <c r="K33" s="759" t="s">
        <v>728</v>
      </c>
      <c r="L33" s="759" t="s">
        <v>728</v>
      </c>
      <c r="M33" s="759"/>
      <c r="N33" s="763" t="s">
        <v>728</v>
      </c>
      <c r="O33" s="763" t="s">
        <v>728</v>
      </c>
      <c r="P33" s="764"/>
      <c r="Q33" s="764"/>
      <c r="R33" s="764"/>
      <c r="S33" s="765"/>
      <c r="T33" s="765"/>
      <c r="U33" s="765"/>
      <c r="V33" s="766"/>
      <c r="W33" s="764"/>
      <c r="X33" s="764"/>
      <c r="Y33" s="767">
        <v>1</v>
      </c>
      <c r="Z33" s="770">
        <v>1</v>
      </c>
      <c r="AA33" s="166">
        <f t="shared" si="3"/>
        <v>0</v>
      </c>
      <c r="AB33" s="166">
        <f t="shared" si="4"/>
        <v>0</v>
      </c>
      <c r="AC33" s="166">
        <f t="shared" si="17"/>
        <v>0</v>
      </c>
      <c r="AD33" s="166"/>
      <c r="AE33" s="164">
        <f t="shared" si="5"/>
        <v>0</v>
      </c>
      <c r="AF33" s="167"/>
      <c r="AG33" s="165">
        <f t="shared" si="6"/>
        <v>0</v>
      </c>
      <c r="AH33" s="760"/>
      <c r="AI33" s="760"/>
      <c r="AJ33" s="8"/>
      <c r="AK33" s="524" t="str">
        <f t="shared" si="7"/>
        <v>No</v>
      </c>
      <c r="AL33" s="525">
        <f>'I-Project Contingency'!$I$4</f>
        <v>7250000</v>
      </c>
      <c r="AM33" s="350">
        <f>'I-Project Contingency'!$I$11</f>
        <v>12</v>
      </c>
      <c r="AN33" s="349">
        <f t="shared" si="8"/>
        <v>0</v>
      </c>
      <c r="AO33" s="350">
        <f t="shared" si="9"/>
        <v>0</v>
      </c>
      <c r="AP33" s="672" t="str">
        <f t="shared" si="18"/>
        <v/>
      </c>
      <c r="AQ33" s="672" t="str">
        <f t="shared" si="19"/>
        <v/>
      </c>
      <c r="AR33" s="526" t="str">
        <f t="shared" si="22"/>
        <v/>
      </c>
      <c r="AS33" s="526" t="str">
        <f t="shared" si="20"/>
        <v/>
      </c>
      <c r="AT33" s="8"/>
      <c r="AU33" s="353">
        <f>'I-Project Contingency'!$O$4-AE33</f>
        <v>0</v>
      </c>
      <c r="AV33" s="354">
        <v>1687645.9248406207</v>
      </c>
      <c r="AW33" s="354">
        <v>3291004.7254658043</v>
      </c>
      <c r="AX33" s="354">
        <v>4159167.8232088853</v>
      </c>
      <c r="AY33" s="354">
        <f>'I-Project Contingency'!$E$66-AV33</f>
        <v>0</v>
      </c>
      <c r="AZ33" s="354">
        <f>'I-Project Contingency'!$E$69-AW33</f>
        <v>0</v>
      </c>
      <c r="BA33" s="354">
        <f>'I-Project Contingency'!$E$70-AX33</f>
        <v>0</v>
      </c>
      <c r="BB33" s="355">
        <f>'I-Project Contingency'!$O$5-AG33</f>
        <v>0</v>
      </c>
      <c r="BC33" s="356">
        <v>2.9615115956254372</v>
      </c>
      <c r="BD33" s="356">
        <v>6.001919642116226</v>
      </c>
      <c r="BE33" s="357">
        <v>7.5913096572662919</v>
      </c>
      <c r="BF33" s="356">
        <f>'I-Project Contingency'!$E$81-BC33</f>
        <v>0</v>
      </c>
      <c r="BG33" s="356">
        <f>'I-Project Contingency'!$E$84-BD33</f>
        <v>0</v>
      </c>
      <c r="BH33" s="356">
        <f>'I-Project Contingency'!$E$85-BE33</f>
        <v>0</v>
      </c>
      <c r="BI33" s="358">
        <f>IF(BK33="N/A","N/A",IF('D-Project Data'!$C$6=50%,ABS(BK33),IF('D-Project Data'!$C$6=80%,ABS(BL33),IF('D-Project Data'!$C$6=90%,ABS(BM33)))))</f>
        <v>0</v>
      </c>
      <c r="BJ33" s="359">
        <f>IF(BI33="N/A","N/A",RANK(BI33,$BI$18:$BI$116,0)+COUNTIF($BI$18:BI33,BI33)-1)</f>
        <v>16</v>
      </c>
      <c r="BK33" s="358">
        <f>IF(AY33/SUM(AY:AY)*'I-Project Contingency'!$F$66=0,0,AY33/SUM(AY:AY)*'I-Project Contingency'!$F$66)</f>
        <v>0</v>
      </c>
      <c r="BL33" s="358">
        <f>IF(AZ33/SUM(AZ:AZ)*'I-Project Contingency'!$F$69=0,0,AZ33/SUM(AZ:AZ)*'I-Project Contingency'!$F$69)</f>
        <v>0</v>
      </c>
      <c r="BM33" s="358">
        <f>IF(BA33/SUM(BA:BA)*'I-Project Contingency'!$F$70=0,0,BA33/SUM(BA:BA)*'I-Project Contingency'!$F$70)</f>
        <v>0</v>
      </c>
      <c r="BN33" s="357">
        <f>IF(BP33="N/A","N/A",IF('D-Project Data'!$C$6=50%,ABS(BP33),IF('D-Project Data'!$C$6=80%,ABS(BQ33),IF('D-Project Data'!$C$6=90%,ABS(BR33)))))</f>
        <v>0</v>
      </c>
      <c r="BO33" s="359">
        <f>IF(BN33="N/A","N/A",RANK(BN33,$BN$18:$BN$116,0)+COUNTIF($BN$18:BN33,BN33)-1)</f>
        <v>16</v>
      </c>
      <c r="BP33" s="357">
        <f>IF(BF33/SUM(BF:BF)*'I-Project Contingency'!$F$81=0,0,BF33/SUM(BF:BF)*'I-Project Contingency'!$F$81)</f>
        <v>0</v>
      </c>
      <c r="BQ33" s="357">
        <f>IF(BG33/SUM(BG:BG)*'I-Project Contingency'!$F$84=0,0,BG33/SUM(BG:BG)*'I-Project Contingency'!$F$84)</f>
        <v>0</v>
      </c>
      <c r="BR33" s="357">
        <f>IF(BH33/SUM(BH:BH)*'I-Project Contingency'!$F$85=0,0,BH33/SUM(BH:BH)*'I-Project Contingency'!$F$85)</f>
        <v>0</v>
      </c>
      <c r="BS33" s="359">
        <f t="shared" si="11"/>
        <v>16</v>
      </c>
      <c r="BT33" s="360" t="str">
        <f t="shared" si="12"/>
        <v xml:space="preserve">16 - </v>
      </c>
      <c r="BU33" s="354">
        <f t="shared" si="13"/>
        <v>0</v>
      </c>
      <c r="BV33" s="354">
        <f t="shared" si="14"/>
        <v>0</v>
      </c>
      <c r="BW33" s="356">
        <f t="shared" si="15"/>
        <v>0</v>
      </c>
      <c r="BX33" s="356">
        <f t="shared" si="16"/>
        <v>0</v>
      </c>
    </row>
    <row r="34" spans="1:76" ht="29" x14ac:dyDescent="0.35">
      <c r="A34" s="163">
        <f t="shared" si="21"/>
        <v>17</v>
      </c>
      <c r="B34" s="758" t="s">
        <v>728</v>
      </c>
      <c r="C34" s="760"/>
      <c r="D34" s="760"/>
      <c r="E34" s="760"/>
      <c r="F34" s="759" t="s">
        <v>728</v>
      </c>
      <c r="G34" s="759" t="s">
        <v>728</v>
      </c>
      <c r="H34" s="157" t="str">
        <f>IFERROR(IF('H-Risk Register-Model'!F34="Certain","Relook at Basis of Estimate",INDEX('G-Assumptions'!$F$8:$J$11,MATCH(F34,'G-Assumptions'!$D$8:$D$11,0),MATCH(G34,'G-Assumptions'!$F$6:$J$6,0))),"Unrated")</f>
        <v>Unrated</v>
      </c>
      <c r="I34" s="759" t="s">
        <v>728</v>
      </c>
      <c r="J34" s="157" t="str">
        <f>IFERROR(IF('H-Risk Register-Model'!F34="Certain","Relook at Basis of Estimate",INDEX('G-Assumptions'!$F$8:$J$11,MATCH(F34,'G-Assumptions'!$D$8:$D$11,0),MATCH(I34,'G-Assumptions'!$F$6:$J$6,0))),"Unrated")</f>
        <v>Unrated</v>
      </c>
      <c r="K34" s="759" t="s">
        <v>728</v>
      </c>
      <c r="L34" s="759" t="s">
        <v>728</v>
      </c>
      <c r="M34" s="759"/>
      <c r="N34" s="763" t="s">
        <v>728</v>
      </c>
      <c r="O34" s="763" t="s">
        <v>728</v>
      </c>
      <c r="P34" s="764"/>
      <c r="Q34" s="764"/>
      <c r="R34" s="764"/>
      <c r="S34" s="765"/>
      <c r="T34" s="765"/>
      <c r="U34" s="765"/>
      <c r="V34" s="766"/>
      <c r="W34" s="764"/>
      <c r="X34" s="764"/>
      <c r="Y34" s="767">
        <v>1</v>
      </c>
      <c r="Z34" s="770">
        <v>1</v>
      </c>
      <c r="AA34" s="166">
        <f t="shared" si="3"/>
        <v>0</v>
      </c>
      <c r="AB34" s="166">
        <f t="shared" si="4"/>
        <v>0</v>
      </c>
      <c r="AC34" s="166">
        <f t="shared" si="17"/>
        <v>0</v>
      </c>
      <c r="AD34" s="166"/>
      <c r="AE34" s="164">
        <f t="shared" si="5"/>
        <v>0</v>
      </c>
      <c r="AF34" s="167"/>
      <c r="AG34" s="165">
        <f t="shared" si="6"/>
        <v>0</v>
      </c>
      <c r="AH34" s="760"/>
      <c r="AI34" s="760"/>
      <c r="AJ34" s="8"/>
      <c r="AK34" s="524" t="str">
        <f t="shared" si="7"/>
        <v>No</v>
      </c>
      <c r="AL34" s="525">
        <f>'I-Project Contingency'!$I$4</f>
        <v>7250000</v>
      </c>
      <c r="AM34" s="350">
        <f>'I-Project Contingency'!$I$11</f>
        <v>12</v>
      </c>
      <c r="AN34" s="349">
        <f t="shared" si="8"/>
        <v>0</v>
      </c>
      <c r="AO34" s="350">
        <f t="shared" si="9"/>
        <v>0</v>
      </c>
      <c r="AP34" s="672" t="str">
        <f t="shared" si="18"/>
        <v/>
      </c>
      <c r="AQ34" s="672" t="str">
        <f t="shared" si="19"/>
        <v/>
      </c>
      <c r="AR34" s="526" t="str">
        <f t="shared" si="22"/>
        <v/>
      </c>
      <c r="AS34" s="526" t="str">
        <f t="shared" si="20"/>
        <v/>
      </c>
      <c r="AT34" s="8"/>
      <c r="AU34" s="353">
        <f>'I-Project Contingency'!$O$4-AE34</f>
        <v>0</v>
      </c>
      <c r="AV34" s="354">
        <v>1687645.9248406207</v>
      </c>
      <c r="AW34" s="354">
        <v>3291004.7254658043</v>
      </c>
      <c r="AX34" s="354">
        <v>4159167.8232088853</v>
      </c>
      <c r="AY34" s="354">
        <f>'I-Project Contingency'!$E$66-AV34</f>
        <v>0</v>
      </c>
      <c r="AZ34" s="354">
        <f>'I-Project Contingency'!$E$69-AW34</f>
        <v>0</v>
      </c>
      <c r="BA34" s="354">
        <f>'I-Project Contingency'!$E$70-AX34</f>
        <v>0</v>
      </c>
      <c r="BB34" s="355">
        <f>'I-Project Contingency'!$O$5-AG34</f>
        <v>0</v>
      </c>
      <c r="BC34" s="356">
        <v>2.9615115956254372</v>
      </c>
      <c r="BD34" s="356">
        <v>6.001919642116226</v>
      </c>
      <c r="BE34" s="357">
        <v>7.5913096572662919</v>
      </c>
      <c r="BF34" s="356">
        <f>'I-Project Contingency'!$E$81-BC34</f>
        <v>0</v>
      </c>
      <c r="BG34" s="356">
        <f>'I-Project Contingency'!$E$84-BD34</f>
        <v>0</v>
      </c>
      <c r="BH34" s="356">
        <f>'I-Project Contingency'!$E$85-BE34</f>
        <v>0</v>
      </c>
      <c r="BI34" s="358">
        <f>IF(BK34="N/A","N/A",IF('D-Project Data'!$C$6=50%,ABS(BK34),IF('D-Project Data'!$C$6=80%,ABS(BL34),IF('D-Project Data'!$C$6=90%,ABS(BM34)))))</f>
        <v>0</v>
      </c>
      <c r="BJ34" s="359">
        <f>IF(BI34="N/A","N/A",RANK(BI34,$BI$18:$BI$116,0)+COUNTIF($BI$18:BI34,BI34)-1)</f>
        <v>17</v>
      </c>
      <c r="BK34" s="358">
        <f>IF(AY34/SUM(AY:AY)*'I-Project Contingency'!$F$66=0,0,AY34/SUM(AY:AY)*'I-Project Contingency'!$F$66)</f>
        <v>0</v>
      </c>
      <c r="BL34" s="358">
        <f>IF(AZ34/SUM(AZ:AZ)*'I-Project Contingency'!$F$69=0,0,AZ34/SUM(AZ:AZ)*'I-Project Contingency'!$F$69)</f>
        <v>0</v>
      </c>
      <c r="BM34" s="358">
        <f>IF(BA34/SUM(BA:BA)*'I-Project Contingency'!$F$70=0,0,BA34/SUM(BA:BA)*'I-Project Contingency'!$F$70)</f>
        <v>0</v>
      </c>
      <c r="BN34" s="357">
        <f>IF(BP34="N/A","N/A",IF('D-Project Data'!$C$6=50%,ABS(BP34),IF('D-Project Data'!$C$6=80%,ABS(BQ34),IF('D-Project Data'!$C$6=90%,ABS(BR34)))))</f>
        <v>0</v>
      </c>
      <c r="BO34" s="359">
        <f>IF(BN34="N/A","N/A",RANK(BN34,$BN$18:$BN$116,0)+COUNTIF($BN$18:BN34,BN34)-1)</f>
        <v>17</v>
      </c>
      <c r="BP34" s="357">
        <f>IF(BF34/SUM(BF:BF)*'I-Project Contingency'!$F$81=0,0,BF34/SUM(BF:BF)*'I-Project Contingency'!$F$81)</f>
        <v>0</v>
      </c>
      <c r="BQ34" s="357">
        <f>IF(BG34/SUM(BG:BG)*'I-Project Contingency'!$F$84=0,0,BG34/SUM(BG:BG)*'I-Project Contingency'!$F$84)</f>
        <v>0</v>
      </c>
      <c r="BR34" s="357">
        <f>IF(BH34/SUM(BH:BH)*'I-Project Contingency'!$F$85=0,0,BH34/SUM(BH:BH)*'I-Project Contingency'!$F$85)</f>
        <v>0</v>
      </c>
      <c r="BS34" s="359">
        <f t="shared" si="11"/>
        <v>17</v>
      </c>
      <c r="BT34" s="360" t="str">
        <f t="shared" si="12"/>
        <v xml:space="preserve">17 - </v>
      </c>
      <c r="BU34" s="354">
        <f t="shared" si="13"/>
        <v>0</v>
      </c>
      <c r="BV34" s="354">
        <f t="shared" si="14"/>
        <v>0</v>
      </c>
      <c r="BW34" s="356">
        <f t="shared" si="15"/>
        <v>0</v>
      </c>
      <c r="BX34" s="356">
        <f t="shared" si="16"/>
        <v>0</v>
      </c>
    </row>
    <row r="35" spans="1:76" ht="29" x14ac:dyDescent="0.35">
      <c r="A35" s="163">
        <f t="shared" si="21"/>
        <v>18</v>
      </c>
      <c r="B35" s="758" t="s">
        <v>728</v>
      </c>
      <c r="C35" s="760"/>
      <c r="D35" s="760"/>
      <c r="E35" s="760"/>
      <c r="F35" s="759" t="s">
        <v>728</v>
      </c>
      <c r="G35" s="759" t="s">
        <v>728</v>
      </c>
      <c r="H35" s="157" t="str">
        <f>IFERROR(IF('H-Risk Register-Model'!F35="Certain","Relook at Basis of Estimate",INDEX('G-Assumptions'!$F$8:$J$11,MATCH(F35,'G-Assumptions'!$D$8:$D$11,0),MATCH(G35,'G-Assumptions'!$F$6:$J$6,0))),"Unrated")</f>
        <v>Unrated</v>
      </c>
      <c r="I35" s="759" t="s">
        <v>728</v>
      </c>
      <c r="J35" s="157" t="str">
        <f>IFERROR(IF('H-Risk Register-Model'!F35="Certain","Relook at Basis of Estimate",INDEX('G-Assumptions'!$F$8:$J$11,MATCH(F35,'G-Assumptions'!$D$8:$D$11,0),MATCH(I35,'G-Assumptions'!$F$6:$J$6,0))),"Unrated")</f>
        <v>Unrated</v>
      </c>
      <c r="K35" s="759" t="s">
        <v>728</v>
      </c>
      <c r="L35" s="759" t="s">
        <v>728</v>
      </c>
      <c r="M35" s="759"/>
      <c r="N35" s="763" t="s">
        <v>728</v>
      </c>
      <c r="O35" s="763" t="s">
        <v>728</v>
      </c>
      <c r="P35" s="764"/>
      <c r="Q35" s="764"/>
      <c r="R35" s="764"/>
      <c r="S35" s="765"/>
      <c r="T35" s="765"/>
      <c r="U35" s="765"/>
      <c r="V35" s="766"/>
      <c r="W35" s="764"/>
      <c r="X35" s="764"/>
      <c r="Y35" s="767">
        <v>1</v>
      </c>
      <c r="Z35" s="770">
        <v>1</v>
      </c>
      <c r="AA35" s="166">
        <f t="shared" si="3"/>
        <v>0</v>
      </c>
      <c r="AB35" s="166">
        <f t="shared" si="4"/>
        <v>0</v>
      </c>
      <c r="AC35" s="166">
        <f t="shared" si="17"/>
        <v>0</v>
      </c>
      <c r="AD35" s="166"/>
      <c r="AE35" s="164">
        <f t="shared" si="5"/>
        <v>0</v>
      </c>
      <c r="AF35" s="167"/>
      <c r="AG35" s="165">
        <f t="shared" si="6"/>
        <v>0</v>
      </c>
      <c r="AH35" s="760"/>
      <c r="AI35" s="760"/>
      <c r="AJ35" s="8"/>
      <c r="AK35" s="524" t="str">
        <f t="shared" si="7"/>
        <v>No</v>
      </c>
      <c r="AL35" s="525">
        <f>'I-Project Contingency'!$I$4</f>
        <v>7250000</v>
      </c>
      <c r="AM35" s="350">
        <f>'I-Project Contingency'!$I$11</f>
        <v>12</v>
      </c>
      <c r="AN35" s="349">
        <f t="shared" si="8"/>
        <v>0</v>
      </c>
      <c r="AO35" s="350">
        <f t="shared" si="9"/>
        <v>0</v>
      </c>
      <c r="AP35" s="672" t="str">
        <f t="shared" si="18"/>
        <v/>
      </c>
      <c r="AQ35" s="672" t="str">
        <f t="shared" si="19"/>
        <v/>
      </c>
      <c r="AR35" s="526" t="str">
        <f t="shared" si="22"/>
        <v/>
      </c>
      <c r="AS35" s="526" t="str">
        <f t="shared" si="20"/>
        <v/>
      </c>
      <c r="AT35" s="8"/>
      <c r="AU35" s="353">
        <f>'I-Project Contingency'!$O$4-AE35</f>
        <v>0</v>
      </c>
      <c r="AV35" s="354">
        <v>1687645.9248406207</v>
      </c>
      <c r="AW35" s="354">
        <v>3291004.7254658043</v>
      </c>
      <c r="AX35" s="354">
        <v>4159167.8232088853</v>
      </c>
      <c r="AY35" s="354">
        <f>'I-Project Contingency'!$E$66-AV35</f>
        <v>0</v>
      </c>
      <c r="AZ35" s="354">
        <f>'I-Project Contingency'!$E$69-AW35</f>
        <v>0</v>
      </c>
      <c r="BA35" s="354">
        <f>'I-Project Contingency'!$E$70-AX35</f>
        <v>0</v>
      </c>
      <c r="BB35" s="355">
        <f>'I-Project Contingency'!$O$5-AG35</f>
        <v>0</v>
      </c>
      <c r="BC35" s="356">
        <v>2.9615115956254372</v>
      </c>
      <c r="BD35" s="356">
        <v>6.001919642116226</v>
      </c>
      <c r="BE35" s="357">
        <v>7.5913096572662919</v>
      </c>
      <c r="BF35" s="356">
        <f>'I-Project Contingency'!$E$81-BC35</f>
        <v>0</v>
      </c>
      <c r="BG35" s="356">
        <f>'I-Project Contingency'!$E$84-BD35</f>
        <v>0</v>
      </c>
      <c r="BH35" s="356">
        <f>'I-Project Contingency'!$E$85-BE35</f>
        <v>0</v>
      </c>
      <c r="BI35" s="358">
        <f>IF(BK35="N/A","N/A",IF('D-Project Data'!$C$6=50%,ABS(BK35),IF('D-Project Data'!$C$6=80%,ABS(BL35),IF('D-Project Data'!$C$6=90%,ABS(BM35)))))</f>
        <v>0</v>
      </c>
      <c r="BJ35" s="359">
        <f>IF(BI35="N/A","N/A",RANK(BI35,$BI$18:$BI$116,0)+COUNTIF($BI$18:BI35,BI35)-1)</f>
        <v>18</v>
      </c>
      <c r="BK35" s="358">
        <f>IF(AY35/SUM(AY:AY)*'I-Project Contingency'!$F$66=0,0,AY35/SUM(AY:AY)*'I-Project Contingency'!$F$66)</f>
        <v>0</v>
      </c>
      <c r="BL35" s="358">
        <f>IF(AZ35/SUM(AZ:AZ)*'I-Project Contingency'!$F$69=0,0,AZ35/SUM(AZ:AZ)*'I-Project Contingency'!$F$69)</f>
        <v>0</v>
      </c>
      <c r="BM35" s="358">
        <f>IF(BA35/SUM(BA:BA)*'I-Project Contingency'!$F$70=0,0,BA35/SUM(BA:BA)*'I-Project Contingency'!$F$70)</f>
        <v>0</v>
      </c>
      <c r="BN35" s="357">
        <f>IF(BP35="N/A","N/A",IF('D-Project Data'!$C$6=50%,ABS(BP35),IF('D-Project Data'!$C$6=80%,ABS(BQ35),IF('D-Project Data'!$C$6=90%,ABS(BR35)))))</f>
        <v>0</v>
      </c>
      <c r="BO35" s="359">
        <f>IF(BN35="N/A","N/A",RANK(BN35,$BN$18:$BN$116,0)+COUNTIF($BN$18:BN35,BN35)-1)</f>
        <v>18</v>
      </c>
      <c r="BP35" s="357">
        <f>IF(BF35/SUM(BF:BF)*'I-Project Contingency'!$F$81=0,0,BF35/SUM(BF:BF)*'I-Project Contingency'!$F$81)</f>
        <v>0</v>
      </c>
      <c r="BQ35" s="357">
        <f>IF(BG35/SUM(BG:BG)*'I-Project Contingency'!$F$84=0,0,BG35/SUM(BG:BG)*'I-Project Contingency'!$F$84)</f>
        <v>0</v>
      </c>
      <c r="BR35" s="357">
        <f>IF(BH35/SUM(BH:BH)*'I-Project Contingency'!$F$85=0,0,BH35/SUM(BH:BH)*'I-Project Contingency'!$F$85)</f>
        <v>0</v>
      </c>
      <c r="BS35" s="359">
        <f t="shared" si="11"/>
        <v>18</v>
      </c>
      <c r="BT35" s="360" t="str">
        <f t="shared" si="12"/>
        <v xml:space="preserve">18 - </v>
      </c>
      <c r="BU35" s="354">
        <f t="shared" si="13"/>
        <v>0</v>
      </c>
      <c r="BV35" s="354">
        <f t="shared" si="14"/>
        <v>0</v>
      </c>
      <c r="BW35" s="356">
        <f t="shared" si="15"/>
        <v>0</v>
      </c>
      <c r="BX35" s="356">
        <f t="shared" si="16"/>
        <v>0</v>
      </c>
    </row>
    <row r="36" spans="1:76" ht="29" x14ac:dyDescent="0.35">
      <c r="A36" s="163">
        <f t="shared" si="21"/>
        <v>19</v>
      </c>
      <c r="B36" s="758" t="s">
        <v>728</v>
      </c>
      <c r="C36" s="760"/>
      <c r="D36" s="760"/>
      <c r="E36" s="760"/>
      <c r="F36" s="759" t="s">
        <v>728</v>
      </c>
      <c r="G36" s="759" t="s">
        <v>728</v>
      </c>
      <c r="H36" s="157" t="str">
        <f>IFERROR(IF('H-Risk Register-Model'!F36="Certain","Relook at Basis of Estimate",INDEX('G-Assumptions'!$F$8:$J$11,MATCH(F36,'G-Assumptions'!$D$8:$D$11,0),MATCH(G36,'G-Assumptions'!$F$6:$J$6,0))),"Unrated")</f>
        <v>Unrated</v>
      </c>
      <c r="I36" s="759" t="s">
        <v>728</v>
      </c>
      <c r="J36" s="157" t="str">
        <f>IFERROR(IF('H-Risk Register-Model'!F36="Certain","Relook at Basis of Estimate",INDEX('G-Assumptions'!$F$8:$J$11,MATCH(F36,'G-Assumptions'!$D$8:$D$11,0),MATCH(I36,'G-Assumptions'!$F$6:$J$6,0))),"Unrated")</f>
        <v>Unrated</v>
      </c>
      <c r="K36" s="759" t="s">
        <v>728</v>
      </c>
      <c r="L36" s="759" t="s">
        <v>728</v>
      </c>
      <c r="M36" s="759"/>
      <c r="N36" s="763" t="s">
        <v>728</v>
      </c>
      <c r="O36" s="763" t="s">
        <v>728</v>
      </c>
      <c r="P36" s="764"/>
      <c r="Q36" s="764"/>
      <c r="R36" s="764"/>
      <c r="S36" s="765"/>
      <c r="T36" s="765"/>
      <c r="U36" s="765"/>
      <c r="V36" s="766"/>
      <c r="W36" s="764"/>
      <c r="X36" s="764"/>
      <c r="Y36" s="767">
        <v>1</v>
      </c>
      <c r="Z36" s="770">
        <v>1</v>
      </c>
      <c r="AA36" s="166">
        <f t="shared" si="3"/>
        <v>0</v>
      </c>
      <c r="AB36" s="166">
        <f t="shared" si="4"/>
        <v>0</v>
      </c>
      <c r="AC36" s="166">
        <f t="shared" si="17"/>
        <v>0</v>
      </c>
      <c r="AD36" s="166"/>
      <c r="AE36" s="164">
        <f t="shared" si="5"/>
        <v>0</v>
      </c>
      <c r="AF36" s="167"/>
      <c r="AG36" s="165">
        <f t="shared" si="6"/>
        <v>0</v>
      </c>
      <c r="AH36" s="760"/>
      <c r="AI36" s="760"/>
      <c r="AJ36" s="8"/>
      <c r="AK36" s="524" t="str">
        <f t="shared" si="7"/>
        <v>No</v>
      </c>
      <c r="AL36" s="525">
        <f>'I-Project Contingency'!$I$4</f>
        <v>7250000</v>
      </c>
      <c r="AM36" s="350">
        <f>'I-Project Contingency'!$I$11</f>
        <v>12</v>
      </c>
      <c r="AN36" s="349">
        <f t="shared" si="8"/>
        <v>0</v>
      </c>
      <c r="AO36" s="350">
        <f t="shared" si="9"/>
        <v>0</v>
      </c>
      <c r="AP36" s="672" t="str">
        <f t="shared" si="18"/>
        <v/>
      </c>
      <c r="AQ36" s="672" t="str">
        <f t="shared" si="19"/>
        <v/>
      </c>
      <c r="AR36" s="526" t="str">
        <f t="shared" si="22"/>
        <v/>
      </c>
      <c r="AS36" s="526" t="str">
        <f t="shared" si="20"/>
        <v/>
      </c>
      <c r="AT36" s="8"/>
      <c r="AU36" s="353">
        <f>'I-Project Contingency'!$O$4-AE36</f>
        <v>0</v>
      </c>
      <c r="AV36" s="354">
        <v>1687645.9248406207</v>
      </c>
      <c r="AW36" s="354">
        <v>3291004.7254658043</v>
      </c>
      <c r="AX36" s="354">
        <v>4159167.8232088853</v>
      </c>
      <c r="AY36" s="354">
        <f>'I-Project Contingency'!$E$66-AV36</f>
        <v>0</v>
      </c>
      <c r="AZ36" s="354">
        <f>'I-Project Contingency'!$E$69-AW36</f>
        <v>0</v>
      </c>
      <c r="BA36" s="354">
        <f>'I-Project Contingency'!$E$70-AX36</f>
        <v>0</v>
      </c>
      <c r="BB36" s="355">
        <f>'I-Project Contingency'!$O$5-AG36</f>
        <v>0</v>
      </c>
      <c r="BC36" s="356">
        <v>2.9615115956254372</v>
      </c>
      <c r="BD36" s="356">
        <v>6.001919642116226</v>
      </c>
      <c r="BE36" s="357">
        <v>7.5913096572662919</v>
      </c>
      <c r="BF36" s="356">
        <f>'I-Project Contingency'!$E$81-BC36</f>
        <v>0</v>
      </c>
      <c r="BG36" s="356">
        <f>'I-Project Contingency'!$E$84-BD36</f>
        <v>0</v>
      </c>
      <c r="BH36" s="356">
        <f>'I-Project Contingency'!$E$85-BE36</f>
        <v>0</v>
      </c>
      <c r="BI36" s="358">
        <f>IF(BK36="N/A","N/A",IF('D-Project Data'!$C$6=50%,ABS(BK36),IF('D-Project Data'!$C$6=80%,ABS(BL36),IF('D-Project Data'!$C$6=90%,ABS(BM36)))))</f>
        <v>0</v>
      </c>
      <c r="BJ36" s="359">
        <f>IF(BI36="N/A","N/A",RANK(BI36,$BI$18:$BI$116,0)+COUNTIF($BI$18:BI36,BI36)-1)</f>
        <v>19</v>
      </c>
      <c r="BK36" s="358">
        <f>IF(AY36/SUM(AY:AY)*'I-Project Contingency'!$F$66=0,0,AY36/SUM(AY:AY)*'I-Project Contingency'!$F$66)</f>
        <v>0</v>
      </c>
      <c r="BL36" s="358">
        <f>IF(AZ36/SUM(AZ:AZ)*'I-Project Contingency'!$F$69=0,0,AZ36/SUM(AZ:AZ)*'I-Project Contingency'!$F$69)</f>
        <v>0</v>
      </c>
      <c r="BM36" s="358">
        <f>IF(BA36/SUM(BA:BA)*'I-Project Contingency'!$F$70=0,0,BA36/SUM(BA:BA)*'I-Project Contingency'!$F$70)</f>
        <v>0</v>
      </c>
      <c r="BN36" s="357">
        <f>IF(BP36="N/A","N/A",IF('D-Project Data'!$C$6=50%,ABS(BP36),IF('D-Project Data'!$C$6=80%,ABS(BQ36),IF('D-Project Data'!$C$6=90%,ABS(BR36)))))</f>
        <v>0</v>
      </c>
      <c r="BO36" s="359">
        <f>IF(BN36="N/A","N/A",RANK(BN36,$BN$18:$BN$116,0)+COUNTIF($BN$18:BN36,BN36)-1)</f>
        <v>19</v>
      </c>
      <c r="BP36" s="357">
        <f>IF(BF36/SUM(BF:BF)*'I-Project Contingency'!$F$81=0,0,BF36/SUM(BF:BF)*'I-Project Contingency'!$F$81)</f>
        <v>0</v>
      </c>
      <c r="BQ36" s="357">
        <f>IF(BG36/SUM(BG:BG)*'I-Project Contingency'!$F$84=0,0,BG36/SUM(BG:BG)*'I-Project Contingency'!$F$84)</f>
        <v>0</v>
      </c>
      <c r="BR36" s="357">
        <f>IF(BH36/SUM(BH:BH)*'I-Project Contingency'!$F$85=0,0,BH36/SUM(BH:BH)*'I-Project Contingency'!$F$85)</f>
        <v>0</v>
      </c>
      <c r="BS36" s="359">
        <f t="shared" si="11"/>
        <v>19</v>
      </c>
      <c r="BT36" s="360" t="str">
        <f t="shared" si="12"/>
        <v xml:space="preserve">19 - </v>
      </c>
      <c r="BU36" s="354">
        <f t="shared" si="13"/>
        <v>0</v>
      </c>
      <c r="BV36" s="354">
        <f t="shared" si="14"/>
        <v>0</v>
      </c>
      <c r="BW36" s="356">
        <f t="shared" si="15"/>
        <v>0</v>
      </c>
      <c r="BX36" s="356">
        <f t="shared" si="16"/>
        <v>0</v>
      </c>
    </row>
    <row r="37" spans="1:76" ht="29" x14ac:dyDescent="0.35">
      <c r="A37" s="163">
        <f t="shared" si="21"/>
        <v>20</v>
      </c>
      <c r="B37" s="758" t="s">
        <v>728</v>
      </c>
      <c r="C37" s="760"/>
      <c r="D37" s="760"/>
      <c r="E37" s="760"/>
      <c r="F37" s="759" t="s">
        <v>728</v>
      </c>
      <c r="G37" s="759" t="s">
        <v>728</v>
      </c>
      <c r="H37" s="157" t="str">
        <f>IFERROR(IF('H-Risk Register-Model'!F37="Certain","Relook at Basis of Estimate",INDEX('G-Assumptions'!$F$8:$J$11,MATCH(F37,'G-Assumptions'!$D$8:$D$11,0),MATCH(G37,'G-Assumptions'!$F$6:$J$6,0))),"Unrated")</f>
        <v>Unrated</v>
      </c>
      <c r="I37" s="759" t="s">
        <v>728</v>
      </c>
      <c r="J37" s="157" t="str">
        <f>IFERROR(IF('H-Risk Register-Model'!F37="Certain","Relook at Basis of Estimate",INDEX('G-Assumptions'!$F$8:$J$11,MATCH(F37,'G-Assumptions'!$D$8:$D$11,0),MATCH(I37,'G-Assumptions'!$F$6:$J$6,0))),"Unrated")</f>
        <v>Unrated</v>
      </c>
      <c r="K37" s="759" t="s">
        <v>728</v>
      </c>
      <c r="L37" s="759" t="s">
        <v>728</v>
      </c>
      <c r="M37" s="759"/>
      <c r="N37" s="763" t="s">
        <v>728</v>
      </c>
      <c r="O37" s="763" t="s">
        <v>728</v>
      </c>
      <c r="P37" s="764"/>
      <c r="Q37" s="764"/>
      <c r="R37" s="764"/>
      <c r="S37" s="765"/>
      <c r="T37" s="765"/>
      <c r="U37" s="765"/>
      <c r="V37" s="766"/>
      <c r="W37" s="764"/>
      <c r="X37" s="764"/>
      <c r="Y37" s="767">
        <v>1</v>
      </c>
      <c r="Z37" s="770">
        <v>1</v>
      </c>
      <c r="AA37" s="166">
        <f t="shared" si="3"/>
        <v>0</v>
      </c>
      <c r="AB37" s="166">
        <f>Q37+W37</f>
        <v>0</v>
      </c>
      <c r="AC37" s="166">
        <f t="shared" si="17"/>
        <v>0</v>
      </c>
      <c r="AD37" s="166"/>
      <c r="AE37" s="164">
        <f t="shared" si="5"/>
        <v>0</v>
      </c>
      <c r="AF37" s="167"/>
      <c r="AG37" s="165">
        <f t="shared" si="6"/>
        <v>0</v>
      </c>
      <c r="AH37" s="760"/>
      <c r="AI37" s="760"/>
      <c r="AJ37" s="8"/>
      <c r="AK37" s="524" t="str">
        <f t="shared" si="7"/>
        <v>No</v>
      </c>
      <c r="AL37" s="525">
        <f>'I-Project Contingency'!$I$4</f>
        <v>7250000</v>
      </c>
      <c r="AM37" s="350">
        <f>'I-Project Contingency'!$I$11</f>
        <v>12</v>
      </c>
      <c r="AN37" s="349">
        <f t="shared" si="8"/>
        <v>0</v>
      </c>
      <c r="AO37" s="350">
        <f t="shared" si="9"/>
        <v>0</v>
      </c>
      <c r="AP37" s="672" t="str">
        <f t="shared" si="18"/>
        <v/>
      </c>
      <c r="AQ37" s="672" t="str">
        <f t="shared" si="19"/>
        <v/>
      </c>
      <c r="AR37" s="526" t="str">
        <f t="shared" si="22"/>
        <v/>
      </c>
      <c r="AS37" s="526" t="str">
        <f t="shared" si="20"/>
        <v/>
      </c>
      <c r="AT37" s="8"/>
      <c r="AU37" s="353">
        <f>'I-Project Contingency'!$O$4-AE37</f>
        <v>0</v>
      </c>
      <c r="AV37" s="354">
        <v>1687645.9248406207</v>
      </c>
      <c r="AW37" s="354">
        <v>3291004.7254658043</v>
      </c>
      <c r="AX37" s="354">
        <v>4159167.8232088853</v>
      </c>
      <c r="AY37" s="354">
        <f>'I-Project Contingency'!$E$66-AV37</f>
        <v>0</v>
      </c>
      <c r="AZ37" s="354">
        <f>'I-Project Contingency'!$E$69-AW37</f>
        <v>0</v>
      </c>
      <c r="BA37" s="354">
        <f>'I-Project Contingency'!$E$70-AX37</f>
        <v>0</v>
      </c>
      <c r="BB37" s="355">
        <f>'I-Project Contingency'!$O$5-AG37</f>
        <v>0</v>
      </c>
      <c r="BC37" s="356">
        <v>2.9615115956254372</v>
      </c>
      <c r="BD37" s="356">
        <v>6.001919642116226</v>
      </c>
      <c r="BE37" s="357">
        <v>7.5913096572662919</v>
      </c>
      <c r="BF37" s="356">
        <f>'I-Project Contingency'!$E$81-BC37</f>
        <v>0</v>
      </c>
      <c r="BG37" s="356">
        <f>'I-Project Contingency'!$E$84-BD37</f>
        <v>0</v>
      </c>
      <c r="BH37" s="356">
        <f>'I-Project Contingency'!$E$85-BE37</f>
        <v>0</v>
      </c>
      <c r="BI37" s="358">
        <f>IF(BK37="N/A","N/A",IF('D-Project Data'!$C$6=50%,ABS(BK37),IF('D-Project Data'!$C$6=80%,ABS(BL37),IF('D-Project Data'!$C$6=90%,ABS(BM37)))))</f>
        <v>0</v>
      </c>
      <c r="BJ37" s="359">
        <f>IF(BI37="N/A","N/A",RANK(BI37,$BI$18:$BI$116,0)+COUNTIF($BI$18:BI37,BI37)-1)</f>
        <v>20</v>
      </c>
      <c r="BK37" s="358">
        <f>IF(AY37/SUM(AY:AY)*'I-Project Contingency'!$F$66=0,0,AY37/SUM(AY:AY)*'I-Project Contingency'!$F$66)</f>
        <v>0</v>
      </c>
      <c r="BL37" s="358">
        <f>IF(AZ37/SUM(AZ:AZ)*'I-Project Contingency'!$F$69=0,0,AZ37/SUM(AZ:AZ)*'I-Project Contingency'!$F$69)</f>
        <v>0</v>
      </c>
      <c r="BM37" s="358">
        <f>IF(BA37/SUM(BA:BA)*'I-Project Contingency'!$F$70=0,0,BA37/SUM(BA:BA)*'I-Project Contingency'!$F$70)</f>
        <v>0</v>
      </c>
      <c r="BN37" s="357">
        <f>IF(BP37="N/A","N/A",IF('D-Project Data'!$C$6=50%,ABS(BP37),IF('D-Project Data'!$C$6=80%,ABS(BQ37),IF('D-Project Data'!$C$6=90%,ABS(BR37)))))</f>
        <v>0</v>
      </c>
      <c r="BO37" s="359">
        <f>IF(BN37="N/A","N/A",RANK(BN37,$BN$18:$BN$116,0)+COUNTIF($BN$18:BN37,BN37)-1)</f>
        <v>20</v>
      </c>
      <c r="BP37" s="357">
        <f>IF(BF37/SUM(BF:BF)*'I-Project Contingency'!$F$81=0,0,BF37/SUM(BF:BF)*'I-Project Contingency'!$F$81)</f>
        <v>0</v>
      </c>
      <c r="BQ37" s="357">
        <f>IF(BG37/SUM(BG:BG)*'I-Project Contingency'!$F$84=0,0,BG37/SUM(BG:BG)*'I-Project Contingency'!$F$84)</f>
        <v>0</v>
      </c>
      <c r="BR37" s="357">
        <f>IF(BH37/SUM(BH:BH)*'I-Project Contingency'!$F$85=0,0,BH37/SUM(BH:BH)*'I-Project Contingency'!$F$85)</f>
        <v>0</v>
      </c>
      <c r="BS37" s="359">
        <f t="shared" si="11"/>
        <v>20</v>
      </c>
      <c r="BT37" s="360" t="str">
        <f t="shared" si="12"/>
        <v xml:space="preserve">20 - </v>
      </c>
      <c r="BU37" s="354">
        <f t="shared" si="13"/>
        <v>0</v>
      </c>
      <c r="BV37" s="354">
        <f t="shared" si="14"/>
        <v>0</v>
      </c>
      <c r="BW37" s="356">
        <f t="shared" si="15"/>
        <v>0</v>
      </c>
      <c r="BX37" s="356">
        <f t="shared" si="16"/>
        <v>0</v>
      </c>
    </row>
    <row r="38" spans="1:76" ht="29" x14ac:dyDescent="0.35">
      <c r="A38" s="163">
        <f t="shared" si="21"/>
        <v>21</v>
      </c>
      <c r="B38" s="758" t="s">
        <v>728</v>
      </c>
      <c r="C38" s="760"/>
      <c r="D38" s="760"/>
      <c r="E38" s="760"/>
      <c r="F38" s="759" t="s">
        <v>728</v>
      </c>
      <c r="G38" s="759" t="s">
        <v>728</v>
      </c>
      <c r="H38" s="157" t="str">
        <f>IFERROR(IF('H-Risk Register-Model'!F38="Certain","Relook at Basis of Estimate",INDEX('G-Assumptions'!$F$8:$J$11,MATCH(F38,'G-Assumptions'!$D$8:$D$11,0),MATCH(G38,'G-Assumptions'!$F$6:$J$6,0))),"Unrated")</f>
        <v>Unrated</v>
      </c>
      <c r="I38" s="759" t="s">
        <v>728</v>
      </c>
      <c r="J38" s="157" t="str">
        <f>IFERROR(IF('H-Risk Register-Model'!F38="Certain","Relook at Basis of Estimate",INDEX('G-Assumptions'!$F$8:$J$11,MATCH(F38,'G-Assumptions'!$D$8:$D$11,0),MATCH(I38,'G-Assumptions'!$F$6:$J$6,0))),"Unrated")</f>
        <v>Unrated</v>
      </c>
      <c r="K38" s="759" t="s">
        <v>728</v>
      </c>
      <c r="L38" s="759" t="s">
        <v>728</v>
      </c>
      <c r="M38" s="759"/>
      <c r="N38" s="763" t="s">
        <v>728</v>
      </c>
      <c r="O38" s="763" t="s">
        <v>728</v>
      </c>
      <c r="P38" s="764"/>
      <c r="Q38" s="764"/>
      <c r="R38" s="764"/>
      <c r="S38" s="765"/>
      <c r="T38" s="765"/>
      <c r="U38" s="765"/>
      <c r="V38" s="766"/>
      <c r="W38" s="764"/>
      <c r="X38" s="764"/>
      <c r="Y38" s="767">
        <v>1</v>
      </c>
      <c r="Z38" s="770">
        <v>1</v>
      </c>
      <c r="AA38" s="166">
        <f t="shared" si="3"/>
        <v>0</v>
      </c>
      <c r="AB38" s="166">
        <f t="shared" si="4"/>
        <v>0</v>
      </c>
      <c r="AC38" s="166">
        <f t="shared" si="17"/>
        <v>0</v>
      </c>
      <c r="AD38" s="166"/>
      <c r="AE38" s="164">
        <f t="shared" si="5"/>
        <v>0</v>
      </c>
      <c r="AF38" s="167"/>
      <c r="AG38" s="165">
        <f t="shared" si="6"/>
        <v>0</v>
      </c>
      <c r="AH38" s="760"/>
      <c r="AI38" s="760"/>
      <c r="AJ38" s="8"/>
      <c r="AK38" s="524" t="str">
        <f t="shared" si="7"/>
        <v>No</v>
      </c>
      <c r="AL38" s="525">
        <f>'I-Project Contingency'!$I$4</f>
        <v>7250000</v>
      </c>
      <c r="AM38" s="350">
        <f>'I-Project Contingency'!$I$11</f>
        <v>12</v>
      </c>
      <c r="AN38" s="349">
        <f t="shared" si="8"/>
        <v>0</v>
      </c>
      <c r="AO38" s="350">
        <f t="shared" si="9"/>
        <v>0</v>
      </c>
      <c r="AP38" s="672" t="str">
        <f t="shared" si="18"/>
        <v/>
      </c>
      <c r="AQ38" s="672" t="str">
        <f t="shared" si="19"/>
        <v/>
      </c>
      <c r="AR38" s="526" t="str">
        <f t="shared" si="22"/>
        <v/>
      </c>
      <c r="AS38" s="526" t="str">
        <f t="shared" si="20"/>
        <v/>
      </c>
      <c r="AT38" s="8"/>
      <c r="AU38" s="353">
        <f>'I-Project Contingency'!$O$4-AE38</f>
        <v>0</v>
      </c>
      <c r="AV38" s="354">
        <v>1687645.9248406207</v>
      </c>
      <c r="AW38" s="354">
        <v>3291004.7254658043</v>
      </c>
      <c r="AX38" s="354">
        <v>4159167.8232088853</v>
      </c>
      <c r="AY38" s="354">
        <f>'I-Project Contingency'!$E$66-AV38</f>
        <v>0</v>
      </c>
      <c r="AZ38" s="354">
        <f>'I-Project Contingency'!$E$69-AW38</f>
        <v>0</v>
      </c>
      <c r="BA38" s="354">
        <f>'I-Project Contingency'!$E$70-AX38</f>
        <v>0</v>
      </c>
      <c r="BB38" s="355">
        <f>'I-Project Contingency'!$O$5-AG38</f>
        <v>0</v>
      </c>
      <c r="BC38" s="356">
        <v>2.9615115956254372</v>
      </c>
      <c r="BD38" s="356">
        <v>6.001919642116226</v>
      </c>
      <c r="BE38" s="357">
        <v>7.5913096572662919</v>
      </c>
      <c r="BF38" s="356">
        <f>'I-Project Contingency'!$E$81-BC38</f>
        <v>0</v>
      </c>
      <c r="BG38" s="356">
        <f>'I-Project Contingency'!$E$84-BD38</f>
        <v>0</v>
      </c>
      <c r="BH38" s="356">
        <f>'I-Project Contingency'!$E$85-BE38</f>
        <v>0</v>
      </c>
      <c r="BI38" s="358">
        <f>IF(BK38="N/A","N/A",IF('D-Project Data'!$C$6=50%,ABS(BK38),IF('D-Project Data'!$C$6=80%,ABS(BL38),IF('D-Project Data'!$C$6=90%,ABS(BM38)))))</f>
        <v>0</v>
      </c>
      <c r="BJ38" s="359">
        <f>IF(BI38="N/A","N/A",RANK(BI38,$BI$18:$BI$116,0)+COUNTIF($BI$18:BI38,BI38)-1)</f>
        <v>21</v>
      </c>
      <c r="BK38" s="358">
        <f>IF(AY38/SUM(AY:AY)*'I-Project Contingency'!$F$66=0,0,AY38/SUM(AY:AY)*'I-Project Contingency'!$F$66)</f>
        <v>0</v>
      </c>
      <c r="BL38" s="358">
        <f>IF(AZ38/SUM(AZ:AZ)*'I-Project Contingency'!$F$69=0,0,AZ38/SUM(AZ:AZ)*'I-Project Contingency'!$F$69)</f>
        <v>0</v>
      </c>
      <c r="BM38" s="358">
        <f>IF(BA38/SUM(BA:BA)*'I-Project Contingency'!$F$70=0,0,BA38/SUM(BA:BA)*'I-Project Contingency'!$F$70)</f>
        <v>0</v>
      </c>
      <c r="BN38" s="357">
        <f>IF(BP38="N/A","N/A",IF('D-Project Data'!$C$6=50%,ABS(BP38),IF('D-Project Data'!$C$6=80%,ABS(BQ38),IF('D-Project Data'!$C$6=90%,ABS(BR38)))))</f>
        <v>0</v>
      </c>
      <c r="BO38" s="359">
        <f>IF(BN38="N/A","N/A",RANK(BN38,$BN$18:$BN$116,0)+COUNTIF($BN$18:BN38,BN38)-1)</f>
        <v>21</v>
      </c>
      <c r="BP38" s="357">
        <f>IF(BF38/SUM(BF:BF)*'I-Project Contingency'!$F$81=0,0,BF38/SUM(BF:BF)*'I-Project Contingency'!$F$81)</f>
        <v>0</v>
      </c>
      <c r="BQ38" s="357">
        <f>IF(BG38/SUM(BG:BG)*'I-Project Contingency'!$F$84=0,0,BG38/SUM(BG:BG)*'I-Project Contingency'!$F$84)</f>
        <v>0</v>
      </c>
      <c r="BR38" s="357">
        <f>IF(BH38/SUM(BH:BH)*'I-Project Contingency'!$F$85=0,0,BH38/SUM(BH:BH)*'I-Project Contingency'!$F$85)</f>
        <v>0</v>
      </c>
      <c r="BS38" s="359">
        <f t="shared" si="11"/>
        <v>21</v>
      </c>
      <c r="BT38" s="360" t="str">
        <f t="shared" si="12"/>
        <v xml:space="preserve">21 - </v>
      </c>
      <c r="BU38" s="354">
        <f t="shared" si="13"/>
        <v>0</v>
      </c>
      <c r="BV38" s="354">
        <f t="shared" si="14"/>
        <v>0</v>
      </c>
      <c r="BW38" s="356">
        <f t="shared" si="15"/>
        <v>0</v>
      </c>
      <c r="BX38" s="356">
        <f t="shared" si="16"/>
        <v>0</v>
      </c>
    </row>
    <row r="39" spans="1:76" ht="29" x14ac:dyDescent="0.35">
      <c r="A39" s="163">
        <f t="shared" si="21"/>
        <v>22</v>
      </c>
      <c r="B39" s="758" t="s">
        <v>728</v>
      </c>
      <c r="C39" s="760"/>
      <c r="D39" s="760"/>
      <c r="E39" s="760"/>
      <c r="F39" s="759" t="s">
        <v>728</v>
      </c>
      <c r="G39" s="759" t="s">
        <v>728</v>
      </c>
      <c r="H39" s="157" t="str">
        <f>IFERROR(IF('H-Risk Register-Model'!F39="Certain","Relook at Basis of Estimate",INDEX('G-Assumptions'!$F$8:$J$11,MATCH(F39,'G-Assumptions'!$D$8:$D$11,0),MATCH(G39,'G-Assumptions'!$F$6:$J$6,0))),"Unrated")</f>
        <v>Unrated</v>
      </c>
      <c r="I39" s="759" t="s">
        <v>728</v>
      </c>
      <c r="J39" s="157" t="str">
        <f>IFERROR(IF('H-Risk Register-Model'!F39="Certain","Relook at Basis of Estimate",INDEX('G-Assumptions'!$F$8:$J$11,MATCH(F39,'G-Assumptions'!$D$8:$D$11,0),MATCH(I39,'G-Assumptions'!$F$6:$J$6,0))),"Unrated")</f>
        <v>Unrated</v>
      </c>
      <c r="K39" s="759" t="s">
        <v>728</v>
      </c>
      <c r="L39" s="759" t="s">
        <v>728</v>
      </c>
      <c r="M39" s="759"/>
      <c r="N39" s="763" t="s">
        <v>728</v>
      </c>
      <c r="O39" s="763" t="s">
        <v>728</v>
      </c>
      <c r="P39" s="764"/>
      <c r="Q39" s="764"/>
      <c r="R39" s="764"/>
      <c r="S39" s="765"/>
      <c r="T39" s="765"/>
      <c r="U39" s="765"/>
      <c r="V39" s="766"/>
      <c r="W39" s="764"/>
      <c r="X39" s="764"/>
      <c r="Y39" s="767">
        <v>1</v>
      </c>
      <c r="Z39" s="770">
        <v>1</v>
      </c>
      <c r="AA39" s="166">
        <f t="shared" si="3"/>
        <v>0</v>
      </c>
      <c r="AB39" s="166">
        <f t="shared" si="4"/>
        <v>0</v>
      </c>
      <c r="AC39" s="166">
        <f t="shared" si="17"/>
        <v>0</v>
      </c>
      <c r="AD39" s="166"/>
      <c r="AE39" s="164">
        <f t="shared" si="5"/>
        <v>0</v>
      </c>
      <c r="AF39" s="167"/>
      <c r="AG39" s="165">
        <f t="shared" si="6"/>
        <v>0</v>
      </c>
      <c r="AH39" s="760"/>
      <c r="AI39" s="760"/>
      <c r="AJ39" s="8"/>
      <c r="AK39" s="524" t="str">
        <f t="shared" si="7"/>
        <v>No</v>
      </c>
      <c r="AL39" s="525">
        <f>'I-Project Contingency'!$I$4</f>
        <v>7250000</v>
      </c>
      <c r="AM39" s="350">
        <f>'I-Project Contingency'!$I$11</f>
        <v>12</v>
      </c>
      <c r="AN39" s="349">
        <f t="shared" si="8"/>
        <v>0</v>
      </c>
      <c r="AO39" s="350">
        <f t="shared" si="9"/>
        <v>0</v>
      </c>
      <c r="AP39" s="672" t="str">
        <f t="shared" si="18"/>
        <v/>
      </c>
      <c r="AQ39" s="672" t="str">
        <f t="shared" si="19"/>
        <v/>
      </c>
      <c r="AR39" s="526" t="str">
        <f t="shared" si="22"/>
        <v/>
      </c>
      <c r="AS39" s="526" t="str">
        <f t="shared" si="20"/>
        <v/>
      </c>
      <c r="AT39" s="8"/>
      <c r="AU39" s="353">
        <f>'I-Project Contingency'!$O$4-AE39</f>
        <v>0</v>
      </c>
      <c r="AV39" s="354">
        <v>1687645.9248406207</v>
      </c>
      <c r="AW39" s="354">
        <v>3291004.7254658043</v>
      </c>
      <c r="AX39" s="354">
        <v>4159167.8232088853</v>
      </c>
      <c r="AY39" s="354">
        <f>'I-Project Contingency'!$E$66-AV39</f>
        <v>0</v>
      </c>
      <c r="AZ39" s="354">
        <f>'I-Project Contingency'!$E$69-AW39</f>
        <v>0</v>
      </c>
      <c r="BA39" s="354">
        <f>'I-Project Contingency'!$E$70-AX39</f>
        <v>0</v>
      </c>
      <c r="BB39" s="355">
        <f>'I-Project Contingency'!$O$5-AG39</f>
        <v>0</v>
      </c>
      <c r="BC39" s="356">
        <v>2.9615115956254372</v>
      </c>
      <c r="BD39" s="356">
        <v>6.001919642116226</v>
      </c>
      <c r="BE39" s="357">
        <v>7.5913096572662919</v>
      </c>
      <c r="BF39" s="356">
        <f>'I-Project Contingency'!$E$81-BC39</f>
        <v>0</v>
      </c>
      <c r="BG39" s="356">
        <f>'I-Project Contingency'!$E$84-BD39</f>
        <v>0</v>
      </c>
      <c r="BH39" s="356">
        <f>'I-Project Contingency'!$E$85-BE39</f>
        <v>0</v>
      </c>
      <c r="BI39" s="358">
        <f>IF(BK39="N/A","N/A",IF('D-Project Data'!$C$6=50%,ABS(BK39),IF('D-Project Data'!$C$6=80%,ABS(BL39),IF('D-Project Data'!$C$6=90%,ABS(BM39)))))</f>
        <v>0</v>
      </c>
      <c r="BJ39" s="359">
        <f>IF(BI39="N/A","N/A",RANK(BI39,$BI$18:$BI$116,0)+COUNTIF($BI$18:BI39,BI39)-1)</f>
        <v>22</v>
      </c>
      <c r="BK39" s="358">
        <f>IF(AY39/SUM(AY:AY)*'I-Project Contingency'!$F$66=0,0,AY39/SUM(AY:AY)*'I-Project Contingency'!$F$66)</f>
        <v>0</v>
      </c>
      <c r="BL39" s="358">
        <f>IF(AZ39/SUM(AZ:AZ)*'I-Project Contingency'!$F$69=0,0,AZ39/SUM(AZ:AZ)*'I-Project Contingency'!$F$69)</f>
        <v>0</v>
      </c>
      <c r="BM39" s="358">
        <f>IF(BA39/SUM(BA:BA)*'I-Project Contingency'!$F$70=0,0,BA39/SUM(BA:BA)*'I-Project Contingency'!$F$70)</f>
        <v>0</v>
      </c>
      <c r="BN39" s="357">
        <f>IF(BP39="N/A","N/A",IF('D-Project Data'!$C$6=50%,ABS(BP39),IF('D-Project Data'!$C$6=80%,ABS(BQ39),IF('D-Project Data'!$C$6=90%,ABS(BR39)))))</f>
        <v>0</v>
      </c>
      <c r="BO39" s="359">
        <f>IF(BN39="N/A","N/A",RANK(BN39,$BN$18:$BN$116,0)+COUNTIF($BN$18:BN39,BN39)-1)</f>
        <v>22</v>
      </c>
      <c r="BP39" s="357">
        <f>IF(BF39/SUM(BF:BF)*'I-Project Contingency'!$F$81=0,0,BF39/SUM(BF:BF)*'I-Project Contingency'!$F$81)</f>
        <v>0</v>
      </c>
      <c r="BQ39" s="357">
        <f>IF(BG39/SUM(BG:BG)*'I-Project Contingency'!$F$84=0,0,BG39/SUM(BG:BG)*'I-Project Contingency'!$F$84)</f>
        <v>0</v>
      </c>
      <c r="BR39" s="357">
        <f>IF(BH39/SUM(BH:BH)*'I-Project Contingency'!$F$85=0,0,BH39/SUM(BH:BH)*'I-Project Contingency'!$F$85)</f>
        <v>0</v>
      </c>
      <c r="BS39" s="359">
        <f t="shared" si="11"/>
        <v>22</v>
      </c>
      <c r="BT39" s="360" t="str">
        <f t="shared" si="12"/>
        <v xml:space="preserve">22 - </v>
      </c>
      <c r="BU39" s="354">
        <f t="shared" si="13"/>
        <v>0</v>
      </c>
      <c r="BV39" s="354">
        <f t="shared" si="14"/>
        <v>0</v>
      </c>
      <c r="BW39" s="356">
        <f t="shared" si="15"/>
        <v>0</v>
      </c>
      <c r="BX39" s="356">
        <f t="shared" si="16"/>
        <v>0</v>
      </c>
    </row>
    <row r="40" spans="1:76" ht="29" x14ac:dyDescent="0.35">
      <c r="A40" s="163">
        <f t="shared" si="21"/>
        <v>23</v>
      </c>
      <c r="B40" s="758" t="s">
        <v>728</v>
      </c>
      <c r="C40" s="760"/>
      <c r="D40" s="760"/>
      <c r="E40" s="760"/>
      <c r="F40" s="759" t="s">
        <v>728</v>
      </c>
      <c r="G40" s="759" t="s">
        <v>728</v>
      </c>
      <c r="H40" s="157" t="str">
        <f>IFERROR(IF('H-Risk Register-Model'!F40="Certain","Relook at Basis of Estimate",INDEX('G-Assumptions'!$F$8:$J$11,MATCH(F40,'G-Assumptions'!$D$8:$D$11,0),MATCH(G40,'G-Assumptions'!$F$6:$J$6,0))),"Unrated")</f>
        <v>Unrated</v>
      </c>
      <c r="I40" s="759" t="s">
        <v>728</v>
      </c>
      <c r="J40" s="157" t="str">
        <f>IFERROR(IF('H-Risk Register-Model'!F40="Certain","Relook at Basis of Estimate",INDEX('G-Assumptions'!$F$8:$J$11,MATCH(F40,'G-Assumptions'!$D$8:$D$11,0),MATCH(I40,'G-Assumptions'!$F$6:$J$6,0))),"Unrated")</f>
        <v>Unrated</v>
      </c>
      <c r="K40" s="759" t="s">
        <v>728</v>
      </c>
      <c r="L40" s="759" t="s">
        <v>728</v>
      </c>
      <c r="M40" s="759"/>
      <c r="N40" s="763" t="s">
        <v>728</v>
      </c>
      <c r="O40" s="763" t="s">
        <v>728</v>
      </c>
      <c r="P40" s="764"/>
      <c r="Q40" s="764"/>
      <c r="R40" s="764"/>
      <c r="S40" s="765"/>
      <c r="T40" s="765"/>
      <c r="U40" s="765"/>
      <c r="V40" s="766"/>
      <c r="W40" s="764"/>
      <c r="X40" s="764"/>
      <c r="Y40" s="767">
        <v>1</v>
      </c>
      <c r="Z40" s="770">
        <v>1</v>
      </c>
      <c r="AA40" s="166">
        <f t="shared" si="3"/>
        <v>0</v>
      </c>
      <c r="AB40" s="166">
        <f t="shared" si="4"/>
        <v>0</v>
      </c>
      <c r="AC40" s="166">
        <f t="shared" si="17"/>
        <v>0</v>
      </c>
      <c r="AD40" s="166"/>
      <c r="AE40" s="164">
        <f t="shared" si="5"/>
        <v>0</v>
      </c>
      <c r="AF40" s="167"/>
      <c r="AG40" s="165">
        <f t="shared" si="6"/>
        <v>0</v>
      </c>
      <c r="AH40" s="760"/>
      <c r="AI40" s="760"/>
      <c r="AJ40" s="8"/>
      <c r="AK40" s="524" t="str">
        <f t="shared" si="7"/>
        <v>No</v>
      </c>
      <c r="AL40" s="525">
        <f>'I-Project Contingency'!$I$4</f>
        <v>7250000</v>
      </c>
      <c r="AM40" s="350">
        <f>'I-Project Contingency'!$I$11</f>
        <v>12</v>
      </c>
      <c r="AN40" s="349">
        <f t="shared" si="8"/>
        <v>0</v>
      </c>
      <c r="AO40" s="350">
        <f t="shared" si="9"/>
        <v>0</v>
      </c>
      <c r="AP40" s="672" t="str">
        <f t="shared" si="18"/>
        <v/>
      </c>
      <c r="AQ40" s="672" t="str">
        <f t="shared" si="19"/>
        <v/>
      </c>
      <c r="AR40" s="526" t="str">
        <f t="shared" si="22"/>
        <v/>
      </c>
      <c r="AS40" s="526" t="str">
        <f t="shared" si="20"/>
        <v/>
      </c>
      <c r="AT40" s="8"/>
      <c r="AU40" s="353">
        <f>'I-Project Contingency'!$O$4-AE40</f>
        <v>0</v>
      </c>
      <c r="AV40" s="354">
        <v>1687645.9248406207</v>
      </c>
      <c r="AW40" s="354">
        <v>3291004.7254658043</v>
      </c>
      <c r="AX40" s="354">
        <v>4159167.8232088853</v>
      </c>
      <c r="AY40" s="354">
        <f>'I-Project Contingency'!$E$66-AV40</f>
        <v>0</v>
      </c>
      <c r="AZ40" s="354">
        <f>'I-Project Contingency'!$E$69-AW40</f>
        <v>0</v>
      </c>
      <c r="BA40" s="354">
        <f>'I-Project Contingency'!$E$70-AX40</f>
        <v>0</v>
      </c>
      <c r="BB40" s="355">
        <f>'I-Project Contingency'!$O$5-AG40</f>
        <v>0</v>
      </c>
      <c r="BC40" s="356">
        <v>2.9615115956254372</v>
      </c>
      <c r="BD40" s="356">
        <v>6.001919642116226</v>
      </c>
      <c r="BE40" s="357">
        <v>7.5913096572662919</v>
      </c>
      <c r="BF40" s="356">
        <f>'I-Project Contingency'!$E$81-BC40</f>
        <v>0</v>
      </c>
      <c r="BG40" s="356">
        <f>'I-Project Contingency'!$E$84-BD40</f>
        <v>0</v>
      </c>
      <c r="BH40" s="356">
        <f>'I-Project Contingency'!$E$85-BE40</f>
        <v>0</v>
      </c>
      <c r="BI40" s="358">
        <f>IF(BK40="N/A","N/A",IF('D-Project Data'!$C$6=50%,ABS(BK40),IF('D-Project Data'!$C$6=80%,ABS(BL40),IF('D-Project Data'!$C$6=90%,ABS(BM40)))))</f>
        <v>0</v>
      </c>
      <c r="BJ40" s="359">
        <f>IF(BI40="N/A","N/A",RANK(BI40,$BI$18:$BI$116,0)+COUNTIF($BI$18:BI40,BI40)-1)</f>
        <v>23</v>
      </c>
      <c r="BK40" s="358">
        <f>IF(AY40/SUM(AY:AY)*'I-Project Contingency'!$F$66=0,0,AY40/SUM(AY:AY)*'I-Project Contingency'!$F$66)</f>
        <v>0</v>
      </c>
      <c r="BL40" s="358">
        <f>IF(AZ40/SUM(AZ:AZ)*'I-Project Contingency'!$F$69=0,0,AZ40/SUM(AZ:AZ)*'I-Project Contingency'!$F$69)</f>
        <v>0</v>
      </c>
      <c r="BM40" s="358">
        <f>IF(BA40/SUM(BA:BA)*'I-Project Contingency'!$F$70=0,0,BA40/SUM(BA:BA)*'I-Project Contingency'!$F$70)</f>
        <v>0</v>
      </c>
      <c r="BN40" s="357">
        <f>IF(BP40="N/A","N/A",IF('D-Project Data'!$C$6=50%,ABS(BP40),IF('D-Project Data'!$C$6=80%,ABS(BQ40),IF('D-Project Data'!$C$6=90%,ABS(BR40)))))</f>
        <v>0</v>
      </c>
      <c r="BO40" s="359">
        <f>IF(BN40="N/A","N/A",RANK(BN40,$BN$18:$BN$116,0)+COUNTIF($BN$18:BN40,BN40)-1)</f>
        <v>23</v>
      </c>
      <c r="BP40" s="357">
        <f>IF(BF40/SUM(BF:BF)*'I-Project Contingency'!$F$81=0,0,BF40/SUM(BF:BF)*'I-Project Contingency'!$F$81)</f>
        <v>0</v>
      </c>
      <c r="BQ40" s="357">
        <f>IF(BG40/SUM(BG:BG)*'I-Project Contingency'!$F$84=0,0,BG40/SUM(BG:BG)*'I-Project Contingency'!$F$84)</f>
        <v>0</v>
      </c>
      <c r="BR40" s="357">
        <f>IF(BH40/SUM(BH:BH)*'I-Project Contingency'!$F$85=0,0,BH40/SUM(BH:BH)*'I-Project Contingency'!$F$85)</f>
        <v>0</v>
      </c>
      <c r="BS40" s="359">
        <f t="shared" si="11"/>
        <v>23</v>
      </c>
      <c r="BT40" s="360" t="str">
        <f t="shared" si="12"/>
        <v xml:space="preserve">23 - </v>
      </c>
      <c r="BU40" s="354">
        <f t="shared" si="13"/>
        <v>0</v>
      </c>
      <c r="BV40" s="354">
        <f t="shared" si="14"/>
        <v>0</v>
      </c>
      <c r="BW40" s="356">
        <f t="shared" si="15"/>
        <v>0</v>
      </c>
      <c r="BX40" s="356">
        <f t="shared" si="16"/>
        <v>0</v>
      </c>
    </row>
    <row r="41" spans="1:76" ht="29" x14ac:dyDescent="0.35">
      <c r="A41" s="163">
        <f t="shared" si="21"/>
        <v>24</v>
      </c>
      <c r="B41" s="758" t="s">
        <v>728</v>
      </c>
      <c r="C41" s="760"/>
      <c r="D41" s="760"/>
      <c r="E41" s="760"/>
      <c r="F41" s="759" t="s">
        <v>728</v>
      </c>
      <c r="G41" s="759" t="s">
        <v>728</v>
      </c>
      <c r="H41" s="157" t="str">
        <f>IFERROR(IF('H-Risk Register-Model'!F41="Certain","Relook at Basis of Estimate",INDEX('G-Assumptions'!$F$8:$J$11,MATCH(F41,'G-Assumptions'!$D$8:$D$11,0),MATCH(G41,'G-Assumptions'!$F$6:$J$6,0))),"Unrated")</f>
        <v>Unrated</v>
      </c>
      <c r="I41" s="759" t="s">
        <v>728</v>
      </c>
      <c r="J41" s="157" t="str">
        <f>IFERROR(IF('H-Risk Register-Model'!F41="Certain","Relook at Basis of Estimate",INDEX('G-Assumptions'!$F$8:$J$11,MATCH(F41,'G-Assumptions'!$D$8:$D$11,0),MATCH(I41,'G-Assumptions'!$F$6:$J$6,0))),"Unrated")</f>
        <v>Unrated</v>
      </c>
      <c r="K41" s="759" t="s">
        <v>728</v>
      </c>
      <c r="L41" s="759" t="s">
        <v>728</v>
      </c>
      <c r="M41" s="759"/>
      <c r="N41" s="763" t="s">
        <v>728</v>
      </c>
      <c r="O41" s="763" t="s">
        <v>728</v>
      </c>
      <c r="P41" s="764"/>
      <c r="Q41" s="764"/>
      <c r="R41" s="764"/>
      <c r="S41" s="765"/>
      <c r="T41" s="765"/>
      <c r="U41" s="765"/>
      <c r="V41" s="766"/>
      <c r="W41" s="764"/>
      <c r="X41" s="764"/>
      <c r="Y41" s="767">
        <v>1</v>
      </c>
      <c r="Z41" s="770">
        <v>1</v>
      </c>
      <c r="AA41" s="166">
        <f t="shared" si="3"/>
        <v>0</v>
      </c>
      <c r="AB41" s="166">
        <f t="shared" si="4"/>
        <v>0</v>
      </c>
      <c r="AC41" s="166">
        <f t="shared" si="17"/>
        <v>0</v>
      </c>
      <c r="AD41" s="166"/>
      <c r="AE41" s="164">
        <f t="shared" si="5"/>
        <v>0</v>
      </c>
      <c r="AF41" s="167"/>
      <c r="AG41" s="165">
        <f t="shared" si="6"/>
        <v>0</v>
      </c>
      <c r="AH41" s="760"/>
      <c r="AI41" s="760"/>
      <c r="AJ41" s="8"/>
      <c r="AK41" s="524" t="str">
        <f t="shared" si="7"/>
        <v>No</v>
      </c>
      <c r="AL41" s="525">
        <f>'I-Project Contingency'!$I$4</f>
        <v>7250000</v>
      </c>
      <c r="AM41" s="350">
        <f>'I-Project Contingency'!$I$11</f>
        <v>12</v>
      </c>
      <c r="AN41" s="349">
        <f t="shared" si="8"/>
        <v>0</v>
      </c>
      <c r="AO41" s="350">
        <f t="shared" si="9"/>
        <v>0</v>
      </c>
      <c r="AP41" s="672" t="str">
        <f t="shared" si="18"/>
        <v/>
      </c>
      <c r="AQ41" s="672" t="str">
        <f t="shared" si="19"/>
        <v/>
      </c>
      <c r="AR41" s="526" t="str">
        <f t="shared" si="22"/>
        <v/>
      </c>
      <c r="AS41" s="526" t="str">
        <f t="shared" si="20"/>
        <v/>
      </c>
      <c r="AT41" s="8"/>
      <c r="AU41" s="353">
        <f>'I-Project Contingency'!$O$4-AE41</f>
        <v>0</v>
      </c>
      <c r="AV41" s="354">
        <v>1687645.9248406207</v>
      </c>
      <c r="AW41" s="354">
        <v>3291004.7254658043</v>
      </c>
      <c r="AX41" s="354">
        <v>4159167.8232088853</v>
      </c>
      <c r="AY41" s="354">
        <f>'I-Project Contingency'!$E$66-AV41</f>
        <v>0</v>
      </c>
      <c r="AZ41" s="354">
        <f>'I-Project Contingency'!$E$69-AW41</f>
        <v>0</v>
      </c>
      <c r="BA41" s="354">
        <f>'I-Project Contingency'!$E$70-AX41</f>
        <v>0</v>
      </c>
      <c r="BB41" s="355">
        <f>'I-Project Contingency'!$O$5-AG41</f>
        <v>0</v>
      </c>
      <c r="BC41" s="356">
        <v>2.9615115956254372</v>
      </c>
      <c r="BD41" s="356">
        <v>6.001919642116226</v>
      </c>
      <c r="BE41" s="357">
        <v>7.5913096572662919</v>
      </c>
      <c r="BF41" s="356">
        <f>'I-Project Contingency'!$E$81-BC41</f>
        <v>0</v>
      </c>
      <c r="BG41" s="356">
        <f>'I-Project Contingency'!$E$84-BD41</f>
        <v>0</v>
      </c>
      <c r="BH41" s="356">
        <f>'I-Project Contingency'!$E$85-BE41</f>
        <v>0</v>
      </c>
      <c r="BI41" s="358">
        <f>IF(BK41="N/A","N/A",IF('D-Project Data'!$C$6=50%,ABS(BK41),IF('D-Project Data'!$C$6=80%,ABS(BL41),IF('D-Project Data'!$C$6=90%,ABS(BM41)))))</f>
        <v>0</v>
      </c>
      <c r="BJ41" s="359">
        <f>IF(BI41="N/A","N/A",RANK(BI41,$BI$18:$BI$116,0)+COUNTIF($BI$18:BI41,BI41)-1)</f>
        <v>24</v>
      </c>
      <c r="BK41" s="358">
        <f>IF(AY41/SUM(AY:AY)*'I-Project Contingency'!$F$66=0,0,AY41/SUM(AY:AY)*'I-Project Contingency'!$F$66)</f>
        <v>0</v>
      </c>
      <c r="BL41" s="358">
        <f>IF(AZ41/SUM(AZ:AZ)*'I-Project Contingency'!$F$69=0,0,AZ41/SUM(AZ:AZ)*'I-Project Contingency'!$F$69)</f>
        <v>0</v>
      </c>
      <c r="BM41" s="358">
        <f>IF(BA41/SUM(BA:BA)*'I-Project Contingency'!$F$70=0,0,BA41/SUM(BA:BA)*'I-Project Contingency'!$F$70)</f>
        <v>0</v>
      </c>
      <c r="BN41" s="357">
        <f>IF(BP41="N/A","N/A",IF('D-Project Data'!$C$6=50%,ABS(BP41),IF('D-Project Data'!$C$6=80%,ABS(BQ41),IF('D-Project Data'!$C$6=90%,ABS(BR41)))))</f>
        <v>0</v>
      </c>
      <c r="BO41" s="359">
        <f>IF(BN41="N/A","N/A",RANK(BN41,$BN$18:$BN$116,0)+COUNTIF($BN$18:BN41,BN41)-1)</f>
        <v>24</v>
      </c>
      <c r="BP41" s="357">
        <f>IF(BF41/SUM(BF:BF)*'I-Project Contingency'!$F$81=0,0,BF41/SUM(BF:BF)*'I-Project Contingency'!$F$81)</f>
        <v>0</v>
      </c>
      <c r="BQ41" s="357">
        <f>IF(BG41/SUM(BG:BG)*'I-Project Contingency'!$F$84=0,0,BG41/SUM(BG:BG)*'I-Project Contingency'!$F$84)</f>
        <v>0</v>
      </c>
      <c r="BR41" s="357">
        <f>IF(BH41/SUM(BH:BH)*'I-Project Contingency'!$F$85=0,0,BH41/SUM(BH:BH)*'I-Project Contingency'!$F$85)</f>
        <v>0</v>
      </c>
      <c r="BS41" s="359">
        <f t="shared" si="11"/>
        <v>24</v>
      </c>
      <c r="BT41" s="360" t="str">
        <f t="shared" si="12"/>
        <v xml:space="preserve">24 - </v>
      </c>
      <c r="BU41" s="354">
        <f t="shared" si="13"/>
        <v>0</v>
      </c>
      <c r="BV41" s="354">
        <f t="shared" si="14"/>
        <v>0</v>
      </c>
      <c r="BW41" s="356">
        <f t="shared" si="15"/>
        <v>0</v>
      </c>
      <c r="BX41" s="356">
        <f t="shared" si="16"/>
        <v>0</v>
      </c>
    </row>
    <row r="42" spans="1:76" ht="29" x14ac:dyDescent="0.35">
      <c r="A42" s="163">
        <f t="shared" si="21"/>
        <v>25</v>
      </c>
      <c r="B42" s="758" t="s">
        <v>728</v>
      </c>
      <c r="C42" s="760"/>
      <c r="D42" s="760"/>
      <c r="E42" s="760"/>
      <c r="F42" s="759" t="s">
        <v>728</v>
      </c>
      <c r="G42" s="759" t="s">
        <v>728</v>
      </c>
      <c r="H42" s="157" t="str">
        <f>IFERROR(IF('H-Risk Register-Model'!F42="Certain","Relook at Basis of Estimate",INDEX('G-Assumptions'!$F$8:$J$11,MATCH(F42,'G-Assumptions'!$D$8:$D$11,0),MATCH(G42,'G-Assumptions'!$F$6:$J$6,0))),"Unrated")</f>
        <v>Unrated</v>
      </c>
      <c r="I42" s="759" t="s">
        <v>728</v>
      </c>
      <c r="J42" s="157" t="str">
        <f>IFERROR(IF('H-Risk Register-Model'!F42="Certain","Relook at Basis of Estimate",INDEX('G-Assumptions'!$F$8:$J$11,MATCH(F42,'G-Assumptions'!$D$8:$D$11,0),MATCH(I42,'G-Assumptions'!$F$6:$J$6,0))),"Unrated")</f>
        <v>Unrated</v>
      </c>
      <c r="K42" s="759" t="s">
        <v>728</v>
      </c>
      <c r="L42" s="759" t="s">
        <v>728</v>
      </c>
      <c r="M42" s="759"/>
      <c r="N42" s="763" t="s">
        <v>728</v>
      </c>
      <c r="O42" s="763" t="s">
        <v>728</v>
      </c>
      <c r="P42" s="764"/>
      <c r="Q42" s="764"/>
      <c r="R42" s="764"/>
      <c r="S42" s="765"/>
      <c r="T42" s="765"/>
      <c r="U42" s="765"/>
      <c r="V42" s="766"/>
      <c r="W42" s="764"/>
      <c r="X42" s="764"/>
      <c r="Y42" s="767">
        <v>1</v>
      </c>
      <c r="Z42" s="770">
        <v>1</v>
      </c>
      <c r="AA42" s="166">
        <f t="shared" si="3"/>
        <v>0</v>
      </c>
      <c r="AB42" s="166">
        <f t="shared" si="4"/>
        <v>0</v>
      </c>
      <c r="AC42" s="166">
        <f t="shared" si="17"/>
        <v>0</v>
      </c>
      <c r="AD42" s="166"/>
      <c r="AE42" s="164">
        <f t="shared" si="5"/>
        <v>0</v>
      </c>
      <c r="AF42" s="167"/>
      <c r="AG42" s="165">
        <f t="shared" si="6"/>
        <v>0</v>
      </c>
      <c r="AH42" s="760"/>
      <c r="AI42" s="760"/>
      <c r="AJ42" s="8"/>
      <c r="AK42" s="524" t="str">
        <f t="shared" si="7"/>
        <v>No</v>
      </c>
      <c r="AL42" s="525">
        <f>'I-Project Contingency'!$I$4</f>
        <v>7250000</v>
      </c>
      <c r="AM42" s="350">
        <f>'I-Project Contingency'!$I$11</f>
        <v>12</v>
      </c>
      <c r="AN42" s="349">
        <f t="shared" si="8"/>
        <v>0</v>
      </c>
      <c r="AO42" s="350">
        <f t="shared" si="9"/>
        <v>0</v>
      </c>
      <c r="AP42" s="672" t="str">
        <f t="shared" si="18"/>
        <v/>
      </c>
      <c r="AQ42" s="672" t="str">
        <f t="shared" si="19"/>
        <v/>
      </c>
      <c r="AR42" s="526" t="str">
        <f t="shared" si="22"/>
        <v/>
      </c>
      <c r="AS42" s="526" t="str">
        <f t="shared" si="20"/>
        <v/>
      </c>
      <c r="AT42" s="8"/>
      <c r="AU42" s="353">
        <f>'I-Project Contingency'!$O$4-AE42</f>
        <v>0</v>
      </c>
      <c r="AV42" s="354">
        <v>1687645.9248406207</v>
      </c>
      <c r="AW42" s="354">
        <v>3291004.7254658043</v>
      </c>
      <c r="AX42" s="354">
        <v>4159167.8232088853</v>
      </c>
      <c r="AY42" s="354">
        <f>'I-Project Contingency'!$E$66-AV42</f>
        <v>0</v>
      </c>
      <c r="AZ42" s="354">
        <f>'I-Project Contingency'!$E$69-AW42</f>
        <v>0</v>
      </c>
      <c r="BA42" s="354">
        <f>'I-Project Contingency'!$E$70-AX42</f>
        <v>0</v>
      </c>
      <c r="BB42" s="355">
        <f>'I-Project Contingency'!$O$5-AG42</f>
        <v>0</v>
      </c>
      <c r="BC42" s="356">
        <v>2.9615115956254372</v>
      </c>
      <c r="BD42" s="356">
        <v>6.001919642116226</v>
      </c>
      <c r="BE42" s="357">
        <v>7.5913096572662919</v>
      </c>
      <c r="BF42" s="356">
        <f>'I-Project Contingency'!$E$81-BC42</f>
        <v>0</v>
      </c>
      <c r="BG42" s="356">
        <f>'I-Project Contingency'!$E$84-BD42</f>
        <v>0</v>
      </c>
      <c r="BH42" s="356">
        <f>'I-Project Contingency'!$E$85-BE42</f>
        <v>0</v>
      </c>
      <c r="BI42" s="358">
        <f>IF(BK42="N/A","N/A",IF('D-Project Data'!$C$6=50%,ABS(BK42),IF('D-Project Data'!$C$6=80%,ABS(BL42),IF('D-Project Data'!$C$6=90%,ABS(BM42)))))</f>
        <v>0</v>
      </c>
      <c r="BJ42" s="359">
        <f>IF(BI42="N/A","N/A",RANK(BI42,$BI$18:$BI$116,0)+COUNTIF($BI$18:BI42,BI42)-1)</f>
        <v>25</v>
      </c>
      <c r="BK42" s="358">
        <f>IF(AY42/SUM(AY:AY)*'I-Project Contingency'!$F$66=0,0,AY42/SUM(AY:AY)*'I-Project Contingency'!$F$66)</f>
        <v>0</v>
      </c>
      <c r="BL42" s="358">
        <f>IF(AZ42/SUM(AZ:AZ)*'I-Project Contingency'!$F$69=0,0,AZ42/SUM(AZ:AZ)*'I-Project Contingency'!$F$69)</f>
        <v>0</v>
      </c>
      <c r="BM42" s="358">
        <f>IF(BA42/SUM(BA:BA)*'I-Project Contingency'!$F$70=0,0,BA42/SUM(BA:BA)*'I-Project Contingency'!$F$70)</f>
        <v>0</v>
      </c>
      <c r="BN42" s="357">
        <f>IF(BP42="N/A","N/A",IF('D-Project Data'!$C$6=50%,ABS(BP42),IF('D-Project Data'!$C$6=80%,ABS(BQ42),IF('D-Project Data'!$C$6=90%,ABS(BR42)))))</f>
        <v>0</v>
      </c>
      <c r="BO42" s="359">
        <f>IF(BN42="N/A","N/A",RANK(BN42,$BN$18:$BN$116,0)+COUNTIF($BN$18:BN42,BN42)-1)</f>
        <v>25</v>
      </c>
      <c r="BP42" s="357">
        <f>IF(BF42/SUM(BF:BF)*'I-Project Contingency'!$F$81=0,0,BF42/SUM(BF:BF)*'I-Project Contingency'!$F$81)</f>
        <v>0</v>
      </c>
      <c r="BQ42" s="357">
        <f>IF(BG42/SUM(BG:BG)*'I-Project Contingency'!$F$84=0,0,BG42/SUM(BG:BG)*'I-Project Contingency'!$F$84)</f>
        <v>0</v>
      </c>
      <c r="BR42" s="357">
        <f>IF(BH42/SUM(BH:BH)*'I-Project Contingency'!$F$85=0,0,BH42/SUM(BH:BH)*'I-Project Contingency'!$F$85)</f>
        <v>0</v>
      </c>
      <c r="BS42" s="359">
        <f t="shared" si="11"/>
        <v>25</v>
      </c>
      <c r="BT42" s="360" t="str">
        <f t="shared" si="12"/>
        <v xml:space="preserve">25 - </v>
      </c>
      <c r="BU42" s="354">
        <f t="shared" si="13"/>
        <v>0</v>
      </c>
      <c r="BV42" s="354">
        <f t="shared" si="14"/>
        <v>0</v>
      </c>
      <c r="BW42" s="356">
        <f t="shared" si="15"/>
        <v>0</v>
      </c>
      <c r="BX42" s="356">
        <f t="shared" si="16"/>
        <v>0</v>
      </c>
    </row>
    <row r="43" spans="1:76" ht="29" x14ac:dyDescent="0.35">
      <c r="A43" s="163">
        <f t="shared" si="21"/>
        <v>26</v>
      </c>
      <c r="B43" s="758" t="s">
        <v>728</v>
      </c>
      <c r="C43" s="760"/>
      <c r="D43" s="760"/>
      <c r="E43" s="760"/>
      <c r="F43" s="759" t="s">
        <v>728</v>
      </c>
      <c r="G43" s="759" t="s">
        <v>728</v>
      </c>
      <c r="H43" s="157" t="str">
        <f>IFERROR(IF('H-Risk Register-Model'!F43="Certain","Relook at Basis of Estimate",INDEX('G-Assumptions'!$F$8:$J$11,MATCH(F43,'G-Assumptions'!$D$8:$D$11,0),MATCH(G43,'G-Assumptions'!$F$6:$J$6,0))),"Unrated")</f>
        <v>Unrated</v>
      </c>
      <c r="I43" s="759" t="s">
        <v>728</v>
      </c>
      <c r="J43" s="157" t="str">
        <f>IFERROR(IF('H-Risk Register-Model'!F43="Certain","Relook at Basis of Estimate",INDEX('G-Assumptions'!$F$8:$J$11,MATCH(F43,'G-Assumptions'!$D$8:$D$11,0),MATCH(I43,'G-Assumptions'!$F$6:$J$6,0))),"Unrated")</f>
        <v>Unrated</v>
      </c>
      <c r="K43" s="759" t="s">
        <v>728</v>
      </c>
      <c r="L43" s="759" t="s">
        <v>728</v>
      </c>
      <c r="M43" s="759"/>
      <c r="N43" s="763" t="s">
        <v>728</v>
      </c>
      <c r="O43" s="763" t="s">
        <v>728</v>
      </c>
      <c r="P43" s="764"/>
      <c r="Q43" s="764"/>
      <c r="R43" s="764"/>
      <c r="S43" s="765"/>
      <c r="T43" s="765"/>
      <c r="U43" s="765"/>
      <c r="V43" s="766"/>
      <c r="W43" s="764"/>
      <c r="X43" s="764"/>
      <c r="Y43" s="767">
        <v>1</v>
      </c>
      <c r="Z43" s="770">
        <v>1</v>
      </c>
      <c r="AA43" s="166">
        <f t="shared" si="3"/>
        <v>0</v>
      </c>
      <c r="AB43" s="166">
        <f t="shared" si="4"/>
        <v>0</v>
      </c>
      <c r="AC43" s="166">
        <f t="shared" si="17"/>
        <v>0</v>
      </c>
      <c r="AD43" s="166"/>
      <c r="AE43" s="164">
        <f t="shared" si="5"/>
        <v>0</v>
      </c>
      <c r="AF43" s="167"/>
      <c r="AG43" s="165">
        <f t="shared" si="6"/>
        <v>0</v>
      </c>
      <c r="AH43" s="760"/>
      <c r="AI43" s="760"/>
      <c r="AJ43" s="8"/>
      <c r="AK43" s="524" t="str">
        <f t="shared" si="7"/>
        <v>No</v>
      </c>
      <c r="AL43" s="525">
        <f>'I-Project Contingency'!$I$4</f>
        <v>7250000</v>
      </c>
      <c r="AM43" s="350">
        <f>'I-Project Contingency'!$I$11</f>
        <v>12</v>
      </c>
      <c r="AN43" s="349">
        <f t="shared" si="8"/>
        <v>0</v>
      </c>
      <c r="AO43" s="350">
        <f t="shared" si="9"/>
        <v>0</v>
      </c>
      <c r="AP43" s="672" t="str">
        <f t="shared" si="18"/>
        <v/>
      </c>
      <c r="AQ43" s="672" t="str">
        <f t="shared" si="19"/>
        <v/>
      </c>
      <c r="AR43" s="526" t="str">
        <f t="shared" si="22"/>
        <v/>
      </c>
      <c r="AS43" s="526" t="str">
        <f t="shared" si="20"/>
        <v/>
      </c>
      <c r="AT43" s="8"/>
      <c r="AU43" s="353">
        <f>'I-Project Contingency'!$O$4-AE43</f>
        <v>0</v>
      </c>
      <c r="AV43" s="354">
        <v>1687645.9248406207</v>
      </c>
      <c r="AW43" s="354">
        <v>3291004.7254658043</v>
      </c>
      <c r="AX43" s="354">
        <v>4159167.8232088853</v>
      </c>
      <c r="AY43" s="354">
        <f>'I-Project Contingency'!$E$66-AV43</f>
        <v>0</v>
      </c>
      <c r="AZ43" s="354">
        <f>'I-Project Contingency'!$E$69-AW43</f>
        <v>0</v>
      </c>
      <c r="BA43" s="354">
        <f>'I-Project Contingency'!$E$70-AX43</f>
        <v>0</v>
      </c>
      <c r="BB43" s="355">
        <f>'I-Project Contingency'!$O$5-AG43</f>
        <v>0</v>
      </c>
      <c r="BC43" s="356">
        <v>2.9615115956254372</v>
      </c>
      <c r="BD43" s="356">
        <v>6.001919642116226</v>
      </c>
      <c r="BE43" s="357">
        <v>7.5913096572662919</v>
      </c>
      <c r="BF43" s="356">
        <f>'I-Project Contingency'!$E$81-BC43</f>
        <v>0</v>
      </c>
      <c r="BG43" s="356">
        <f>'I-Project Contingency'!$E$84-BD43</f>
        <v>0</v>
      </c>
      <c r="BH43" s="356">
        <f>'I-Project Contingency'!$E$85-BE43</f>
        <v>0</v>
      </c>
      <c r="BI43" s="358">
        <f>IF(BK43="N/A","N/A",IF('D-Project Data'!$C$6=50%,ABS(BK43),IF('D-Project Data'!$C$6=80%,ABS(BL43),IF('D-Project Data'!$C$6=90%,ABS(BM43)))))</f>
        <v>0</v>
      </c>
      <c r="BJ43" s="359">
        <f>IF(BI43="N/A","N/A",RANK(BI43,$BI$18:$BI$116,0)+COUNTIF($BI$18:BI43,BI43)-1)</f>
        <v>26</v>
      </c>
      <c r="BK43" s="358">
        <f>IF(AY43/SUM(AY:AY)*'I-Project Contingency'!$F$66=0,0,AY43/SUM(AY:AY)*'I-Project Contingency'!$F$66)</f>
        <v>0</v>
      </c>
      <c r="BL43" s="358">
        <f>IF(AZ43/SUM(AZ:AZ)*'I-Project Contingency'!$F$69=0,0,AZ43/SUM(AZ:AZ)*'I-Project Contingency'!$F$69)</f>
        <v>0</v>
      </c>
      <c r="BM43" s="358">
        <f>IF(BA43/SUM(BA:BA)*'I-Project Contingency'!$F$70=0,0,BA43/SUM(BA:BA)*'I-Project Contingency'!$F$70)</f>
        <v>0</v>
      </c>
      <c r="BN43" s="357">
        <f>IF(BP43="N/A","N/A",IF('D-Project Data'!$C$6=50%,ABS(BP43),IF('D-Project Data'!$C$6=80%,ABS(BQ43),IF('D-Project Data'!$C$6=90%,ABS(BR43)))))</f>
        <v>0</v>
      </c>
      <c r="BO43" s="359">
        <f>IF(BN43="N/A","N/A",RANK(BN43,$BN$18:$BN$116,0)+COUNTIF($BN$18:BN43,BN43)-1)</f>
        <v>26</v>
      </c>
      <c r="BP43" s="357">
        <f>IF(BF43/SUM(BF:BF)*'I-Project Contingency'!$F$81=0,0,BF43/SUM(BF:BF)*'I-Project Contingency'!$F$81)</f>
        <v>0</v>
      </c>
      <c r="BQ43" s="357">
        <f>IF(BG43/SUM(BG:BG)*'I-Project Contingency'!$F$84=0,0,BG43/SUM(BG:BG)*'I-Project Contingency'!$F$84)</f>
        <v>0</v>
      </c>
      <c r="BR43" s="357">
        <f>IF(BH43/SUM(BH:BH)*'I-Project Contingency'!$F$85=0,0,BH43/SUM(BH:BH)*'I-Project Contingency'!$F$85)</f>
        <v>0</v>
      </c>
      <c r="BS43" s="359">
        <f t="shared" si="11"/>
        <v>26</v>
      </c>
      <c r="BT43" s="360" t="str">
        <f t="shared" si="12"/>
        <v xml:space="preserve">26 - </v>
      </c>
      <c r="BU43" s="354">
        <f t="shared" si="13"/>
        <v>0</v>
      </c>
      <c r="BV43" s="354">
        <f t="shared" si="14"/>
        <v>0</v>
      </c>
      <c r="BW43" s="356">
        <f t="shared" si="15"/>
        <v>0</v>
      </c>
      <c r="BX43" s="356">
        <f t="shared" si="16"/>
        <v>0</v>
      </c>
    </row>
    <row r="44" spans="1:76" ht="29" x14ac:dyDescent="0.35">
      <c r="A44" s="163">
        <f t="shared" si="21"/>
        <v>27</v>
      </c>
      <c r="B44" s="758" t="s">
        <v>728</v>
      </c>
      <c r="C44" s="760"/>
      <c r="D44" s="760"/>
      <c r="E44" s="760"/>
      <c r="F44" s="759" t="s">
        <v>728</v>
      </c>
      <c r="G44" s="759" t="s">
        <v>728</v>
      </c>
      <c r="H44" s="157" t="str">
        <f>IFERROR(IF('H-Risk Register-Model'!F44="Certain","Relook at Basis of Estimate",INDEX('G-Assumptions'!$F$8:$J$11,MATCH(F44,'G-Assumptions'!$D$8:$D$11,0),MATCH(G44,'G-Assumptions'!$F$6:$J$6,0))),"Unrated")</f>
        <v>Unrated</v>
      </c>
      <c r="I44" s="759" t="s">
        <v>728</v>
      </c>
      <c r="J44" s="157" t="str">
        <f>IFERROR(IF('H-Risk Register-Model'!F44="Certain","Relook at Basis of Estimate",INDEX('G-Assumptions'!$F$8:$J$11,MATCH(F44,'G-Assumptions'!$D$8:$D$11,0),MATCH(I44,'G-Assumptions'!$F$6:$J$6,0))),"Unrated")</f>
        <v>Unrated</v>
      </c>
      <c r="K44" s="759" t="s">
        <v>728</v>
      </c>
      <c r="L44" s="759" t="s">
        <v>728</v>
      </c>
      <c r="M44" s="759"/>
      <c r="N44" s="763" t="s">
        <v>728</v>
      </c>
      <c r="O44" s="763" t="s">
        <v>728</v>
      </c>
      <c r="P44" s="764"/>
      <c r="Q44" s="764"/>
      <c r="R44" s="764"/>
      <c r="S44" s="765"/>
      <c r="T44" s="765"/>
      <c r="U44" s="765"/>
      <c r="V44" s="766"/>
      <c r="W44" s="764"/>
      <c r="X44" s="764"/>
      <c r="Y44" s="767">
        <v>1</v>
      </c>
      <c r="Z44" s="770">
        <v>1</v>
      </c>
      <c r="AA44" s="166">
        <f t="shared" si="3"/>
        <v>0</v>
      </c>
      <c r="AB44" s="166">
        <f t="shared" si="4"/>
        <v>0</v>
      </c>
      <c r="AC44" s="166">
        <f t="shared" si="17"/>
        <v>0</v>
      </c>
      <c r="AD44" s="166"/>
      <c r="AE44" s="164">
        <f t="shared" si="5"/>
        <v>0</v>
      </c>
      <c r="AF44" s="167"/>
      <c r="AG44" s="165">
        <f t="shared" si="6"/>
        <v>0</v>
      </c>
      <c r="AH44" s="760"/>
      <c r="AI44" s="760"/>
      <c r="AJ44" s="8"/>
      <c r="AK44" s="524" t="str">
        <f t="shared" si="7"/>
        <v>No</v>
      </c>
      <c r="AL44" s="525">
        <f>'I-Project Contingency'!$I$4</f>
        <v>7250000</v>
      </c>
      <c r="AM44" s="350">
        <f>'I-Project Contingency'!$I$11</f>
        <v>12</v>
      </c>
      <c r="AN44" s="349">
        <f t="shared" si="8"/>
        <v>0</v>
      </c>
      <c r="AO44" s="350">
        <f t="shared" si="9"/>
        <v>0</v>
      </c>
      <c r="AP44" s="672" t="str">
        <f t="shared" si="18"/>
        <v/>
      </c>
      <c r="AQ44" s="672" t="str">
        <f t="shared" si="19"/>
        <v/>
      </c>
      <c r="AR44" s="526" t="str">
        <f t="shared" si="22"/>
        <v/>
      </c>
      <c r="AS44" s="526" t="str">
        <f t="shared" si="20"/>
        <v/>
      </c>
      <c r="AT44" s="8"/>
      <c r="AU44" s="353">
        <f>'I-Project Contingency'!$O$4-AE44</f>
        <v>0</v>
      </c>
      <c r="AV44" s="354">
        <v>1687645.9248406207</v>
      </c>
      <c r="AW44" s="354">
        <v>3291004.7254658043</v>
      </c>
      <c r="AX44" s="354">
        <v>4159167.8232088853</v>
      </c>
      <c r="AY44" s="354">
        <f>'I-Project Contingency'!$E$66-AV44</f>
        <v>0</v>
      </c>
      <c r="AZ44" s="354">
        <f>'I-Project Contingency'!$E$69-AW44</f>
        <v>0</v>
      </c>
      <c r="BA44" s="354">
        <f>'I-Project Contingency'!$E$70-AX44</f>
        <v>0</v>
      </c>
      <c r="BB44" s="355">
        <f>'I-Project Contingency'!$O$5-AG44</f>
        <v>0</v>
      </c>
      <c r="BC44" s="356">
        <v>2.9615115956254372</v>
      </c>
      <c r="BD44" s="356">
        <v>6.001919642116226</v>
      </c>
      <c r="BE44" s="357">
        <v>7.5913096572662919</v>
      </c>
      <c r="BF44" s="356">
        <f>'I-Project Contingency'!$E$81-BC44</f>
        <v>0</v>
      </c>
      <c r="BG44" s="356">
        <f>'I-Project Contingency'!$E$84-BD44</f>
        <v>0</v>
      </c>
      <c r="BH44" s="356">
        <f>'I-Project Contingency'!$E$85-BE44</f>
        <v>0</v>
      </c>
      <c r="BI44" s="358">
        <f>IF(BK44="N/A","N/A",IF('D-Project Data'!$C$6=50%,ABS(BK44),IF('D-Project Data'!$C$6=80%,ABS(BL44),IF('D-Project Data'!$C$6=90%,ABS(BM44)))))</f>
        <v>0</v>
      </c>
      <c r="BJ44" s="359">
        <f>IF(BI44="N/A","N/A",RANK(BI44,$BI$18:$BI$116,0)+COUNTIF($BI$18:BI44,BI44)-1)</f>
        <v>27</v>
      </c>
      <c r="BK44" s="358">
        <f>IF(AY44/SUM(AY:AY)*'I-Project Contingency'!$F$66=0,0,AY44/SUM(AY:AY)*'I-Project Contingency'!$F$66)</f>
        <v>0</v>
      </c>
      <c r="BL44" s="358">
        <f>IF(AZ44/SUM(AZ:AZ)*'I-Project Contingency'!$F$69=0,0,AZ44/SUM(AZ:AZ)*'I-Project Contingency'!$F$69)</f>
        <v>0</v>
      </c>
      <c r="BM44" s="358">
        <f>IF(BA44/SUM(BA:BA)*'I-Project Contingency'!$F$70=0,0,BA44/SUM(BA:BA)*'I-Project Contingency'!$F$70)</f>
        <v>0</v>
      </c>
      <c r="BN44" s="357">
        <f>IF(BP44="N/A","N/A",IF('D-Project Data'!$C$6=50%,ABS(BP44),IF('D-Project Data'!$C$6=80%,ABS(BQ44),IF('D-Project Data'!$C$6=90%,ABS(BR44)))))</f>
        <v>0</v>
      </c>
      <c r="BO44" s="359">
        <f>IF(BN44="N/A","N/A",RANK(BN44,$BN$18:$BN$116,0)+COUNTIF($BN$18:BN44,BN44)-1)</f>
        <v>27</v>
      </c>
      <c r="BP44" s="357">
        <f>IF(BF44/SUM(BF:BF)*'I-Project Contingency'!$F$81=0,0,BF44/SUM(BF:BF)*'I-Project Contingency'!$F$81)</f>
        <v>0</v>
      </c>
      <c r="BQ44" s="357">
        <f>IF(BG44/SUM(BG:BG)*'I-Project Contingency'!$F$84=0,0,BG44/SUM(BG:BG)*'I-Project Contingency'!$F$84)</f>
        <v>0</v>
      </c>
      <c r="BR44" s="357">
        <f>IF(BH44/SUM(BH:BH)*'I-Project Contingency'!$F$85=0,0,BH44/SUM(BH:BH)*'I-Project Contingency'!$F$85)</f>
        <v>0</v>
      </c>
      <c r="BS44" s="359">
        <f t="shared" si="11"/>
        <v>27</v>
      </c>
      <c r="BT44" s="360" t="str">
        <f t="shared" si="12"/>
        <v xml:space="preserve">27 - </v>
      </c>
      <c r="BU44" s="354">
        <f t="shared" si="13"/>
        <v>0</v>
      </c>
      <c r="BV44" s="354">
        <f t="shared" si="14"/>
        <v>0</v>
      </c>
      <c r="BW44" s="356">
        <f t="shared" si="15"/>
        <v>0</v>
      </c>
      <c r="BX44" s="356">
        <f t="shared" si="16"/>
        <v>0</v>
      </c>
    </row>
    <row r="45" spans="1:76" ht="29" x14ac:dyDescent="0.35">
      <c r="A45" s="163">
        <f t="shared" si="21"/>
        <v>28</v>
      </c>
      <c r="B45" s="758" t="s">
        <v>728</v>
      </c>
      <c r="C45" s="760"/>
      <c r="D45" s="760"/>
      <c r="E45" s="760"/>
      <c r="F45" s="759" t="s">
        <v>728</v>
      </c>
      <c r="G45" s="759" t="s">
        <v>728</v>
      </c>
      <c r="H45" s="157" t="str">
        <f>IFERROR(IF('H-Risk Register-Model'!F45="Certain","Relook at Basis of Estimate",INDEX('G-Assumptions'!$F$8:$J$11,MATCH(F45,'G-Assumptions'!$D$8:$D$11,0),MATCH(G45,'G-Assumptions'!$F$6:$J$6,0))),"Unrated")</f>
        <v>Unrated</v>
      </c>
      <c r="I45" s="759" t="s">
        <v>728</v>
      </c>
      <c r="J45" s="157" t="str">
        <f>IFERROR(IF('H-Risk Register-Model'!F45="Certain","Relook at Basis of Estimate",INDEX('G-Assumptions'!$F$8:$J$11,MATCH(F45,'G-Assumptions'!$D$8:$D$11,0),MATCH(I45,'G-Assumptions'!$F$6:$J$6,0))),"Unrated")</f>
        <v>Unrated</v>
      </c>
      <c r="K45" s="759" t="s">
        <v>728</v>
      </c>
      <c r="L45" s="759" t="s">
        <v>728</v>
      </c>
      <c r="M45" s="759"/>
      <c r="N45" s="763" t="s">
        <v>728</v>
      </c>
      <c r="O45" s="763" t="s">
        <v>728</v>
      </c>
      <c r="P45" s="764"/>
      <c r="Q45" s="764"/>
      <c r="R45" s="764"/>
      <c r="S45" s="765"/>
      <c r="T45" s="765"/>
      <c r="U45" s="765"/>
      <c r="V45" s="766"/>
      <c r="W45" s="764"/>
      <c r="X45" s="764"/>
      <c r="Y45" s="767">
        <v>1</v>
      </c>
      <c r="Z45" s="770">
        <v>1</v>
      </c>
      <c r="AA45" s="166">
        <f t="shared" si="3"/>
        <v>0</v>
      </c>
      <c r="AB45" s="166">
        <f t="shared" si="4"/>
        <v>0</v>
      </c>
      <c r="AC45" s="166">
        <f t="shared" si="17"/>
        <v>0</v>
      </c>
      <c r="AD45" s="166"/>
      <c r="AE45" s="164">
        <f t="shared" si="5"/>
        <v>0</v>
      </c>
      <c r="AF45" s="167"/>
      <c r="AG45" s="165">
        <f t="shared" si="6"/>
        <v>0</v>
      </c>
      <c r="AH45" s="760"/>
      <c r="AI45" s="760"/>
      <c r="AJ45" s="8"/>
      <c r="AK45" s="524" t="str">
        <f t="shared" si="7"/>
        <v>No</v>
      </c>
      <c r="AL45" s="525">
        <f>'I-Project Contingency'!$I$4</f>
        <v>7250000</v>
      </c>
      <c r="AM45" s="350">
        <f>'I-Project Contingency'!$I$11</f>
        <v>12</v>
      </c>
      <c r="AN45" s="349">
        <f t="shared" si="8"/>
        <v>0</v>
      </c>
      <c r="AO45" s="350">
        <f t="shared" si="9"/>
        <v>0</v>
      </c>
      <c r="AP45" s="672" t="str">
        <f t="shared" si="18"/>
        <v/>
      </c>
      <c r="AQ45" s="672" t="str">
        <f t="shared" si="19"/>
        <v/>
      </c>
      <c r="AR45" s="526" t="str">
        <f t="shared" si="22"/>
        <v/>
      </c>
      <c r="AS45" s="526" t="str">
        <f t="shared" si="20"/>
        <v/>
      </c>
      <c r="AT45" s="8"/>
      <c r="AU45" s="353">
        <f>'I-Project Contingency'!$O$4-AE45</f>
        <v>0</v>
      </c>
      <c r="AV45" s="354">
        <v>1687645.9248406207</v>
      </c>
      <c r="AW45" s="354">
        <v>3291004.7254658043</v>
      </c>
      <c r="AX45" s="354">
        <v>4159167.8232088853</v>
      </c>
      <c r="AY45" s="354">
        <f>'I-Project Contingency'!$E$66-AV45</f>
        <v>0</v>
      </c>
      <c r="AZ45" s="354">
        <f>'I-Project Contingency'!$E$69-AW45</f>
        <v>0</v>
      </c>
      <c r="BA45" s="354">
        <f>'I-Project Contingency'!$E$70-AX45</f>
        <v>0</v>
      </c>
      <c r="BB45" s="355">
        <f>'I-Project Contingency'!$O$5-AG45</f>
        <v>0</v>
      </c>
      <c r="BC45" s="356">
        <v>2.9615115956254372</v>
      </c>
      <c r="BD45" s="356">
        <v>6.001919642116226</v>
      </c>
      <c r="BE45" s="357">
        <v>7.5913096572662919</v>
      </c>
      <c r="BF45" s="356">
        <f>'I-Project Contingency'!$E$81-BC45</f>
        <v>0</v>
      </c>
      <c r="BG45" s="356">
        <f>'I-Project Contingency'!$E$84-BD45</f>
        <v>0</v>
      </c>
      <c r="BH45" s="356">
        <f>'I-Project Contingency'!$E$85-BE45</f>
        <v>0</v>
      </c>
      <c r="BI45" s="358">
        <f>IF(BK45="N/A","N/A",IF('D-Project Data'!$C$6=50%,ABS(BK45),IF('D-Project Data'!$C$6=80%,ABS(BL45),IF('D-Project Data'!$C$6=90%,ABS(BM45)))))</f>
        <v>0</v>
      </c>
      <c r="BJ45" s="359">
        <f>IF(BI45="N/A","N/A",RANK(BI45,$BI$18:$BI$116,0)+COUNTIF($BI$18:BI45,BI45)-1)</f>
        <v>28</v>
      </c>
      <c r="BK45" s="358">
        <f>IF(AY45/SUM(AY:AY)*'I-Project Contingency'!$F$66=0,0,AY45/SUM(AY:AY)*'I-Project Contingency'!$F$66)</f>
        <v>0</v>
      </c>
      <c r="BL45" s="358">
        <f>IF(AZ45/SUM(AZ:AZ)*'I-Project Contingency'!$F$69=0,0,AZ45/SUM(AZ:AZ)*'I-Project Contingency'!$F$69)</f>
        <v>0</v>
      </c>
      <c r="BM45" s="358">
        <f>IF(BA45/SUM(BA:BA)*'I-Project Contingency'!$F$70=0,0,BA45/SUM(BA:BA)*'I-Project Contingency'!$F$70)</f>
        <v>0</v>
      </c>
      <c r="BN45" s="357">
        <f>IF(BP45="N/A","N/A",IF('D-Project Data'!$C$6=50%,ABS(BP45),IF('D-Project Data'!$C$6=80%,ABS(BQ45),IF('D-Project Data'!$C$6=90%,ABS(BR45)))))</f>
        <v>0</v>
      </c>
      <c r="BO45" s="359">
        <f>IF(BN45="N/A","N/A",RANK(BN45,$BN$18:$BN$116,0)+COUNTIF($BN$18:BN45,BN45)-1)</f>
        <v>28</v>
      </c>
      <c r="BP45" s="357">
        <f>IF(BF45/SUM(BF:BF)*'I-Project Contingency'!$F$81=0,0,BF45/SUM(BF:BF)*'I-Project Contingency'!$F$81)</f>
        <v>0</v>
      </c>
      <c r="BQ45" s="357">
        <f>IF(BG45/SUM(BG:BG)*'I-Project Contingency'!$F$84=0,0,BG45/SUM(BG:BG)*'I-Project Contingency'!$F$84)</f>
        <v>0</v>
      </c>
      <c r="BR45" s="357">
        <f>IF(BH45/SUM(BH:BH)*'I-Project Contingency'!$F$85=0,0,BH45/SUM(BH:BH)*'I-Project Contingency'!$F$85)</f>
        <v>0</v>
      </c>
      <c r="BS45" s="359">
        <f t="shared" si="11"/>
        <v>28</v>
      </c>
      <c r="BT45" s="360" t="str">
        <f t="shared" si="12"/>
        <v xml:space="preserve">28 - </v>
      </c>
      <c r="BU45" s="354">
        <f t="shared" si="13"/>
        <v>0</v>
      </c>
      <c r="BV45" s="354">
        <f t="shared" si="14"/>
        <v>0</v>
      </c>
      <c r="BW45" s="356">
        <f t="shared" si="15"/>
        <v>0</v>
      </c>
      <c r="BX45" s="356">
        <f t="shared" si="16"/>
        <v>0</v>
      </c>
    </row>
    <row r="46" spans="1:76" ht="29" x14ac:dyDescent="0.35">
      <c r="A46" s="163">
        <f t="shared" si="21"/>
        <v>29</v>
      </c>
      <c r="B46" s="758" t="s">
        <v>728</v>
      </c>
      <c r="C46" s="760"/>
      <c r="D46" s="760"/>
      <c r="E46" s="760"/>
      <c r="F46" s="759" t="s">
        <v>728</v>
      </c>
      <c r="G46" s="759" t="s">
        <v>728</v>
      </c>
      <c r="H46" s="157" t="str">
        <f>IFERROR(IF('H-Risk Register-Model'!F46="Certain","Relook at Basis of Estimate",INDEX('G-Assumptions'!$F$8:$J$11,MATCH(F46,'G-Assumptions'!$D$8:$D$11,0),MATCH(G46,'G-Assumptions'!$F$6:$J$6,0))),"Unrated")</f>
        <v>Unrated</v>
      </c>
      <c r="I46" s="759" t="s">
        <v>728</v>
      </c>
      <c r="J46" s="157" t="str">
        <f>IFERROR(IF('H-Risk Register-Model'!F46="Certain","Relook at Basis of Estimate",INDEX('G-Assumptions'!$F$8:$J$11,MATCH(F46,'G-Assumptions'!$D$8:$D$11,0),MATCH(I46,'G-Assumptions'!$F$6:$J$6,0))),"Unrated")</f>
        <v>Unrated</v>
      </c>
      <c r="K46" s="759" t="s">
        <v>728</v>
      </c>
      <c r="L46" s="759" t="s">
        <v>728</v>
      </c>
      <c r="M46" s="759"/>
      <c r="N46" s="763" t="s">
        <v>728</v>
      </c>
      <c r="O46" s="763" t="s">
        <v>728</v>
      </c>
      <c r="P46" s="764"/>
      <c r="Q46" s="764"/>
      <c r="R46" s="764"/>
      <c r="S46" s="765"/>
      <c r="T46" s="765"/>
      <c r="U46" s="765"/>
      <c r="V46" s="766"/>
      <c r="W46" s="764"/>
      <c r="X46" s="764"/>
      <c r="Y46" s="767">
        <v>1</v>
      </c>
      <c r="Z46" s="770">
        <v>1</v>
      </c>
      <c r="AA46" s="166">
        <f t="shared" si="3"/>
        <v>0</v>
      </c>
      <c r="AB46" s="166">
        <f t="shared" si="4"/>
        <v>0</v>
      </c>
      <c r="AC46" s="166">
        <f t="shared" si="17"/>
        <v>0</v>
      </c>
      <c r="AD46" s="166"/>
      <c r="AE46" s="164">
        <f t="shared" si="5"/>
        <v>0</v>
      </c>
      <c r="AF46" s="167"/>
      <c r="AG46" s="165">
        <f t="shared" si="6"/>
        <v>0</v>
      </c>
      <c r="AH46" s="760"/>
      <c r="AI46" s="760"/>
      <c r="AJ46" s="8"/>
      <c r="AK46" s="524" t="str">
        <f t="shared" si="7"/>
        <v>No</v>
      </c>
      <c r="AL46" s="525">
        <f>'I-Project Contingency'!$I$4</f>
        <v>7250000</v>
      </c>
      <c r="AM46" s="350">
        <f>'I-Project Contingency'!$I$11</f>
        <v>12</v>
      </c>
      <c r="AN46" s="349">
        <f t="shared" si="8"/>
        <v>0</v>
      </c>
      <c r="AO46" s="350">
        <f t="shared" si="9"/>
        <v>0</v>
      </c>
      <c r="AP46" s="672" t="str">
        <f t="shared" si="18"/>
        <v/>
      </c>
      <c r="AQ46" s="672" t="str">
        <f t="shared" si="19"/>
        <v/>
      </c>
      <c r="AR46" s="526" t="str">
        <f t="shared" si="22"/>
        <v/>
      </c>
      <c r="AS46" s="526" t="str">
        <f t="shared" si="20"/>
        <v/>
      </c>
      <c r="AT46" s="8"/>
      <c r="AU46" s="353">
        <f>'I-Project Contingency'!$O$4-AE46</f>
        <v>0</v>
      </c>
      <c r="AV46" s="354">
        <v>1687645.9248406207</v>
      </c>
      <c r="AW46" s="354">
        <v>3291004.7254658043</v>
      </c>
      <c r="AX46" s="354">
        <v>4159167.8232088853</v>
      </c>
      <c r="AY46" s="354">
        <f>'I-Project Contingency'!$E$66-AV46</f>
        <v>0</v>
      </c>
      <c r="AZ46" s="354">
        <f>'I-Project Contingency'!$E$69-AW46</f>
        <v>0</v>
      </c>
      <c r="BA46" s="354">
        <f>'I-Project Contingency'!$E$70-AX46</f>
        <v>0</v>
      </c>
      <c r="BB46" s="355">
        <f>'I-Project Contingency'!$O$5-AG46</f>
        <v>0</v>
      </c>
      <c r="BC46" s="356">
        <v>2.9615115956254372</v>
      </c>
      <c r="BD46" s="356">
        <v>6.001919642116226</v>
      </c>
      <c r="BE46" s="357">
        <v>7.5913096572662919</v>
      </c>
      <c r="BF46" s="356">
        <f>'I-Project Contingency'!$E$81-BC46</f>
        <v>0</v>
      </c>
      <c r="BG46" s="356">
        <f>'I-Project Contingency'!$E$84-BD46</f>
        <v>0</v>
      </c>
      <c r="BH46" s="356">
        <f>'I-Project Contingency'!$E$85-BE46</f>
        <v>0</v>
      </c>
      <c r="BI46" s="358">
        <f>IF(BK46="N/A","N/A",IF('D-Project Data'!$C$6=50%,ABS(BK46),IF('D-Project Data'!$C$6=80%,ABS(BL46),IF('D-Project Data'!$C$6=90%,ABS(BM46)))))</f>
        <v>0</v>
      </c>
      <c r="BJ46" s="359">
        <f>IF(BI46="N/A","N/A",RANK(BI46,$BI$18:$BI$116,0)+COUNTIF($BI$18:BI46,BI46)-1)</f>
        <v>29</v>
      </c>
      <c r="BK46" s="358">
        <f>IF(AY46/SUM(AY:AY)*'I-Project Contingency'!$F$66=0,0,AY46/SUM(AY:AY)*'I-Project Contingency'!$F$66)</f>
        <v>0</v>
      </c>
      <c r="BL46" s="358">
        <f>IF(AZ46/SUM(AZ:AZ)*'I-Project Contingency'!$F$69=0,0,AZ46/SUM(AZ:AZ)*'I-Project Contingency'!$F$69)</f>
        <v>0</v>
      </c>
      <c r="BM46" s="358">
        <f>IF(BA46/SUM(BA:BA)*'I-Project Contingency'!$F$70=0,0,BA46/SUM(BA:BA)*'I-Project Contingency'!$F$70)</f>
        <v>0</v>
      </c>
      <c r="BN46" s="357">
        <f>IF(BP46="N/A","N/A",IF('D-Project Data'!$C$6=50%,ABS(BP46),IF('D-Project Data'!$C$6=80%,ABS(BQ46),IF('D-Project Data'!$C$6=90%,ABS(BR46)))))</f>
        <v>0</v>
      </c>
      <c r="BO46" s="359">
        <f>IF(BN46="N/A","N/A",RANK(BN46,$BN$18:$BN$116,0)+COUNTIF($BN$18:BN46,BN46)-1)</f>
        <v>29</v>
      </c>
      <c r="BP46" s="357">
        <f>IF(BF46/SUM(BF:BF)*'I-Project Contingency'!$F$81=0,0,BF46/SUM(BF:BF)*'I-Project Contingency'!$F$81)</f>
        <v>0</v>
      </c>
      <c r="BQ46" s="357">
        <f>IF(BG46/SUM(BG:BG)*'I-Project Contingency'!$F$84=0,0,BG46/SUM(BG:BG)*'I-Project Contingency'!$F$84)</f>
        <v>0</v>
      </c>
      <c r="BR46" s="357">
        <f>IF(BH46/SUM(BH:BH)*'I-Project Contingency'!$F$85=0,0,BH46/SUM(BH:BH)*'I-Project Contingency'!$F$85)</f>
        <v>0</v>
      </c>
      <c r="BS46" s="359">
        <f t="shared" si="11"/>
        <v>29</v>
      </c>
      <c r="BT46" s="360" t="str">
        <f t="shared" si="12"/>
        <v xml:space="preserve">29 - </v>
      </c>
      <c r="BU46" s="354">
        <f t="shared" si="13"/>
        <v>0</v>
      </c>
      <c r="BV46" s="354">
        <f t="shared" si="14"/>
        <v>0</v>
      </c>
      <c r="BW46" s="356">
        <f t="shared" si="15"/>
        <v>0</v>
      </c>
      <c r="BX46" s="356">
        <f t="shared" si="16"/>
        <v>0</v>
      </c>
    </row>
    <row r="47" spans="1:76" ht="29" x14ac:dyDescent="0.35">
      <c r="A47" s="163">
        <f t="shared" si="21"/>
        <v>30</v>
      </c>
      <c r="B47" s="758" t="s">
        <v>728</v>
      </c>
      <c r="C47" s="760"/>
      <c r="D47" s="760"/>
      <c r="E47" s="760"/>
      <c r="F47" s="759" t="s">
        <v>728</v>
      </c>
      <c r="G47" s="759" t="s">
        <v>728</v>
      </c>
      <c r="H47" s="157" t="str">
        <f>IFERROR(IF('H-Risk Register-Model'!F47="Certain","Relook at Basis of Estimate",INDEX('G-Assumptions'!$F$8:$J$11,MATCH(F47,'G-Assumptions'!$D$8:$D$11,0),MATCH(G47,'G-Assumptions'!$F$6:$J$6,0))),"Unrated")</f>
        <v>Unrated</v>
      </c>
      <c r="I47" s="759" t="s">
        <v>728</v>
      </c>
      <c r="J47" s="157" t="str">
        <f>IFERROR(IF('H-Risk Register-Model'!F47="Certain","Relook at Basis of Estimate",INDEX('G-Assumptions'!$F$8:$J$11,MATCH(F47,'G-Assumptions'!$D$8:$D$11,0),MATCH(I47,'G-Assumptions'!$F$6:$J$6,0))),"Unrated")</f>
        <v>Unrated</v>
      </c>
      <c r="K47" s="759" t="s">
        <v>728</v>
      </c>
      <c r="L47" s="759" t="s">
        <v>728</v>
      </c>
      <c r="M47" s="759"/>
      <c r="N47" s="763" t="s">
        <v>728</v>
      </c>
      <c r="O47" s="763" t="s">
        <v>728</v>
      </c>
      <c r="P47" s="764"/>
      <c r="Q47" s="764"/>
      <c r="R47" s="764"/>
      <c r="S47" s="765"/>
      <c r="T47" s="765"/>
      <c r="U47" s="765"/>
      <c r="V47" s="766"/>
      <c r="W47" s="764"/>
      <c r="X47" s="764"/>
      <c r="Y47" s="767">
        <v>1</v>
      </c>
      <c r="Z47" s="770">
        <v>1</v>
      </c>
      <c r="AA47" s="166">
        <f t="shared" ref="AA47:AA62" si="23">P47+V47</f>
        <v>0</v>
      </c>
      <c r="AB47" s="166">
        <f t="shared" ref="AB47:AB62" si="24">Q47+W47</f>
        <v>0</v>
      </c>
      <c r="AC47" s="166">
        <f t="shared" ref="AC47:AC62" si="25">R47+X47</f>
        <v>0</v>
      </c>
      <c r="AD47" s="166"/>
      <c r="AE47" s="164">
        <f t="shared" ref="AE47:AE62" si="26">AD47*Z47</f>
        <v>0</v>
      </c>
      <c r="AF47" s="167"/>
      <c r="AG47" s="165">
        <f t="shared" ref="AG47:AG62" si="27">AF47*Z47</f>
        <v>0</v>
      </c>
      <c r="AH47" s="760"/>
      <c r="AI47" s="760"/>
      <c r="AJ47" s="8"/>
      <c r="AK47" s="524" t="str">
        <f t="shared" ref="AK47:AK62" si="28">IF(OR(H47="Medium",H47="High",J47="Medium",J47="High"),"Yes","No")</f>
        <v>No</v>
      </c>
      <c r="AL47" s="525">
        <f>'I-Project Contingency'!$I$4</f>
        <v>7250000</v>
      </c>
      <c r="AM47" s="350">
        <f>'I-Project Contingency'!$I$11</f>
        <v>12</v>
      </c>
      <c r="AN47" s="349">
        <f t="shared" si="8"/>
        <v>0</v>
      </c>
      <c r="AO47" s="350">
        <f t="shared" si="9"/>
        <v>0</v>
      </c>
      <c r="AP47" s="672" t="str">
        <f t="shared" si="18"/>
        <v/>
      </c>
      <c r="AQ47" s="672" t="str">
        <f t="shared" si="19"/>
        <v/>
      </c>
      <c r="AR47" s="526" t="str">
        <f t="shared" si="22"/>
        <v/>
      </c>
      <c r="AS47" s="526" t="str">
        <f t="shared" si="20"/>
        <v/>
      </c>
      <c r="AT47" s="8"/>
      <c r="AU47" s="353">
        <f>'I-Project Contingency'!$O$4-AE47</f>
        <v>0</v>
      </c>
      <c r="AV47" s="354">
        <v>1687645.9248406207</v>
      </c>
      <c r="AW47" s="354">
        <v>3291004.7254658043</v>
      </c>
      <c r="AX47" s="354">
        <v>4159167.8232088853</v>
      </c>
      <c r="AY47" s="354">
        <f>'I-Project Contingency'!$E$66-AV47</f>
        <v>0</v>
      </c>
      <c r="AZ47" s="354">
        <f>'I-Project Contingency'!$E$69-AW47</f>
        <v>0</v>
      </c>
      <c r="BA47" s="354">
        <f>'I-Project Contingency'!$E$70-AX47</f>
        <v>0</v>
      </c>
      <c r="BB47" s="355">
        <f>'I-Project Contingency'!$O$5-AG47</f>
        <v>0</v>
      </c>
      <c r="BC47" s="356">
        <v>2.9615115956254372</v>
      </c>
      <c r="BD47" s="356">
        <v>6.001919642116226</v>
      </c>
      <c r="BE47" s="357">
        <v>7.5913096572662919</v>
      </c>
      <c r="BF47" s="356">
        <f>'I-Project Contingency'!$E$81-BC47</f>
        <v>0</v>
      </c>
      <c r="BG47" s="356">
        <f>'I-Project Contingency'!$E$84-BD47</f>
        <v>0</v>
      </c>
      <c r="BH47" s="356">
        <f>'I-Project Contingency'!$E$85-BE47</f>
        <v>0</v>
      </c>
      <c r="BI47" s="358">
        <f>IF(BK47="N/A","N/A",IF('D-Project Data'!$C$6=50%,ABS(BK47),IF('D-Project Data'!$C$6=80%,ABS(BL47),IF('D-Project Data'!$C$6=90%,ABS(BM47)))))</f>
        <v>0</v>
      </c>
      <c r="BJ47" s="359">
        <f>IF(BI47="N/A","N/A",RANK(BI47,$BI$18:$BI$116,0)+COUNTIF($BI$18:BI47,BI47)-1)</f>
        <v>30</v>
      </c>
      <c r="BK47" s="358">
        <f>IF(AY47/SUM(AY:AY)*'I-Project Contingency'!$F$66=0,0,AY47/SUM(AY:AY)*'I-Project Contingency'!$F$66)</f>
        <v>0</v>
      </c>
      <c r="BL47" s="358">
        <f>IF(AZ47/SUM(AZ:AZ)*'I-Project Contingency'!$F$69=0,0,AZ47/SUM(AZ:AZ)*'I-Project Contingency'!$F$69)</f>
        <v>0</v>
      </c>
      <c r="BM47" s="358">
        <f>IF(BA47/SUM(BA:BA)*'I-Project Contingency'!$F$70=0,0,BA47/SUM(BA:BA)*'I-Project Contingency'!$F$70)</f>
        <v>0</v>
      </c>
      <c r="BN47" s="357">
        <f>IF(BP47="N/A","N/A",IF('D-Project Data'!$C$6=50%,ABS(BP47),IF('D-Project Data'!$C$6=80%,ABS(BQ47),IF('D-Project Data'!$C$6=90%,ABS(BR47)))))</f>
        <v>0</v>
      </c>
      <c r="BO47" s="359">
        <f>IF(BN47="N/A","N/A",RANK(BN47,$BN$18:$BN$116,0)+COUNTIF($BN$18:BN47,BN47)-1)</f>
        <v>30</v>
      </c>
      <c r="BP47" s="357">
        <f>IF(BF47/SUM(BF:BF)*'I-Project Contingency'!$F$81=0,0,BF47/SUM(BF:BF)*'I-Project Contingency'!$F$81)</f>
        <v>0</v>
      </c>
      <c r="BQ47" s="357">
        <f>IF(BG47/SUM(BG:BG)*'I-Project Contingency'!$F$84=0,0,BG47/SUM(BG:BG)*'I-Project Contingency'!$F$84)</f>
        <v>0</v>
      </c>
      <c r="BR47" s="357">
        <f>IF(BH47/SUM(BH:BH)*'I-Project Contingency'!$F$85=0,0,BH47/SUM(BH:BH)*'I-Project Contingency'!$F$85)</f>
        <v>0</v>
      </c>
      <c r="BS47" s="359">
        <f t="shared" ref="BS47:BS62" si="29">A47</f>
        <v>30</v>
      </c>
      <c r="BT47" s="360" t="str">
        <f t="shared" ref="BT47:BT62" si="30">A47&amp;" - "&amp;C47</f>
        <v xml:space="preserve">30 - </v>
      </c>
      <c r="BU47" s="354">
        <f t="shared" ref="BU47:BU62" si="31">AA47</f>
        <v>0</v>
      </c>
      <c r="BV47" s="354">
        <f t="shared" ref="BV47:BV62" si="32">AC47</f>
        <v>0</v>
      </c>
      <c r="BW47" s="356">
        <f t="shared" ref="BW47:BW62" si="33">IFERROR(S47,0)</f>
        <v>0</v>
      </c>
      <c r="BX47" s="356">
        <f t="shared" ref="BX47:BX62" si="34">IFERROR(U47,0)</f>
        <v>0</v>
      </c>
    </row>
    <row r="48" spans="1:76" ht="29" x14ac:dyDescent="0.35">
      <c r="A48" s="163">
        <f t="shared" si="21"/>
        <v>31</v>
      </c>
      <c r="B48" s="758" t="s">
        <v>728</v>
      </c>
      <c r="C48" s="760"/>
      <c r="D48" s="760"/>
      <c r="E48" s="760"/>
      <c r="F48" s="759" t="s">
        <v>728</v>
      </c>
      <c r="G48" s="759" t="s">
        <v>728</v>
      </c>
      <c r="H48" s="157" t="str">
        <f>IFERROR(IF('H-Risk Register-Model'!F48="Certain","Relook at Basis of Estimate",INDEX('G-Assumptions'!$F$8:$J$11,MATCH(F48,'G-Assumptions'!$D$8:$D$11,0),MATCH(G48,'G-Assumptions'!$F$6:$J$6,0))),"Unrated")</f>
        <v>Unrated</v>
      </c>
      <c r="I48" s="759" t="s">
        <v>728</v>
      </c>
      <c r="J48" s="157" t="str">
        <f>IFERROR(IF('H-Risk Register-Model'!F48="Certain","Relook at Basis of Estimate",INDEX('G-Assumptions'!$F$8:$J$11,MATCH(F48,'G-Assumptions'!$D$8:$D$11,0),MATCH(I48,'G-Assumptions'!$F$6:$J$6,0))),"Unrated")</f>
        <v>Unrated</v>
      </c>
      <c r="K48" s="759" t="s">
        <v>728</v>
      </c>
      <c r="L48" s="759" t="s">
        <v>728</v>
      </c>
      <c r="M48" s="759"/>
      <c r="N48" s="763" t="s">
        <v>728</v>
      </c>
      <c r="O48" s="763" t="s">
        <v>728</v>
      </c>
      <c r="P48" s="764"/>
      <c r="Q48" s="764"/>
      <c r="R48" s="764"/>
      <c r="S48" s="765"/>
      <c r="T48" s="765"/>
      <c r="U48" s="765"/>
      <c r="V48" s="766"/>
      <c r="W48" s="764"/>
      <c r="X48" s="764"/>
      <c r="Y48" s="767">
        <v>1</v>
      </c>
      <c r="Z48" s="770">
        <v>1</v>
      </c>
      <c r="AA48" s="166">
        <f t="shared" si="23"/>
        <v>0</v>
      </c>
      <c r="AB48" s="166">
        <f t="shared" si="24"/>
        <v>0</v>
      </c>
      <c r="AC48" s="166">
        <f t="shared" si="25"/>
        <v>0</v>
      </c>
      <c r="AD48" s="166"/>
      <c r="AE48" s="164">
        <f t="shared" si="26"/>
        <v>0</v>
      </c>
      <c r="AF48" s="167"/>
      <c r="AG48" s="165">
        <f t="shared" si="27"/>
        <v>0</v>
      </c>
      <c r="AH48" s="760"/>
      <c r="AI48" s="760"/>
      <c r="AJ48" s="8"/>
      <c r="AK48" s="524" t="str">
        <f t="shared" si="28"/>
        <v>No</v>
      </c>
      <c r="AL48" s="525">
        <f>'I-Project Contingency'!$I$4</f>
        <v>7250000</v>
      </c>
      <c r="AM48" s="350">
        <f>'I-Project Contingency'!$I$11</f>
        <v>12</v>
      </c>
      <c r="AN48" s="349">
        <f t="shared" si="8"/>
        <v>0</v>
      </c>
      <c r="AO48" s="350">
        <f t="shared" si="9"/>
        <v>0</v>
      </c>
      <c r="AP48" s="672" t="str">
        <f t="shared" si="18"/>
        <v/>
      </c>
      <c r="AQ48" s="672" t="str">
        <f t="shared" si="19"/>
        <v/>
      </c>
      <c r="AR48" s="526" t="str">
        <f t="shared" si="22"/>
        <v/>
      </c>
      <c r="AS48" s="526" t="str">
        <f t="shared" si="20"/>
        <v/>
      </c>
      <c r="AT48" s="8"/>
      <c r="AU48" s="353">
        <f>'I-Project Contingency'!$O$4-AE48</f>
        <v>0</v>
      </c>
      <c r="AV48" s="354">
        <v>1687645.9248406207</v>
      </c>
      <c r="AW48" s="354">
        <v>3291004.7254658043</v>
      </c>
      <c r="AX48" s="354">
        <v>4159167.8232088853</v>
      </c>
      <c r="AY48" s="354">
        <f>'I-Project Contingency'!$E$66-AV48</f>
        <v>0</v>
      </c>
      <c r="AZ48" s="354">
        <f>'I-Project Contingency'!$E$69-AW48</f>
        <v>0</v>
      </c>
      <c r="BA48" s="354">
        <f>'I-Project Contingency'!$E$70-AX48</f>
        <v>0</v>
      </c>
      <c r="BB48" s="355">
        <f>'I-Project Contingency'!$O$5-AG48</f>
        <v>0</v>
      </c>
      <c r="BC48" s="356">
        <v>2.9615115956254372</v>
      </c>
      <c r="BD48" s="356">
        <v>6.001919642116226</v>
      </c>
      <c r="BE48" s="357">
        <v>7.5913096572662919</v>
      </c>
      <c r="BF48" s="356">
        <f>'I-Project Contingency'!$E$81-BC48</f>
        <v>0</v>
      </c>
      <c r="BG48" s="356">
        <f>'I-Project Contingency'!$E$84-BD48</f>
        <v>0</v>
      </c>
      <c r="BH48" s="356">
        <f>'I-Project Contingency'!$E$85-BE48</f>
        <v>0</v>
      </c>
      <c r="BI48" s="358">
        <f>IF(BK48="N/A","N/A",IF('D-Project Data'!$C$6=50%,ABS(BK48),IF('D-Project Data'!$C$6=80%,ABS(BL48),IF('D-Project Data'!$C$6=90%,ABS(BM48)))))</f>
        <v>0</v>
      </c>
      <c r="BJ48" s="359">
        <f>IF(BI48="N/A","N/A",RANK(BI48,$BI$18:$BI$116,0)+COUNTIF($BI$18:BI48,BI48)-1)</f>
        <v>31</v>
      </c>
      <c r="BK48" s="358">
        <f>IF(AY48/SUM(AY:AY)*'I-Project Contingency'!$F$66=0,0,AY48/SUM(AY:AY)*'I-Project Contingency'!$F$66)</f>
        <v>0</v>
      </c>
      <c r="BL48" s="358">
        <f>IF(AZ48/SUM(AZ:AZ)*'I-Project Contingency'!$F$69=0,0,AZ48/SUM(AZ:AZ)*'I-Project Contingency'!$F$69)</f>
        <v>0</v>
      </c>
      <c r="BM48" s="358">
        <f>IF(BA48/SUM(BA:BA)*'I-Project Contingency'!$F$70=0,0,BA48/SUM(BA:BA)*'I-Project Contingency'!$F$70)</f>
        <v>0</v>
      </c>
      <c r="BN48" s="357">
        <f>IF(BP48="N/A","N/A",IF('D-Project Data'!$C$6=50%,ABS(BP48),IF('D-Project Data'!$C$6=80%,ABS(BQ48),IF('D-Project Data'!$C$6=90%,ABS(BR48)))))</f>
        <v>0</v>
      </c>
      <c r="BO48" s="359">
        <f>IF(BN48="N/A","N/A",RANK(BN48,$BN$18:$BN$116,0)+COUNTIF($BN$18:BN48,BN48)-1)</f>
        <v>31</v>
      </c>
      <c r="BP48" s="357">
        <f>IF(BF48/SUM(BF:BF)*'I-Project Contingency'!$F$81=0,0,BF48/SUM(BF:BF)*'I-Project Contingency'!$F$81)</f>
        <v>0</v>
      </c>
      <c r="BQ48" s="357">
        <f>IF(BG48/SUM(BG:BG)*'I-Project Contingency'!$F$84=0,0,BG48/SUM(BG:BG)*'I-Project Contingency'!$F$84)</f>
        <v>0</v>
      </c>
      <c r="BR48" s="357">
        <f>IF(BH48/SUM(BH:BH)*'I-Project Contingency'!$F$85=0,0,BH48/SUM(BH:BH)*'I-Project Contingency'!$F$85)</f>
        <v>0</v>
      </c>
      <c r="BS48" s="359">
        <f t="shared" si="29"/>
        <v>31</v>
      </c>
      <c r="BT48" s="360" t="str">
        <f t="shared" si="30"/>
        <v xml:space="preserve">31 - </v>
      </c>
      <c r="BU48" s="354">
        <f t="shared" si="31"/>
        <v>0</v>
      </c>
      <c r="BV48" s="354">
        <f t="shared" si="32"/>
        <v>0</v>
      </c>
      <c r="BW48" s="356">
        <f t="shared" si="33"/>
        <v>0</v>
      </c>
      <c r="BX48" s="356">
        <f t="shared" si="34"/>
        <v>0</v>
      </c>
    </row>
    <row r="49" spans="1:76" ht="29" x14ac:dyDescent="0.35">
      <c r="A49" s="163">
        <f t="shared" si="21"/>
        <v>32</v>
      </c>
      <c r="B49" s="758" t="s">
        <v>728</v>
      </c>
      <c r="C49" s="760"/>
      <c r="D49" s="760"/>
      <c r="E49" s="760"/>
      <c r="F49" s="759" t="s">
        <v>728</v>
      </c>
      <c r="G49" s="759" t="s">
        <v>728</v>
      </c>
      <c r="H49" s="157" t="str">
        <f>IFERROR(IF('H-Risk Register-Model'!F49="Certain","Relook at Basis of Estimate",INDEX('G-Assumptions'!$F$8:$J$11,MATCH(F49,'G-Assumptions'!$D$8:$D$11,0),MATCH(G49,'G-Assumptions'!$F$6:$J$6,0))),"Unrated")</f>
        <v>Unrated</v>
      </c>
      <c r="I49" s="759" t="s">
        <v>728</v>
      </c>
      <c r="J49" s="157" t="str">
        <f>IFERROR(IF('H-Risk Register-Model'!F49="Certain","Relook at Basis of Estimate",INDEX('G-Assumptions'!$F$8:$J$11,MATCH(F49,'G-Assumptions'!$D$8:$D$11,0),MATCH(I49,'G-Assumptions'!$F$6:$J$6,0))),"Unrated")</f>
        <v>Unrated</v>
      </c>
      <c r="K49" s="759" t="s">
        <v>728</v>
      </c>
      <c r="L49" s="759" t="s">
        <v>728</v>
      </c>
      <c r="M49" s="759"/>
      <c r="N49" s="763" t="s">
        <v>728</v>
      </c>
      <c r="O49" s="763" t="s">
        <v>728</v>
      </c>
      <c r="P49" s="764"/>
      <c r="Q49" s="764"/>
      <c r="R49" s="764"/>
      <c r="S49" s="765"/>
      <c r="T49" s="765"/>
      <c r="U49" s="765"/>
      <c r="V49" s="766"/>
      <c r="W49" s="764"/>
      <c r="X49" s="764"/>
      <c r="Y49" s="767">
        <v>1</v>
      </c>
      <c r="Z49" s="770">
        <v>1</v>
      </c>
      <c r="AA49" s="166">
        <f t="shared" ref="AA49" si="35">P49+V49</f>
        <v>0</v>
      </c>
      <c r="AB49" s="166">
        <f t="shared" ref="AB49" si="36">Q49+W49</f>
        <v>0</v>
      </c>
      <c r="AC49" s="166">
        <f t="shared" ref="AC49" si="37">R49+X49</f>
        <v>0</v>
      </c>
      <c r="AD49" s="166"/>
      <c r="AE49" s="164">
        <f t="shared" ref="AE49" si="38">AD49*Z49</f>
        <v>0</v>
      </c>
      <c r="AF49" s="167"/>
      <c r="AG49" s="165">
        <f t="shared" ref="AG49" si="39">AF49*Z49</f>
        <v>0</v>
      </c>
      <c r="AH49" s="760"/>
      <c r="AI49" s="760"/>
      <c r="AJ49" s="8"/>
      <c r="AK49" s="524" t="str">
        <f t="shared" si="28"/>
        <v>No</v>
      </c>
      <c r="AL49" s="525">
        <f>'I-Project Contingency'!$I$4</f>
        <v>7250000</v>
      </c>
      <c r="AM49" s="350">
        <f>'I-Project Contingency'!$I$11</f>
        <v>12</v>
      </c>
      <c r="AN49" s="349">
        <f t="shared" si="8"/>
        <v>0</v>
      </c>
      <c r="AO49" s="350">
        <f t="shared" si="9"/>
        <v>0</v>
      </c>
      <c r="AP49" s="672" t="str">
        <f t="shared" si="18"/>
        <v/>
      </c>
      <c r="AQ49" s="672" t="str">
        <f t="shared" si="19"/>
        <v/>
      </c>
      <c r="AR49" s="526" t="str">
        <f t="shared" si="22"/>
        <v/>
      </c>
      <c r="AS49" s="526" t="str">
        <f t="shared" si="20"/>
        <v/>
      </c>
      <c r="AT49" s="8"/>
      <c r="AU49" s="353">
        <f>'I-Project Contingency'!$O$4-AE49</f>
        <v>0</v>
      </c>
      <c r="AV49" s="354">
        <v>1687645.9248406207</v>
      </c>
      <c r="AW49" s="354">
        <v>3291004.7254658043</v>
      </c>
      <c r="AX49" s="354">
        <v>4159167.8232088853</v>
      </c>
      <c r="AY49" s="354">
        <f>'I-Project Contingency'!$E$66-AV49</f>
        <v>0</v>
      </c>
      <c r="AZ49" s="354">
        <f>'I-Project Contingency'!$E$69-AW49</f>
        <v>0</v>
      </c>
      <c r="BA49" s="354">
        <f>'I-Project Contingency'!$E$70-AX49</f>
        <v>0</v>
      </c>
      <c r="BB49" s="355">
        <f>'I-Project Contingency'!$O$5-AG49</f>
        <v>0</v>
      </c>
      <c r="BC49" s="356">
        <v>2.9615115956254372</v>
      </c>
      <c r="BD49" s="356">
        <v>6.001919642116226</v>
      </c>
      <c r="BE49" s="357">
        <v>7.5913096572662919</v>
      </c>
      <c r="BF49" s="356">
        <f>'I-Project Contingency'!$E$81-BC49</f>
        <v>0</v>
      </c>
      <c r="BG49" s="356">
        <f>'I-Project Contingency'!$E$84-BD49</f>
        <v>0</v>
      </c>
      <c r="BH49" s="356">
        <f>'I-Project Contingency'!$E$85-BE49</f>
        <v>0</v>
      </c>
      <c r="BI49" s="358">
        <f>IF(BK49="N/A","N/A",IF('D-Project Data'!$C$6=50%,ABS(BK49),IF('D-Project Data'!$C$6=80%,ABS(BL49),IF('D-Project Data'!$C$6=90%,ABS(BM49)))))</f>
        <v>0</v>
      </c>
      <c r="BJ49" s="359">
        <f>IF(BI49="N/A","N/A",RANK(BI49,$BI$18:$BI$116,0)+COUNTIF($BI$18:BI49,BI49)-1)</f>
        <v>32</v>
      </c>
      <c r="BK49" s="358">
        <f>IF(AY49/SUM(AY:AY)*'I-Project Contingency'!$F$66=0,0,AY49/SUM(AY:AY)*'I-Project Contingency'!$F$66)</f>
        <v>0</v>
      </c>
      <c r="BL49" s="358">
        <f>IF(AZ49/SUM(AZ:AZ)*'I-Project Contingency'!$F$69=0,0,AZ49/SUM(AZ:AZ)*'I-Project Contingency'!$F$69)</f>
        <v>0</v>
      </c>
      <c r="BM49" s="358">
        <f>IF(BA49/SUM(BA:BA)*'I-Project Contingency'!$F$70=0,0,BA49/SUM(BA:BA)*'I-Project Contingency'!$F$70)</f>
        <v>0</v>
      </c>
      <c r="BN49" s="357">
        <f>IF(BP49="N/A","N/A",IF('D-Project Data'!$C$6=50%,ABS(BP49),IF('D-Project Data'!$C$6=80%,ABS(BQ49),IF('D-Project Data'!$C$6=90%,ABS(BR49)))))</f>
        <v>0</v>
      </c>
      <c r="BO49" s="359">
        <f>IF(BN49="N/A","N/A",RANK(BN49,$BN$18:$BN$116,0)+COUNTIF($BN$18:BN49,BN49)-1)</f>
        <v>32</v>
      </c>
      <c r="BP49" s="357">
        <f>IF(BF49/SUM(BF:BF)*'I-Project Contingency'!$F$81=0,0,BF49/SUM(BF:BF)*'I-Project Contingency'!$F$81)</f>
        <v>0</v>
      </c>
      <c r="BQ49" s="357">
        <f>IF(BG49/SUM(BG:BG)*'I-Project Contingency'!$F$84=0,0,BG49/SUM(BG:BG)*'I-Project Contingency'!$F$84)</f>
        <v>0</v>
      </c>
      <c r="BR49" s="357">
        <f>IF(BH49/SUM(BH:BH)*'I-Project Contingency'!$F$85=0,0,BH49/SUM(BH:BH)*'I-Project Contingency'!$F$85)</f>
        <v>0</v>
      </c>
      <c r="BS49" s="359">
        <f t="shared" si="29"/>
        <v>32</v>
      </c>
      <c r="BT49" s="360" t="str">
        <f t="shared" si="30"/>
        <v xml:space="preserve">32 - </v>
      </c>
      <c r="BU49" s="354">
        <f t="shared" si="31"/>
        <v>0</v>
      </c>
      <c r="BV49" s="354">
        <f t="shared" si="32"/>
        <v>0</v>
      </c>
      <c r="BW49" s="356">
        <f t="shared" si="33"/>
        <v>0</v>
      </c>
      <c r="BX49" s="356">
        <f t="shared" si="34"/>
        <v>0</v>
      </c>
    </row>
    <row r="50" spans="1:76" ht="29" x14ac:dyDescent="0.35">
      <c r="A50" s="163">
        <f t="shared" si="21"/>
        <v>33</v>
      </c>
      <c r="B50" s="758" t="s">
        <v>728</v>
      </c>
      <c r="C50" s="760"/>
      <c r="D50" s="760"/>
      <c r="E50" s="760"/>
      <c r="F50" s="759" t="s">
        <v>728</v>
      </c>
      <c r="G50" s="759" t="s">
        <v>728</v>
      </c>
      <c r="H50" s="157" t="str">
        <f>IFERROR(IF('H-Risk Register-Model'!F50="Certain","Relook at Basis of Estimate",INDEX('G-Assumptions'!$F$8:$J$11,MATCH(F50,'G-Assumptions'!$D$8:$D$11,0),MATCH(G50,'G-Assumptions'!$F$6:$J$6,0))),"Unrated")</f>
        <v>Unrated</v>
      </c>
      <c r="I50" s="759" t="s">
        <v>728</v>
      </c>
      <c r="J50" s="157" t="str">
        <f>IFERROR(IF('H-Risk Register-Model'!F50="Certain","Relook at Basis of Estimate",INDEX('G-Assumptions'!$F$8:$J$11,MATCH(F50,'G-Assumptions'!$D$8:$D$11,0),MATCH(I50,'G-Assumptions'!$F$6:$J$6,0))),"Unrated")</f>
        <v>Unrated</v>
      </c>
      <c r="K50" s="759" t="s">
        <v>728</v>
      </c>
      <c r="L50" s="759" t="s">
        <v>728</v>
      </c>
      <c r="M50" s="759"/>
      <c r="N50" s="763" t="s">
        <v>728</v>
      </c>
      <c r="O50" s="763" t="s">
        <v>728</v>
      </c>
      <c r="P50" s="764"/>
      <c r="Q50" s="764"/>
      <c r="R50" s="764"/>
      <c r="S50" s="765"/>
      <c r="T50" s="765"/>
      <c r="U50" s="765"/>
      <c r="V50" s="766"/>
      <c r="W50" s="764"/>
      <c r="X50" s="764"/>
      <c r="Y50" s="767">
        <v>1</v>
      </c>
      <c r="Z50" s="770">
        <v>1</v>
      </c>
      <c r="AA50" s="166">
        <f t="shared" si="23"/>
        <v>0</v>
      </c>
      <c r="AB50" s="166">
        <f t="shared" si="24"/>
        <v>0</v>
      </c>
      <c r="AC50" s="166">
        <f t="shared" si="25"/>
        <v>0</v>
      </c>
      <c r="AD50" s="166"/>
      <c r="AE50" s="164">
        <f t="shared" si="26"/>
        <v>0</v>
      </c>
      <c r="AF50" s="167"/>
      <c r="AG50" s="165">
        <f t="shared" si="27"/>
        <v>0</v>
      </c>
      <c r="AH50" s="760"/>
      <c r="AI50" s="760"/>
      <c r="AJ50" s="8"/>
      <c r="AK50" s="524" t="str">
        <f t="shared" si="28"/>
        <v>No</v>
      </c>
      <c r="AL50" s="525">
        <f>'I-Project Contingency'!$I$4</f>
        <v>7250000</v>
      </c>
      <c r="AM50" s="350">
        <f>'I-Project Contingency'!$I$11</f>
        <v>12</v>
      </c>
      <c r="AN50" s="349">
        <f t="shared" si="8"/>
        <v>0</v>
      </c>
      <c r="AO50" s="350">
        <f t="shared" si="9"/>
        <v>0</v>
      </c>
      <c r="AP50" s="672" t="str">
        <f t="shared" si="18"/>
        <v/>
      </c>
      <c r="AQ50" s="672" t="str">
        <f t="shared" si="19"/>
        <v/>
      </c>
      <c r="AR50" s="526" t="str">
        <f t="shared" si="22"/>
        <v/>
      </c>
      <c r="AS50" s="526" t="str">
        <f t="shared" si="20"/>
        <v/>
      </c>
      <c r="AT50" s="8"/>
      <c r="AU50" s="353">
        <f>'I-Project Contingency'!$O$4-AE50</f>
        <v>0</v>
      </c>
      <c r="AV50" s="354">
        <v>1687645.9248406207</v>
      </c>
      <c r="AW50" s="354">
        <v>3291004.7254658043</v>
      </c>
      <c r="AX50" s="354">
        <v>4159167.8232088853</v>
      </c>
      <c r="AY50" s="354">
        <f>'I-Project Contingency'!$E$66-AV50</f>
        <v>0</v>
      </c>
      <c r="AZ50" s="354">
        <f>'I-Project Contingency'!$E$69-AW50</f>
        <v>0</v>
      </c>
      <c r="BA50" s="354">
        <f>'I-Project Contingency'!$E$70-AX50</f>
        <v>0</v>
      </c>
      <c r="BB50" s="355">
        <f>'I-Project Contingency'!$O$5-AG50</f>
        <v>0</v>
      </c>
      <c r="BC50" s="356">
        <v>2.9615115956254372</v>
      </c>
      <c r="BD50" s="356">
        <v>6.001919642116226</v>
      </c>
      <c r="BE50" s="357">
        <v>7.5913096572662919</v>
      </c>
      <c r="BF50" s="356">
        <f>'I-Project Contingency'!$E$81-BC50</f>
        <v>0</v>
      </c>
      <c r="BG50" s="356">
        <f>'I-Project Contingency'!$E$84-BD50</f>
        <v>0</v>
      </c>
      <c r="BH50" s="356">
        <f>'I-Project Contingency'!$E$85-BE50</f>
        <v>0</v>
      </c>
      <c r="BI50" s="358">
        <f>IF(BK50="N/A","N/A",IF('D-Project Data'!$C$6=50%,ABS(BK50),IF('D-Project Data'!$C$6=80%,ABS(BL50),IF('D-Project Data'!$C$6=90%,ABS(BM50)))))</f>
        <v>0</v>
      </c>
      <c r="BJ50" s="359">
        <f>IF(BI50="N/A","N/A",RANK(BI50,$BI$18:$BI$116,0)+COUNTIF($BI$18:BI50,BI50)-1)</f>
        <v>33</v>
      </c>
      <c r="BK50" s="358">
        <f>IF(AY50/SUM(AY:AY)*'I-Project Contingency'!$F$66=0,0,AY50/SUM(AY:AY)*'I-Project Contingency'!$F$66)</f>
        <v>0</v>
      </c>
      <c r="BL50" s="358">
        <f>IF(AZ50/SUM(AZ:AZ)*'I-Project Contingency'!$F$69=0,0,AZ50/SUM(AZ:AZ)*'I-Project Contingency'!$F$69)</f>
        <v>0</v>
      </c>
      <c r="BM50" s="358">
        <f>IF(BA50/SUM(BA:BA)*'I-Project Contingency'!$F$70=0,0,BA50/SUM(BA:BA)*'I-Project Contingency'!$F$70)</f>
        <v>0</v>
      </c>
      <c r="BN50" s="357">
        <f>IF(BP50="N/A","N/A",IF('D-Project Data'!$C$6=50%,ABS(BP50),IF('D-Project Data'!$C$6=80%,ABS(BQ50),IF('D-Project Data'!$C$6=90%,ABS(BR50)))))</f>
        <v>0</v>
      </c>
      <c r="BO50" s="359">
        <f>IF(BN50="N/A","N/A",RANK(BN50,$BN$18:$BN$116,0)+COUNTIF($BN$18:BN50,BN50)-1)</f>
        <v>33</v>
      </c>
      <c r="BP50" s="357">
        <f>IF(BF50/SUM(BF:BF)*'I-Project Contingency'!$F$81=0,0,BF50/SUM(BF:BF)*'I-Project Contingency'!$F$81)</f>
        <v>0</v>
      </c>
      <c r="BQ50" s="357">
        <f>IF(BG50/SUM(BG:BG)*'I-Project Contingency'!$F$84=0,0,BG50/SUM(BG:BG)*'I-Project Contingency'!$F$84)</f>
        <v>0</v>
      </c>
      <c r="BR50" s="357">
        <f>IF(BH50/SUM(BH:BH)*'I-Project Contingency'!$F$85=0,0,BH50/SUM(BH:BH)*'I-Project Contingency'!$F$85)</f>
        <v>0</v>
      </c>
      <c r="BS50" s="359">
        <f t="shared" si="29"/>
        <v>33</v>
      </c>
      <c r="BT50" s="360" t="str">
        <f t="shared" si="30"/>
        <v xml:space="preserve">33 - </v>
      </c>
      <c r="BU50" s="354">
        <f t="shared" si="31"/>
        <v>0</v>
      </c>
      <c r="BV50" s="354">
        <f t="shared" si="32"/>
        <v>0</v>
      </c>
      <c r="BW50" s="356">
        <f t="shared" si="33"/>
        <v>0</v>
      </c>
      <c r="BX50" s="356">
        <f t="shared" si="34"/>
        <v>0</v>
      </c>
    </row>
    <row r="51" spans="1:76" ht="29" x14ac:dyDescent="0.35">
      <c r="A51" s="163">
        <f t="shared" si="21"/>
        <v>34</v>
      </c>
      <c r="B51" s="758" t="s">
        <v>728</v>
      </c>
      <c r="C51" s="760"/>
      <c r="D51" s="760"/>
      <c r="E51" s="760"/>
      <c r="F51" s="759" t="s">
        <v>728</v>
      </c>
      <c r="G51" s="759" t="s">
        <v>728</v>
      </c>
      <c r="H51" s="157" t="str">
        <f>IFERROR(IF('H-Risk Register-Model'!F51="Certain","Relook at Basis of Estimate",INDEX('G-Assumptions'!$F$8:$J$11,MATCH(F51,'G-Assumptions'!$D$8:$D$11,0),MATCH(G51,'G-Assumptions'!$F$6:$J$6,0))),"Unrated")</f>
        <v>Unrated</v>
      </c>
      <c r="I51" s="759" t="s">
        <v>728</v>
      </c>
      <c r="J51" s="157" t="str">
        <f>IFERROR(IF('H-Risk Register-Model'!F51="Certain","Relook at Basis of Estimate",INDEX('G-Assumptions'!$F$8:$J$11,MATCH(F51,'G-Assumptions'!$D$8:$D$11,0),MATCH(I51,'G-Assumptions'!$F$6:$J$6,0))),"Unrated")</f>
        <v>Unrated</v>
      </c>
      <c r="K51" s="759" t="s">
        <v>728</v>
      </c>
      <c r="L51" s="759" t="s">
        <v>728</v>
      </c>
      <c r="M51" s="759"/>
      <c r="N51" s="763" t="s">
        <v>728</v>
      </c>
      <c r="O51" s="763" t="s">
        <v>728</v>
      </c>
      <c r="P51" s="764"/>
      <c r="Q51" s="764"/>
      <c r="R51" s="764"/>
      <c r="S51" s="765"/>
      <c r="T51" s="765"/>
      <c r="U51" s="765"/>
      <c r="V51" s="766"/>
      <c r="W51" s="764"/>
      <c r="X51" s="764"/>
      <c r="Y51" s="767">
        <v>1</v>
      </c>
      <c r="Z51" s="770">
        <v>1</v>
      </c>
      <c r="AA51" s="166">
        <f t="shared" si="23"/>
        <v>0</v>
      </c>
      <c r="AB51" s="166">
        <f t="shared" si="24"/>
        <v>0</v>
      </c>
      <c r="AC51" s="166">
        <f t="shared" si="25"/>
        <v>0</v>
      </c>
      <c r="AD51" s="166"/>
      <c r="AE51" s="164">
        <f t="shared" si="26"/>
        <v>0</v>
      </c>
      <c r="AF51" s="167"/>
      <c r="AG51" s="165">
        <f t="shared" si="27"/>
        <v>0</v>
      </c>
      <c r="AH51" s="760"/>
      <c r="AI51" s="760"/>
      <c r="AJ51" s="8"/>
      <c r="AK51" s="524" t="str">
        <f t="shared" si="28"/>
        <v>No</v>
      </c>
      <c r="AL51" s="525">
        <f>'I-Project Contingency'!$I$4</f>
        <v>7250000</v>
      </c>
      <c r="AM51" s="350">
        <f>'I-Project Contingency'!$I$11</f>
        <v>12</v>
      </c>
      <c r="AN51" s="349">
        <f t="shared" si="8"/>
        <v>0</v>
      </c>
      <c r="AO51" s="350">
        <f t="shared" si="9"/>
        <v>0</v>
      </c>
      <c r="AP51" s="672" t="str">
        <f t="shared" si="18"/>
        <v/>
      </c>
      <c r="AQ51" s="672" t="str">
        <f t="shared" si="19"/>
        <v/>
      </c>
      <c r="AR51" s="526" t="str">
        <f t="shared" si="22"/>
        <v/>
      </c>
      <c r="AS51" s="526" t="str">
        <f t="shared" si="20"/>
        <v/>
      </c>
      <c r="AT51" s="8"/>
      <c r="AU51" s="353">
        <f>'I-Project Contingency'!$O$4-AE51</f>
        <v>0</v>
      </c>
      <c r="AV51" s="354">
        <v>1687645.9248406207</v>
      </c>
      <c r="AW51" s="354">
        <v>3291004.7254658043</v>
      </c>
      <c r="AX51" s="354">
        <v>4159167.8232088853</v>
      </c>
      <c r="AY51" s="354">
        <f>'I-Project Contingency'!$E$66-AV51</f>
        <v>0</v>
      </c>
      <c r="AZ51" s="354">
        <f>'I-Project Contingency'!$E$69-AW51</f>
        <v>0</v>
      </c>
      <c r="BA51" s="354">
        <f>'I-Project Contingency'!$E$70-AX51</f>
        <v>0</v>
      </c>
      <c r="BB51" s="355">
        <f>'I-Project Contingency'!$O$5-AG51</f>
        <v>0</v>
      </c>
      <c r="BC51" s="356">
        <v>2.9615115956254372</v>
      </c>
      <c r="BD51" s="356">
        <v>6.001919642116226</v>
      </c>
      <c r="BE51" s="357">
        <v>7.5913096572662919</v>
      </c>
      <c r="BF51" s="356">
        <f>'I-Project Contingency'!$E$81-BC51</f>
        <v>0</v>
      </c>
      <c r="BG51" s="356">
        <f>'I-Project Contingency'!$E$84-BD51</f>
        <v>0</v>
      </c>
      <c r="BH51" s="356">
        <f>'I-Project Contingency'!$E$85-BE51</f>
        <v>0</v>
      </c>
      <c r="BI51" s="358">
        <f>IF(BK51="N/A","N/A",IF('D-Project Data'!$C$6=50%,ABS(BK51),IF('D-Project Data'!$C$6=80%,ABS(BL51),IF('D-Project Data'!$C$6=90%,ABS(BM51)))))</f>
        <v>0</v>
      </c>
      <c r="BJ51" s="359">
        <f>IF(BI51="N/A","N/A",RANK(BI51,$BI$18:$BI$116,0)+COUNTIF($BI$18:BI51,BI51)-1)</f>
        <v>34</v>
      </c>
      <c r="BK51" s="358">
        <f>IF(AY51/SUM(AY:AY)*'I-Project Contingency'!$F$66=0,0,AY51/SUM(AY:AY)*'I-Project Contingency'!$F$66)</f>
        <v>0</v>
      </c>
      <c r="BL51" s="358">
        <f>IF(AZ51/SUM(AZ:AZ)*'I-Project Contingency'!$F$69=0,0,AZ51/SUM(AZ:AZ)*'I-Project Contingency'!$F$69)</f>
        <v>0</v>
      </c>
      <c r="BM51" s="358">
        <f>IF(BA51/SUM(BA:BA)*'I-Project Contingency'!$F$70=0,0,BA51/SUM(BA:BA)*'I-Project Contingency'!$F$70)</f>
        <v>0</v>
      </c>
      <c r="BN51" s="357">
        <f>IF(BP51="N/A","N/A",IF('D-Project Data'!$C$6=50%,ABS(BP51),IF('D-Project Data'!$C$6=80%,ABS(BQ51),IF('D-Project Data'!$C$6=90%,ABS(BR51)))))</f>
        <v>0</v>
      </c>
      <c r="BO51" s="359">
        <f>IF(BN51="N/A","N/A",RANK(BN51,$BN$18:$BN$116,0)+COUNTIF($BN$18:BN51,BN51)-1)</f>
        <v>34</v>
      </c>
      <c r="BP51" s="357">
        <f>IF(BF51/SUM(BF:BF)*'I-Project Contingency'!$F$81=0,0,BF51/SUM(BF:BF)*'I-Project Contingency'!$F$81)</f>
        <v>0</v>
      </c>
      <c r="BQ51" s="357">
        <f>IF(BG51/SUM(BG:BG)*'I-Project Contingency'!$F$84=0,0,BG51/SUM(BG:BG)*'I-Project Contingency'!$F$84)</f>
        <v>0</v>
      </c>
      <c r="BR51" s="357">
        <f>IF(BH51/SUM(BH:BH)*'I-Project Contingency'!$F$85=0,0,BH51/SUM(BH:BH)*'I-Project Contingency'!$F$85)</f>
        <v>0</v>
      </c>
      <c r="BS51" s="359">
        <f t="shared" si="29"/>
        <v>34</v>
      </c>
      <c r="BT51" s="360" t="str">
        <f t="shared" si="30"/>
        <v xml:space="preserve">34 - </v>
      </c>
      <c r="BU51" s="354">
        <f t="shared" si="31"/>
        <v>0</v>
      </c>
      <c r="BV51" s="354">
        <f t="shared" si="32"/>
        <v>0</v>
      </c>
      <c r="BW51" s="356">
        <f t="shared" si="33"/>
        <v>0</v>
      </c>
      <c r="BX51" s="356">
        <f t="shared" si="34"/>
        <v>0</v>
      </c>
    </row>
    <row r="52" spans="1:76" ht="29" x14ac:dyDescent="0.35">
      <c r="A52" s="163">
        <f t="shared" si="21"/>
        <v>35</v>
      </c>
      <c r="B52" s="758" t="s">
        <v>728</v>
      </c>
      <c r="C52" s="760"/>
      <c r="D52" s="760"/>
      <c r="E52" s="760"/>
      <c r="F52" s="759" t="s">
        <v>728</v>
      </c>
      <c r="G52" s="759" t="s">
        <v>728</v>
      </c>
      <c r="H52" s="157" t="str">
        <f>IFERROR(IF('H-Risk Register-Model'!F52="Certain","Relook at Basis of Estimate",INDEX('G-Assumptions'!$F$8:$J$11,MATCH(F52,'G-Assumptions'!$D$8:$D$11,0),MATCH(G52,'G-Assumptions'!$F$6:$J$6,0))),"Unrated")</f>
        <v>Unrated</v>
      </c>
      <c r="I52" s="759" t="s">
        <v>728</v>
      </c>
      <c r="J52" s="157" t="str">
        <f>IFERROR(IF('H-Risk Register-Model'!F52="Certain","Relook at Basis of Estimate",INDEX('G-Assumptions'!$F$8:$J$11,MATCH(F52,'G-Assumptions'!$D$8:$D$11,0),MATCH(I52,'G-Assumptions'!$F$6:$J$6,0))),"Unrated")</f>
        <v>Unrated</v>
      </c>
      <c r="K52" s="759" t="s">
        <v>728</v>
      </c>
      <c r="L52" s="759" t="s">
        <v>728</v>
      </c>
      <c r="M52" s="759"/>
      <c r="N52" s="763" t="s">
        <v>728</v>
      </c>
      <c r="O52" s="763" t="s">
        <v>728</v>
      </c>
      <c r="P52" s="764"/>
      <c r="Q52" s="764"/>
      <c r="R52" s="764"/>
      <c r="S52" s="765"/>
      <c r="T52" s="765"/>
      <c r="U52" s="765"/>
      <c r="V52" s="766"/>
      <c r="W52" s="764"/>
      <c r="X52" s="764"/>
      <c r="Y52" s="767">
        <v>1</v>
      </c>
      <c r="Z52" s="770">
        <v>1</v>
      </c>
      <c r="AA52" s="166">
        <f t="shared" si="23"/>
        <v>0</v>
      </c>
      <c r="AB52" s="166">
        <f t="shared" si="24"/>
        <v>0</v>
      </c>
      <c r="AC52" s="166">
        <f t="shared" si="25"/>
        <v>0</v>
      </c>
      <c r="AD52" s="166"/>
      <c r="AE52" s="164">
        <f t="shared" si="26"/>
        <v>0</v>
      </c>
      <c r="AF52" s="167"/>
      <c r="AG52" s="165">
        <f t="shared" si="27"/>
        <v>0</v>
      </c>
      <c r="AH52" s="760"/>
      <c r="AI52" s="760"/>
      <c r="AJ52" s="8"/>
      <c r="AK52" s="524" t="str">
        <f t="shared" si="28"/>
        <v>No</v>
      </c>
      <c r="AL52" s="525">
        <f>'I-Project Contingency'!$I$4</f>
        <v>7250000</v>
      </c>
      <c r="AM52" s="350">
        <f>'I-Project Contingency'!$I$11</f>
        <v>12</v>
      </c>
      <c r="AN52" s="349">
        <f t="shared" si="8"/>
        <v>0</v>
      </c>
      <c r="AO52" s="350">
        <f t="shared" si="9"/>
        <v>0</v>
      </c>
      <c r="AP52" s="672" t="str">
        <f t="shared" si="18"/>
        <v/>
      </c>
      <c r="AQ52" s="672" t="str">
        <f t="shared" si="19"/>
        <v/>
      </c>
      <c r="AR52" s="526" t="str">
        <f t="shared" si="22"/>
        <v/>
      </c>
      <c r="AS52" s="526" t="str">
        <f t="shared" si="20"/>
        <v/>
      </c>
      <c r="AT52" s="8"/>
      <c r="AU52" s="353">
        <f>'I-Project Contingency'!$O$4-AE52</f>
        <v>0</v>
      </c>
      <c r="AV52" s="354">
        <v>1687645.9248406207</v>
      </c>
      <c r="AW52" s="354">
        <v>3291004.7254658043</v>
      </c>
      <c r="AX52" s="354">
        <v>4159167.8232088853</v>
      </c>
      <c r="AY52" s="354">
        <f>'I-Project Contingency'!$E$66-AV52</f>
        <v>0</v>
      </c>
      <c r="AZ52" s="354">
        <f>'I-Project Contingency'!$E$69-AW52</f>
        <v>0</v>
      </c>
      <c r="BA52" s="354">
        <f>'I-Project Contingency'!$E$70-AX52</f>
        <v>0</v>
      </c>
      <c r="BB52" s="355">
        <f>'I-Project Contingency'!$O$5-AG52</f>
        <v>0</v>
      </c>
      <c r="BC52" s="356">
        <v>2.9615115956254372</v>
      </c>
      <c r="BD52" s="356">
        <v>6.001919642116226</v>
      </c>
      <c r="BE52" s="357">
        <v>7.5913096572662919</v>
      </c>
      <c r="BF52" s="356">
        <f>'I-Project Contingency'!$E$81-BC52</f>
        <v>0</v>
      </c>
      <c r="BG52" s="356">
        <f>'I-Project Contingency'!$E$84-BD52</f>
        <v>0</v>
      </c>
      <c r="BH52" s="356">
        <f>'I-Project Contingency'!$E$85-BE52</f>
        <v>0</v>
      </c>
      <c r="BI52" s="358">
        <f>IF(BK52="N/A","N/A",IF('D-Project Data'!$C$6=50%,ABS(BK52),IF('D-Project Data'!$C$6=80%,ABS(BL52),IF('D-Project Data'!$C$6=90%,ABS(BM52)))))</f>
        <v>0</v>
      </c>
      <c r="BJ52" s="359">
        <f>IF(BI52="N/A","N/A",RANK(BI52,$BI$18:$BI$116,0)+COUNTIF($BI$18:BI52,BI52)-1)</f>
        <v>35</v>
      </c>
      <c r="BK52" s="358">
        <f>IF(AY52/SUM(AY:AY)*'I-Project Contingency'!$F$66=0,0,AY52/SUM(AY:AY)*'I-Project Contingency'!$F$66)</f>
        <v>0</v>
      </c>
      <c r="BL52" s="358">
        <f>IF(AZ52/SUM(AZ:AZ)*'I-Project Contingency'!$F$69=0,0,AZ52/SUM(AZ:AZ)*'I-Project Contingency'!$F$69)</f>
        <v>0</v>
      </c>
      <c r="BM52" s="358">
        <f>IF(BA52/SUM(BA:BA)*'I-Project Contingency'!$F$70=0,0,BA52/SUM(BA:BA)*'I-Project Contingency'!$F$70)</f>
        <v>0</v>
      </c>
      <c r="BN52" s="357">
        <f>IF(BP52="N/A","N/A",IF('D-Project Data'!$C$6=50%,ABS(BP52),IF('D-Project Data'!$C$6=80%,ABS(BQ52),IF('D-Project Data'!$C$6=90%,ABS(BR52)))))</f>
        <v>0</v>
      </c>
      <c r="BO52" s="359">
        <f>IF(BN52="N/A","N/A",RANK(BN52,$BN$18:$BN$116,0)+COUNTIF($BN$18:BN52,BN52)-1)</f>
        <v>35</v>
      </c>
      <c r="BP52" s="357">
        <f>IF(BF52/SUM(BF:BF)*'I-Project Contingency'!$F$81=0,0,BF52/SUM(BF:BF)*'I-Project Contingency'!$F$81)</f>
        <v>0</v>
      </c>
      <c r="BQ52" s="357">
        <f>IF(BG52/SUM(BG:BG)*'I-Project Contingency'!$F$84=0,0,BG52/SUM(BG:BG)*'I-Project Contingency'!$F$84)</f>
        <v>0</v>
      </c>
      <c r="BR52" s="357">
        <f>IF(BH52/SUM(BH:BH)*'I-Project Contingency'!$F$85=0,0,BH52/SUM(BH:BH)*'I-Project Contingency'!$F$85)</f>
        <v>0</v>
      </c>
      <c r="BS52" s="359">
        <f t="shared" si="29"/>
        <v>35</v>
      </c>
      <c r="BT52" s="360" t="str">
        <f t="shared" si="30"/>
        <v xml:space="preserve">35 - </v>
      </c>
      <c r="BU52" s="354">
        <f t="shared" si="31"/>
        <v>0</v>
      </c>
      <c r="BV52" s="354">
        <f t="shared" si="32"/>
        <v>0</v>
      </c>
      <c r="BW52" s="356">
        <f t="shared" si="33"/>
        <v>0</v>
      </c>
      <c r="BX52" s="356">
        <f t="shared" si="34"/>
        <v>0</v>
      </c>
    </row>
    <row r="53" spans="1:76" ht="29" x14ac:dyDescent="0.35">
      <c r="A53" s="163">
        <f t="shared" si="21"/>
        <v>36</v>
      </c>
      <c r="B53" s="758" t="s">
        <v>728</v>
      </c>
      <c r="C53" s="760"/>
      <c r="D53" s="760"/>
      <c r="E53" s="760"/>
      <c r="F53" s="759" t="s">
        <v>728</v>
      </c>
      <c r="G53" s="759" t="s">
        <v>728</v>
      </c>
      <c r="H53" s="157" t="str">
        <f>IFERROR(IF('H-Risk Register-Model'!F53="Certain","Relook at Basis of Estimate",INDEX('G-Assumptions'!$F$8:$J$11,MATCH(F53,'G-Assumptions'!$D$8:$D$11,0),MATCH(G53,'G-Assumptions'!$F$6:$J$6,0))),"Unrated")</f>
        <v>Unrated</v>
      </c>
      <c r="I53" s="759" t="s">
        <v>728</v>
      </c>
      <c r="J53" s="157" t="str">
        <f>IFERROR(IF('H-Risk Register-Model'!F53="Certain","Relook at Basis of Estimate",INDEX('G-Assumptions'!$F$8:$J$11,MATCH(F53,'G-Assumptions'!$D$8:$D$11,0),MATCH(I53,'G-Assumptions'!$F$6:$J$6,0))),"Unrated")</f>
        <v>Unrated</v>
      </c>
      <c r="K53" s="759" t="s">
        <v>728</v>
      </c>
      <c r="L53" s="759" t="s">
        <v>728</v>
      </c>
      <c r="M53" s="759"/>
      <c r="N53" s="763" t="s">
        <v>728</v>
      </c>
      <c r="O53" s="763" t="s">
        <v>728</v>
      </c>
      <c r="P53" s="764"/>
      <c r="Q53" s="764"/>
      <c r="R53" s="764"/>
      <c r="S53" s="765"/>
      <c r="T53" s="765"/>
      <c r="U53" s="765"/>
      <c r="V53" s="766"/>
      <c r="W53" s="764"/>
      <c r="X53" s="764"/>
      <c r="Y53" s="767">
        <v>1</v>
      </c>
      <c r="Z53" s="770">
        <v>1</v>
      </c>
      <c r="AA53" s="166">
        <f t="shared" si="23"/>
        <v>0</v>
      </c>
      <c r="AB53" s="166">
        <f t="shared" si="24"/>
        <v>0</v>
      </c>
      <c r="AC53" s="166">
        <f t="shared" si="25"/>
        <v>0</v>
      </c>
      <c r="AD53" s="166"/>
      <c r="AE53" s="164">
        <f t="shared" si="26"/>
        <v>0</v>
      </c>
      <c r="AF53" s="167"/>
      <c r="AG53" s="165">
        <f t="shared" si="27"/>
        <v>0</v>
      </c>
      <c r="AH53" s="760"/>
      <c r="AI53" s="760"/>
      <c r="AJ53" s="8"/>
      <c r="AK53" s="524" t="str">
        <f t="shared" si="28"/>
        <v>No</v>
      </c>
      <c r="AL53" s="525">
        <f>'I-Project Contingency'!$I$4</f>
        <v>7250000</v>
      </c>
      <c r="AM53" s="350">
        <f>'I-Project Contingency'!$I$11</f>
        <v>12</v>
      </c>
      <c r="AN53" s="349">
        <f t="shared" si="8"/>
        <v>0</v>
      </c>
      <c r="AO53" s="350">
        <f t="shared" si="9"/>
        <v>0</v>
      </c>
      <c r="AP53" s="672" t="str">
        <f t="shared" si="18"/>
        <v/>
      </c>
      <c r="AQ53" s="672" t="str">
        <f t="shared" si="19"/>
        <v/>
      </c>
      <c r="AR53" s="526" t="str">
        <f t="shared" si="22"/>
        <v/>
      </c>
      <c r="AS53" s="526" t="str">
        <f t="shared" si="20"/>
        <v/>
      </c>
      <c r="AT53" s="8"/>
      <c r="AU53" s="353">
        <f>'I-Project Contingency'!$O$4-AE53</f>
        <v>0</v>
      </c>
      <c r="AV53" s="354">
        <v>1687645.9248406207</v>
      </c>
      <c r="AW53" s="354">
        <v>3291004.7254658043</v>
      </c>
      <c r="AX53" s="354">
        <v>4159167.8232088853</v>
      </c>
      <c r="AY53" s="354">
        <f>'I-Project Contingency'!$E$66-AV53</f>
        <v>0</v>
      </c>
      <c r="AZ53" s="354">
        <f>'I-Project Contingency'!$E$69-AW53</f>
        <v>0</v>
      </c>
      <c r="BA53" s="354">
        <f>'I-Project Contingency'!$E$70-AX53</f>
        <v>0</v>
      </c>
      <c r="BB53" s="355">
        <f>'I-Project Contingency'!$O$5-AG53</f>
        <v>0</v>
      </c>
      <c r="BC53" s="356">
        <v>2.9615115956254372</v>
      </c>
      <c r="BD53" s="356">
        <v>6.001919642116226</v>
      </c>
      <c r="BE53" s="357">
        <v>7.5913096572662919</v>
      </c>
      <c r="BF53" s="356">
        <f>'I-Project Contingency'!$E$81-BC53</f>
        <v>0</v>
      </c>
      <c r="BG53" s="356">
        <f>'I-Project Contingency'!$E$84-BD53</f>
        <v>0</v>
      </c>
      <c r="BH53" s="356">
        <f>'I-Project Contingency'!$E$85-BE53</f>
        <v>0</v>
      </c>
      <c r="BI53" s="358">
        <f>IF(BK53="N/A","N/A",IF('D-Project Data'!$C$6=50%,ABS(BK53),IF('D-Project Data'!$C$6=80%,ABS(BL53),IF('D-Project Data'!$C$6=90%,ABS(BM53)))))</f>
        <v>0</v>
      </c>
      <c r="BJ53" s="359">
        <f>IF(BI53="N/A","N/A",RANK(BI53,$BI$18:$BI$116,0)+COUNTIF($BI$18:BI53,BI53)-1)</f>
        <v>36</v>
      </c>
      <c r="BK53" s="358">
        <f>IF(AY53/SUM(AY:AY)*'I-Project Contingency'!$F$66=0,0,AY53/SUM(AY:AY)*'I-Project Contingency'!$F$66)</f>
        <v>0</v>
      </c>
      <c r="BL53" s="358">
        <f>IF(AZ53/SUM(AZ:AZ)*'I-Project Contingency'!$F$69=0,0,AZ53/SUM(AZ:AZ)*'I-Project Contingency'!$F$69)</f>
        <v>0</v>
      </c>
      <c r="BM53" s="358">
        <f>IF(BA53/SUM(BA:BA)*'I-Project Contingency'!$F$70=0,0,BA53/SUM(BA:BA)*'I-Project Contingency'!$F$70)</f>
        <v>0</v>
      </c>
      <c r="BN53" s="357">
        <f>IF(BP53="N/A","N/A",IF('D-Project Data'!$C$6=50%,ABS(BP53),IF('D-Project Data'!$C$6=80%,ABS(BQ53),IF('D-Project Data'!$C$6=90%,ABS(BR53)))))</f>
        <v>0</v>
      </c>
      <c r="BO53" s="359">
        <f>IF(BN53="N/A","N/A",RANK(BN53,$BN$18:$BN$116,0)+COUNTIF($BN$18:BN53,BN53)-1)</f>
        <v>36</v>
      </c>
      <c r="BP53" s="357">
        <f>IF(BF53/SUM(BF:BF)*'I-Project Contingency'!$F$81=0,0,BF53/SUM(BF:BF)*'I-Project Contingency'!$F$81)</f>
        <v>0</v>
      </c>
      <c r="BQ53" s="357">
        <f>IF(BG53/SUM(BG:BG)*'I-Project Contingency'!$F$84=0,0,BG53/SUM(BG:BG)*'I-Project Contingency'!$F$84)</f>
        <v>0</v>
      </c>
      <c r="BR53" s="357">
        <f>IF(BH53/SUM(BH:BH)*'I-Project Contingency'!$F$85=0,0,BH53/SUM(BH:BH)*'I-Project Contingency'!$F$85)</f>
        <v>0</v>
      </c>
      <c r="BS53" s="359">
        <f t="shared" si="29"/>
        <v>36</v>
      </c>
      <c r="BT53" s="360" t="str">
        <f t="shared" si="30"/>
        <v xml:space="preserve">36 - </v>
      </c>
      <c r="BU53" s="354">
        <f t="shared" si="31"/>
        <v>0</v>
      </c>
      <c r="BV53" s="354">
        <f t="shared" si="32"/>
        <v>0</v>
      </c>
      <c r="BW53" s="356">
        <f t="shared" si="33"/>
        <v>0</v>
      </c>
      <c r="BX53" s="356">
        <f t="shared" si="34"/>
        <v>0</v>
      </c>
    </row>
    <row r="54" spans="1:76" ht="29" x14ac:dyDescent="0.35">
      <c r="A54" s="163">
        <f t="shared" si="21"/>
        <v>37</v>
      </c>
      <c r="B54" s="758" t="s">
        <v>728</v>
      </c>
      <c r="C54" s="760"/>
      <c r="D54" s="760"/>
      <c r="E54" s="760"/>
      <c r="F54" s="759" t="s">
        <v>728</v>
      </c>
      <c r="G54" s="759" t="s">
        <v>728</v>
      </c>
      <c r="H54" s="157" t="str">
        <f>IFERROR(IF('H-Risk Register-Model'!F54="Certain","Relook at Basis of Estimate",INDEX('G-Assumptions'!$F$8:$J$11,MATCH(F54,'G-Assumptions'!$D$8:$D$11,0),MATCH(G54,'G-Assumptions'!$F$6:$J$6,0))),"Unrated")</f>
        <v>Unrated</v>
      </c>
      <c r="I54" s="759" t="s">
        <v>728</v>
      </c>
      <c r="J54" s="157" t="str">
        <f>IFERROR(IF('H-Risk Register-Model'!F54="Certain","Relook at Basis of Estimate",INDEX('G-Assumptions'!$F$8:$J$11,MATCH(F54,'G-Assumptions'!$D$8:$D$11,0),MATCH(I54,'G-Assumptions'!$F$6:$J$6,0))),"Unrated")</f>
        <v>Unrated</v>
      </c>
      <c r="K54" s="759" t="s">
        <v>728</v>
      </c>
      <c r="L54" s="759" t="s">
        <v>728</v>
      </c>
      <c r="M54" s="759"/>
      <c r="N54" s="763" t="s">
        <v>728</v>
      </c>
      <c r="O54" s="763" t="s">
        <v>728</v>
      </c>
      <c r="P54" s="764"/>
      <c r="Q54" s="764"/>
      <c r="R54" s="764"/>
      <c r="S54" s="765"/>
      <c r="T54" s="765"/>
      <c r="U54" s="765"/>
      <c r="V54" s="766"/>
      <c r="W54" s="764"/>
      <c r="X54" s="764"/>
      <c r="Y54" s="767">
        <v>1</v>
      </c>
      <c r="Z54" s="770">
        <v>1</v>
      </c>
      <c r="AA54" s="166">
        <f t="shared" si="23"/>
        <v>0</v>
      </c>
      <c r="AB54" s="166">
        <f t="shared" si="24"/>
        <v>0</v>
      </c>
      <c r="AC54" s="166">
        <f t="shared" si="25"/>
        <v>0</v>
      </c>
      <c r="AD54" s="166"/>
      <c r="AE54" s="164">
        <f t="shared" si="26"/>
        <v>0</v>
      </c>
      <c r="AF54" s="167"/>
      <c r="AG54" s="165">
        <f t="shared" si="27"/>
        <v>0</v>
      </c>
      <c r="AH54" s="760"/>
      <c r="AI54" s="760"/>
      <c r="AJ54" s="8"/>
      <c r="AK54" s="524" t="str">
        <f t="shared" si="28"/>
        <v>No</v>
      </c>
      <c r="AL54" s="525">
        <f>'I-Project Contingency'!$I$4</f>
        <v>7250000</v>
      </c>
      <c r="AM54" s="350">
        <f>'I-Project Contingency'!$I$11</f>
        <v>12</v>
      </c>
      <c r="AN54" s="349">
        <f t="shared" si="8"/>
        <v>0</v>
      </c>
      <c r="AO54" s="350">
        <f t="shared" si="9"/>
        <v>0</v>
      </c>
      <c r="AP54" s="672" t="str">
        <f t="shared" si="18"/>
        <v/>
      </c>
      <c r="AQ54" s="672" t="str">
        <f t="shared" si="19"/>
        <v/>
      </c>
      <c r="AR54" s="526" t="str">
        <f t="shared" si="22"/>
        <v/>
      </c>
      <c r="AS54" s="526" t="str">
        <f t="shared" si="20"/>
        <v/>
      </c>
      <c r="AT54" s="8"/>
      <c r="AU54" s="353">
        <f>'I-Project Contingency'!$O$4-AE54</f>
        <v>0</v>
      </c>
      <c r="AV54" s="354">
        <v>1687645.9248406207</v>
      </c>
      <c r="AW54" s="354">
        <v>3291004.7254658043</v>
      </c>
      <c r="AX54" s="354">
        <v>4159167.8232088853</v>
      </c>
      <c r="AY54" s="354">
        <f>'I-Project Contingency'!$E$66-AV54</f>
        <v>0</v>
      </c>
      <c r="AZ54" s="354">
        <f>'I-Project Contingency'!$E$69-AW54</f>
        <v>0</v>
      </c>
      <c r="BA54" s="354">
        <f>'I-Project Contingency'!$E$70-AX54</f>
        <v>0</v>
      </c>
      <c r="BB54" s="355">
        <f>'I-Project Contingency'!$O$5-AG54</f>
        <v>0</v>
      </c>
      <c r="BC54" s="356">
        <v>2.9615115956254372</v>
      </c>
      <c r="BD54" s="356">
        <v>6.001919642116226</v>
      </c>
      <c r="BE54" s="357">
        <v>7.5913096572662919</v>
      </c>
      <c r="BF54" s="356">
        <f>'I-Project Contingency'!$E$81-BC54</f>
        <v>0</v>
      </c>
      <c r="BG54" s="356">
        <f>'I-Project Contingency'!$E$84-BD54</f>
        <v>0</v>
      </c>
      <c r="BH54" s="356">
        <f>'I-Project Contingency'!$E$85-BE54</f>
        <v>0</v>
      </c>
      <c r="BI54" s="358">
        <f>IF(BK54="N/A","N/A",IF('D-Project Data'!$C$6=50%,ABS(BK54),IF('D-Project Data'!$C$6=80%,ABS(BL54),IF('D-Project Data'!$C$6=90%,ABS(BM54)))))</f>
        <v>0</v>
      </c>
      <c r="BJ54" s="359">
        <f>IF(BI54="N/A","N/A",RANK(BI54,$BI$18:$BI$116,0)+COUNTIF($BI$18:BI54,BI54)-1)</f>
        <v>37</v>
      </c>
      <c r="BK54" s="358">
        <f>IF(AY54/SUM(AY:AY)*'I-Project Contingency'!$F$66=0,0,AY54/SUM(AY:AY)*'I-Project Contingency'!$F$66)</f>
        <v>0</v>
      </c>
      <c r="BL54" s="358">
        <f>IF(AZ54/SUM(AZ:AZ)*'I-Project Contingency'!$F$69=0,0,AZ54/SUM(AZ:AZ)*'I-Project Contingency'!$F$69)</f>
        <v>0</v>
      </c>
      <c r="BM54" s="358">
        <f>IF(BA54/SUM(BA:BA)*'I-Project Contingency'!$F$70=0,0,BA54/SUM(BA:BA)*'I-Project Contingency'!$F$70)</f>
        <v>0</v>
      </c>
      <c r="BN54" s="357">
        <f>IF(BP54="N/A","N/A",IF('D-Project Data'!$C$6=50%,ABS(BP54),IF('D-Project Data'!$C$6=80%,ABS(BQ54),IF('D-Project Data'!$C$6=90%,ABS(BR54)))))</f>
        <v>0</v>
      </c>
      <c r="BO54" s="359">
        <f>IF(BN54="N/A","N/A",RANK(BN54,$BN$18:$BN$116,0)+COUNTIF($BN$18:BN54,BN54)-1)</f>
        <v>37</v>
      </c>
      <c r="BP54" s="357">
        <f>IF(BF54/SUM(BF:BF)*'I-Project Contingency'!$F$81=0,0,BF54/SUM(BF:BF)*'I-Project Contingency'!$F$81)</f>
        <v>0</v>
      </c>
      <c r="BQ54" s="357">
        <f>IF(BG54/SUM(BG:BG)*'I-Project Contingency'!$F$84=0,0,BG54/SUM(BG:BG)*'I-Project Contingency'!$F$84)</f>
        <v>0</v>
      </c>
      <c r="BR54" s="357">
        <f>IF(BH54/SUM(BH:BH)*'I-Project Contingency'!$F$85=0,0,BH54/SUM(BH:BH)*'I-Project Contingency'!$F$85)</f>
        <v>0</v>
      </c>
      <c r="BS54" s="359">
        <f t="shared" si="29"/>
        <v>37</v>
      </c>
      <c r="BT54" s="360" t="str">
        <f t="shared" si="30"/>
        <v xml:space="preserve">37 - </v>
      </c>
      <c r="BU54" s="354">
        <f t="shared" si="31"/>
        <v>0</v>
      </c>
      <c r="BV54" s="354">
        <f t="shared" si="32"/>
        <v>0</v>
      </c>
      <c r="BW54" s="356">
        <f t="shared" si="33"/>
        <v>0</v>
      </c>
      <c r="BX54" s="356">
        <f t="shared" si="34"/>
        <v>0</v>
      </c>
    </row>
    <row r="55" spans="1:76" ht="29" x14ac:dyDescent="0.35">
      <c r="A55" s="163">
        <f t="shared" si="21"/>
        <v>38</v>
      </c>
      <c r="B55" s="758" t="s">
        <v>728</v>
      </c>
      <c r="C55" s="760"/>
      <c r="D55" s="760"/>
      <c r="E55" s="760"/>
      <c r="F55" s="759" t="s">
        <v>728</v>
      </c>
      <c r="G55" s="759" t="s">
        <v>728</v>
      </c>
      <c r="H55" s="157" t="str">
        <f>IFERROR(IF('H-Risk Register-Model'!F55="Certain","Relook at Basis of Estimate",INDEX('G-Assumptions'!$F$8:$J$11,MATCH(F55,'G-Assumptions'!$D$8:$D$11,0),MATCH(G55,'G-Assumptions'!$F$6:$J$6,0))),"Unrated")</f>
        <v>Unrated</v>
      </c>
      <c r="I55" s="759" t="s">
        <v>728</v>
      </c>
      <c r="J55" s="157" t="str">
        <f>IFERROR(IF('H-Risk Register-Model'!F55="Certain","Relook at Basis of Estimate",INDEX('G-Assumptions'!$F$8:$J$11,MATCH(F55,'G-Assumptions'!$D$8:$D$11,0),MATCH(I55,'G-Assumptions'!$F$6:$J$6,0))),"Unrated")</f>
        <v>Unrated</v>
      </c>
      <c r="K55" s="759" t="s">
        <v>728</v>
      </c>
      <c r="L55" s="759" t="s">
        <v>728</v>
      </c>
      <c r="M55" s="759"/>
      <c r="N55" s="763" t="s">
        <v>728</v>
      </c>
      <c r="O55" s="763" t="s">
        <v>728</v>
      </c>
      <c r="P55" s="764"/>
      <c r="Q55" s="764"/>
      <c r="R55" s="764"/>
      <c r="S55" s="765"/>
      <c r="T55" s="765"/>
      <c r="U55" s="765"/>
      <c r="V55" s="766"/>
      <c r="W55" s="764"/>
      <c r="X55" s="764"/>
      <c r="Y55" s="767">
        <v>1</v>
      </c>
      <c r="Z55" s="770">
        <v>1</v>
      </c>
      <c r="AA55" s="166">
        <f t="shared" si="23"/>
        <v>0</v>
      </c>
      <c r="AB55" s="166">
        <f t="shared" si="24"/>
        <v>0</v>
      </c>
      <c r="AC55" s="166">
        <f t="shared" si="25"/>
        <v>0</v>
      </c>
      <c r="AD55" s="166"/>
      <c r="AE55" s="164">
        <f t="shared" si="26"/>
        <v>0</v>
      </c>
      <c r="AF55" s="167"/>
      <c r="AG55" s="165">
        <f t="shared" si="27"/>
        <v>0</v>
      </c>
      <c r="AH55" s="760"/>
      <c r="AI55" s="760"/>
      <c r="AJ55" s="8"/>
      <c r="AK55" s="524" t="str">
        <f t="shared" si="28"/>
        <v>No</v>
      </c>
      <c r="AL55" s="525">
        <f>'I-Project Contingency'!$I$4</f>
        <v>7250000</v>
      </c>
      <c r="AM55" s="350">
        <f>'I-Project Contingency'!$I$11</f>
        <v>12</v>
      </c>
      <c r="AN55" s="349">
        <f t="shared" si="8"/>
        <v>0</v>
      </c>
      <c r="AO55" s="350">
        <f t="shared" si="9"/>
        <v>0</v>
      </c>
      <c r="AP55" s="672" t="str">
        <f t="shared" si="18"/>
        <v/>
      </c>
      <c r="AQ55" s="672" t="str">
        <f t="shared" si="19"/>
        <v/>
      </c>
      <c r="AR55" s="526" t="str">
        <f t="shared" si="22"/>
        <v/>
      </c>
      <c r="AS55" s="526" t="str">
        <f t="shared" si="20"/>
        <v/>
      </c>
      <c r="AT55" s="8"/>
      <c r="AU55" s="353">
        <f>'I-Project Contingency'!$O$4-AE55</f>
        <v>0</v>
      </c>
      <c r="AV55" s="354">
        <v>1687645.9248406207</v>
      </c>
      <c r="AW55" s="354">
        <v>3291004.7254658043</v>
      </c>
      <c r="AX55" s="354">
        <v>4159167.8232088853</v>
      </c>
      <c r="AY55" s="354">
        <f>'I-Project Contingency'!$E$66-AV55</f>
        <v>0</v>
      </c>
      <c r="AZ55" s="354">
        <f>'I-Project Contingency'!$E$69-AW55</f>
        <v>0</v>
      </c>
      <c r="BA55" s="354">
        <f>'I-Project Contingency'!$E$70-AX55</f>
        <v>0</v>
      </c>
      <c r="BB55" s="355">
        <f>'I-Project Contingency'!$O$5-AG55</f>
        <v>0</v>
      </c>
      <c r="BC55" s="356">
        <v>2.9615115956254372</v>
      </c>
      <c r="BD55" s="356">
        <v>6.001919642116226</v>
      </c>
      <c r="BE55" s="357">
        <v>7.5913096572662919</v>
      </c>
      <c r="BF55" s="356">
        <f>'I-Project Contingency'!$E$81-BC55</f>
        <v>0</v>
      </c>
      <c r="BG55" s="356">
        <f>'I-Project Contingency'!$E$84-BD55</f>
        <v>0</v>
      </c>
      <c r="BH55" s="356">
        <f>'I-Project Contingency'!$E$85-BE55</f>
        <v>0</v>
      </c>
      <c r="BI55" s="358">
        <f>IF(BK55="N/A","N/A",IF('D-Project Data'!$C$6=50%,ABS(BK55),IF('D-Project Data'!$C$6=80%,ABS(BL55),IF('D-Project Data'!$C$6=90%,ABS(BM55)))))</f>
        <v>0</v>
      </c>
      <c r="BJ55" s="359">
        <f>IF(BI55="N/A","N/A",RANK(BI55,$BI$18:$BI$116,0)+COUNTIF($BI$18:BI55,BI55)-1)</f>
        <v>38</v>
      </c>
      <c r="BK55" s="358">
        <f>IF(AY55/SUM(AY:AY)*'I-Project Contingency'!$F$66=0,0,AY55/SUM(AY:AY)*'I-Project Contingency'!$F$66)</f>
        <v>0</v>
      </c>
      <c r="BL55" s="358">
        <f>IF(AZ55/SUM(AZ:AZ)*'I-Project Contingency'!$F$69=0,0,AZ55/SUM(AZ:AZ)*'I-Project Contingency'!$F$69)</f>
        <v>0</v>
      </c>
      <c r="BM55" s="358">
        <f>IF(BA55/SUM(BA:BA)*'I-Project Contingency'!$F$70=0,0,BA55/SUM(BA:BA)*'I-Project Contingency'!$F$70)</f>
        <v>0</v>
      </c>
      <c r="BN55" s="357">
        <f>IF(BP55="N/A","N/A",IF('D-Project Data'!$C$6=50%,ABS(BP55),IF('D-Project Data'!$C$6=80%,ABS(BQ55),IF('D-Project Data'!$C$6=90%,ABS(BR55)))))</f>
        <v>0</v>
      </c>
      <c r="BO55" s="359">
        <f>IF(BN55="N/A","N/A",RANK(BN55,$BN$18:$BN$116,0)+COUNTIF($BN$18:BN55,BN55)-1)</f>
        <v>38</v>
      </c>
      <c r="BP55" s="357">
        <f>IF(BF55/SUM(BF:BF)*'I-Project Contingency'!$F$81=0,0,BF55/SUM(BF:BF)*'I-Project Contingency'!$F$81)</f>
        <v>0</v>
      </c>
      <c r="BQ55" s="357">
        <f>IF(BG55/SUM(BG:BG)*'I-Project Contingency'!$F$84=0,0,BG55/SUM(BG:BG)*'I-Project Contingency'!$F$84)</f>
        <v>0</v>
      </c>
      <c r="BR55" s="357">
        <f>IF(BH55/SUM(BH:BH)*'I-Project Contingency'!$F$85=0,0,BH55/SUM(BH:BH)*'I-Project Contingency'!$F$85)</f>
        <v>0</v>
      </c>
      <c r="BS55" s="359">
        <f t="shared" si="29"/>
        <v>38</v>
      </c>
      <c r="BT55" s="360" t="str">
        <f t="shared" si="30"/>
        <v xml:space="preserve">38 - </v>
      </c>
      <c r="BU55" s="354">
        <f t="shared" si="31"/>
        <v>0</v>
      </c>
      <c r="BV55" s="354">
        <f t="shared" si="32"/>
        <v>0</v>
      </c>
      <c r="BW55" s="356">
        <f t="shared" si="33"/>
        <v>0</v>
      </c>
      <c r="BX55" s="356">
        <f t="shared" si="34"/>
        <v>0</v>
      </c>
    </row>
    <row r="56" spans="1:76" ht="29" x14ac:dyDescent="0.35">
      <c r="A56" s="163">
        <f t="shared" si="21"/>
        <v>39</v>
      </c>
      <c r="B56" s="758" t="s">
        <v>728</v>
      </c>
      <c r="C56" s="760"/>
      <c r="D56" s="760"/>
      <c r="E56" s="760"/>
      <c r="F56" s="759" t="s">
        <v>728</v>
      </c>
      <c r="G56" s="759" t="s">
        <v>728</v>
      </c>
      <c r="H56" s="157" t="str">
        <f>IFERROR(IF('H-Risk Register-Model'!F56="Certain","Relook at Basis of Estimate",INDEX('G-Assumptions'!$F$8:$J$11,MATCH(F56,'G-Assumptions'!$D$8:$D$11,0),MATCH(G56,'G-Assumptions'!$F$6:$J$6,0))),"Unrated")</f>
        <v>Unrated</v>
      </c>
      <c r="I56" s="759" t="s">
        <v>728</v>
      </c>
      <c r="J56" s="157" t="str">
        <f>IFERROR(IF('H-Risk Register-Model'!F56="Certain","Relook at Basis of Estimate",INDEX('G-Assumptions'!$F$8:$J$11,MATCH(F56,'G-Assumptions'!$D$8:$D$11,0),MATCH(I56,'G-Assumptions'!$F$6:$J$6,0))),"Unrated")</f>
        <v>Unrated</v>
      </c>
      <c r="K56" s="759" t="s">
        <v>728</v>
      </c>
      <c r="L56" s="759" t="s">
        <v>728</v>
      </c>
      <c r="M56" s="759"/>
      <c r="N56" s="763" t="s">
        <v>728</v>
      </c>
      <c r="O56" s="763" t="s">
        <v>728</v>
      </c>
      <c r="P56" s="764"/>
      <c r="Q56" s="764"/>
      <c r="R56" s="764"/>
      <c r="S56" s="765"/>
      <c r="T56" s="765"/>
      <c r="U56" s="765"/>
      <c r="V56" s="766"/>
      <c r="W56" s="764"/>
      <c r="X56" s="764"/>
      <c r="Y56" s="767">
        <v>1</v>
      </c>
      <c r="Z56" s="770">
        <v>1</v>
      </c>
      <c r="AA56" s="166">
        <f t="shared" si="23"/>
        <v>0</v>
      </c>
      <c r="AB56" s="166">
        <f t="shared" si="24"/>
        <v>0</v>
      </c>
      <c r="AC56" s="166">
        <f t="shared" si="25"/>
        <v>0</v>
      </c>
      <c r="AD56" s="166"/>
      <c r="AE56" s="164">
        <f t="shared" si="26"/>
        <v>0</v>
      </c>
      <c r="AF56" s="167"/>
      <c r="AG56" s="165">
        <f t="shared" si="27"/>
        <v>0</v>
      </c>
      <c r="AH56" s="760"/>
      <c r="AI56" s="760"/>
      <c r="AJ56" s="8"/>
      <c r="AK56" s="524" t="str">
        <f t="shared" si="28"/>
        <v>No</v>
      </c>
      <c r="AL56" s="525">
        <f>'I-Project Contingency'!$I$4</f>
        <v>7250000</v>
      </c>
      <c r="AM56" s="350">
        <f>'I-Project Contingency'!$I$11</f>
        <v>12</v>
      </c>
      <c r="AN56" s="349">
        <f t="shared" si="8"/>
        <v>0</v>
      </c>
      <c r="AO56" s="350">
        <f t="shared" si="9"/>
        <v>0</v>
      </c>
      <c r="AP56" s="672" t="str">
        <f t="shared" si="18"/>
        <v/>
      </c>
      <c r="AQ56" s="672" t="str">
        <f t="shared" si="19"/>
        <v/>
      </c>
      <c r="AR56" s="526" t="str">
        <f t="shared" si="22"/>
        <v/>
      </c>
      <c r="AS56" s="526" t="str">
        <f t="shared" si="20"/>
        <v/>
      </c>
      <c r="AT56" s="8"/>
      <c r="AU56" s="353">
        <f>'I-Project Contingency'!$O$4-AE56</f>
        <v>0</v>
      </c>
      <c r="AV56" s="354">
        <v>1687645.9248406207</v>
      </c>
      <c r="AW56" s="354">
        <v>3291004.7254658043</v>
      </c>
      <c r="AX56" s="354">
        <v>4159167.8232088853</v>
      </c>
      <c r="AY56" s="354">
        <f>'I-Project Contingency'!$E$66-AV56</f>
        <v>0</v>
      </c>
      <c r="AZ56" s="354">
        <f>'I-Project Contingency'!$E$69-AW56</f>
        <v>0</v>
      </c>
      <c r="BA56" s="354">
        <f>'I-Project Contingency'!$E$70-AX56</f>
        <v>0</v>
      </c>
      <c r="BB56" s="355">
        <f>'I-Project Contingency'!$O$5-AG56</f>
        <v>0</v>
      </c>
      <c r="BC56" s="356">
        <v>2.9615115956254372</v>
      </c>
      <c r="BD56" s="356">
        <v>6.001919642116226</v>
      </c>
      <c r="BE56" s="357">
        <v>7.5913096572662919</v>
      </c>
      <c r="BF56" s="356">
        <f>'I-Project Contingency'!$E$81-BC56</f>
        <v>0</v>
      </c>
      <c r="BG56" s="356">
        <f>'I-Project Contingency'!$E$84-BD56</f>
        <v>0</v>
      </c>
      <c r="BH56" s="356">
        <f>'I-Project Contingency'!$E$85-BE56</f>
        <v>0</v>
      </c>
      <c r="BI56" s="358">
        <f>IF(BK56="N/A","N/A",IF('D-Project Data'!$C$6=50%,ABS(BK56),IF('D-Project Data'!$C$6=80%,ABS(BL56),IF('D-Project Data'!$C$6=90%,ABS(BM56)))))</f>
        <v>0</v>
      </c>
      <c r="BJ56" s="359">
        <f>IF(BI56="N/A","N/A",RANK(BI56,$BI$18:$BI$116,0)+COUNTIF($BI$18:BI56,BI56)-1)</f>
        <v>39</v>
      </c>
      <c r="BK56" s="358">
        <f>IF(AY56/SUM(AY:AY)*'I-Project Contingency'!$F$66=0,0,AY56/SUM(AY:AY)*'I-Project Contingency'!$F$66)</f>
        <v>0</v>
      </c>
      <c r="BL56" s="358">
        <f>IF(AZ56/SUM(AZ:AZ)*'I-Project Contingency'!$F$69=0,0,AZ56/SUM(AZ:AZ)*'I-Project Contingency'!$F$69)</f>
        <v>0</v>
      </c>
      <c r="BM56" s="358">
        <f>IF(BA56/SUM(BA:BA)*'I-Project Contingency'!$F$70=0,0,BA56/SUM(BA:BA)*'I-Project Contingency'!$F$70)</f>
        <v>0</v>
      </c>
      <c r="BN56" s="357">
        <f>IF(BP56="N/A","N/A",IF('D-Project Data'!$C$6=50%,ABS(BP56),IF('D-Project Data'!$C$6=80%,ABS(BQ56),IF('D-Project Data'!$C$6=90%,ABS(BR56)))))</f>
        <v>0</v>
      </c>
      <c r="BO56" s="359">
        <f>IF(BN56="N/A","N/A",RANK(BN56,$BN$18:$BN$116,0)+COUNTIF($BN$18:BN56,BN56)-1)</f>
        <v>39</v>
      </c>
      <c r="BP56" s="357">
        <f>IF(BF56/SUM(BF:BF)*'I-Project Contingency'!$F$81=0,0,BF56/SUM(BF:BF)*'I-Project Contingency'!$F$81)</f>
        <v>0</v>
      </c>
      <c r="BQ56" s="357">
        <f>IF(BG56/SUM(BG:BG)*'I-Project Contingency'!$F$84=0,0,BG56/SUM(BG:BG)*'I-Project Contingency'!$F$84)</f>
        <v>0</v>
      </c>
      <c r="BR56" s="357">
        <f>IF(BH56/SUM(BH:BH)*'I-Project Contingency'!$F$85=0,0,BH56/SUM(BH:BH)*'I-Project Contingency'!$F$85)</f>
        <v>0</v>
      </c>
      <c r="BS56" s="359">
        <f t="shared" si="29"/>
        <v>39</v>
      </c>
      <c r="BT56" s="360" t="str">
        <f t="shared" si="30"/>
        <v xml:space="preserve">39 - </v>
      </c>
      <c r="BU56" s="354">
        <f t="shared" si="31"/>
        <v>0</v>
      </c>
      <c r="BV56" s="354">
        <f t="shared" si="32"/>
        <v>0</v>
      </c>
      <c r="BW56" s="356">
        <f t="shared" si="33"/>
        <v>0</v>
      </c>
      <c r="BX56" s="356">
        <f t="shared" si="34"/>
        <v>0</v>
      </c>
    </row>
    <row r="57" spans="1:76" ht="29" x14ac:dyDescent="0.35">
      <c r="A57" s="163">
        <f t="shared" si="21"/>
        <v>40</v>
      </c>
      <c r="B57" s="758" t="s">
        <v>728</v>
      </c>
      <c r="C57" s="760"/>
      <c r="D57" s="760"/>
      <c r="E57" s="760"/>
      <c r="F57" s="759" t="s">
        <v>728</v>
      </c>
      <c r="G57" s="759" t="s">
        <v>728</v>
      </c>
      <c r="H57" s="157" t="str">
        <f>IFERROR(IF('H-Risk Register-Model'!F57="Certain","Relook at Basis of Estimate",INDEX('G-Assumptions'!$F$8:$J$11,MATCH(F57,'G-Assumptions'!$D$8:$D$11,0),MATCH(G57,'G-Assumptions'!$F$6:$J$6,0))),"Unrated")</f>
        <v>Unrated</v>
      </c>
      <c r="I57" s="759" t="s">
        <v>728</v>
      </c>
      <c r="J57" s="157" t="str">
        <f>IFERROR(IF('H-Risk Register-Model'!F57="Certain","Relook at Basis of Estimate",INDEX('G-Assumptions'!$F$8:$J$11,MATCH(F57,'G-Assumptions'!$D$8:$D$11,0),MATCH(I57,'G-Assumptions'!$F$6:$J$6,0))),"Unrated")</f>
        <v>Unrated</v>
      </c>
      <c r="K57" s="759" t="s">
        <v>728</v>
      </c>
      <c r="L57" s="759" t="s">
        <v>728</v>
      </c>
      <c r="M57" s="759"/>
      <c r="N57" s="763" t="s">
        <v>728</v>
      </c>
      <c r="O57" s="763" t="s">
        <v>728</v>
      </c>
      <c r="P57" s="764"/>
      <c r="Q57" s="764"/>
      <c r="R57" s="764"/>
      <c r="S57" s="765"/>
      <c r="T57" s="765"/>
      <c r="U57" s="765"/>
      <c r="V57" s="766"/>
      <c r="W57" s="764"/>
      <c r="X57" s="764"/>
      <c r="Y57" s="767">
        <v>1</v>
      </c>
      <c r="Z57" s="770">
        <v>1</v>
      </c>
      <c r="AA57" s="166">
        <f t="shared" si="23"/>
        <v>0</v>
      </c>
      <c r="AB57" s="166">
        <f t="shared" si="24"/>
        <v>0</v>
      </c>
      <c r="AC57" s="166">
        <f t="shared" si="25"/>
        <v>0</v>
      </c>
      <c r="AD57" s="166"/>
      <c r="AE57" s="164">
        <f t="shared" si="26"/>
        <v>0</v>
      </c>
      <c r="AF57" s="167"/>
      <c r="AG57" s="165">
        <f t="shared" si="27"/>
        <v>0</v>
      </c>
      <c r="AH57" s="760"/>
      <c r="AI57" s="760"/>
      <c r="AJ57" s="8"/>
      <c r="AK57" s="524" t="str">
        <f t="shared" si="28"/>
        <v>No</v>
      </c>
      <c r="AL57" s="525">
        <f>'I-Project Contingency'!$I$4</f>
        <v>7250000</v>
      </c>
      <c r="AM57" s="350">
        <f>'I-Project Contingency'!$I$11</f>
        <v>12</v>
      </c>
      <c r="AN57" s="349">
        <f t="shared" si="8"/>
        <v>0</v>
      </c>
      <c r="AO57" s="350">
        <f t="shared" si="9"/>
        <v>0</v>
      </c>
      <c r="AP57" s="672" t="str">
        <f t="shared" si="18"/>
        <v/>
      </c>
      <c r="AQ57" s="672" t="str">
        <f t="shared" si="19"/>
        <v/>
      </c>
      <c r="AR57" s="526" t="str">
        <f t="shared" si="22"/>
        <v/>
      </c>
      <c r="AS57" s="526" t="str">
        <f t="shared" si="20"/>
        <v/>
      </c>
      <c r="AT57" s="8"/>
      <c r="AU57" s="353">
        <f>'I-Project Contingency'!$O$4-AE57</f>
        <v>0</v>
      </c>
      <c r="AV57" s="354">
        <v>1687645.9248406207</v>
      </c>
      <c r="AW57" s="354">
        <v>3291004.7254658043</v>
      </c>
      <c r="AX57" s="354">
        <v>4159167.8232088853</v>
      </c>
      <c r="AY57" s="354">
        <f>'I-Project Contingency'!$E$66-AV57</f>
        <v>0</v>
      </c>
      <c r="AZ57" s="354">
        <f>'I-Project Contingency'!$E$69-AW57</f>
        <v>0</v>
      </c>
      <c r="BA57" s="354">
        <f>'I-Project Contingency'!$E$70-AX57</f>
        <v>0</v>
      </c>
      <c r="BB57" s="355">
        <f>'I-Project Contingency'!$O$5-AG57</f>
        <v>0</v>
      </c>
      <c r="BC57" s="356">
        <v>2.9615115956254372</v>
      </c>
      <c r="BD57" s="356">
        <v>6.001919642116226</v>
      </c>
      <c r="BE57" s="357">
        <v>7.5913096572662919</v>
      </c>
      <c r="BF57" s="356">
        <f>'I-Project Contingency'!$E$81-BC57</f>
        <v>0</v>
      </c>
      <c r="BG57" s="356">
        <f>'I-Project Contingency'!$E$84-BD57</f>
        <v>0</v>
      </c>
      <c r="BH57" s="356">
        <f>'I-Project Contingency'!$E$85-BE57</f>
        <v>0</v>
      </c>
      <c r="BI57" s="358">
        <f>IF(BK57="N/A","N/A",IF('D-Project Data'!$C$6=50%,ABS(BK57),IF('D-Project Data'!$C$6=80%,ABS(BL57),IF('D-Project Data'!$C$6=90%,ABS(BM57)))))</f>
        <v>0</v>
      </c>
      <c r="BJ57" s="359">
        <f>IF(BI57="N/A","N/A",RANK(BI57,$BI$18:$BI$116,0)+COUNTIF($BI$18:BI57,BI57)-1)</f>
        <v>40</v>
      </c>
      <c r="BK57" s="358">
        <f>IF(AY57/SUM(AY:AY)*'I-Project Contingency'!$F$66=0,0,AY57/SUM(AY:AY)*'I-Project Contingency'!$F$66)</f>
        <v>0</v>
      </c>
      <c r="BL57" s="358">
        <f>IF(AZ57/SUM(AZ:AZ)*'I-Project Contingency'!$F$69=0,0,AZ57/SUM(AZ:AZ)*'I-Project Contingency'!$F$69)</f>
        <v>0</v>
      </c>
      <c r="BM57" s="358">
        <f>IF(BA57/SUM(BA:BA)*'I-Project Contingency'!$F$70=0,0,BA57/SUM(BA:BA)*'I-Project Contingency'!$F$70)</f>
        <v>0</v>
      </c>
      <c r="BN57" s="357">
        <f>IF(BP57="N/A","N/A",IF('D-Project Data'!$C$6=50%,ABS(BP57),IF('D-Project Data'!$C$6=80%,ABS(BQ57),IF('D-Project Data'!$C$6=90%,ABS(BR57)))))</f>
        <v>0</v>
      </c>
      <c r="BO57" s="359">
        <f>IF(BN57="N/A","N/A",RANK(BN57,$BN$18:$BN$116,0)+COUNTIF($BN$18:BN57,BN57)-1)</f>
        <v>40</v>
      </c>
      <c r="BP57" s="357">
        <f>IF(BF57/SUM(BF:BF)*'I-Project Contingency'!$F$81=0,0,BF57/SUM(BF:BF)*'I-Project Contingency'!$F$81)</f>
        <v>0</v>
      </c>
      <c r="BQ57" s="357">
        <f>IF(BG57/SUM(BG:BG)*'I-Project Contingency'!$F$84=0,0,BG57/SUM(BG:BG)*'I-Project Contingency'!$F$84)</f>
        <v>0</v>
      </c>
      <c r="BR57" s="357">
        <f>IF(BH57/SUM(BH:BH)*'I-Project Contingency'!$F$85=0,0,BH57/SUM(BH:BH)*'I-Project Contingency'!$F$85)</f>
        <v>0</v>
      </c>
      <c r="BS57" s="359">
        <f t="shared" si="29"/>
        <v>40</v>
      </c>
      <c r="BT57" s="360" t="str">
        <f t="shared" si="30"/>
        <v xml:space="preserve">40 - </v>
      </c>
      <c r="BU57" s="354">
        <f t="shared" si="31"/>
        <v>0</v>
      </c>
      <c r="BV57" s="354">
        <f t="shared" si="32"/>
        <v>0</v>
      </c>
      <c r="BW57" s="356">
        <f t="shared" si="33"/>
        <v>0</v>
      </c>
      <c r="BX57" s="356">
        <f t="shared" si="34"/>
        <v>0</v>
      </c>
    </row>
    <row r="58" spans="1:76" ht="29" x14ac:dyDescent="0.35">
      <c r="A58" s="163">
        <f t="shared" si="21"/>
        <v>41</v>
      </c>
      <c r="B58" s="758" t="s">
        <v>728</v>
      </c>
      <c r="C58" s="760"/>
      <c r="D58" s="760"/>
      <c r="E58" s="760"/>
      <c r="F58" s="759" t="s">
        <v>728</v>
      </c>
      <c r="G58" s="759" t="s">
        <v>728</v>
      </c>
      <c r="H58" s="157" t="str">
        <f>IFERROR(IF('H-Risk Register-Model'!F58="Certain","Relook at Basis of Estimate",INDEX('G-Assumptions'!$F$8:$J$11,MATCH(F58,'G-Assumptions'!$D$8:$D$11,0),MATCH(G58,'G-Assumptions'!$F$6:$J$6,0))),"Unrated")</f>
        <v>Unrated</v>
      </c>
      <c r="I58" s="759" t="s">
        <v>728</v>
      </c>
      <c r="J58" s="157" t="str">
        <f>IFERROR(IF('H-Risk Register-Model'!F58="Certain","Relook at Basis of Estimate",INDEX('G-Assumptions'!$F$8:$J$11,MATCH(F58,'G-Assumptions'!$D$8:$D$11,0),MATCH(I58,'G-Assumptions'!$F$6:$J$6,0))),"Unrated")</f>
        <v>Unrated</v>
      </c>
      <c r="K58" s="759" t="s">
        <v>728</v>
      </c>
      <c r="L58" s="759" t="s">
        <v>728</v>
      </c>
      <c r="M58" s="759"/>
      <c r="N58" s="763" t="s">
        <v>728</v>
      </c>
      <c r="O58" s="763" t="s">
        <v>728</v>
      </c>
      <c r="P58" s="764"/>
      <c r="Q58" s="764"/>
      <c r="R58" s="764"/>
      <c r="S58" s="765"/>
      <c r="T58" s="765"/>
      <c r="U58" s="765"/>
      <c r="V58" s="766"/>
      <c r="W58" s="764"/>
      <c r="X58" s="764"/>
      <c r="Y58" s="767">
        <v>1</v>
      </c>
      <c r="Z58" s="770">
        <v>1</v>
      </c>
      <c r="AA58" s="166">
        <f t="shared" si="23"/>
        <v>0</v>
      </c>
      <c r="AB58" s="166">
        <f t="shared" si="24"/>
        <v>0</v>
      </c>
      <c r="AC58" s="166">
        <f t="shared" si="25"/>
        <v>0</v>
      </c>
      <c r="AD58" s="166"/>
      <c r="AE58" s="164">
        <f t="shared" si="26"/>
        <v>0</v>
      </c>
      <c r="AF58" s="167"/>
      <c r="AG58" s="165">
        <f t="shared" si="27"/>
        <v>0</v>
      </c>
      <c r="AH58" s="760"/>
      <c r="AI58" s="760"/>
      <c r="AJ58" s="8"/>
      <c r="AK58" s="524" t="str">
        <f t="shared" si="28"/>
        <v>No</v>
      </c>
      <c r="AL58" s="525">
        <f>'I-Project Contingency'!$I$4</f>
        <v>7250000</v>
      </c>
      <c r="AM58" s="350">
        <f>'I-Project Contingency'!$I$11</f>
        <v>12</v>
      </c>
      <c r="AN58" s="349">
        <f t="shared" si="8"/>
        <v>0</v>
      </c>
      <c r="AO58" s="350">
        <f t="shared" si="9"/>
        <v>0</v>
      </c>
      <c r="AP58" s="672" t="str">
        <f t="shared" si="18"/>
        <v/>
      </c>
      <c r="AQ58" s="672" t="str">
        <f t="shared" si="19"/>
        <v/>
      </c>
      <c r="AR58" s="526" t="str">
        <f t="shared" si="22"/>
        <v/>
      </c>
      <c r="AS58" s="526" t="str">
        <f t="shared" si="20"/>
        <v/>
      </c>
      <c r="AT58" s="8"/>
      <c r="AU58" s="353">
        <f>'I-Project Contingency'!$O$4-AE58</f>
        <v>0</v>
      </c>
      <c r="AV58" s="354">
        <v>1687645.9248406207</v>
      </c>
      <c r="AW58" s="354">
        <v>3291004.7254658043</v>
      </c>
      <c r="AX58" s="354">
        <v>4159167.8232088853</v>
      </c>
      <c r="AY58" s="354">
        <f>'I-Project Contingency'!$E$66-AV58</f>
        <v>0</v>
      </c>
      <c r="AZ58" s="354">
        <f>'I-Project Contingency'!$E$69-AW58</f>
        <v>0</v>
      </c>
      <c r="BA58" s="354">
        <f>'I-Project Contingency'!$E$70-AX58</f>
        <v>0</v>
      </c>
      <c r="BB58" s="355">
        <f>'I-Project Contingency'!$O$5-AG58</f>
        <v>0</v>
      </c>
      <c r="BC58" s="356">
        <v>2.9615115956254372</v>
      </c>
      <c r="BD58" s="356">
        <v>6.001919642116226</v>
      </c>
      <c r="BE58" s="357">
        <v>7.5913096572662919</v>
      </c>
      <c r="BF58" s="356">
        <f>'I-Project Contingency'!$E$81-BC58</f>
        <v>0</v>
      </c>
      <c r="BG58" s="356">
        <f>'I-Project Contingency'!$E$84-BD58</f>
        <v>0</v>
      </c>
      <c r="BH58" s="356">
        <f>'I-Project Contingency'!$E$85-BE58</f>
        <v>0</v>
      </c>
      <c r="BI58" s="358">
        <f>IF(BK58="N/A","N/A",IF('D-Project Data'!$C$6=50%,ABS(BK58),IF('D-Project Data'!$C$6=80%,ABS(BL58),IF('D-Project Data'!$C$6=90%,ABS(BM58)))))</f>
        <v>0</v>
      </c>
      <c r="BJ58" s="359">
        <f>IF(BI58="N/A","N/A",RANK(BI58,$BI$18:$BI$116,0)+COUNTIF($BI$18:BI58,BI58)-1)</f>
        <v>41</v>
      </c>
      <c r="BK58" s="358">
        <f>IF(AY58/SUM(AY:AY)*'I-Project Contingency'!$F$66=0,0,AY58/SUM(AY:AY)*'I-Project Contingency'!$F$66)</f>
        <v>0</v>
      </c>
      <c r="BL58" s="358">
        <f>IF(AZ58/SUM(AZ:AZ)*'I-Project Contingency'!$F$69=0,0,AZ58/SUM(AZ:AZ)*'I-Project Contingency'!$F$69)</f>
        <v>0</v>
      </c>
      <c r="BM58" s="358">
        <f>IF(BA58/SUM(BA:BA)*'I-Project Contingency'!$F$70=0,0,BA58/SUM(BA:BA)*'I-Project Contingency'!$F$70)</f>
        <v>0</v>
      </c>
      <c r="BN58" s="357">
        <f>IF(BP58="N/A","N/A",IF('D-Project Data'!$C$6=50%,ABS(BP58),IF('D-Project Data'!$C$6=80%,ABS(BQ58),IF('D-Project Data'!$C$6=90%,ABS(BR58)))))</f>
        <v>0</v>
      </c>
      <c r="BO58" s="359">
        <f>IF(BN58="N/A","N/A",RANK(BN58,$BN$18:$BN$116,0)+COUNTIF($BN$18:BN58,BN58)-1)</f>
        <v>41</v>
      </c>
      <c r="BP58" s="357">
        <f>IF(BF58/SUM(BF:BF)*'I-Project Contingency'!$F$81=0,0,BF58/SUM(BF:BF)*'I-Project Contingency'!$F$81)</f>
        <v>0</v>
      </c>
      <c r="BQ58" s="357">
        <f>IF(BG58/SUM(BG:BG)*'I-Project Contingency'!$F$84=0,0,BG58/SUM(BG:BG)*'I-Project Contingency'!$F$84)</f>
        <v>0</v>
      </c>
      <c r="BR58" s="357">
        <f>IF(BH58/SUM(BH:BH)*'I-Project Contingency'!$F$85=0,0,BH58/SUM(BH:BH)*'I-Project Contingency'!$F$85)</f>
        <v>0</v>
      </c>
      <c r="BS58" s="359">
        <f t="shared" si="29"/>
        <v>41</v>
      </c>
      <c r="BT58" s="360" t="str">
        <f t="shared" si="30"/>
        <v xml:space="preserve">41 - </v>
      </c>
      <c r="BU58" s="354">
        <f t="shared" si="31"/>
        <v>0</v>
      </c>
      <c r="BV58" s="354">
        <f t="shared" si="32"/>
        <v>0</v>
      </c>
      <c r="BW58" s="356">
        <f t="shared" si="33"/>
        <v>0</v>
      </c>
      <c r="BX58" s="356">
        <f t="shared" si="34"/>
        <v>0</v>
      </c>
    </row>
    <row r="59" spans="1:76" ht="29" x14ac:dyDescent="0.35">
      <c r="A59" s="163">
        <f t="shared" si="21"/>
        <v>42</v>
      </c>
      <c r="B59" s="758" t="s">
        <v>728</v>
      </c>
      <c r="C59" s="760"/>
      <c r="D59" s="760"/>
      <c r="E59" s="760"/>
      <c r="F59" s="759" t="s">
        <v>728</v>
      </c>
      <c r="G59" s="759" t="s">
        <v>728</v>
      </c>
      <c r="H59" s="157" t="str">
        <f>IFERROR(IF('H-Risk Register-Model'!F59="Certain","Relook at Basis of Estimate",INDEX('G-Assumptions'!$F$8:$J$11,MATCH(F59,'G-Assumptions'!$D$8:$D$11,0),MATCH(G59,'G-Assumptions'!$F$6:$J$6,0))),"Unrated")</f>
        <v>Unrated</v>
      </c>
      <c r="I59" s="759" t="s">
        <v>728</v>
      </c>
      <c r="J59" s="157" t="str">
        <f>IFERROR(IF('H-Risk Register-Model'!F59="Certain","Relook at Basis of Estimate",INDEX('G-Assumptions'!$F$8:$J$11,MATCH(F59,'G-Assumptions'!$D$8:$D$11,0),MATCH(I59,'G-Assumptions'!$F$6:$J$6,0))),"Unrated")</f>
        <v>Unrated</v>
      </c>
      <c r="K59" s="759" t="s">
        <v>728</v>
      </c>
      <c r="L59" s="759" t="s">
        <v>728</v>
      </c>
      <c r="M59" s="759"/>
      <c r="N59" s="763" t="s">
        <v>728</v>
      </c>
      <c r="O59" s="763" t="s">
        <v>728</v>
      </c>
      <c r="P59" s="764"/>
      <c r="Q59" s="764"/>
      <c r="R59" s="764"/>
      <c r="S59" s="765"/>
      <c r="T59" s="765"/>
      <c r="U59" s="765"/>
      <c r="V59" s="766"/>
      <c r="W59" s="764"/>
      <c r="X59" s="764"/>
      <c r="Y59" s="767">
        <v>1</v>
      </c>
      <c r="Z59" s="770">
        <v>1</v>
      </c>
      <c r="AA59" s="166">
        <f t="shared" si="23"/>
        <v>0</v>
      </c>
      <c r="AB59" s="166">
        <f t="shared" si="24"/>
        <v>0</v>
      </c>
      <c r="AC59" s="166">
        <f t="shared" si="25"/>
        <v>0</v>
      </c>
      <c r="AD59" s="166"/>
      <c r="AE59" s="164">
        <f t="shared" si="26"/>
        <v>0</v>
      </c>
      <c r="AF59" s="167"/>
      <c r="AG59" s="165">
        <f t="shared" si="27"/>
        <v>0</v>
      </c>
      <c r="AH59" s="760"/>
      <c r="AI59" s="760"/>
      <c r="AJ59" s="8"/>
      <c r="AK59" s="524" t="str">
        <f t="shared" si="28"/>
        <v>No</v>
      </c>
      <c r="AL59" s="525">
        <f>'I-Project Contingency'!$I$4</f>
        <v>7250000</v>
      </c>
      <c r="AM59" s="350">
        <f>'I-Project Contingency'!$I$11</f>
        <v>12</v>
      </c>
      <c r="AN59" s="349">
        <f t="shared" si="8"/>
        <v>0</v>
      </c>
      <c r="AO59" s="350">
        <f t="shared" si="9"/>
        <v>0</v>
      </c>
      <c r="AP59" s="672" t="str">
        <f t="shared" si="18"/>
        <v/>
      </c>
      <c r="AQ59" s="672" t="str">
        <f t="shared" si="19"/>
        <v/>
      </c>
      <c r="AR59" s="526" t="str">
        <f t="shared" si="22"/>
        <v/>
      </c>
      <c r="AS59" s="526" t="str">
        <f t="shared" si="20"/>
        <v/>
      </c>
      <c r="AT59" s="8"/>
      <c r="AU59" s="353">
        <f>'I-Project Contingency'!$O$4-AE59</f>
        <v>0</v>
      </c>
      <c r="AV59" s="354">
        <v>1687645.9248406207</v>
      </c>
      <c r="AW59" s="354">
        <v>3291004.7254658043</v>
      </c>
      <c r="AX59" s="354">
        <v>4159167.8232088853</v>
      </c>
      <c r="AY59" s="354">
        <f>'I-Project Contingency'!$E$66-AV59</f>
        <v>0</v>
      </c>
      <c r="AZ59" s="354">
        <f>'I-Project Contingency'!$E$69-AW59</f>
        <v>0</v>
      </c>
      <c r="BA59" s="354">
        <f>'I-Project Contingency'!$E$70-AX59</f>
        <v>0</v>
      </c>
      <c r="BB59" s="355">
        <f>'I-Project Contingency'!$O$5-AG59</f>
        <v>0</v>
      </c>
      <c r="BC59" s="356">
        <v>2.9615115956254372</v>
      </c>
      <c r="BD59" s="356">
        <v>6.001919642116226</v>
      </c>
      <c r="BE59" s="357">
        <v>7.5913096572662919</v>
      </c>
      <c r="BF59" s="356">
        <f>'I-Project Contingency'!$E$81-BC59</f>
        <v>0</v>
      </c>
      <c r="BG59" s="356">
        <f>'I-Project Contingency'!$E$84-BD59</f>
        <v>0</v>
      </c>
      <c r="BH59" s="356">
        <f>'I-Project Contingency'!$E$85-BE59</f>
        <v>0</v>
      </c>
      <c r="BI59" s="358">
        <f>IF(BK59="N/A","N/A",IF('D-Project Data'!$C$6=50%,ABS(BK59),IF('D-Project Data'!$C$6=80%,ABS(BL59),IF('D-Project Data'!$C$6=90%,ABS(BM59)))))</f>
        <v>0</v>
      </c>
      <c r="BJ59" s="359">
        <f>IF(BI59="N/A","N/A",RANK(BI59,$BI$18:$BI$116,0)+COUNTIF($BI$18:BI59,BI59)-1)</f>
        <v>42</v>
      </c>
      <c r="BK59" s="358">
        <f>IF(AY59/SUM(AY:AY)*'I-Project Contingency'!$F$66=0,0,AY59/SUM(AY:AY)*'I-Project Contingency'!$F$66)</f>
        <v>0</v>
      </c>
      <c r="BL59" s="358">
        <f>IF(AZ59/SUM(AZ:AZ)*'I-Project Contingency'!$F$69=0,0,AZ59/SUM(AZ:AZ)*'I-Project Contingency'!$F$69)</f>
        <v>0</v>
      </c>
      <c r="BM59" s="358">
        <f>IF(BA59/SUM(BA:BA)*'I-Project Contingency'!$F$70=0,0,BA59/SUM(BA:BA)*'I-Project Contingency'!$F$70)</f>
        <v>0</v>
      </c>
      <c r="BN59" s="357">
        <f>IF(BP59="N/A","N/A",IF('D-Project Data'!$C$6=50%,ABS(BP59),IF('D-Project Data'!$C$6=80%,ABS(BQ59),IF('D-Project Data'!$C$6=90%,ABS(BR59)))))</f>
        <v>0</v>
      </c>
      <c r="BO59" s="359">
        <f>IF(BN59="N/A","N/A",RANK(BN59,$BN$18:$BN$116,0)+COUNTIF($BN$18:BN59,BN59)-1)</f>
        <v>42</v>
      </c>
      <c r="BP59" s="357">
        <f>IF(BF59/SUM(BF:BF)*'I-Project Contingency'!$F$81=0,0,BF59/SUM(BF:BF)*'I-Project Contingency'!$F$81)</f>
        <v>0</v>
      </c>
      <c r="BQ59" s="357">
        <f>IF(BG59/SUM(BG:BG)*'I-Project Contingency'!$F$84=0,0,BG59/SUM(BG:BG)*'I-Project Contingency'!$F$84)</f>
        <v>0</v>
      </c>
      <c r="BR59" s="357">
        <f>IF(BH59/SUM(BH:BH)*'I-Project Contingency'!$F$85=0,0,BH59/SUM(BH:BH)*'I-Project Contingency'!$F$85)</f>
        <v>0</v>
      </c>
      <c r="BS59" s="359">
        <f t="shared" si="29"/>
        <v>42</v>
      </c>
      <c r="BT59" s="360" t="str">
        <f t="shared" si="30"/>
        <v xml:space="preserve">42 - </v>
      </c>
      <c r="BU59" s="354">
        <f t="shared" si="31"/>
        <v>0</v>
      </c>
      <c r="BV59" s="354">
        <f t="shared" si="32"/>
        <v>0</v>
      </c>
      <c r="BW59" s="356">
        <f t="shared" si="33"/>
        <v>0</v>
      </c>
      <c r="BX59" s="356">
        <f t="shared" si="34"/>
        <v>0</v>
      </c>
    </row>
    <row r="60" spans="1:76" ht="29" x14ac:dyDescent="0.35">
      <c r="A60" s="163">
        <f t="shared" si="21"/>
        <v>43</v>
      </c>
      <c r="B60" s="758" t="s">
        <v>728</v>
      </c>
      <c r="C60" s="760"/>
      <c r="D60" s="760"/>
      <c r="E60" s="760"/>
      <c r="F60" s="759" t="s">
        <v>728</v>
      </c>
      <c r="G60" s="759" t="s">
        <v>728</v>
      </c>
      <c r="H60" s="157" t="str">
        <f>IFERROR(IF('H-Risk Register-Model'!F60="Certain","Relook at Basis of Estimate",INDEX('G-Assumptions'!$F$8:$J$11,MATCH(F60,'G-Assumptions'!$D$8:$D$11,0),MATCH(G60,'G-Assumptions'!$F$6:$J$6,0))),"Unrated")</f>
        <v>Unrated</v>
      </c>
      <c r="I60" s="759" t="s">
        <v>728</v>
      </c>
      <c r="J60" s="157" t="str">
        <f>IFERROR(IF('H-Risk Register-Model'!F60="Certain","Relook at Basis of Estimate",INDEX('G-Assumptions'!$F$8:$J$11,MATCH(F60,'G-Assumptions'!$D$8:$D$11,0),MATCH(I60,'G-Assumptions'!$F$6:$J$6,0))),"Unrated")</f>
        <v>Unrated</v>
      </c>
      <c r="K60" s="759" t="s">
        <v>728</v>
      </c>
      <c r="L60" s="759" t="s">
        <v>728</v>
      </c>
      <c r="M60" s="759"/>
      <c r="N60" s="763" t="s">
        <v>728</v>
      </c>
      <c r="O60" s="763" t="s">
        <v>728</v>
      </c>
      <c r="P60" s="764"/>
      <c r="Q60" s="764"/>
      <c r="R60" s="764"/>
      <c r="S60" s="765"/>
      <c r="T60" s="765"/>
      <c r="U60" s="765"/>
      <c r="V60" s="766"/>
      <c r="W60" s="764"/>
      <c r="X60" s="764"/>
      <c r="Y60" s="767">
        <v>1</v>
      </c>
      <c r="Z60" s="770">
        <v>1</v>
      </c>
      <c r="AA60" s="166">
        <f t="shared" si="23"/>
        <v>0</v>
      </c>
      <c r="AB60" s="166">
        <f t="shared" si="24"/>
        <v>0</v>
      </c>
      <c r="AC60" s="166">
        <f t="shared" si="25"/>
        <v>0</v>
      </c>
      <c r="AD60" s="166"/>
      <c r="AE60" s="164">
        <f t="shared" si="26"/>
        <v>0</v>
      </c>
      <c r="AF60" s="167"/>
      <c r="AG60" s="165">
        <f t="shared" si="27"/>
        <v>0</v>
      </c>
      <c r="AH60" s="760"/>
      <c r="AI60" s="760"/>
      <c r="AJ60" s="8"/>
      <c r="AK60" s="524" t="str">
        <f t="shared" si="28"/>
        <v>No</v>
      </c>
      <c r="AL60" s="525">
        <f>'I-Project Contingency'!$I$4</f>
        <v>7250000</v>
      </c>
      <c r="AM60" s="350">
        <f>'I-Project Contingency'!$I$11</f>
        <v>12</v>
      </c>
      <c r="AN60" s="349">
        <f t="shared" si="8"/>
        <v>0</v>
      </c>
      <c r="AO60" s="350">
        <f t="shared" si="9"/>
        <v>0</v>
      </c>
      <c r="AP60" s="672" t="str">
        <f t="shared" si="18"/>
        <v/>
      </c>
      <c r="AQ60" s="672" t="str">
        <f t="shared" si="19"/>
        <v/>
      </c>
      <c r="AR60" s="526" t="str">
        <f t="shared" si="22"/>
        <v/>
      </c>
      <c r="AS60" s="526" t="str">
        <f t="shared" si="20"/>
        <v/>
      </c>
      <c r="AT60" s="8"/>
      <c r="AU60" s="353">
        <f>'I-Project Contingency'!$O$4-AE60</f>
        <v>0</v>
      </c>
      <c r="AV60" s="354">
        <v>1687645.9248406207</v>
      </c>
      <c r="AW60" s="354">
        <v>3291004.7254658043</v>
      </c>
      <c r="AX60" s="354">
        <v>4159167.8232088853</v>
      </c>
      <c r="AY60" s="354">
        <f>'I-Project Contingency'!$E$66-AV60</f>
        <v>0</v>
      </c>
      <c r="AZ60" s="354">
        <f>'I-Project Contingency'!$E$69-AW60</f>
        <v>0</v>
      </c>
      <c r="BA60" s="354">
        <f>'I-Project Contingency'!$E$70-AX60</f>
        <v>0</v>
      </c>
      <c r="BB60" s="355">
        <f>'I-Project Contingency'!$O$5-AG60</f>
        <v>0</v>
      </c>
      <c r="BC60" s="356">
        <v>2.9615115956254372</v>
      </c>
      <c r="BD60" s="356">
        <v>6.001919642116226</v>
      </c>
      <c r="BE60" s="357">
        <v>7.5913096572662919</v>
      </c>
      <c r="BF60" s="356">
        <f>'I-Project Contingency'!$E$81-BC60</f>
        <v>0</v>
      </c>
      <c r="BG60" s="356">
        <f>'I-Project Contingency'!$E$84-BD60</f>
        <v>0</v>
      </c>
      <c r="BH60" s="356">
        <f>'I-Project Contingency'!$E$85-BE60</f>
        <v>0</v>
      </c>
      <c r="BI60" s="358">
        <f>IF(BK60="N/A","N/A",IF('D-Project Data'!$C$6=50%,ABS(BK60),IF('D-Project Data'!$C$6=80%,ABS(BL60),IF('D-Project Data'!$C$6=90%,ABS(BM60)))))</f>
        <v>0</v>
      </c>
      <c r="BJ60" s="359">
        <f>IF(BI60="N/A","N/A",RANK(BI60,$BI$18:$BI$116,0)+COUNTIF($BI$18:BI60,BI60)-1)</f>
        <v>43</v>
      </c>
      <c r="BK60" s="358">
        <f>IF(AY60/SUM(AY:AY)*'I-Project Contingency'!$F$66=0,0,AY60/SUM(AY:AY)*'I-Project Contingency'!$F$66)</f>
        <v>0</v>
      </c>
      <c r="BL60" s="358">
        <f>IF(AZ60/SUM(AZ:AZ)*'I-Project Contingency'!$F$69=0,0,AZ60/SUM(AZ:AZ)*'I-Project Contingency'!$F$69)</f>
        <v>0</v>
      </c>
      <c r="BM60" s="358">
        <f>IF(BA60/SUM(BA:BA)*'I-Project Contingency'!$F$70=0,0,BA60/SUM(BA:BA)*'I-Project Contingency'!$F$70)</f>
        <v>0</v>
      </c>
      <c r="BN60" s="357">
        <f>IF(BP60="N/A","N/A",IF('D-Project Data'!$C$6=50%,ABS(BP60),IF('D-Project Data'!$C$6=80%,ABS(BQ60),IF('D-Project Data'!$C$6=90%,ABS(BR60)))))</f>
        <v>0</v>
      </c>
      <c r="BO60" s="359">
        <f>IF(BN60="N/A","N/A",RANK(BN60,$BN$18:$BN$116,0)+COUNTIF($BN$18:BN60,BN60)-1)</f>
        <v>43</v>
      </c>
      <c r="BP60" s="357">
        <f>IF(BF60/SUM(BF:BF)*'I-Project Contingency'!$F$81=0,0,BF60/SUM(BF:BF)*'I-Project Contingency'!$F$81)</f>
        <v>0</v>
      </c>
      <c r="BQ60" s="357">
        <f>IF(BG60/SUM(BG:BG)*'I-Project Contingency'!$F$84=0,0,BG60/SUM(BG:BG)*'I-Project Contingency'!$F$84)</f>
        <v>0</v>
      </c>
      <c r="BR60" s="357">
        <f>IF(BH60/SUM(BH:BH)*'I-Project Contingency'!$F$85=0,0,BH60/SUM(BH:BH)*'I-Project Contingency'!$F$85)</f>
        <v>0</v>
      </c>
      <c r="BS60" s="359">
        <f t="shared" si="29"/>
        <v>43</v>
      </c>
      <c r="BT60" s="360" t="str">
        <f t="shared" si="30"/>
        <v xml:space="preserve">43 - </v>
      </c>
      <c r="BU60" s="354">
        <f t="shared" si="31"/>
        <v>0</v>
      </c>
      <c r="BV60" s="354">
        <f t="shared" si="32"/>
        <v>0</v>
      </c>
      <c r="BW60" s="356">
        <f t="shared" si="33"/>
        <v>0</v>
      </c>
      <c r="BX60" s="356">
        <f t="shared" si="34"/>
        <v>0</v>
      </c>
    </row>
    <row r="61" spans="1:76" ht="29" x14ac:dyDescent="0.35">
      <c r="A61" s="163">
        <f t="shared" si="21"/>
        <v>44</v>
      </c>
      <c r="B61" s="758" t="s">
        <v>728</v>
      </c>
      <c r="C61" s="760"/>
      <c r="D61" s="760"/>
      <c r="E61" s="760"/>
      <c r="F61" s="759" t="s">
        <v>728</v>
      </c>
      <c r="G61" s="759" t="s">
        <v>728</v>
      </c>
      <c r="H61" s="157" t="str">
        <f>IFERROR(IF('H-Risk Register-Model'!F61="Certain","Relook at Basis of Estimate",INDEX('G-Assumptions'!$F$8:$J$11,MATCH(F61,'G-Assumptions'!$D$8:$D$11,0),MATCH(G61,'G-Assumptions'!$F$6:$J$6,0))),"Unrated")</f>
        <v>Unrated</v>
      </c>
      <c r="I61" s="759" t="s">
        <v>728</v>
      </c>
      <c r="J61" s="157" t="str">
        <f>IFERROR(IF('H-Risk Register-Model'!F61="Certain","Relook at Basis of Estimate",INDEX('G-Assumptions'!$F$8:$J$11,MATCH(F61,'G-Assumptions'!$D$8:$D$11,0),MATCH(I61,'G-Assumptions'!$F$6:$J$6,0))),"Unrated")</f>
        <v>Unrated</v>
      </c>
      <c r="K61" s="759" t="s">
        <v>728</v>
      </c>
      <c r="L61" s="759" t="s">
        <v>728</v>
      </c>
      <c r="M61" s="759"/>
      <c r="N61" s="763" t="s">
        <v>728</v>
      </c>
      <c r="O61" s="763" t="s">
        <v>728</v>
      </c>
      <c r="P61" s="764"/>
      <c r="Q61" s="764"/>
      <c r="R61" s="764"/>
      <c r="S61" s="765"/>
      <c r="T61" s="765"/>
      <c r="U61" s="765"/>
      <c r="V61" s="766"/>
      <c r="W61" s="764"/>
      <c r="X61" s="764"/>
      <c r="Y61" s="767">
        <v>1</v>
      </c>
      <c r="Z61" s="770">
        <v>1</v>
      </c>
      <c r="AA61" s="166">
        <f t="shared" si="23"/>
        <v>0</v>
      </c>
      <c r="AB61" s="166">
        <f t="shared" si="24"/>
        <v>0</v>
      </c>
      <c r="AC61" s="166">
        <f t="shared" si="25"/>
        <v>0</v>
      </c>
      <c r="AD61" s="166"/>
      <c r="AE61" s="164">
        <f t="shared" si="26"/>
        <v>0</v>
      </c>
      <c r="AF61" s="167"/>
      <c r="AG61" s="165">
        <f t="shared" si="27"/>
        <v>0</v>
      </c>
      <c r="AH61" s="760"/>
      <c r="AI61" s="760"/>
      <c r="AJ61" s="8"/>
      <c r="AK61" s="524" t="str">
        <f t="shared" si="28"/>
        <v>No</v>
      </c>
      <c r="AL61" s="525">
        <f>'I-Project Contingency'!$I$4</f>
        <v>7250000</v>
      </c>
      <c r="AM61" s="350">
        <f>'I-Project Contingency'!$I$11</f>
        <v>12</v>
      </c>
      <c r="AN61" s="349">
        <f t="shared" si="8"/>
        <v>0</v>
      </c>
      <c r="AO61" s="350">
        <f t="shared" si="9"/>
        <v>0</v>
      </c>
      <c r="AP61" s="672" t="str">
        <f t="shared" si="18"/>
        <v/>
      </c>
      <c r="AQ61" s="672" t="str">
        <f t="shared" si="19"/>
        <v/>
      </c>
      <c r="AR61" s="526" t="str">
        <f t="shared" si="22"/>
        <v/>
      </c>
      <c r="AS61" s="526" t="str">
        <f t="shared" si="20"/>
        <v/>
      </c>
      <c r="AT61" s="8"/>
      <c r="AU61" s="353">
        <f>'I-Project Contingency'!$O$4-AE61</f>
        <v>0</v>
      </c>
      <c r="AV61" s="354">
        <v>1687645.9248406207</v>
      </c>
      <c r="AW61" s="354">
        <v>3291004.7254658043</v>
      </c>
      <c r="AX61" s="354">
        <v>4159167.8232088853</v>
      </c>
      <c r="AY61" s="354">
        <f>'I-Project Contingency'!$E$66-AV61</f>
        <v>0</v>
      </c>
      <c r="AZ61" s="354">
        <f>'I-Project Contingency'!$E$69-AW61</f>
        <v>0</v>
      </c>
      <c r="BA61" s="354">
        <f>'I-Project Contingency'!$E$70-AX61</f>
        <v>0</v>
      </c>
      <c r="BB61" s="355">
        <f>'I-Project Contingency'!$O$5-AG61</f>
        <v>0</v>
      </c>
      <c r="BC61" s="356">
        <v>2.9615115956254372</v>
      </c>
      <c r="BD61" s="356">
        <v>6.001919642116226</v>
      </c>
      <c r="BE61" s="357">
        <v>7.5913096572662919</v>
      </c>
      <c r="BF61" s="356">
        <f>'I-Project Contingency'!$E$81-BC61</f>
        <v>0</v>
      </c>
      <c r="BG61" s="356">
        <f>'I-Project Contingency'!$E$84-BD61</f>
        <v>0</v>
      </c>
      <c r="BH61" s="356">
        <f>'I-Project Contingency'!$E$85-BE61</f>
        <v>0</v>
      </c>
      <c r="BI61" s="358">
        <f>IF(BK61="N/A","N/A",IF('D-Project Data'!$C$6=50%,ABS(BK61),IF('D-Project Data'!$C$6=80%,ABS(BL61),IF('D-Project Data'!$C$6=90%,ABS(BM61)))))</f>
        <v>0</v>
      </c>
      <c r="BJ61" s="359">
        <f>IF(BI61="N/A","N/A",RANK(BI61,$BI$18:$BI$116,0)+COUNTIF($BI$18:BI61,BI61)-1)</f>
        <v>44</v>
      </c>
      <c r="BK61" s="358">
        <f>IF(AY61/SUM(AY:AY)*'I-Project Contingency'!$F$66=0,0,AY61/SUM(AY:AY)*'I-Project Contingency'!$F$66)</f>
        <v>0</v>
      </c>
      <c r="BL61" s="358">
        <f>IF(AZ61/SUM(AZ:AZ)*'I-Project Contingency'!$F$69=0,0,AZ61/SUM(AZ:AZ)*'I-Project Contingency'!$F$69)</f>
        <v>0</v>
      </c>
      <c r="BM61" s="358">
        <f>IF(BA61/SUM(BA:BA)*'I-Project Contingency'!$F$70=0,0,BA61/SUM(BA:BA)*'I-Project Contingency'!$F$70)</f>
        <v>0</v>
      </c>
      <c r="BN61" s="357">
        <f>IF(BP61="N/A","N/A",IF('D-Project Data'!$C$6=50%,ABS(BP61),IF('D-Project Data'!$C$6=80%,ABS(BQ61),IF('D-Project Data'!$C$6=90%,ABS(BR61)))))</f>
        <v>0</v>
      </c>
      <c r="BO61" s="359">
        <f>IF(BN61="N/A","N/A",RANK(BN61,$BN$18:$BN$116,0)+COUNTIF($BN$18:BN61,BN61)-1)</f>
        <v>44</v>
      </c>
      <c r="BP61" s="357">
        <f>IF(BF61/SUM(BF:BF)*'I-Project Contingency'!$F$81=0,0,BF61/SUM(BF:BF)*'I-Project Contingency'!$F$81)</f>
        <v>0</v>
      </c>
      <c r="BQ61" s="357">
        <f>IF(BG61/SUM(BG:BG)*'I-Project Contingency'!$F$84=0,0,BG61/SUM(BG:BG)*'I-Project Contingency'!$F$84)</f>
        <v>0</v>
      </c>
      <c r="BR61" s="357">
        <f>IF(BH61/SUM(BH:BH)*'I-Project Contingency'!$F$85=0,0,BH61/SUM(BH:BH)*'I-Project Contingency'!$F$85)</f>
        <v>0</v>
      </c>
      <c r="BS61" s="359">
        <f t="shared" si="29"/>
        <v>44</v>
      </c>
      <c r="BT61" s="360" t="str">
        <f t="shared" si="30"/>
        <v xml:space="preserve">44 - </v>
      </c>
      <c r="BU61" s="354">
        <f t="shared" si="31"/>
        <v>0</v>
      </c>
      <c r="BV61" s="354">
        <f t="shared" si="32"/>
        <v>0</v>
      </c>
      <c r="BW61" s="356">
        <f t="shared" si="33"/>
        <v>0</v>
      </c>
      <c r="BX61" s="356">
        <f t="shared" si="34"/>
        <v>0</v>
      </c>
    </row>
    <row r="62" spans="1:76" ht="29" x14ac:dyDescent="0.35">
      <c r="A62" s="163">
        <f t="shared" si="21"/>
        <v>45</v>
      </c>
      <c r="B62" s="758" t="s">
        <v>728</v>
      </c>
      <c r="C62" s="760" t="s">
        <v>659</v>
      </c>
      <c r="D62" s="760" t="s">
        <v>659</v>
      </c>
      <c r="E62" s="760" t="s">
        <v>659</v>
      </c>
      <c r="F62" s="759" t="s">
        <v>728</v>
      </c>
      <c r="G62" s="759" t="s">
        <v>728</v>
      </c>
      <c r="H62" s="157" t="str">
        <f>IFERROR(IF('H-Risk Register-Model'!F62="Certain","Relook at Basis of Estimate",INDEX('G-Assumptions'!$F$8:$J$11,MATCH(F62,'G-Assumptions'!$D$8:$D$11,0),MATCH(G62,'G-Assumptions'!$F$6:$J$6,0))),"Unrated")</f>
        <v>Unrated</v>
      </c>
      <c r="I62" s="759" t="s">
        <v>728</v>
      </c>
      <c r="J62" s="157" t="str">
        <f>IFERROR(IF('H-Risk Register-Model'!F62="Certain","Relook at Basis of Estimate",INDEX('G-Assumptions'!$F$8:$J$11,MATCH(F62,'G-Assumptions'!$D$8:$D$11,0),MATCH(I62,'G-Assumptions'!$F$6:$J$6,0))),"Unrated")</f>
        <v>Unrated</v>
      </c>
      <c r="K62" s="759" t="s">
        <v>728</v>
      </c>
      <c r="L62" s="759" t="s">
        <v>728</v>
      </c>
      <c r="M62" s="759"/>
      <c r="N62" s="763" t="s">
        <v>728</v>
      </c>
      <c r="O62" s="763" t="s">
        <v>728</v>
      </c>
      <c r="P62" s="764"/>
      <c r="Q62" s="764"/>
      <c r="R62" s="764"/>
      <c r="S62" s="765"/>
      <c r="T62" s="765"/>
      <c r="U62" s="765"/>
      <c r="V62" s="766"/>
      <c r="W62" s="764"/>
      <c r="X62" s="764"/>
      <c r="Y62" s="767">
        <v>1</v>
      </c>
      <c r="Z62" s="770">
        <v>1</v>
      </c>
      <c r="AA62" s="166">
        <f t="shared" si="23"/>
        <v>0</v>
      </c>
      <c r="AB62" s="166">
        <f t="shared" si="24"/>
        <v>0</v>
      </c>
      <c r="AC62" s="166">
        <f t="shared" si="25"/>
        <v>0</v>
      </c>
      <c r="AD62" s="166"/>
      <c r="AE62" s="164">
        <f t="shared" si="26"/>
        <v>0</v>
      </c>
      <c r="AF62" s="167"/>
      <c r="AG62" s="165">
        <f t="shared" si="27"/>
        <v>0</v>
      </c>
      <c r="AH62" s="760"/>
      <c r="AI62" s="760"/>
      <c r="AJ62" s="8"/>
      <c r="AK62" s="524" t="str">
        <f t="shared" si="28"/>
        <v>No</v>
      </c>
      <c r="AL62" s="525">
        <f>'I-Project Contingency'!$I$4</f>
        <v>7250000</v>
      </c>
      <c r="AM62" s="350">
        <f>'I-Project Contingency'!$I$11</f>
        <v>12</v>
      </c>
      <c r="AN62" s="349">
        <f t="shared" si="8"/>
        <v>0</v>
      </c>
      <c r="AO62" s="350">
        <f t="shared" si="9"/>
        <v>0</v>
      </c>
      <c r="AP62" s="672" t="str">
        <f t="shared" si="18"/>
        <v/>
      </c>
      <c r="AQ62" s="672" t="str">
        <f t="shared" si="19"/>
        <v/>
      </c>
      <c r="AR62" s="526" t="str">
        <f t="shared" si="22"/>
        <v/>
      </c>
      <c r="AS62" s="526" t="str">
        <f t="shared" si="20"/>
        <v/>
      </c>
      <c r="AT62" s="8"/>
      <c r="AU62" s="353">
        <f>'I-Project Contingency'!$O$4-AE62</f>
        <v>0</v>
      </c>
      <c r="AV62" s="354">
        <v>1687645.9248406207</v>
      </c>
      <c r="AW62" s="354">
        <v>3291004.7254658043</v>
      </c>
      <c r="AX62" s="354">
        <v>4159167.8232088853</v>
      </c>
      <c r="AY62" s="354">
        <f>'I-Project Contingency'!$E$66-AV62</f>
        <v>0</v>
      </c>
      <c r="AZ62" s="354">
        <f>'I-Project Contingency'!$E$69-AW62</f>
        <v>0</v>
      </c>
      <c r="BA62" s="354">
        <f>'I-Project Contingency'!$E$70-AX62</f>
        <v>0</v>
      </c>
      <c r="BB62" s="355">
        <f>'I-Project Contingency'!$O$5-AG62</f>
        <v>0</v>
      </c>
      <c r="BC62" s="356">
        <v>2.9615115956254372</v>
      </c>
      <c r="BD62" s="356">
        <v>6.001919642116226</v>
      </c>
      <c r="BE62" s="357">
        <v>7.5913096572662919</v>
      </c>
      <c r="BF62" s="356">
        <f>'I-Project Contingency'!$E$81-BC62</f>
        <v>0</v>
      </c>
      <c r="BG62" s="356">
        <f>'I-Project Contingency'!$E$84-BD62</f>
        <v>0</v>
      </c>
      <c r="BH62" s="356">
        <f>'I-Project Contingency'!$E$85-BE62</f>
        <v>0</v>
      </c>
      <c r="BI62" s="358">
        <f>IF(BK62="N/A","N/A",IF('D-Project Data'!$C$6=50%,ABS(BK62),IF('D-Project Data'!$C$6=80%,ABS(BL62),IF('D-Project Data'!$C$6=90%,ABS(BM62)))))</f>
        <v>0</v>
      </c>
      <c r="BJ62" s="359">
        <f>IF(BI62="N/A","N/A",RANK(BI62,$BI$18:$BI$116,0)+COUNTIF($BI$18:BI62,BI62)-1)</f>
        <v>45</v>
      </c>
      <c r="BK62" s="358">
        <f>IF(AY62/SUM(AY:AY)*'I-Project Contingency'!$F$66=0,0,AY62/SUM(AY:AY)*'I-Project Contingency'!$F$66)</f>
        <v>0</v>
      </c>
      <c r="BL62" s="358">
        <f>IF(AZ62/SUM(AZ:AZ)*'I-Project Contingency'!$F$69=0,0,AZ62/SUM(AZ:AZ)*'I-Project Contingency'!$F$69)</f>
        <v>0</v>
      </c>
      <c r="BM62" s="358">
        <f>IF(BA62/SUM(BA:BA)*'I-Project Contingency'!$F$70=0,0,BA62/SUM(BA:BA)*'I-Project Contingency'!$F$70)</f>
        <v>0</v>
      </c>
      <c r="BN62" s="357">
        <f>IF(BP62="N/A","N/A",IF('D-Project Data'!$C$6=50%,ABS(BP62),IF('D-Project Data'!$C$6=80%,ABS(BQ62),IF('D-Project Data'!$C$6=90%,ABS(BR62)))))</f>
        <v>0</v>
      </c>
      <c r="BO62" s="359">
        <f>IF(BN62="N/A","N/A",RANK(BN62,$BN$18:$BN$116,0)+COUNTIF($BN$18:BN62,BN62)-1)</f>
        <v>45</v>
      </c>
      <c r="BP62" s="357">
        <f>IF(BF62/SUM(BF:BF)*'I-Project Contingency'!$F$81=0,0,BF62/SUM(BF:BF)*'I-Project Contingency'!$F$81)</f>
        <v>0</v>
      </c>
      <c r="BQ62" s="357">
        <f>IF(BG62/SUM(BG:BG)*'I-Project Contingency'!$F$84=0,0,BG62/SUM(BG:BG)*'I-Project Contingency'!$F$84)</f>
        <v>0</v>
      </c>
      <c r="BR62" s="357">
        <f>IF(BH62/SUM(BH:BH)*'I-Project Contingency'!$F$85=0,0,BH62/SUM(BH:BH)*'I-Project Contingency'!$F$85)</f>
        <v>0</v>
      </c>
      <c r="BS62" s="359">
        <f t="shared" si="29"/>
        <v>45</v>
      </c>
      <c r="BT62" s="360" t="str">
        <f t="shared" si="30"/>
        <v xml:space="preserve">45 -  </v>
      </c>
      <c r="BU62" s="354">
        <f t="shared" si="31"/>
        <v>0</v>
      </c>
      <c r="BV62" s="354">
        <f t="shared" si="32"/>
        <v>0</v>
      </c>
      <c r="BW62" s="356">
        <f t="shared" si="33"/>
        <v>0</v>
      </c>
      <c r="BX62" s="356">
        <f t="shared" si="34"/>
        <v>0</v>
      </c>
    </row>
    <row r="63" spans="1:76" ht="29" x14ac:dyDescent="0.35">
      <c r="A63" s="163">
        <f t="shared" si="21"/>
        <v>46</v>
      </c>
      <c r="B63" s="758" t="s">
        <v>728</v>
      </c>
      <c r="C63" s="760" t="s">
        <v>659</v>
      </c>
      <c r="D63" s="760" t="s">
        <v>659</v>
      </c>
      <c r="E63" s="760" t="s">
        <v>659</v>
      </c>
      <c r="F63" s="759" t="s">
        <v>728</v>
      </c>
      <c r="G63" s="759" t="s">
        <v>728</v>
      </c>
      <c r="H63" s="157" t="str">
        <f>IFERROR(IF('H-Risk Register-Model'!F63="Certain","Relook at Basis of Estimate",INDEX('G-Assumptions'!$F$8:$J$11,MATCH(F63,'G-Assumptions'!$D$8:$D$11,0),MATCH(G63,'G-Assumptions'!$F$6:$J$6,0))),"Unrated")</f>
        <v>Unrated</v>
      </c>
      <c r="I63" s="759" t="s">
        <v>728</v>
      </c>
      <c r="J63" s="157" t="str">
        <f>IFERROR(IF('H-Risk Register-Model'!F63="Certain","Relook at Basis of Estimate",INDEX('G-Assumptions'!$F$8:$J$11,MATCH(F63,'G-Assumptions'!$D$8:$D$11,0),MATCH(I63,'G-Assumptions'!$F$6:$J$6,0))),"Unrated")</f>
        <v>Unrated</v>
      </c>
      <c r="K63" s="759" t="s">
        <v>728</v>
      </c>
      <c r="L63" s="759" t="s">
        <v>728</v>
      </c>
      <c r="M63" s="759"/>
      <c r="N63" s="763" t="s">
        <v>728</v>
      </c>
      <c r="O63" s="763" t="s">
        <v>728</v>
      </c>
      <c r="P63" s="764"/>
      <c r="Q63" s="764"/>
      <c r="R63" s="764"/>
      <c r="S63" s="765"/>
      <c r="T63" s="765"/>
      <c r="U63" s="765"/>
      <c r="V63" s="766"/>
      <c r="W63" s="764"/>
      <c r="X63" s="764"/>
      <c r="Y63" s="767">
        <v>1</v>
      </c>
      <c r="Z63" s="770">
        <v>1</v>
      </c>
      <c r="AA63" s="166">
        <f t="shared" ref="AA63:AA116" si="40">P63+V63</f>
        <v>0</v>
      </c>
      <c r="AB63" s="166">
        <f t="shared" ref="AB63:AB116" si="41">Q63+W63</f>
        <v>0</v>
      </c>
      <c r="AC63" s="166">
        <f t="shared" ref="AC63:AC116" si="42">R63+X63</f>
        <v>0</v>
      </c>
      <c r="AD63" s="166"/>
      <c r="AE63" s="164">
        <f t="shared" ref="AE63:AE116" si="43">AD63*Z63</f>
        <v>0</v>
      </c>
      <c r="AF63" s="167"/>
      <c r="AG63" s="165">
        <f t="shared" ref="AG63:AG116" si="44">AF63*Z63</f>
        <v>0</v>
      </c>
      <c r="AH63" s="760"/>
      <c r="AI63" s="760"/>
      <c r="AJ63" s="8"/>
      <c r="AK63" s="524" t="str">
        <f t="shared" ref="AK63:AK116" si="45">IF(OR(H63="Medium",H63="High",J63="Medium",J63="High"),"Yes","No")</f>
        <v>No</v>
      </c>
      <c r="AL63" s="525">
        <f>'I-Project Contingency'!$I$4</f>
        <v>7250000</v>
      </c>
      <c r="AM63" s="350">
        <f>'I-Project Contingency'!$I$11</f>
        <v>12</v>
      </c>
      <c r="AN63" s="349">
        <f t="shared" si="8"/>
        <v>0</v>
      </c>
      <c r="AO63" s="350">
        <f t="shared" si="9"/>
        <v>0</v>
      </c>
      <c r="AP63" s="672" t="str">
        <f t="shared" si="18"/>
        <v/>
      </c>
      <c r="AQ63" s="672" t="str">
        <f t="shared" si="19"/>
        <v/>
      </c>
      <c r="AR63" s="526" t="str">
        <f t="shared" si="22"/>
        <v/>
      </c>
      <c r="AS63" s="526" t="str">
        <f t="shared" si="20"/>
        <v/>
      </c>
      <c r="AT63" s="8"/>
      <c r="AU63" s="353">
        <f>'I-Project Contingency'!$O$4-AE63</f>
        <v>0</v>
      </c>
      <c r="AV63" s="354">
        <v>1687645.9248406207</v>
      </c>
      <c r="AW63" s="354">
        <v>3291004.7254658043</v>
      </c>
      <c r="AX63" s="354">
        <v>4159167.8232088853</v>
      </c>
      <c r="AY63" s="354">
        <f>'I-Project Contingency'!$E$66-AV63</f>
        <v>0</v>
      </c>
      <c r="AZ63" s="354">
        <f>'I-Project Contingency'!$E$69-AW63</f>
        <v>0</v>
      </c>
      <c r="BA63" s="354">
        <f>'I-Project Contingency'!$E$70-AX63</f>
        <v>0</v>
      </c>
      <c r="BB63" s="355">
        <f>'I-Project Contingency'!$O$5-AG63</f>
        <v>0</v>
      </c>
      <c r="BC63" s="356">
        <v>2.9615115956254372</v>
      </c>
      <c r="BD63" s="356">
        <v>6.001919642116226</v>
      </c>
      <c r="BE63" s="357">
        <v>7.5913096572662919</v>
      </c>
      <c r="BF63" s="356">
        <f>'I-Project Contingency'!$E$81-BC63</f>
        <v>0</v>
      </c>
      <c r="BG63" s="356">
        <f>'I-Project Contingency'!$E$84-BD63</f>
        <v>0</v>
      </c>
      <c r="BH63" s="356">
        <f>'I-Project Contingency'!$E$85-BE63</f>
        <v>0</v>
      </c>
      <c r="BI63" s="358">
        <f>IF(BK63="N/A","N/A",IF('D-Project Data'!$C$6=50%,ABS(BK63),IF('D-Project Data'!$C$6=80%,ABS(BL63),IF('D-Project Data'!$C$6=90%,ABS(BM63)))))</f>
        <v>0</v>
      </c>
      <c r="BJ63" s="359">
        <f>IF(BI63="N/A","N/A",RANK(BI63,$BI$18:$BI$116,0)+COUNTIF($BI$18:BI63,BI63)-1)</f>
        <v>46</v>
      </c>
      <c r="BK63" s="358">
        <f>IF(AY63/SUM(AY:AY)*'I-Project Contingency'!$F$66=0,0,AY63/SUM(AY:AY)*'I-Project Contingency'!$F$66)</f>
        <v>0</v>
      </c>
      <c r="BL63" s="358">
        <f>IF(AZ63/SUM(AZ:AZ)*'I-Project Contingency'!$F$69=0,0,AZ63/SUM(AZ:AZ)*'I-Project Contingency'!$F$69)</f>
        <v>0</v>
      </c>
      <c r="BM63" s="358">
        <f>IF(BA63/SUM(BA:BA)*'I-Project Contingency'!$F$70=0,0,BA63/SUM(BA:BA)*'I-Project Contingency'!$F$70)</f>
        <v>0</v>
      </c>
      <c r="BN63" s="357">
        <f>IF(BP63="N/A","N/A",IF('D-Project Data'!$C$6=50%,ABS(BP63),IF('D-Project Data'!$C$6=80%,ABS(BQ63),IF('D-Project Data'!$C$6=90%,ABS(BR63)))))</f>
        <v>0</v>
      </c>
      <c r="BO63" s="359">
        <f>IF(BN63="N/A","N/A",RANK(BN63,$BN$18:$BN$116,0)+COUNTIF($BN$18:BN63,BN63)-1)</f>
        <v>46</v>
      </c>
      <c r="BP63" s="357">
        <f>IF(BF63/SUM(BF:BF)*'I-Project Contingency'!$F$81=0,0,BF63/SUM(BF:BF)*'I-Project Contingency'!$F$81)</f>
        <v>0</v>
      </c>
      <c r="BQ63" s="357">
        <f>IF(BG63/SUM(BG:BG)*'I-Project Contingency'!$F$84=0,0,BG63/SUM(BG:BG)*'I-Project Contingency'!$F$84)</f>
        <v>0</v>
      </c>
      <c r="BR63" s="357">
        <f>IF(BH63/SUM(BH:BH)*'I-Project Contingency'!$F$85=0,0,BH63/SUM(BH:BH)*'I-Project Contingency'!$F$85)</f>
        <v>0</v>
      </c>
      <c r="BS63" s="359">
        <f t="shared" ref="BS63:BS116" si="46">A63</f>
        <v>46</v>
      </c>
      <c r="BT63" s="360" t="str">
        <f t="shared" ref="BT63:BT116" si="47">A63&amp;" - "&amp;C63</f>
        <v xml:space="preserve">46 -  </v>
      </c>
      <c r="BU63" s="354">
        <f t="shared" ref="BU63:BU116" si="48">AA63</f>
        <v>0</v>
      </c>
      <c r="BV63" s="354">
        <f t="shared" ref="BV63:BV116" si="49">AC63</f>
        <v>0</v>
      </c>
      <c r="BW63" s="356">
        <f t="shared" ref="BW63:BW116" si="50">IFERROR(S63,0)</f>
        <v>0</v>
      </c>
      <c r="BX63" s="356">
        <f t="shared" ref="BX63:BX116" si="51">IFERROR(U63,0)</f>
        <v>0</v>
      </c>
    </row>
    <row r="64" spans="1:76" ht="29" x14ac:dyDescent="0.35">
      <c r="A64" s="163">
        <f t="shared" si="21"/>
        <v>47</v>
      </c>
      <c r="B64" s="758" t="s">
        <v>728</v>
      </c>
      <c r="C64" s="760" t="s">
        <v>659</v>
      </c>
      <c r="D64" s="760" t="s">
        <v>659</v>
      </c>
      <c r="E64" s="760" t="s">
        <v>659</v>
      </c>
      <c r="F64" s="759" t="s">
        <v>728</v>
      </c>
      <c r="G64" s="759" t="s">
        <v>728</v>
      </c>
      <c r="H64" s="157" t="str">
        <f>IFERROR(IF('H-Risk Register-Model'!F64="Certain","Relook at Basis of Estimate",INDEX('G-Assumptions'!$F$8:$J$11,MATCH(F64,'G-Assumptions'!$D$8:$D$11,0),MATCH(G64,'G-Assumptions'!$F$6:$J$6,0))),"Unrated")</f>
        <v>Unrated</v>
      </c>
      <c r="I64" s="759" t="s">
        <v>728</v>
      </c>
      <c r="J64" s="157" t="str">
        <f>IFERROR(IF('H-Risk Register-Model'!F64="Certain","Relook at Basis of Estimate",INDEX('G-Assumptions'!$F$8:$J$11,MATCH(F64,'G-Assumptions'!$D$8:$D$11,0),MATCH(I64,'G-Assumptions'!$F$6:$J$6,0))),"Unrated")</f>
        <v>Unrated</v>
      </c>
      <c r="K64" s="759" t="s">
        <v>728</v>
      </c>
      <c r="L64" s="759" t="s">
        <v>728</v>
      </c>
      <c r="M64" s="759"/>
      <c r="N64" s="763" t="s">
        <v>728</v>
      </c>
      <c r="O64" s="763" t="s">
        <v>728</v>
      </c>
      <c r="P64" s="764"/>
      <c r="Q64" s="764"/>
      <c r="R64" s="764"/>
      <c r="S64" s="765"/>
      <c r="T64" s="765"/>
      <c r="U64" s="765"/>
      <c r="V64" s="766"/>
      <c r="W64" s="764"/>
      <c r="X64" s="764"/>
      <c r="Y64" s="767">
        <v>1</v>
      </c>
      <c r="Z64" s="770">
        <v>1</v>
      </c>
      <c r="AA64" s="166">
        <f t="shared" si="40"/>
        <v>0</v>
      </c>
      <c r="AB64" s="166">
        <f t="shared" si="41"/>
        <v>0</v>
      </c>
      <c r="AC64" s="166">
        <f t="shared" si="42"/>
        <v>0</v>
      </c>
      <c r="AD64" s="166"/>
      <c r="AE64" s="164">
        <f t="shared" si="43"/>
        <v>0</v>
      </c>
      <c r="AF64" s="167"/>
      <c r="AG64" s="165">
        <f t="shared" si="44"/>
        <v>0</v>
      </c>
      <c r="AH64" s="760"/>
      <c r="AI64" s="760"/>
      <c r="AJ64" s="8"/>
      <c r="AK64" s="524" t="str">
        <f t="shared" si="45"/>
        <v>No</v>
      </c>
      <c r="AL64" s="525">
        <f>'I-Project Contingency'!$I$4</f>
        <v>7250000</v>
      </c>
      <c r="AM64" s="350">
        <f>'I-Project Contingency'!$I$11</f>
        <v>12</v>
      </c>
      <c r="AN64" s="349">
        <f t="shared" si="8"/>
        <v>0</v>
      </c>
      <c r="AO64" s="350">
        <f t="shared" si="9"/>
        <v>0</v>
      </c>
      <c r="AP64" s="672" t="str">
        <f t="shared" si="18"/>
        <v/>
      </c>
      <c r="AQ64" s="672" t="str">
        <f t="shared" si="19"/>
        <v/>
      </c>
      <c r="AR64" s="526" t="str">
        <f t="shared" si="22"/>
        <v/>
      </c>
      <c r="AS64" s="526" t="str">
        <f t="shared" si="20"/>
        <v/>
      </c>
      <c r="AT64" s="8"/>
      <c r="AU64" s="353">
        <f>'I-Project Contingency'!$O$4-AE64</f>
        <v>0</v>
      </c>
      <c r="AV64" s="354">
        <v>1687645.9248406207</v>
      </c>
      <c r="AW64" s="354">
        <v>3291004.7254658043</v>
      </c>
      <c r="AX64" s="354">
        <v>4159167.8232088853</v>
      </c>
      <c r="AY64" s="354">
        <f>'I-Project Contingency'!$E$66-AV64</f>
        <v>0</v>
      </c>
      <c r="AZ64" s="354">
        <f>'I-Project Contingency'!$E$69-AW64</f>
        <v>0</v>
      </c>
      <c r="BA64" s="354">
        <f>'I-Project Contingency'!$E$70-AX64</f>
        <v>0</v>
      </c>
      <c r="BB64" s="355">
        <f>'I-Project Contingency'!$O$5-AG64</f>
        <v>0</v>
      </c>
      <c r="BC64" s="356">
        <v>2.9615115956254372</v>
      </c>
      <c r="BD64" s="356">
        <v>6.001919642116226</v>
      </c>
      <c r="BE64" s="357">
        <v>7.5913096572662919</v>
      </c>
      <c r="BF64" s="356">
        <f>'I-Project Contingency'!$E$81-BC64</f>
        <v>0</v>
      </c>
      <c r="BG64" s="356">
        <f>'I-Project Contingency'!$E$84-BD64</f>
        <v>0</v>
      </c>
      <c r="BH64" s="356">
        <f>'I-Project Contingency'!$E$85-BE64</f>
        <v>0</v>
      </c>
      <c r="BI64" s="358">
        <f>IF(BK64="N/A","N/A",IF('D-Project Data'!$C$6=50%,ABS(BK64),IF('D-Project Data'!$C$6=80%,ABS(BL64),IF('D-Project Data'!$C$6=90%,ABS(BM64)))))</f>
        <v>0</v>
      </c>
      <c r="BJ64" s="359">
        <f>IF(BI64="N/A","N/A",RANK(BI64,$BI$18:$BI$116,0)+COUNTIF($BI$18:BI64,BI64)-1)</f>
        <v>47</v>
      </c>
      <c r="BK64" s="358">
        <f>IF(AY64/SUM(AY:AY)*'I-Project Contingency'!$F$66=0,0,AY64/SUM(AY:AY)*'I-Project Contingency'!$F$66)</f>
        <v>0</v>
      </c>
      <c r="BL64" s="358">
        <f>IF(AZ64/SUM(AZ:AZ)*'I-Project Contingency'!$F$69=0,0,AZ64/SUM(AZ:AZ)*'I-Project Contingency'!$F$69)</f>
        <v>0</v>
      </c>
      <c r="BM64" s="358">
        <f>IF(BA64/SUM(BA:BA)*'I-Project Contingency'!$F$70=0,0,BA64/SUM(BA:BA)*'I-Project Contingency'!$F$70)</f>
        <v>0</v>
      </c>
      <c r="BN64" s="357">
        <f>IF(BP64="N/A","N/A",IF('D-Project Data'!$C$6=50%,ABS(BP64),IF('D-Project Data'!$C$6=80%,ABS(BQ64),IF('D-Project Data'!$C$6=90%,ABS(BR64)))))</f>
        <v>0</v>
      </c>
      <c r="BO64" s="359">
        <f>IF(BN64="N/A","N/A",RANK(BN64,$BN$18:$BN$116,0)+COUNTIF($BN$18:BN64,BN64)-1)</f>
        <v>47</v>
      </c>
      <c r="BP64" s="357">
        <f>IF(BF64/SUM(BF:BF)*'I-Project Contingency'!$F$81=0,0,BF64/SUM(BF:BF)*'I-Project Contingency'!$F$81)</f>
        <v>0</v>
      </c>
      <c r="BQ64" s="357">
        <f>IF(BG64/SUM(BG:BG)*'I-Project Contingency'!$F$84=0,0,BG64/SUM(BG:BG)*'I-Project Contingency'!$F$84)</f>
        <v>0</v>
      </c>
      <c r="BR64" s="357">
        <f>IF(BH64/SUM(BH:BH)*'I-Project Contingency'!$F$85=0,0,BH64/SUM(BH:BH)*'I-Project Contingency'!$F$85)</f>
        <v>0</v>
      </c>
      <c r="BS64" s="359">
        <f t="shared" si="46"/>
        <v>47</v>
      </c>
      <c r="BT64" s="360" t="str">
        <f t="shared" si="47"/>
        <v xml:space="preserve">47 -  </v>
      </c>
      <c r="BU64" s="354">
        <f t="shared" si="48"/>
        <v>0</v>
      </c>
      <c r="BV64" s="354">
        <f t="shared" si="49"/>
        <v>0</v>
      </c>
      <c r="BW64" s="356">
        <f t="shared" si="50"/>
        <v>0</v>
      </c>
      <c r="BX64" s="356">
        <f t="shared" si="51"/>
        <v>0</v>
      </c>
    </row>
    <row r="65" spans="1:76" ht="29" x14ac:dyDescent="0.35">
      <c r="A65" s="163">
        <f t="shared" si="21"/>
        <v>48</v>
      </c>
      <c r="B65" s="758" t="s">
        <v>728</v>
      </c>
      <c r="C65" s="760" t="s">
        <v>659</v>
      </c>
      <c r="D65" s="760" t="s">
        <v>659</v>
      </c>
      <c r="E65" s="760" t="s">
        <v>659</v>
      </c>
      <c r="F65" s="759" t="s">
        <v>728</v>
      </c>
      <c r="G65" s="759" t="s">
        <v>728</v>
      </c>
      <c r="H65" s="157" t="str">
        <f>IFERROR(IF('H-Risk Register-Model'!F65="Certain","Relook at Basis of Estimate",INDEX('G-Assumptions'!$F$8:$J$11,MATCH(F65,'G-Assumptions'!$D$8:$D$11,0),MATCH(G65,'G-Assumptions'!$F$6:$J$6,0))),"Unrated")</f>
        <v>Unrated</v>
      </c>
      <c r="I65" s="759" t="s">
        <v>728</v>
      </c>
      <c r="J65" s="157" t="str">
        <f>IFERROR(IF('H-Risk Register-Model'!F65="Certain","Relook at Basis of Estimate",INDEX('G-Assumptions'!$F$8:$J$11,MATCH(F65,'G-Assumptions'!$D$8:$D$11,0),MATCH(I65,'G-Assumptions'!$F$6:$J$6,0))),"Unrated")</f>
        <v>Unrated</v>
      </c>
      <c r="K65" s="759" t="s">
        <v>728</v>
      </c>
      <c r="L65" s="759" t="s">
        <v>728</v>
      </c>
      <c r="M65" s="759"/>
      <c r="N65" s="763" t="s">
        <v>728</v>
      </c>
      <c r="O65" s="763" t="s">
        <v>728</v>
      </c>
      <c r="P65" s="764"/>
      <c r="Q65" s="764"/>
      <c r="R65" s="764"/>
      <c r="S65" s="765"/>
      <c r="T65" s="765"/>
      <c r="U65" s="765"/>
      <c r="V65" s="766"/>
      <c r="W65" s="764"/>
      <c r="X65" s="764"/>
      <c r="Y65" s="767">
        <v>1</v>
      </c>
      <c r="Z65" s="770">
        <v>1</v>
      </c>
      <c r="AA65" s="166">
        <f t="shared" si="40"/>
        <v>0</v>
      </c>
      <c r="AB65" s="166">
        <f t="shared" si="41"/>
        <v>0</v>
      </c>
      <c r="AC65" s="166">
        <f t="shared" si="42"/>
        <v>0</v>
      </c>
      <c r="AD65" s="166"/>
      <c r="AE65" s="164">
        <f t="shared" si="43"/>
        <v>0</v>
      </c>
      <c r="AF65" s="167"/>
      <c r="AG65" s="165">
        <f t="shared" si="44"/>
        <v>0</v>
      </c>
      <c r="AH65" s="760"/>
      <c r="AI65" s="760"/>
      <c r="AJ65" s="8"/>
      <c r="AK65" s="524" t="str">
        <f t="shared" si="45"/>
        <v>No</v>
      </c>
      <c r="AL65" s="525">
        <f>'I-Project Contingency'!$I$4</f>
        <v>7250000</v>
      </c>
      <c r="AM65" s="350">
        <f>'I-Project Contingency'!$I$11</f>
        <v>12</v>
      </c>
      <c r="AN65" s="349">
        <f t="shared" si="8"/>
        <v>0</v>
      </c>
      <c r="AO65" s="350">
        <f t="shared" si="9"/>
        <v>0</v>
      </c>
      <c r="AP65" s="672" t="str">
        <f t="shared" si="18"/>
        <v/>
      </c>
      <c r="AQ65" s="672" t="str">
        <f t="shared" si="19"/>
        <v/>
      </c>
      <c r="AR65" s="526" t="str">
        <f t="shared" si="22"/>
        <v/>
      </c>
      <c r="AS65" s="526" t="str">
        <f t="shared" si="20"/>
        <v/>
      </c>
      <c r="AT65" s="8"/>
      <c r="AU65" s="353">
        <f>'I-Project Contingency'!$O$4-AE65</f>
        <v>0</v>
      </c>
      <c r="AV65" s="354">
        <v>1687645.9248406207</v>
      </c>
      <c r="AW65" s="354">
        <v>3291004.7254658043</v>
      </c>
      <c r="AX65" s="354">
        <v>4159167.8232088853</v>
      </c>
      <c r="AY65" s="354">
        <f>'I-Project Contingency'!$E$66-AV65</f>
        <v>0</v>
      </c>
      <c r="AZ65" s="354">
        <f>'I-Project Contingency'!$E$69-AW65</f>
        <v>0</v>
      </c>
      <c r="BA65" s="354">
        <f>'I-Project Contingency'!$E$70-AX65</f>
        <v>0</v>
      </c>
      <c r="BB65" s="355">
        <f>'I-Project Contingency'!$O$5-AG65</f>
        <v>0</v>
      </c>
      <c r="BC65" s="356">
        <v>2.9615115956254372</v>
      </c>
      <c r="BD65" s="356">
        <v>6.001919642116226</v>
      </c>
      <c r="BE65" s="357">
        <v>7.5913096572662919</v>
      </c>
      <c r="BF65" s="356">
        <f>'I-Project Contingency'!$E$81-BC65</f>
        <v>0</v>
      </c>
      <c r="BG65" s="356">
        <f>'I-Project Contingency'!$E$84-BD65</f>
        <v>0</v>
      </c>
      <c r="BH65" s="356">
        <f>'I-Project Contingency'!$E$85-BE65</f>
        <v>0</v>
      </c>
      <c r="BI65" s="358">
        <f>IF(BK65="N/A","N/A",IF('D-Project Data'!$C$6=50%,ABS(BK65),IF('D-Project Data'!$C$6=80%,ABS(BL65),IF('D-Project Data'!$C$6=90%,ABS(BM65)))))</f>
        <v>0</v>
      </c>
      <c r="BJ65" s="359">
        <f>IF(BI65="N/A","N/A",RANK(BI65,$BI$18:$BI$116,0)+COUNTIF($BI$18:BI65,BI65)-1)</f>
        <v>48</v>
      </c>
      <c r="BK65" s="358">
        <f>IF(AY65/SUM(AY:AY)*'I-Project Contingency'!$F$66=0,0,AY65/SUM(AY:AY)*'I-Project Contingency'!$F$66)</f>
        <v>0</v>
      </c>
      <c r="BL65" s="358">
        <f>IF(AZ65/SUM(AZ:AZ)*'I-Project Contingency'!$F$69=0,0,AZ65/SUM(AZ:AZ)*'I-Project Contingency'!$F$69)</f>
        <v>0</v>
      </c>
      <c r="BM65" s="358">
        <f>IF(BA65/SUM(BA:BA)*'I-Project Contingency'!$F$70=0,0,BA65/SUM(BA:BA)*'I-Project Contingency'!$F$70)</f>
        <v>0</v>
      </c>
      <c r="BN65" s="357">
        <f>IF(BP65="N/A","N/A",IF('D-Project Data'!$C$6=50%,ABS(BP65),IF('D-Project Data'!$C$6=80%,ABS(BQ65),IF('D-Project Data'!$C$6=90%,ABS(BR65)))))</f>
        <v>0</v>
      </c>
      <c r="BO65" s="359">
        <f>IF(BN65="N/A","N/A",RANK(BN65,$BN$18:$BN$116,0)+COUNTIF($BN$18:BN65,BN65)-1)</f>
        <v>48</v>
      </c>
      <c r="BP65" s="357">
        <f>IF(BF65/SUM(BF:BF)*'I-Project Contingency'!$F$81=0,0,BF65/SUM(BF:BF)*'I-Project Contingency'!$F$81)</f>
        <v>0</v>
      </c>
      <c r="BQ65" s="357">
        <f>IF(BG65/SUM(BG:BG)*'I-Project Contingency'!$F$84=0,0,BG65/SUM(BG:BG)*'I-Project Contingency'!$F$84)</f>
        <v>0</v>
      </c>
      <c r="BR65" s="357">
        <f>IF(BH65/SUM(BH:BH)*'I-Project Contingency'!$F$85=0,0,BH65/SUM(BH:BH)*'I-Project Contingency'!$F$85)</f>
        <v>0</v>
      </c>
      <c r="BS65" s="359">
        <f t="shared" si="46"/>
        <v>48</v>
      </c>
      <c r="BT65" s="360" t="str">
        <f t="shared" si="47"/>
        <v xml:space="preserve">48 -  </v>
      </c>
      <c r="BU65" s="354">
        <f t="shared" si="48"/>
        <v>0</v>
      </c>
      <c r="BV65" s="354">
        <f t="shared" si="49"/>
        <v>0</v>
      </c>
      <c r="BW65" s="356">
        <f t="shared" si="50"/>
        <v>0</v>
      </c>
      <c r="BX65" s="356">
        <f t="shared" si="51"/>
        <v>0</v>
      </c>
    </row>
    <row r="66" spans="1:76" ht="29" x14ac:dyDescent="0.35">
      <c r="A66" s="163">
        <f t="shared" si="21"/>
        <v>49</v>
      </c>
      <c r="B66" s="758" t="s">
        <v>728</v>
      </c>
      <c r="C66" s="760" t="s">
        <v>659</v>
      </c>
      <c r="D66" s="760" t="s">
        <v>659</v>
      </c>
      <c r="E66" s="760" t="s">
        <v>659</v>
      </c>
      <c r="F66" s="759" t="s">
        <v>728</v>
      </c>
      <c r="G66" s="759" t="s">
        <v>728</v>
      </c>
      <c r="H66" s="157" t="str">
        <f>IFERROR(IF('H-Risk Register-Model'!F66="Certain","Relook at Basis of Estimate",INDEX('G-Assumptions'!$F$8:$J$11,MATCH(F66,'G-Assumptions'!$D$8:$D$11,0),MATCH(G66,'G-Assumptions'!$F$6:$J$6,0))),"Unrated")</f>
        <v>Unrated</v>
      </c>
      <c r="I66" s="759" t="s">
        <v>728</v>
      </c>
      <c r="J66" s="157" t="str">
        <f>IFERROR(IF('H-Risk Register-Model'!F66="Certain","Relook at Basis of Estimate",INDEX('G-Assumptions'!$F$8:$J$11,MATCH(F66,'G-Assumptions'!$D$8:$D$11,0),MATCH(I66,'G-Assumptions'!$F$6:$J$6,0))),"Unrated")</f>
        <v>Unrated</v>
      </c>
      <c r="K66" s="759" t="s">
        <v>728</v>
      </c>
      <c r="L66" s="759" t="s">
        <v>728</v>
      </c>
      <c r="M66" s="759"/>
      <c r="N66" s="763" t="s">
        <v>728</v>
      </c>
      <c r="O66" s="763" t="s">
        <v>728</v>
      </c>
      <c r="P66" s="764"/>
      <c r="Q66" s="764"/>
      <c r="R66" s="764"/>
      <c r="S66" s="765"/>
      <c r="T66" s="765"/>
      <c r="U66" s="765"/>
      <c r="V66" s="766"/>
      <c r="W66" s="764"/>
      <c r="X66" s="764"/>
      <c r="Y66" s="767">
        <v>1</v>
      </c>
      <c r="Z66" s="770">
        <v>1</v>
      </c>
      <c r="AA66" s="166">
        <f t="shared" si="40"/>
        <v>0</v>
      </c>
      <c r="AB66" s="166">
        <f t="shared" si="41"/>
        <v>0</v>
      </c>
      <c r="AC66" s="166">
        <f t="shared" si="42"/>
        <v>0</v>
      </c>
      <c r="AD66" s="166"/>
      <c r="AE66" s="164">
        <f t="shared" si="43"/>
        <v>0</v>
      </c>
      <c r="AF66" s="167"/>
      <c r="AG66" s="165">
        <f t="shared" si="44"/>
        <v>0</v>
      </c>
      <c r="AH66" s="760"/>
      <c r="AI66" s="760"/>
      <c r="AJ66" s="8"/>
      <c r="AK66" s="524" t="str">
        <f t="shared" si="45"/>
        <v>No</v>
      </c>
      <c r="AL66" s="525">
        <f>'I-Project Contingency'!$I$4</f>
        <v>7250000</v>
      </c>
      <c r="AM66" s="350">
        <f>'I-Project Contingency'!$I$11</f>
        <v>12</v>
      </c>
      <c r="AN66" s="349">
        <f t="shared" si="8"/>
        <v>0</v>
      </c>
      <c r="AO66" s="350">
        <f t="shared" si="9"/>
        <v>0</v>
      </c>
      <c r="AP66" s="672" t="str">
        <f t="shared" si="18"/>
        <v/>
      </c>
      <c r="AQ66" s="672" t="str">
        <f t="shared" si="19"/>
        <v/>
      </c>
      <c r="AR66" s="526" t="str">
        <f t="shared" si="22"/>
        <v/>
      </c>
      <c r="AS66" s="526" t="str">
        <f t="shared" si="20"/>
        <v/>
      </c>
      <c r="AT66" s="8"/>
      <c r="AU66" s="353">
        <f>'I-Project Contingency'!$O$4-AE66</f>
        <v>0</v>
      </c>
      <c r="AV66" s="354">
        <v>1687645.9248406207</v>
      </c>
      <c r="AW66" s="354">
        <v>3291004.7254658043</v>
      </c>
      <c r="AX66" s="354">
        <v>4159167.8232088853</v>
      </c>
      <c r="AY66" s="354">
        <f>'I-Project Contingency'!$E$66-AV66</f>
        <v>0</v>
      </c>
      <c r="AZ66" s="354">
        <f>'I-Project Contingency'!$E$69-AW66</f>
        <v>0</v>
      </c>
      <c r="BA66" s="354">
        <f>'I-Project Contingency'!$E$70-AX66</f>
        <v>0</v>
      </c>
      <c r="BB66" s="355">
        <f>'I-Project Contingency'!$O$5-AG66</f>
        <v>0</v>
      </c>
      <c r="BC66" s="356">
        <v>2.9615115956254372</v>
      </c>
      <c r="BD66" s="356">
        <v>6.001919642116226</v>
      </c>
      <c r="BE66" s="357">
        <v>7.5913096572662919</v>
      </c>
      <c r="BF66" s="356">
        <f>'I-Project Contingency'!$E$81-BC66</f>
        <v>0</v>
      </c>
      <c r="BG66" s="356">
        <f>'I-Project Contingency'!$E$84-BD66</f>
        <v>0</v>
      </c>
      <c r="BH66" s="356">
        <f>'I-Project Contingency'!$E$85-BE66</f>
        <v>0</v>
      </c>
      <c r="BI66" s="358">
        <f>IF(BK66="N/A","N/A",IF('D-Project Data'!$C$6=50%,ABS(BK66),IF('D-Project Data'!$C$6=80%,ABS(BL66),IF('D-Project Data'!$C$6=90%,ABS(BM66)))))</f>
        <v>0</v>
      </c>
      <c r="BJ66" s="359">
        <f>IF(BI66="N/A","N/A",RANK(BI66,$BI$18:$BI$116,0)+COUNTIF($BI$18:BI66,BI66)-1)</f>
        <v>49</v>
      </c>
      <c r="BK66" s="358">
        <f>IF(AY66/SUM(AY:AY)*'I-Project Contingency'!$F$66=0,0,AY66/SUM(AY:AY)*'I-Project Contingency'!$F$66)</f>
        <v>0</v>
      </c>
      <c r="BL66" s="358">
        <f>IF(AZ66/SUM(AZ:AZ)*'I-Project Contingency'!$F$69=0,0,AZ66/SUM(AZ:AZ)*'I-Project Contingency'!$F$69)</f>
        <v>0</v>
      </c>
      <c r="BM66" s="358">
        <f>IF(BA66/SUM(BA:BA)*'I-Project Contingency'!$F$70=0,0,BA66/SUM(BA:BA)*'I-Project Contingency'!$F$70)</f>
        <v>0</v>
      </c>
      <c r="BN66" s="357">
        <f>IF(BP66="N/A","N/A",IF('D-Project Data'!$C$6=50%,ABS(BP66),IF('D-Project Data'!$C$6=80%,ABS(BQ66),IF('D-Project Data'!$C$6=90%,ABS(BR66)))))</f>
        <v>0</v>
      </c>
      <c r="BO66" s="359">
        <f>IF(BN66="N/A","N/A",RANK(BN66,$BN$18:$BN$116,0)+COUNTIF($BN$18:BN66,BN66)-1)</f>
        <v>49</v>
      </c>
      <c r="BP66" s="357">
        <f>IF(BF66/SUM(BF:BF)*'I-Project Contingency'!$F$81=0,0,BF66/SUM(BF:BF)*'I-Project Contingency'!$F$81)</f>
        <v>0</v>
      </c>
      <c r="BQ66" s="357">
        <f>IF(BG66/SUM(BG:BG)*'I-Project Contingency'!$F$84=0,0,BG66/SUM(BG:BG)*'I-Project Contingency'!$F$84)</f>
        <v>0</v>
      </c>
      <c r="BR66" s="357">
        <f>IF(BH66/SUM(BH:BH)*'I-Project Contingency'!$F$85=0,0,BH66/SUM(BH:BH)*'I-Project Contingency'!$F$85)</f>
        <v>0</v>
      </c>
      <c r="BS66" s="359">
        <f t="shared" si="46"/>
        <v>49</v>
      </c>
      <c r="BT66" s="360" t="str">
        <f t="shared" si="47"/>
        <v xml:space="preserve">49 -  </v>
      </c>
      <c r="BU66" s="354">
        <f t="shared" si="48"/>
        <v>0</v>
      </c>
      <c r="BV66" s="354">
        <f t="shared" si="49"/>
        <v>0</v>
      </c>
      <c r="BW66" s="356">
        <f t="shared" si="50"/>
        <v>0</v>
      </c>
      <c r="BX66" s="356">
        <f t="shared" si="51"/>
        <v>0</v>
      </c>
    </row>
    <row r="67" spans="1:76" ht="29" x14ac:dyDescent="0.35">
      <c r="A67" s="163">
        <f t="shared" si="21"/>
        <v>50</v>
      </c>
      <c r="B67" s="758" t="s">
        <v>728</v>
      </c>
      <c r="C67" s="760" t="s">
        <v>659</v>
      </c>
      <c r="D67" s="760" t="s">
        <v>659</v>
      </c>
      <c r="E67" s="760" t="s">
        <v>659</v>
      </c>
      <c r="F67" s="759" t="s">
        <v>728</v>
      </c>
      <c r="G67" s="759" t="s">
        <v>728</v>
      </c>
      <c r="H67" s="157" t="str">
        <f>IFERROR(IF('H-Risk Register-Model'!F67="Certain","Relook at Basis of Estimate",INDEX('G-Assumptions'!$F$8:$J$11,MATCH(F67,'G-Assumptions'!$D$8:$D$11,0),MATCH(G67,'G-Assumptions'!$F$6:$J$6,0))),"Unrated")</f>
        <v>Unrated</v>
      </c>
      <c r="I67" s="759" t="s">
        <v>728</v>
      </c>
      <c r="J67" s="157" t="str">
        <f>IFERROR(IF('H-Risk Register-Model'!F67="Certain","Relook at Basis of Estimate",INDEX('G-Assumptions'!$F$8:$J$11,MATCH(F67,'G-Assumptions'!$D$8:$D$11,0),MATCH(I67,'G-Assumptions'!$F$6:$J$6,0))),"Unrated")</f>
        <v>Unrated</v>
      </c>
      <c r="K67" s="759" t="s">
        <v>728</v>
      </c>
      <c r="L67" s="759" t="s">
        <v>728</v>
      </c>
      <c r="M67" s="759"/>
      <c r="N67" s="763" t="s">
        <v>728</v>
      </c>
      <c r="O67" s="763" t="s">
        <v>728</v>
      </c>
      <c r="P67" s="764"/>
      <c r="Q67" s="764"/>
      <c r="R67" s="764"/>
      <c r="S67" s="765"/>
      <c r="T67" s="765"/>
      <c r="U67" s="765"/>
      <c r="V67" s="766"/>
      <c r="W67" s="764"/>
      <c r="X67" s="764"/>
      <c r="Y67" s="767">
        <v>1</v>
      </c>
      <c r="Z67" s="770">
        <v>1</v>
      </c>
      <c r="AA67" s="166">
        <f t="shared" si="40"/>
        <v>0</v>
      </c>
      <c r="AB67" s="166">
        <f t="shared" si="41"/>
        <v>0</v>
      </c>
      <c r="AC67" s="166">
        <f t="shared" si="42"/>
        <v>0</v>
      </c>
      <c r="AD67" s="166"/>
      <c r="AE67" s="164">
        <f t="shared" si="43"/>
        <v>0</v>
      </c>
      <c r="AF67" s="167"/>
      <c r="AG67" s="165">
        <f t="shared" si="44"/>
        <v>0</v>
      </c>
      <c r="AH67" s="760"/>
      <c r="AI67" s="760"/>
      <c r="AJ67" s="8"/>
      <c r="AK67" s="524" t="str">
        <f t="shared" si="45"/>
        <v>No</v>
      </c>
      <c r="AL67" s="525">
        <f>'I-Project Contingency'!$I$4</f>
        <v>7250000</v>
      </c>
      <c r="AM67" s="350">
        <f>'I-Project Contingency'!$I$11</f>
        <v>12</v>
      </c>
      <c r="AN67" s="349">
        <f t="shared" si="8"/>
        <v>0</v>
      </c>
      <c r="AO67" s="350">
        <f t="shared" si="9"/>
        <v>0</v>
      </c>
      <c r="AP67" s="672" t="str">
        <f t="shared" si="18"/>
        <v/>
      </c>
      <c r="AQ67" s="672" t="str">
        <f t="shared" si="19"/>
        <v/>
      </c>
      <c r="AR67" s="526" t="str">
        <f t="shared" si="22"/>
        <v/>
      </c>
      <c r="AS67" s="526" t="str">
        <f t="shared" si="20"/>
        <v/>
      </c>
      <c r="AT67" s="8"/>
      <c r="AU67" s="353">
        <f>'I-Project Contingency'!$O$4-AE67</f>
        <v>0</v>
      </c>
      <c r="AV67" s="354">
        <v>1687645.9248406207</v>
      </c>
      <c r="AW67" s="354">
        <v>3291004.7254658043</v>
      </c>
      <c r="AX67" s="354">
        <v>4159167.8232088853</v>
      </c>
      <c r="AY67" s="354">
        <f>'I-Project Contingency'!$E$66-AV67</f>
        <v>0</v>
      </c>
      <c r="AZ67" s="354">
        <f>'I-Project Contingency'!$E$69-AW67</f>
        <v>0</v>
      </c>
      <c r="BA67" s="354">
        <f>'I-Project Contingency'!$E$70-AX67</f>
        <v>0</v>
      </c>
      <c r="BB67" s="355">
        <f>'I-Project Contingency'!$O$5-AG67</f>
        <v>0</v>
      </c>
      <c r="BC67" s="356">
        <v>2.9615115956254372</v>
      </c>
      <c r="BD67" s="356">
        <v>6.001919642116226</v>
      </c>
      <c r="BE67" s="357">
        <v>7.5913096572662919</v>
      </c>
      <c r="BF67" s="356">
        <f>'I-Project Contingency'!$E$81-BC67</f>
        <v>0</v>
      </c>
      <c r="BG67" s="356">
        <f>'I-Project Contingency'!$E$84-BD67</f>
        <v>0</v>
      </c>
      <c r="BH67" s="356">
        <f>'I-Project Contingency'!$E$85-BE67</f>
        <v>0</v>
      </c>
      <c r="BI67" s="358">
        <f>IF(BK67="N/A","N/A",IF('D-Project Data'!$C$6=50%,ABS(BK67),IF('D-Project Data'!$C$6=80%,ABS(BL67),IF('D-Project Data'!$C$6=90%,ABS(BM67)))))</f>
        <v>0</v>
      </c>
      <c r="BJ67" s="359">
        <f>IF(BI67="N/A","N/A",RANK(BI67,$BI$18:$BI$116,0)+COUNTIF($BI$18:BI67,BI67)-1)</f>
        <v>50</v>
      </c>
      <c r="BK67" s="358">
        <f>IF(AY67/SUM(AY:AY)*'I-Project Contingency'!$F$66=0,0,AY67/SUM(AY:AY)*'I-Project Contingency'!$F$66)</f>
        <v>0</v>
      </c>
      <c r="BL67" s="358">
        <f>IF(AZ67/SUM(AZ:AZ)*'I-Project Contingency'!$F$69=0,0,AZ67/SUM(AZ:AZ)*'I-Project Contingency'!$F$69)</f>
        <v>0</v>
      </c>
      <c r="BM67" s="358">
        <f>IF(BA67/SUM(BA:BA)*'I-Project Contingency'!$F$70=0,0,BA67/SUM(BA:BA)*'I-Project Contingency'!$F$70)</f>
        <v>0</v>
      </c>
      <c r="BN67" s="357">
        <f>IF(BP67="N/A","N/A",IF('D-Project Data'!$C$6=50%,ABS(BP67),IF('D-Project Data'!$C$6=80%,ABS(BQ67),IF('D-Project Data'!$C$6=90%,ABS(BR67)))))</f>
        <v>0</v>
      </c>
      <c r="BO67" s="359">
        <f>IF(BN67="N/A","N/A",RANK(BN67,$BN$18:$BN$116,0)+COUNTIF($BN$18:BN67,BN67)-1)</f>
        <v>50</v>
      </c>
      <c r="BP67" s="357">
        <f>IF(BF67/SUM(BF:BF)*'I-Project Contingency'!$F$81=0,0,BF67/SUM(BF:BF)*'I-Project Contingency'!$F$81)</f>
        <v>0</v>
      </c>
      <c r="BQ67" s="357">
        <f>IF(BG67/SUM(BG:BG)*'I-Project Contingency'!$F$84=0,0,BG67/SUM(BG:BG)*'I-Project Contingency'!$F$84)</f>
        <v>0</v>
      </c>
      <c r="BR67" s="357">
        <f>IF(BH67/SUM(BH:BH)*'I-Project Contingency'!$F$85=0,0,BH67/SUM(BH:BH)*'I-Project Contingency'!$F$85)</f>
        <v>0</v>
      </c>
      <c r="BS67" s="359">
        <f t="shared" si="46"/>
        <v>50</v>
      </c>
      <c r="BT67" s="360" t="str">
        <f t="shared" si="47"/>
        <v xml:space="preserve">50 -  </v>
      </c>
      <c r="BU67" s="354">
        <f t="shared" si="48"/>
        <v>0</v>
      </c>
      <c r="BV67" s="354">
        <f t="shared" si="49"/>
        <v>0</v>
      </c>
      <c r="BW67" s="356">
        <f t="shared" si="50"/>
        <v>0</v>
      </c>
      <c r="BX67" s="356">
        <f t="shared" si="51"/>
        <v>0</v>
      </c>
    </row>
    <row r="68" spans="1:76" ht="29" x14ac:dyDescent="0.35">
      <c r="A68" s="163">
        <f t="shared" si="21"/>
        <v>51</v>
      </c>
      <c r="B68" s="758" t="s">
        <v>728</v>
      </c>
      <c r="C68" s="760" t="s">
        <v>659</v>
      </c>
      <c r="D68" s="760" t="s">
        <v>659</v>
      </c>
      <c r="E68" s="760" t="s">
        <v>659</v>
      </c>
      <c r="F68" s="759" t="s">
        <v>728</v>
      </c>
      <c r="G68" s="759" t="s">
        <v>728</v>
      </c>
      <c r="H68" s="157" t="str">
        <f>IFERROR(IF('H-Risk Register-Model'!F68="Certain","Relook at Basis of Estimate",INDEX('G-Assumptions'!$F$8:$J$11,MATCH(F68,'G-Assumptions'!$D$8:$D$11,0),MATCH(G68,'G-Assumptions'!$F$6:$J$6,0))),"Unrated")</f>
        <v>Unrated</v>
      </c>
      <c r="I68" s="759" t="s">
        <v>728</v>
      </c>
      <c r="J68" s="157" t="str">
        <f>IFERROR(IF('H-Risk Register-Model'!F68="Certain","Relook at Basis of Estimate",INDEX('G-Assumptions'!$F$8:$J$11,MATCH(F68,'G-Assumptions'!$D$8:$D$11,0),MATCH(I68,'G-Assumptions'!$F$6:$J$6,0))),"Unrated")</f>
        <v>Unrated</v>
      </c>
      <c r="K68" s="759" t="s">
        <v>728</v>
      </c>
      <c r="L68" s="759" t="s">
        <v>728</v>
      </c>
      <c r="M68" s="759"/>
      <c r="N68" s="763" t="s">
        <v>728</v>
      </c>
      <c r="O68" s="763" t="s">
        <v>728</v>
      </c>
      <c r="P68" s="764"/>
      <c r="Q68" s="764"/>
      <c r="R68" s="764"/>
      <c r="S68" s="765"/>
      <c r="T68" s="765"/>
      <c r="U68" s="765"/>
      <c r="V68" s="766"/>
      <c r="W68" s="764"/>
      <c r="X68" s="764"/>
      <c r="Y68" s="767">
        <v>1</v>
      </c>
      <c r="Z68" s="770">
        <v>1</v>
      </c>
      <c r="AA68" s="166">
        <f t="shared" si="40"/>
        <v>0</v>
      </c>
      <c r="AB68" s="166">
        <f t="shared" si="41"/>
        <v>0</v>
      </c>
      <c r="AC68" s="166">
        <f t="shared" si="42"/>
        <v>0</v>
      </c>
      <c r="AD68" s="166"/>
      <c r="AE68" s="164">
        <f t="shared" si="43"/>
        <v>0</v>
      </c>
      <c r="AF68" s="167"/>
      <c r="AG68" s="165">
        <f t="shared" si="44"/>
        <v>0</v>
      </c>
      <c r="AH68" s="760"/>
      <c r="AI68" s="760"/>
      <c r="AJ68" s="8"/>
      <c r="AK68" s="524" t="str">
        <f t="shared" si="45"/>
        <v>No</v>
      </c>
      <c r="AL68" s="525">
        <f>'I-Project Contingency'!$I$4</f>
        <v>7250000</v>
      </c>
      <c r="AM68" s="350">
        <f>'I-Project Contingency'!$I$11</f>
        <v>12</v>
      </c>
      <c r="AN68" s="349">
        <f t="shared" si="8"/>
        <v>0</v>
      </c>
      <c r="AO68" s="350">
        <f t="shared" si="9"/>
        <v>0</v>
      </c>
      <c r="AP68" s="672" t="str">
        <f t="shared" si="18"/>
        <v/>
      </c>
      <c r="AQ68" s="672" t="str">
        <f t="shared" si="19"/>
        <v/>
      </c>
      <c r="AR68" s="526" t="str">
        <f t="shared" si="22"/>
        <v/>
      </c>
      <c r="AS68" s="526" t="str">
        <f t="shared" si="20"/>
        <v/>
      </c>
      <c r="AT68" s="8"/>
      <c r="AU68" s="353">
        <f>'I-Project Contingency'!$O$4-AE68</f>
        <v>0</v>
      </c>
      <c r="AV68" s="354">
        <v>1687645.9248406207</v>
      </c>
      <c r="AW68" s="354">
        <v>3291004.7254658043</v>
      </c>
      <c r="AX68" s="354">
        <v>4159167.8232088853</v>
      </c>
      <c r="AY68" s="354">
        <f>'I-Project Contingency'!$E$66-AV68</f>
        <v>0</v>
      </c>
      <c r="AZ68" s="354">
        <f>'I-Project Contingency'!$E$69-AW68</f>
        <v>0</v>
      </c>
      <c r="BA68" s="354">
        <f>'I-Project Contingency'!$E$70-AX68</f>
        <v>0</v>
      </c>
      <c r="BB68" s="355">
        <f>'I-Project Contingency'!$O$5-AG68</f>
        <v>0</v>
      </c>
      <c r="BC68" s="356">
        <v>2.9615115956254372</v>
      </c>
      <c r="BD68" s="356">
        <v>6.001919642116226</v>
      </c>
      <c r="BE68" s="357">
        <v>7.5913096572662919</v>
      </c>
      <c r="BF68" s="356">
        <f>'I-Project Contingency'!$E$81-BC68</f>
        <v>0</v>
      </c>
      <c r="BG68" s="356">
        <f>'I-Project Contingency'!$E$84-BD68</f>
        <v>0</v>
      </c>
      <c r="BH68" s="356">
        <f>'I-Project Contingency'!$E$85-BE68</f>
        <v>0</v>
      </c>
      <c r="BI68" s="358">
        <f>IF(BK68="N/A","N/A",IF('D-Project Data'!$C$6=50%,ABS(BK68),IF('D-Project Data'!$C$6=80%,ABS(BL68),IF('D-Project Data'!$C$6=90%,ABS(BM68)))))</f>
        <v>0</v>
      </c>
      <c r="BJ68" s="359">
        <f>IF(BI68="N/A","N/A",RANK(BI68,$BI$18:$BI$116,0)+COUNTIF($BI$18:BI68,BI68)-1)</f>
        <v>51</v>
      </c>
      <c r="BK68" s="358">
        <f>IF(AY68/SUM(AY:AY)*'I-Project Contingency'!$F$66=0,0,AY68/SUM(AY:AY)*'I-Project Contingency'!$F$66)</f>
        <v>0</v>
      </c>
      <c r="BL68" s="358">
        <f>IF(AZ68/SUM(AZ:AZ)*'I-Project Contingency'!$F$69=0,0,AZ68/SUM(AZ:AZ)*'I-Project Contingency'!$F$69)</f>
        <v>0</v>
      </c>
      <c r="BM68" s="358">
        <f>IF(BA68/SUM(BA:BA)*'I-Project Contingency'!$F$70=0,0,BA68/SUM(BA:BA)*'I-Project Contingency'!$F$70)</f>
        <v>0</v>
      </c>
      <c r="BN68" s="357">
        <f>IF(BP68="N/A","N/A",IF('D-Project Data'!$C$6=50%,ABS(BP68),IF('D-Project Data'!$C$6=80%,ABS(BQ68),IF('D-Project Data'!$C$6=90%,ABS(BR68)))))</f>
        <v>0</v>
      </c>
      <c r="BO68" s="359">
        <f>IF(BN68="N/A","N/A",RANK(BN68,$BN$18:$BN$116,0)+COUNTIF($BN$18:BN68,BN68)-1)</f>
        <v>51</v>
      </c>
      <c r="BP68" s="357">
        <f>IF(BF68/SUM(BF:BF)*'I-Project Contingency'!$F$81=0,0,BF68/SUM(BF:BF)*'I-Project Contingency'!$F$81)</f>
        <v>0</v>
      </c>
      <c r="BQ68" s="357">
        <f>IF(BG68/SUM(BG:BG)*'I-Project Contingency'!$F$84=0,0,BG68/SUM(BG:BG)*'I-Project Contingency'!$F$84)</f>
        <v>0</v>
      </c>
      <c r="BR68" s="357">
        <f>IF(BH68/SUM(BH:BH)*'I-Project Contingency'!$F$85=0,0,BH68/SUM(BH:BH)*'I-Project Contingency'!$F$85)</f>
        <v>0</v>
      </c>
      <c r="BS68" s="359">
        <f t="shared" si="46"/>
        <v>51</v>
      </c>
      <c r="BT68" s="360" t="str">
        <f t="shared" si="47"/>
        <v xml:space="preserve">51 -  </v>
      </c>
      <c r="BU68" s="354">
        <f t="shared" si="48"/>
        <v>0</v>
      </c>
      <c r="BV68" s="354">
        <f t="shared" si="49"/>
        <v>0</v>
      </c>
      <c r="BW68" s="356">
        <f t="shared" si="50"/>
        <v>0</v>
      </c>
      <c r="BX68" s="356">
        <f t="shared" si="51"/>
        <v>0</v>
      </c>
    </row>
    <row r="69" spans="1:76" ht="29" x14ac:dyDescent="0.35">
      <c r="A69" s="163">
        <f t="shared" si="21"/>
        <v>52</v>
      </c>
      <c r="B69" s="758" t="s">
        <v>728</v>
      </c>
      <c r="C69" s="760" t="s">
        <v>659</v>
      </c>
      <c r="D69" s="760" t="s">
        <v>659</v>
      </c>
      <c r="E69" s="760" t="s">
        <v>659</v>
      </c>
      <c r="F69" s="759" t="s">
        <v>728</v>
      </c>
      <c r="G69" s="759" t="s">
        <v>728</v>
      </c>
      <c r="H69" s="157" t="str">
        <f>IFERROR(IF('H-Risk Register-Model'!F69="Certain","Relook at Basis of Estimate",INDEX('G-Assumptions'!$F$8:$J$11,MATCH(F69,'G-Assumptions'!$D$8:$D$11,0),MATCH(G69,'G-Assumptions'!$F$6:$J$6,0))),"Unrated")</f>
        <v>Unrated</v>
      </c>
      <c r="I69" s="759" t="s">
        <v>728</v>
      </c>
      <c r="J69" s="157" t="str">
        <f>IFERROR(IF('H-Risk Register-Model'!F69="Certain","Relook at Basis of Estimate",INDEX('G-Assumptions'!$F$8:$J$11,MATCH(F69,'G-Assumptions'!$D$8:$D$11,0),MATCH(I69,'G-Assumptions'!$F$6:$J$6,0))),"Unrated")</f>
        <v>Unrated</v>
      </c>
      <c r="K69" s="759" t="s">
        <v>728</v>
      </c>
      <c r="L69" s="759" t="s">
        <v>728</v>
      </c>
      <c r="M69" s="759"/>
      <c r="N69" s="763" t="s">
        <v>728</v>
      </c>
      <c r="O69" s="763" t="s">
        <v>728</v>
      </c>
      <c r="P69" s="764"/>
      <c r="Q69" s="764"/>
      <c r="R69" s="764"/>
      <c r="S69" s="765"/>
      <c r="T69" s="765"/>
      <c r="U69" s="765"/>
      <c r="V69" s="766"/>
      <c r="W69" s="764"/>
      <c r="X69" s="764"/>
      <c r="Y69" s="767">
        <v>1</v>
      </c>
      <c r="Z69" s="770">
        <v>1</v>
      </c>
      <c r="AA69" s="166">
        <f t="shared" si="40"/>
        <v>0</v>
      </c>
      <c r="AB69" s="166">
        <f t="shared" si="41"/>
        <v>0</v>
      </c>
      <c r="AC69" s="166">
        <f t="shared" si="42"/>
        <v>0</v>
      </c>
      <c r="AD69" s="166"/>
      <c r="AE69" s="164">
        <f t="shared" si="43"/>
        <v>0</v>
      </c>
      <c r="AF69" s="167"/>
      <c r="AG69" s="165">
        <f t="shared" si="44"/>
        <v>0</v>
      </c>
      <c r="AH69" s="760"/>
      <c r="AI69" s="760"/>
      <c r="AJ69" s="8"/>
      <c r="AK69" s="524" t="str">
        <f t="shared" si="45"/>
        <v>No</v>
      </c>
      <c r="AL69" s="525">
        <f>'I-Project Contingency'!$I$4</f>
        <v>7250000</v>
      </c>
      <c r="AM69" s="350">
        <f>'I-Project Contingency'!$I$11</f>
        <v>12</v>
      </c>
      <c r="AN69" s="349">
        <f t="shared" si="8"/>
        <v>0</v>
      </c>
      <c r="AO69" s="350">
        <f t="shared" si="9"/>
        <v>0</v>
      </c>
      <c r="AP69" s="672" t="str">
        <f t="shared" si="18"/>
        <v/>
      </c>
      <c r="AQ69" s="672" t="str">
        <f t="shared" si="19"/>
        <v/>
      </c>
      <c r="AR69" s="526" t="str">
        <f t="shared" si="22"/>
        <v/>
      </c>
      <c r="AS69" s="526" t="str">
        <f t="shared" si="20"/>
        <v/>
      </c>
      <c r="AT69" s="8"/>
      <c r="AU69" s="353">
        <f>'I-Project Contingency'!$O$4-AE69</f>
        <v>0</v>
      </c>
      <c r="AV69" s="354">
        <v>1687645.9248406207</v>
      </c>
      <c r="AW69" s="354">
        <v>3291004.7254658043</v>
      </c>
      <c r="AX69" s="354">
        <v>4159167.8232088853</v>
      </c>
      <c r="AY69" s="354">
        <f>'I-Project Contingency'!$E$66-AV69</f>
        <v>0</v>
      </c>
      <c r="AZ69" s="354">
        <f>'I-Project Contingency'!$E$69-AW69</f>
        <v>0</v>
      </c>
      <c r="BA69" s="354">
        <f>'I-Project Contingency'!$E$70-AX69</f>
        <v>0</v>
      </c>
      <c r="BB69" s="355">
        <f>'I-Project Contingency'!$O$5-AG69</f>
        <v>0</v>
      </c>
      <c r="BC69" s="356">
        <v>2.9615115956254372</v>
      </c>
      <c r="BD69" s="356">
        <v>6.001919642116226</v>
      </c>
      <c r="BE69" s="357">
        <v>7.5913096572662919</v>
      </c>
      <c r="BF69" s="356">
        <f>'I-Project Contingency'!$E$81-BC69</f>
        <v>0</v>
      </c>
      <c r="BG69" s="356">
        <f>'I-Project Contingency'!$E$84-BD69</f>
        <v>0</v>
      </c>
      <c r="BH69" s="356">
        <f>'I-Project Contingency'!$E$85-BE69</f>
        <v>0</v>
      </c>
      <c r="BI69" s="358">
        <f>IF(BK69="N/A","N/A",IF('D-Project Data'!$C$6=50%,ABS(BK69),IF('D-Project Data'!$C$6=80%,ABS(BL69),IF('D-Project Data'!$C$6=90%,ABS(BM69)))))</f>
        <v>0</v>
      </c>
      <c r="BJ69" s="359">
        <f>IF(BI69="N/A","N/A",RANK(BI69,$BI$18:$BI$116,0)+COUNTIF($BI$18:BI69,BI69)-1)</f>
        <v>52</v>
      </c>
      <c r="BK69" s="358">
        <f>IF(AY69/SUM(AY:AY)*'I-Project Contingency'!$F$66=0,0,AY69/SUM(AY:AY)*'I-Project Contingency'!$F$66)</f>
        <v>0</v>
      </c>
      <c r="BL69" s="358">
        <f>IF(AZ69/SUM(AZ:AZ)*'I-Project Contingency'!$F$69=0,0,AZ69/SUM(AZ:AZ)*'I-Project Contingency'!$F$69)</f>
        <v>0</v>
      </c>
      <c r="BM69" s="358">
        <f>IF(BA69/SUM(BA:BA)*'I-Project Contingency'!$F$70=0,0,BA69/SUM(BA:BA)*'I-Project Contingency'!$F$70)</f>
        <v>0</v>
      </c>
      <c r="BN69" s="357">
        <f>IF(BP69="N/A","N/A",IF('D-Project Data'!$C$6=50%,ABS(BP69),IF('D-Project Data'!$C$6=80%,ABS(BQ69),IF('D-Project Data'!$C$6=90%,ABS(BR69)))))</f>
        <v>0</v>
      </c>
      <c r="BO69" s="359">
        <f>IF(BN69="N/A","N/A",RANK(BN69,$BN$18:$BN$116,0)+COUNTIF($BN$18:BN69,BN69)-1)</f>
        <v>52</v>
      </c>
      <c r="BP69" s="357">
        <f>IF(BF69/SUM(BF:BF)*'I-Project Contingency'!$F$81=0,0,BF69/SUM(BF:BF)*'I-Project Contingency'!$F$81)</f>
        <v>0</v>
      </c>
      <c r="BQ69" s="357">
        <f>IF(BG69/SUM(BG:BG)*'I-Project Contingency'!$F$84=0,0,BG69/SUM(BG:BG)*'I-Project Contingency'!$F$84)</f>
        <v>0</v>
      </c>
      <c r="BR69" s="357">
        <f>IF(BH69/SUM(BH:BH)*'I-Project Contingency'!$F$85=0,0,BH69/SUM(BH:BH)*'I-Project Contingency'!$F$85)</f>
        <v>0</v>
      </c>
      <c r="BS69" s="359">
        <f t="shared" si="46"/>
        <v>52</v>
      </c>
      <c r="BT69" s="360" t="str">
        <f t="shared" si="47"/>
        <v xml:space="preserve">52 -  </v>
      </c>
      <c r="BU69" s="354">
        <f t="shared" si="48"/>
        <v>0</v>
      </c>
      <c r="BV69" s="354">
        <f t="shared" si="49"/>
        <v>0</v>
      </c>
      <c r="BW69" s="356">
        <f t="shared" si="50"/>
        <v>0</v>
      </c>
      <c r="BX69" s="356">
        <f t="shared" si="51"/>
        <v>0</v>
      </c>
    </row>
    <row r="70" spans="1:76" ht="29" x14ac:dyDescent="0.35">
      <c r="A70" s="163">
        <f t="shared" si="21"/>
        <v>53</v>
      </c>
      <c r="B70" s="758" t="s">
        <v>728</v>
      </c>
      <c r="C70" s="760" t="s">
        <v>659</v>
      </c>
      <c r="D70" s="760" t="s">
        <v>659</v>
      </c>
      <c r="E70" s="760" t="s">
        <v>659</v>
      </c>
      <c r="F70" s="759" t="s">
        <v>728</v>
      </c>
      <c r="G70" s="759" t="s">
        <v>728</v>
      </c>
      <c r="H70" s="157" t="str">
        <f>IFERROR(IF('H-Risk Register-Model'!F70="Certain","Relook at Basis of Estimate",INDEX('G-Assumptions'!$F$8:$J$11,MATCH(F70,'G-Assumptions'!$D$8:$D$11,0),MATCH(G70,'G-Assumptions'!$F$6:$J$6,0))),"Unrated")</f>
        <v>Unrated</v>
      </c>
      <c r="I70" s="759" t="s">
        <v>728</v>
      </c>
      <c r="J70" s="157" t="str">
        <f>IFERROR(IF('H-Risk Register-Model'!F70="Certain","Relook at Basis of Estimate",INDEX('G-Assumptions'!$F$8:$J$11,MATCH(F70,'G-Assumptions'!$D$8:$D$11,0),MATCH(I70,'G-Assumptions'!$F$6:$J$6,0))),"Unrated")</f>
        <v>Unrated</v>
      </c>
      <c r="K70" s="759" t="s">
        <v>728</v>
      </c>
      <c r="L70" s="759" t="s">
        <v>728</v>
      </c>
      <c r="M70" s="759"/>
      <c r="N70" s="763" t="s">
        <v>728</v>
      </c>
      <c r="O70" s="763" t="s">
        <v>728</v>
      </c>
      <c r="P70" s="764"/>
      <c r="Q70" s="764"/>
      <c r="R70" s="764"/>
      <c r="S70" s="765"/>
      <c r="T70" s="765"/>
      <c r="U70" s="765"/>
      <c r="V70" s="766"/>
      <c r="W70" s="764"/>
      <c r="X70" s="764"/>
      <c r="Y70" s="767">
        <v>1</v>
      </c>
      <c r="Z70" s="770">
        <v>1</v>
      </c>
      <c r="AA70" s="166">
        <f t="shared" si="40"/>
        <v>0</v>
      </c>
      <c r="AB70" s="166">
        <f t="shared" si="41"/>
        <v>0</v>
      </c>
      <c r="AC70" s="166">
        <f t="shared" si="42"/>
        <v>0</v>
      </c>
      <c r="AD70" s="166"/>
      <c r="AE70" s="164">
        <f t="shared" si="43"/>
        <v>0</v>
      </c>
      <c r="AF70" s="167"/>
      <c r="AG70" s="165">
        <f t="shared" si="44"/>
        <v>0</v>
      </c>
      <c r="AH70" s="760"/>
      <c r="AI70" s="760"/>
      <c r="AJ70" s="8"/>
      <c r="AK70" s="524" t="str">
        <f t="shared" si="45"/>
        <v>No</v>
      </c>
      <c r="AL70" s="525">
        <f>'I-Project Contingency'!$I$4</f>
        <v>7250000</v>
      </c>
      <c r="AM70" s="350">
        <f>'I-Project Contingency'!$I$11</f>
        <v>12</v>
      </c>
      <c r="AN70" s="349">
        <f t="shared" si="8"/>
        <v>0</v>
      </c>
      <c r="AO70" s="350">
        <f t="shared" si="9"/>
        <v>0</v>
      </c>
      <c r="AP70" s="672" t="str">
        <f t="shared" si="18"/>
        <v/>
      </c>
      <c r="AQ70" s="672" t="str">
        <f t="shared" si="19"/>
        <v/>
      </c>
      <c r="AR70" s="526" t="str">
        <f t="shared" si="22"/>
        <v/>
      </c>
      <c r="AS70" s="526" t="str">
        <f t="shared" si="20"/>
        <v/>
      </c>
      <c r="AT70" s="8"/>
      <c r="AU70" s="353">
        <f>'I-Project Contingency'!$O$4-AE70</f>
        <v>0</v>
      </c>
      <c r="AV70" s="354">
        <v>1687645.9248406207</v>
      </c>
      <c r="AW70" s="354">
        <v>3291004.7254658043</v>
      </c>
      <c r="AX70" s="354">
        <v>4159167.8232088853</v>
      </c>
      <c r="AY70" s="354">
        <f>'I-Project Contingency'!$E$66-AV70</f>
        <v>0</v>
      </c>
      <c r="AZ70" s="354">
        <f>'I-Project Contingency'!$E$69-AW70</f>
        <v>0</v>
      </c>
      <c r="BA70" s="354">
        <f>'I-Project Contingency'!$E$70-AX70</f>
        <v>0</v>
      </c>
      <c r="BB70" s="355">
        <f>'I-Project Contingency'!$O$5-AG70</f>
        <v>0</v>
      </c>
      <c r="BC70" s="356">
        <v>2.9615115956254372</v>
      </c>
      <c r="BD70" s="356">
        <v>6.001919642116226</v>
      </c>
      <c r="BE70" s="357">
        <v>7.5913096572662919</v>
      </c>
      <c r="BF70" s="356">
        <f>'I-Project Contingency'!$E$81-BC70</f>
        <v>0</v>
      </c>
      <c r="BG70" s="356">
        <f>'I-Project Contingency'!$E$84-BD70</f>
        <v>0</v>
      </c>
      <c r="BH70" s="356">
        <f>'I-Project Contingency'!$E$85-BE70</f>
        <v>0</v>
      </c>
      <c r="BI70" s="358">
        <f>IF(BK70="N/A","N/A",IF('D-Project Data'!$C$6=50%,ABS(BK70),IF('D-Project Data'!$C$6=80%,ABS(BL70),IF('D-Project Data'!$C$6=90%,ABS(BM70)))))</f>
        <v>0</v>
      </c>
      <c r="BJ70" s="359">
        <f>IF(BI70="N/A","N/A",RANK(BI70,$BI$18:$BI$116,0)+COUNTIF($BI$18:BI70,BI70)-1)</f>
        <v>53</v>
      </c>
      <c r="BK70" s="358">
        <f>IF(AY70/SUM(AY:AY)*'I-Project Contingency'!$F$66=0,0,AY70/SUM(AY:AY)*'I-Project Contingency'!$F$66)</f>
        <v>0</v>
      </c>
      <c r="BL70" s="358">
        <f>IF(AZ70/SUM(AZ:AZ)*'I-Project Contingency'!$F$69=0,0,AZ70/SUM(AZ:AZ)*'I-Project Contingency'!$F$69)</f>
        <v>0</v>
      </c>
      <c r="BM70" s="358">
        <f>IF(BA70/SUM(BA:BA)*'I-Project Contingency'!$F$70=0,0,BA70/SUM(BA:BA)*'I-Project Contingency'!$F$70)</f>
        <v>0</v>
      </c>
      <c r="BN70" s="357">
        <f>IF(BP70="N/A","N/A",IF('D-Project Data'!$C$6=50%,ABS(BP70),IF('D-Project Data'!$C$6=80%,ABS(BQ70),IF('D-Project Data'!$C$6=90%,ABS(BR70)))))</f>
        <v>0</v>
      </c>
      <c r="BO70" s="359">
        <f>IF(BN70="N/A","N/A",RANK(BN70,$BN$18:$BN$116,0)+COUNTIF($BN$18:BN70,BN70)-1)</f>
        <v>53</v>
      </c>
      <c r="BP70" s="357">
        <f>IF(BF70/SUM(BF:BF)*'I-Project Contingency'!$F$81=0,0,BF70/SUM(BF:BF)*'I-Project Contingency'!$F$81)</f>
        <v>0</v>
      </c>
      <c r="BQ70" s="357">
        <f>IF(BG70/SUM(BG:BG)*'I-Project Contingency'!$F$84=0,0,BG70/SUM(BG:BG)*'I-Project Contingency'!$F$84)</f>
        <v>0</v>
      </c>
      <c r="BR70" s="357">
        <f>IF(BH70/SUM(BH:BH)*'I-Project Contingency'!$F$85=0,0,BH70/SUM(BH:BH)*'I-Project Contingency'!$F$85)</f>
        <v>0</v>
      </c>
      <c r="BS70" s="359">
        <f t="shared" si="46"/>
        <v>53</v>
      </c>
      <c r="BT70" s="360" t="str">
        <f t="shared" si="47"/>
        <v xml:space="preserve">53 -  </v>
      </c>
      <c r="BU70" s="354">
        <f t="shared" si="48"/>
        <v>0</v>
      </c>
      <c r="BV70" s="354">
        <f t="shared" si="49"/>
        <v>0</v>
      </c>
      <c r="BW70" s="356">
        <f t="shared" si="50"/>
        <v>0</v>
      </c>
      <c r="BX70" s="356">
        <f t="shared" si="51"/>
        <v>0</v>
      </c>
    </row>
    <row r="71" spans="1:76" ht="29" x14ac:dyDescent="0.35">
      <c r="A71" s="163">
        <f t="shared" si="21"/>
        <v>54</v>
      </c>
      <c r="B71" s="758" t="s">
        <v>728</v>
      </c>
      <c r="C71" s="760" t="s">
        <v>659</v>
      </c>
      <c r="D71" s="760" t="s">
        <v>659</v>
      </c>
      <c r="E71" s="760" t="s">
        <v>659</v>
      </c>
      <c r="F71" s="759" t="s">
        <v>728</v>
      </c>
      <c r="G71" s="759" t="s">
        <v>728</v>
      </c>
      <c r="H71" s="157" t="str">
        <f>IFERROR(IF('H-Risk Register-Model'!F71="Certain","Relook at Basis of Estimate",INDEX('G-Assumptions'!$F$8:$J$11,MATCH(F71,'G-Assumptions'!$D$8:$D$11,0),MATCH(G71,'G-Assumptions'!$F$6:$J$6,0))),"Unrated")</f>
        <v>Unrated</v>
      </c>
      <c r="I71" s="759" t="s">
        <v>728</v>
      </c>
      <c r="J71" s="157" t="str">
        <f>IFERROR(IF('H-Risk Register-Model'!F71="Certain","Relook at Basis of Estimate",INDEX('G-Assumptions'!$F$8:$J$11,MATCH(F71,'G-Assumptions'!$D$8:$D$11,0),MATCH(I71,'G-Assumptions'!$F$6:$J$6,0))),"Unrated")</f>
        <v>Unrated</v>
      </c>
      <c r="K71" s="759" t="s">
        <v>728</v>
      </c>
      <c r="L71" s="759" t="s">
        <v>728</v>
      </c>
      <c r="M71" s="759"/>
      <c r="N71" s="763" t="s">
        <v>728</v>
      </c>
      <c r="O71" s="763" t="s">
        <v>728</v>
      </c>
      <c r="P71" s="764"/>
      <c r="Q71" s="764"/>
      <c r="R71" s="764"/>
      <c r="S71" s="765"/>
      <c r="T71" s="765"/>
      <c r="U71" s="765"/>
      <c r="V71" s="766"/>
      <c r="W71" s="764"/>
      <c r="X71" s="764"/>
      <c r="Y71" s="767">
        <v>1</v>
      </c>
      <c r="Z71" s="770">
        <v>1</v>
      </c>
      <c r="AA71" s="166">
        <f t="shared" si="40"/>
        <v>0</v>
      </c>
      <c r="AB71" s="166">
        <f t="shared" si="41"/>
        <v>0</v>
      </c>
      <c r="AC71" s="166">
        <f t="shared" si="42"/>
        <v>0</v>
      </c>
      <c r="AD71" s="166"/>
      <c r="AE71" s="164">
        <f t="shared" si="43"/>
        <v>0</v>
      </c>
      <c r="AF71" s="167"/>
      <c r="AG71" s="165">
        <f t="shared" si="44"/>
        <v>0</v>
      </c>
      <c r="AH71" s="760"/>
      <c r="AI71" s="760"/>
      <c r="AJ71" s="8"/>
      <c r="AK71" s="524" t="str">
        <f t="shared" si="45"/>
        <v>No</v>
      </c>
      <c r="AL71" s="525">
        <f>'I-Project Contingency'!$I$4</f>
        <v>7250000</v>
      </c>
      <c r="AM71" s="350">
        <f>'I-Project Contingency'!$I$11</f>
        <v>12</v>
      </c>
      <c r="AN71" s="349">
        <f t="shared" si="8"/>
        <v>0</v>
      </c>
      <c r="AO71" s="350">
        <f t="shared" si="9"/>
        <v>0</v>
      </c>
      <c r="AP71" s="672" t="str">
        <f t="shared" si="18"/>
        <v/>
      </c>
      <c r="AQ71" s="672" t="str">
        <f t="shared" si="19"/>
        <v/>
      </c>
      <c r="AR71" s="526" t="str">
        <f t="shared" si="22"/>
        <v/>
      </c>
      <c r="AS71" s="526" t="str">
        <f t="shared" si="20"/>
        <v/>
      </c>
      <c r="AT71" s="8"/>
      <c r="AU71" s="353">
        <f>'I-Project Contingency'!$O$4-AE71</f>
        <v>0</v>
      </c>
      <c r="AV71" s="354">
        <v>1687645.9248406207</v>
      </c>
      <c r="AW71" s="354">
        <v>3291004.7254658043</v>
      </c>
      <c r="AX71" s="354">
        <v>4159167.8232088853</v>
      </c>
      <c r="AY71" s="354">
        <f>'I-Project Contingency'!$E$66-AV71</f>
        <v>0</v>
      </c>
      <c r="AZ71" s="354">
        <f>'I-Project Contingency'!$E$69-AW71</f>
        <v>0</v>
      </c>
      <c r="BA71" s="354">
        <f>'I-Project Contingency'!$E$70-AX71</f>
        <v>0</v>
      </c>
      <c r="BB71" s="355">
        <f>'I-Project Contingency'!$O$5-AG71</f>
        <v>0</v>
      </c>
      <c r="BC71" s="356">
        <v>2.9615115956254372</v>
      </c>
      <c r="BD71" s="356">
        <v>6.001919642116226</v>
      </c>
      <c r="BE71" s="357">
        <v>7.5913096572662919</v>
      </c>
      <c r="BF71" s="356">
        <f>'I-Project Contingency'!$E$81-BC71</f>
        <v>0</v>
      </c>
      <c r="BG71" s="356">
        <f>'I-Project Contingency'!$E$84-BD71</f>
        <v>0</v>
      </c>
      <c r="BH71" s="356">
        <f>'I-Project Contingency'!$E$85-BE71</f>
        <v>0</v>
      </c>
      <c r="BI71" s="358">
        <f>IF(BK71="N/A","N/A",IF('D-Project Data'!$C$6=50%,ABS(BK71),IF('D-Project Data'!$C$6=80%,ABS(BL71),IF('D-Project Data'!$C$6=90%,ABS(BM71)))))</f>
        <v>0</v>
      </c>
      <c r="BJ71" s="359">
        <f>IF(BI71="N/A","N/A",RANK(BI71,$BI$18:$BI$116,0)+COUNTIF($BI$18:BI71,BI71)-1)</f>
        <v>54</v>
      </c>
      <c r="BK71" s="358">
        <f>IF(AY71/SUM(AY:AY)*'I-Project Contingency'!$F$66=0,0,AY71/SUM(AY:AY)*'I-Project Contingency'!$F$66)</f>
        <v>0</v>
      </c>
      <c r="BL71" s="358">
        <f>IF(AZ71/SUM(AZ:AZ)*'I-Project Contingency'!$F$69=0,0,AZ71/SUM(AZ:AZ)*'I-Project Contingency'!$F$69)</f>
        <v>0</v>
      </c>
      <c r="BM71" s="358">
        <f>IF(BA71/SUM(BA:BA)*'I-Project Contingency'!$F$70=0,0,BA71/SUM(BA:BA)*'I-Project Contingency'!$F$70)</f>
        <v>0</v>
      </c>
      <c r="BN71" s="357">
        <f>IF(BP71="N/A","N/A",IF('D-Project Data'!$C$6=50%,ABS(BP71),IF('D-Project Data'!$C$6=80%,ABS(BQ71),IF('D-Project Data'!$C$6=90%,ABS(BR71)))))</f>
        <v>0</v>
      </c>
      <c r="BO71" s="359">
        <f>IF(BN71="N/A","N/A",RANK(BN71,$BN$18:$BN$116,0)+COUNTIF($BN$18:BN71,BN71)-1)</f>
        <v>54</v>
      </c>
      <c r="BP71" s="357">
        <f>IF(BF71/SUM(BF:BF)*'I-Project Contingency'!$F$81=0,0,BF71/SUM(BF:BF)*'I-Project Contingency'!$F$81)</f>
        <v>0</v>
      </c>
      <c r="BQ71" s="357">
        <f>IF(BG71/SUM(BG:BG)*'I-Project Contingency'!$F$84=0,0,BG71/SUM(BG:BG)*'I-Project Contingency'!$F$84)</f>
        <v>0</v>
      </c>
      <c r="BR71" s="357">
        <f>IF(BH71/SUM(BH:BH)*'I-Project Contingency'!$F$85=0,0,BH71/SUM(BH:BH)*'I-Project Contingency'!$F$85)</f>
        <v>0</v>
      </c>
      <c r="BS71" s="359">
        <f t="shared" si="46"/>
        <v>54</v>
      </c>
      <c r="BT71" s="360" t="str">
        <f t="shared" si="47"/>
        <v xml:space="preserve">54 -  </v>
      </c>
      <c r="BU71" s="354">
        <f t="shared" si="48"/>
        <v>0</v>
      </c>
      <c r="BV71" s="354">
        <f t="shared" si="49"/>
        <v>0</v>
      </c>
      <c r="BW71" s="356">
        <f t="shared" si="50"/>
        <v>0</v>
      </c>
      <c r="BX71" s="356">
        <f t="shared" si="51"/>
        <v>0</v>
      </c>
    </row>
    <row r="72" spans="1:76" ht="29" x14ac:dyDescent="0.35">
      <c r="A72" s="163">
        <f t="shared" si="21"/>
        <v>55</v>
      </c>
      <c r="B72" s="758" t="s">
        <v>728</v>
      </c>
      <c r="C72" s="760" t="s">
        <v>659</v>
      </c>
      <c r="D72" s="760" t="s">
        <v>659</v>
      </c>
      <c r="E72" s="760" t="s">
        <v>659</v>
      </c>
      <c r="F72" s="759" t="s">
        <v>728</v>
      </c>
      <c r="G72" s="759" t="s">
        <v>728</v>
      </c>
      <c r="H72" s="157" t="str">
        <f>IFERROR(IF('H-Risk Register-Model'!F72="Certain","Relook at Basis of Estimate",INDEX('G-Assumptions'!$F$8:$J$11,MATCH(F72,'G-Assumptions'!$D$8:$D$11,0),MATCH(G72,'G-Assumptions'!$F$6:$J$6,0))),"Unrated")</f>
        <v>Unrated</v>
      </c>
      <c r="I72" s="759" t="s">
        <v>728</v>
      </c>
      <c r="J72" s="157" t="str">
        <f>IFERROR(IF('H-Risk Register-Model'!F72="Certain","Relook at Basis of Estimate",INDEX('G-Assumptions'!$F$8:$J$11,MATCH(F72,'G-Assumptions'!$D$8:$D$11,0),MATCH(I72,'G-Assumptions'!$F$6:$J$6,0))),"Unrated")</f>
        <v>Unrated</v>
      </c>
      <c r="K72" s="759" t="s">
        <v>728</v>
      </c>
      <c r="L72" s="759" t="s">
        <v>728</v>
      </c>
      <c r="M72" s="759"/>
      <c r="N72" s="763" t="s">
        <v>728</v>
      </c>
      <c r="O72" s="763" t="s">
        <v>728</v>
      </c>
      <c r="P72" s="764"/>
      <c r="Q72" s="764"/>
      <c r="R72" s="764"/>
      <c r="S72" s="765"/>
      <c r="T72" s="765"/>
      <c r="U72" s="765"/>
      <c r="V72" s="766"/>
      <c r="W72" s="764"/>
      <c r="X72" s="764"/>
      <c r="Y72" s="767">
        <v>1</v>
      </c>
      <c r="Z72" s="770">
        <v>1</v>
      </c>
      <c r="AA72" s="166">
        <f t="shared" si="40"/>
        <v>0</v>
      </c>
      <c r="AB72" s="166">
        <f t="shared" si="41"/>
        <v>0</v>
      </c>
      <c r="AC72" s="166">
        <f t="shared" si="42"/>
        <v>0</v>
      </c>
      <c r="AD72" s="166"/>
      <c r="AE72" s="164">
        <f t="shared" si="43"/>
        <v>0</v>
      </c>
      <c r="AF72" s="167"/>
      <c r="AG72" s="165">
        <f t="shared" si="44"/>
        <v>0</v>
      </c>
      <c r="AH72" s="760"/>
      <c r="AI72" s="760"/>
      <c r="AJ72" s="8"/>
      <c r="AK72" s="524" t="str">
        <f t="shared" si="45"/>
        <v>No</v>
      </c>
      <c r="AL72" s="525">
        <f>'I-Project Contingency'!$I$4</f>
        <v>7250000</v>
      </c>
      <c r="AM72" s="350">
        <f>'I-Project Contingency'!$I$11</f>
        <v>12</v>
      </c>
      <c r="AN72" s="349">
        <f t="shared" si="8"/>
        <v>0</v>
      </c>
      <c r="AO72" s="350">
        <f t="shared" si="9"/>
        <v>0</v>
      </c>
      <c r="AP72" s="672" t="str">
        <f t="shared" si="18"/>
        <v/>
      </c>
      <c r="AQ72" s="672" t="str">
        <f t="shared" si="19"/>
        <v/>
      </c>
      <c r="AR72" s="526" t="str">
        <f t="shared" si="22"/>
        <v/>
      </c>
      <c r="AS72" s="526" t="str">
        <f t="shared" si="20"/>
        <v/>
      </c>
      <c r="AT72" s="8"/>
      <c r="AU72" s="353">
        <f>'I-Project Contingency'!$O$4-AE72</f>
        <v>0</v>
      </c>
      <c r="AV72" s="354">
        <v>1687645.9248406207</v>
      </c>
      <c r="AW72" s="354">
        <v>3291004.7254658043</v>
      </c>
      <c r="AX72" s="354">
        <v>4159167.8232088853</v>
      </c>
      <c r="AY72" s="354">
        <f>'I-Project Contingency'!$E$66-AV72</f>
        <v>0</v>
      </c>
      <c r="AZ72" s="354">
        <f>'I-Project Contingency'!$E$69-AW72</f>
        <v>0</v>
      </c>
      <c r="BA72" s="354">
        <f>'I-Project Contingency'!$E$70-AX72</f>
        <v>0</v>
      </c>
      <c r="BB72" s="355">
        <f>'I-Project Contingency'!$O$5-AG72</f>
        <v>0</v>
      </c>
      <c r="BC72" s="356">
        <v>2.9615115956254372</v>
      </c>
      <c r="BD72" s="356">
        <v>6.001919642116226</v>
      </c>
      <c r="BE72" s="357">
        <v>7.5913096572662919</v>
      </c>
      <c r="BF72" s="356">
        <f>'I-Project Contingency'!$E$81-BC72</f>
        <v>0</v>
      </c>
      <c r="BG72" s="356">
        <f>'I-Project Contingency'!$E$84-BD72</f>
        <v>0</v>
      </c>
      <c r="BH72" s="356">
        <f>'I-Project Contingency'!$E$85-BE72</f>
        <v>0</v>
      </c>
      <c r="BI72" s="358">
        <f>IF(BK72="N/A","N/A",IF('D-Project Data'!$C$6=50%,ABS(BK72),IF('D-Project Data'!$C$6=80%,ABS(BL72),IF('D-Project Data'!$C$6=90%,ABS(BM72)))))</f>
        <v>0</v>
      </c>
      <c r="BJ72" s="359">
        <f>IF(BI72="N/A","N/A",RANK(BI72,$BI$18:$BI$116,0)+COUNTIF($BI$18:BI72,BI72)-1)</f>
        <v>55</v>
      </c>
      <c r="BK72" s="358">
        <f>IF(AY72/SUM(AY:AY)*'I-Project Contingency'!$F$66=0,0,AY72/SUM(AY:AY)*'I-Project Contingency'!$F$66)</f>
        <v>0</v>
      </c>
      <c r="BL72" s="358">
        <f>IF(AZ72/SUM(AZ:AZ)*'I-Project Contingency'!$F$69=0,0,AZ72/SUM(AZ:AZ)*'I-Project Contingency'!$F$69)</f>
        <v>0</v>
      </c>
      <c r="BM72" s="358">
        <f>IF(BA72/SUM(BA:BA)*'I-Project Contingency'!$F$70=0,0,BA72/SUM(BA:BA)*'I-Project Contingency'!$F$70)</f>
        <v>0</v>
      </c>
      <c r="BN72" s="357">
        <f>IF(BP72="N/A","N/A",IF('D-Project Data'!$C$6=50%,ABS(BP72),IF('D-Project Data'!$C$6=80%,ABS(BQ72),IF('D-Project Data'!$C$6=90%,ABS(BR72)))))</f>
        <v>0</v>
      </c>
      <c r="BO72" s="359">
        <f>IF(BN72="N/A","N/A",RANK(BN72,$BN$18:$BN$116,0)+COUNTIF($BN$18:BN72,BN72)-1)</f>
        <v>55</v>
      </c>
      <c r="BP72" s="357">
        <f>IF(BF72/SUM(BF:BF)*'I-Project Contingency'!$F$81=0,0,BF72/SUM(BF:BF)*'I-Project Contingency'!$F$81)</f>
        <v>0</v>
      </c>
      <c r="BQ72" s="357">
        <f>IF(BG72/SUM(BG:BG)*'I-Project Contingency'!$F$84=0,0,BG72/SUM(BG:BG)*'I-Project Contingency'!$F$84)</f>
        <v>0</v>
      </c>
      <c r="BR72" s="357">
        <f>IF(BH72/SUM(BH:BH)*'I-Project Contingency'!$F$85=0,0,BH72/SUM(BH:BH)*'I-Project Contingency'!$F$85)</f>
        <v>0</v>
      </c>
      <c r="BS72" s="359">
        <f t="shared" si="46"/>
        <v>55</v>
      </c>
      <c r="BT72" s="360" t="str">
        <f t="shared" si="47"/>
        <v xml:space="preserve">55 -  </v>
      </c>
      <c r="BU72" s="354">
        <f t="shared" si="48"/>
        <v>0</v>
      </c>
      <c r="BV72" s="354">
        <f t="shared" si="49"/>
        <v>0</v>
      </c>
      <c r="BW72" s="356">
        <f t="shared" si="50"/>
        <v>0</v>
      </c>
      <c r="BX72" s="356">
        <f t="shared" si="51"/>
        <v>0</v>
      </c>
    </row>
    <row r="73" spans="1:76" ht="29" x14ac:dyDescent="0.35">
      <c r="A73" s="163">
        <f t="shared" si="21"/>
        <v>56</v>
      </c>
      <c r="B73" s="758" t="s">
        <v>728</v>
      </c>
      <c r="C73" s="760" t="s">
        <v>659</v>
      </c>
      <c r="D73" s="760" t="s">
        <v>659</v>
      </c>
      <c r="E73" s="760" t="s">
        <v>659</v>
      </c>
      <c r="F73" s="759" t="s">
        <v>728</v>
      </c>
      <c r="G73" s="759" t="s">
        <v>728</v>
      </c>
      <c r="H73" s="157" t="str">
        <f>IFERROR(IF('H-Risk Register-Model'!F73="Certain","Relook at Basis of Estimate",INDEX('G-Assumptions'!$F$8:$J$11,MATCH(F73,'G-Assumptions'!$D$8:$D$11,0),MATCH(G73,'G-Assumptions'!$F$6:$J$6,0))),"Unrated")</f>
        <v>Unrated</v>
      </c>
      <c r="I73" s="759" t="s">
        <v>728</v>
      </c>
      <c r="J73" s="157" t="str">
        <f>IFERROR(IF('H-Risk Register-Model'!F73="Certain","Relook at Basis of Estimate",INDEX('G-Assumptions'!$F$8:$J$11,MATCH(F73,'G-Assumptions'!$D$8:$D$11,0),MATCH(I73,'G-Assumptions'!$F$6:$J$6,0))),"Unrated")</f>
        <v>Unrated</v>
      </c>
      <c r="K73" s="759" t="s">
        <v>728</v>
      </c>
      <c r="L73" s="759" t="s">
        <v>728</v>
      </c>
      <c r="M73" s="759"/>
      <c r="N73" s="763" t="s">
        <v>728</v>
      </c>
      <c r="O73" s="763" t="s">
        <v>728</v>
      </c>
      <c r="P73" s="764"/>
      <c r="Q73" s="764"/>
      <c r="R73" s="764"/>
      <c r="S73" s="765"/>
      <c r="T73" s="765"/>
      <c r="U73" s="765"/>
      <c r="V73" s="766"/>
      <c r="W73" s="764"/>
      <c r="X73" s="764"/>
      <c r="Y73" s="767">
        <v>1</v>
      </c>
      <c r="Z73" s="770">
        <v>1</v>
      </c>
      <c r="AA73" s="166">
        <f t="shared" si="40"/>
        <v>0</v>
      </c>
      <c r="AB73" s="166">
        <f t="shared" si="41"/>
        <v>0</v>
      </c>
      <c r="AC73" s="166">
        <f t="shared" si="42"/>
        <v>0</v>
      </c>
      <c r="AD73" s="166"/>
      <c r="AE73" s="164">
        <f t="shared" si="43"/>
        <v>0</v>
      </c>
      <c r="AF73" s="167"/>
      <c r="AG73" s="165">
        <f t="shared" si="44"/>
        <v>0</v>
      </c>
      <c r="AH73" s="760"/>
      <c r="AI73" s="760"/>
      <c r="AJ73" s="8"/>
      <c r="AK73" s="524" t="str">
        <f t="shared" si="45"/>
        <v>No</v>
      </c>
      <c r="AL73" s="525">
        <f>'I-Project Contingency'!$I$4</f>
        <v>7250000</v>
      </c>
      <c r="AM73" s="350">
        <f>'I-Project Contingency'!$I$11</f>
        <v>12</v>
      </c>
      <c r="AN73" s="349">
        <f t="shared" si="8"/>
        <v>0</v>
      </c>
      <c r="AO73" s="350">
        <f t="shared" si="9"/>
        <v>0</v>
      </c>
      <c r="AP73" s="672" t="str">
        <f t="shared" si="18"/>
        <v/>
      </c>
      <c r="AQ73" s="672" t="str">
        <f t="shared" si="19"/>
        <v/>
      </c>
      <c r="AR73" s="526" t="str">
        <f t="shared" si="22"/>
        <v/>
      </c>
      <c r="AS73" s="526" t="str">
        <f t="shared" si="20"/>
        <v/>
      </c>
      <c r="AT73" s="8"/>
      <c r="AU73" s="353">
        <f>'I-Project Contingency'!$O$4-AE73</f>
        <v>0</v>
      </c>
      <c r="AV73" s="354">
        <v>1687645.9248406207</v>
      </c>
      <c r="AW73" s="354">
        <v>3291004.7254658043</v>
      </c>
      <c r="AX73" s="354">
        <v>4159167.8232088853</v>
      </c>
      <c r="AY73" s="354">
        <f>'I-Project Contingency'!$E$66-AV73</f>
        <v>0</v>
      </c>
      <c r="AZ73" s="354">
        <f>'I-Project Contingency'!$E$69-AW73</f>
        <v>0</v>
      </c>
      <c r="BA73" s="354">
        <f>'I-Project Contingency'!$E$70-AX73</f>
        <v>0</v>
      </c>
      <c r="BB73" s="355">
        <f>'I-Project Contingency'!$O$5-AG73</f>
        <v>0</v>
      </c>
      <c r="BC73" s="356">
        <v>2.9615115956254372</v>
      </c>
      <c r="BD73" s="356">
        <v>6.001919642116226</v>
      </c>
      <c r="BE73" s="357">
        <v>7.5913096572662919</v>
      </c>
      <c r="BF73" s="356">
        <f>'I-Project Contingency'!$E$81-BC73</f>
        <v>0</v>
      </c>
      <c r="BG73" s="356">
        <f>'I-Project Contingency'!$E$84-BD73</f>
        <v>0</v>
      </c>
      <c r="BH73" s="356">
        <f>'I-Project Contingency'!$E$85-BE73</f>
        <v>0</v>
      </c>
      <c r="BI73" s="358">
        <f>IF(BK73="N/A","N/A",IF('D-Project Data'!$C$6=50%,ABS(BK73),IF('D-Project Data'!$C$6=80%,ABS(BL73),IF('D-Project Data'!$C$6=90%,ABS(BM73)))))</f>
        <v>0</v>
      </c>
      <c r="BJ73" s="359">
        <f>IF(BI73="N/A","N/A",RANK(BI73,$BI$18:$BI$116,0)+COUNTIF($BI$18:BI73,BI73)-1)</f>
        <v>56</v>
      </c>
      <c r="BK73" s="358">
        <f>IF(AY73/SUM(AY:AY)*'I-Project Contingency'!$F$66=0,0,AY73/SUM(AY:AY)*'I-Project Contingency'!$F$66)</f>
        <v>0</v>
      </c>
      <c r="BL73" s="358">
        <f>IF(AZ73/SUM(AZ:AZ)*'I-Project Contingency'!$F$69=0,0,AZ73/SUM(AZ:AZ)*'I-Project Contingency'!$F$69)</f>
        <v>0</v>
      </c>
      <c r="BM73" s="358">
        <f>IF(BA73/SUM(BA:BA)*'I-Project Contingency'!$F$70=0,0,BA73/SUM(BA:BA)*'I-Project Contingency'!$F$70)</f>
        <v>0</v>
      </c>
      <c r="BN73" s="357">
        <f>IF(BP73="N/A","N/A",IF('D-Project Data'!$C$6=50%,ABS(BP73),IF('D-Project Data'!$C$6=80%,ABS(BQ73),IF('D-Project Data'!$C$6=90%,ABS(BR73)))))</f>
        <v>0</v>
      </c>
      <c r="BO73" s="359">
        <f>IF(BN73="N/A","N/A",RANK(BN73,$BN$18:$BN$116,0)+COUNTIF($BN$18:BN73,BN73)-1)</f>
        <v>56</v>
      </c>
      <c r="BP73" s="357">
        <f>IF(BF73/SUM(BF:BF)*'I-Project Contingency'!$F$81=0,0,BF73/SUM(BF:BF)*'I-Project Contingency'!$F$81)</f>
        <v>0</v>
      </c>
      <c r="BQ73" s="357">
        <f>IF(BG73/SUM(BG:BG)*'I-Project Contingency'!$F$84=0,0,BG73/SUM(BG:BG)*'I-Project Contingency'!$F$84)</f>
        <v>0</v>
      </c>
      <c r="BR73" s="357">
        <f>IF(BH73/SUM(BH:BH)*'I-Project Contingency'!$F$85=0,0,BH73/SUM(BH:BH)*'I-Project Contingency'!$F$85)</f>
        <v>0</v>
      </c>
      <c r="BS73" s="359">
        <f t="shared" si="46"/>
        <v>56</v>
      </c>
      <c r="BT73" s="360" t="str">
        <f t="shared" si="47"/>
        <v xml:space="preserve">56 -  </v>
      </c>
      <c r="BU73" s="354">
        <f t="shared" si="48"/>
        <v>0</v>
      </c>
      <c r="BV73" s="354">
        <f t="shared" si="49"/>
        <v>0</v>
      </c>
      <c r="BW73" s="356">
        <f t="shared" si="50"/>
        <v>0</v>
      </c>
      <c r="BX73" s="356">
        <f t="shared" si="51"/>
        <v>0</v>
      </c>
    </row>
    <row r="74" spans="1:76" ht="29" x14ac:dyDescent="0.35">
      <c r="A74" s="163">
        <f t="shared" si="21"/>
        <v>57</v>
      </c>
      <c r="B74" s="758" t="s">
        <v>728</v>
      </c>
      <c r="C74" s="760" t="s">
        <v>659</v>
      </c>
      <c r="D74" s="760" t="s">
        <v>659</v>
      </c>
      <c r="E74" s="760" t="s">
        <v>659</v>
      </c>
      <c r="F74" s="759" t="s">
        <v>728</v>
      </c>
      <c r="G74" s="759" t="s">
        <v>728</v>
      </c>
      <c r="H74" s="157" t="str">
        <f>IFERROR(IF('H-Risk Register-Model'!F74="Certain","Relook at Basis of Estimate",INDEX('G-Assumptions'!$F$8:$J$11,MATCH(F74,'G-Assumptions'!$D$8:$D$11,0),MATCH(G74,'G-Assumptions'!$F$6:$J$6,0))),"Unrated")</f>
        <v>Unrated</v>
      </c>
      <c r="I74" s="759" t="s">
        <v>728</v>
      </c>
      <c r="J74" s="157" t="str">
        <f>IFERROR(IF('H-Risk Register-Model'!F74="Certain","Relook at Basis of Estimate",INDEX('G-Assumptions'!$F$8:$J$11,MATCH(F74,'G-Assumptions'!$D$8:$D$11,0),MATCH(I74,'G-Assumptions'!$F$6:$J$6,0))),"Unrated")</f>
        <v>Unrated</v>
      </c>
      <c r="K74" s="759" t="s">
        <v>728</v>
      </c>
      <c r="L74" s="759" t="s">
        <v>728</v>
      </c>
      <c r="M74" s="759"/>
      <c r="N74" s="763" t="s">
        <v>728</v>
      </c>
      <c r="O74" s="763" t="s">
        <v>728</v>
      </c>
      <c r="P74" s="764"/>
      <c r="Q74" s="764"/>
      <c r="R74" s="764"/>
      <c r="S74" s="765"/>
      <c r="T74" s="765"/>
      <c r="U74" s="765"/>
      <c r="V74" s="766"/>
      <c r="W74" s="764"/>
      <c r="X74" s="764"/>
      <c r="Y74" s="767">
        <v>1</v>
      </c>
      <c r="Z74" s="770">
        <v>1</v>
      </c>
      <c r="AA74" s="166">
        <f t="shared" si="40"/>
        <v>0</v>
      </c>
      <c r="AB74" s="166">
        <f t="shared" si="41"/>
        <v>0</v>
      </c>
      <c r="AC74" s="166">
        <f t="shared" si="42"/>
        <v>0</v>
      </c>
      <c r="AD74" s="166"/>
      <c r="AE74" s="164">
        <f t="shared" si="43"/>
        <v>0</v>
      </c>
      <c r="AF74" s="167"/>
      <c r="AG74" s="165">
        <f t="shared" si="44"/>
        <v>0</v>
      </c>
      <c r="AH74" s="760"/>
      <c r="AI74" s="760"/>
      <c r="AJ74" s="8"/>
      <c r="AK74" s="524" t="str">
        <f t="shared" si="45"/>
        <v>No</v>
      </c>
      <c r="AL74" s="525">
        <f>'I-Project Contingency'!$I$4</f>
        <v>7250000</v>
      </c>
      <c r="AM74" s="350">
        <f>'I-Project Contingency'!$I$11</f>
        <v>12</v>
      </c>
      <c r="AN74" s="349">
        <f t="shared" si="8"/>
        <v>0</v>
      </c>
      <c r="AO74" s="350">
        <f t="shared" si="9"/>
        <v>0</v>
      </c>
      <c r="AP74" s="672" t="str">
        <f t="shared" si="18"/>
        <v/>
      </c>
      <c r="AQ74" s="672" t="str">
        <f t="shared" si="19"/>
        <v/>
      </c>
      <c r="AR74" s="526" t="str">
        <f t="shared" si="22"/>
        <v/>
      </c>
      <c r="AS74" s="526" t="str">
        <f t="shared" si="20"/>
        <v/>
      </c>
      <c r="AT74" s="8"/>
      <c r="AU74" s="353">
        <f>'I-Project Contingency'!$O$4-AE74</f>
        <v>0</v>
      </c>
      <c r="AV74" s="354">
        <v>1687645.9248406207</v>
      </c>
      <c r="AW74" s="354">
        <v>3291004.7254658043</v>
      </c>
      <c r="AX74" s="354">
        <v>4159167.8232088853</v>
      </c>
      <c r="AY74" s="354">
        <f>'I-Project Contingency'!$E$66-AV74</f>
        <v>0</v>
      </c>
      <c r="AZ74" s="354">
        <f>'I-Project Contingency'!$E$69-AW74</f>
        <v>0</v>
      </c>
      <c r="BA74" s="354">
        <f>'I-Project Contingency'!$E$70-AX74</f>
        <v>0</v>
      </c>
      <c r="BB74" s="355">
        <f>'I-Project Contingency'!$O$5-AG74</f>
        <v>0</v>
      </c>
      <c r="BC74" s="356">
        <v>2.9615115956254372</v>
      </c>
      <c r="BD74" s="356">
        <v>6.001919642116226</v>
      </c>
      <c r="BE74" s="357">
        <v>7.5913096572662919</v>
      </c>
      <c r="BF74" s="356">
        <f>'I-Project Contingency'!$E$81-BC74</f>
        <v>0</v>
      </c>
      <c r="BG74" s="356">
        <f>'I-Project Contingency'!$E$84-BD74</f>
        <v>0</v>
      </c>
      <c r="BH74" s="356">
        <f>'I-Project Contingency'!$E$85-BE74</f>
        <v>0</v>
      </c>
      <c r="BI74" s="358">
        <f>IF(BK74="N/A","N/A",IF('D-Project Data'!$C$6=50%,ABS(BK74),IF('D-Project Data'!$C$6=80%,ABS(BL74),IF('D-Project Data'!$C$6=90%,ABS(BM74)))))</f>
        <v>0</v>
      </c>
      <c r="BJ74" s="359">
        <f>IF(BI74="N/A","N/A",RANK(BI74,$BI$18:$BI$116,0)+COUNTIF($BI$18:BI74,BI74)-1)</f>
        <v>57</v>
      </c>
      <c r="BK74" s="358">
        <f>IF(AY74/SUM(AY:AY)*'I-Project Contingency'!$F$66=0,0,AY74/SUM(AY:AY)*'I-Project Contingency'!$F$66)</f>
        <v>0</v>
      </c>
      <c r="BL74" s="358">
        <f>IF(AZ74/SUM(AZ:AZ)*'I-Project Contingency'!$F$69=0,0,AZ74/SUM(AZ:AZ)*'I-Project Contingency'!$F$69)</f>
        <v>0</v>
      </c>
      <c r="BM74" s="358">
        <f>IF(BA74/SUM(BA:BA)*'I-Project Contingency'!$F$70=0,0,BA74/SUM(BA:BA)*'I-Project Contingency'!$F$70)</f>
        <v>0</v>
      </c>
      <c r="BN74" s="357">
        <f>IF(BP74="N/A","N/A",IF('D-Project Data'!$C$6=50%,ABS(BP74),IF('D-Project Data'!$C$6=80%,ABS(BQ74),IF('D-Project Data'!$C$6=90%,ABS(BR74)))))</f>
        <v>0</v>
      </c>
      <c r="BO74" s="359">
        <f>IF(BN74="N/A","N/A",RANK(BN74,$BN$18:$BN$116,0)+COUNTIF($BN$18:BN74,BN74)-1)</f>
        <v>57</v>
      </c>
      <c r="BP74" s="357">
        <f>IF(BF74/SUM(BF:BF)*'I-Project Contingency'!$F$81=0,0,BF74/SUM(BF:BF)*'I-Project Contingency'!$F$81)</f>
        <v>0</v>
      </c>
      <c r="BQ74" s="357">
        <f>IF(BG74/SUM(BG:BG)*'I-Project Contingency'!$F$84=0,0,BG74/SUM(BG:BG)*'I-Project Contingency'!$F$84)</f>
        <v>0</v>
      </c>
      <c r="BR74" s="357">
        <f>IF(BH74/SUM(BH:BH)*'I-Project Contingency'!$F$85=0,0,BH74/SUM(BH:BH)*'I-Project Contingency'!$F$85)</f>
        <v>0</v>
      </c>
      <c r="BS74" s="359">
        <f t="shared" si="46"/>
        <v>57</v>
      </c>
      <c r="BT74" s="360" t="str">
        <f t="shared" si="47"/>
        <v xml:space="preserve">57 -  </v>
      </c>
      <c r="BU74" s="354">
        <f t="shared" si="48"/>
        <v>0</v>
      </c>
      <c r="BV74" s="354">
        <f t="shared" si="49"/>
        <v>0</v>
      </c>
      <c r="BW74" s="356">
        <f t="shared" si="50"/>
        <v>0</v>
      </c>
      <c r="BX74" s="356">
        <f t="shared" si="51"/>
        <v>0</v>
      </c>
    </row>
    <row r="75" spans="1:76" ht="29" x14ac:dyDescent="0.35">
      <c r="A75" s="163">
        <f t="shared" si="21"/>
        <v>58</v>
      </c>
      <c r="B75" s="758" t="s">
        <v>728</v>
      </c>
      <c r="C75" s="760" t="s">
        <v>659</v>
      </c>
      <c r="D75" s="760" t="s">
        <v>659</v>
      </c>
      <c r="E75" s="760" t="s">
        <v>659</v>
      </c>
      <c r="F75" s="759" t="s">
        <v>728</v>
      </c>
      <c r="G75" s="759" t="s">
        <v>728</v>
      </c>
      <c r="H75" s="157" t="str">
        <f>IFERROR(IF('H-Risk Register-Model'!F75="Certain","Relook at Basis of Estimate",INDEX('G-Assumptions'!$F$8:$J$11,MATCH(F75,'G-Assumptions'!$D$8:$D$11,0),MATCH(G75,'G-Assumptions'!$F$6:$J$6,0))),"Unrated")</f>
        <v>Unrated</v>
      </c>
      <c r="I75" s="759" t="s">
        <v>728</v>
      </c>
      <c r="J75" s="157" t="str">
        <f>IFERROR(IF('H-Risk Register-Model'!F75="Certain","Relook at Basis of Estimate",INDEX('G-Assumptions'!$F$8:$J$11,MATCH(F75,'G-Assumptions'!$D$8:$D$11,0),MATCH(I75,'G-Assumptions'!$F$6:$J$6,0))),"Unrated")</f>
        <v>Unrated</v>
      </c>
      <c r="K75" s="759" t="s">
        <v>728</v>
      </c>
      <c r="L75" s="759" t="s">
        <v>728</v>
      </c>
      <c r="M75" s="759"/>
      <c r="N75" s="763" t="s">
        <v>728</v>
      </c>
      <c r="O75" s="763" t="s">
        <v>728</v>
      </c>
      <c r="P75" s="764"/>
      <c r="Q75" s="764"/>
      <c r="R75" s="764"/>
      <c r="S75" s="765"/>
      <c r="T75" s="765"/>
      <c r="U75" s="765"/>
      <c r="V75" s="766"/>
      <c r="W75" s="764"/>
      <c r="X75" s="764"/>
      <c r="Y75" s="767">
        <v>1</v>
      </c>
      <c r="Z75" s="770">
        <v>1</v>
      </c>
      <c r="AA75" s="166">
        <f t="shared" si="40"/>
        <v>0</v>
      </c>
      <c r="AB75" s="166">
        <f t="shared" si="41"/>
        <v>0</v>
      </c>
      <c r="AC75" s="166">
        <f t="shared" si="42"/>
        <v>0</v>
      </c>
      <c r="AD75" s="166"/>
      <c r="AE75" s="164">
        <f t="shared" si="43"/>
        <v>0</v>
      </c>
      <c r="AF75" s="167"/>
      <c r="AG75" s="165">
        <f t="shared" si="44"/>
        <v>0</v>
      </c>
      <c r="AH75" s="760"/>
      <c r="AI75" s="760"/>
      <c r="AJ75" s="8"/>
      <c r="AK75" s="524" t="str">
        <f t="shared" si="45"/>
        <v>No</v>
      </c>
      <c r="AL75" s="525">
        <f>'I-Project Contingency'!$I$4</f>
        <v>7250000</v>
      </c>
      <c r="AM75" s="350">
        <f>'I-Project Contingency'!$I$11</f>
        <v>12</v>
      </c>
      <c r="AN75" s="349">
        <f t="shared" si="8"/>
        <v>0</v>
      </c>
      <c r="AO75" s="350">
        <f t="shared" si="9"/>
        <v>0</v>
      </c>
      <c r="AP75" s="672" t="str">
        <f t="shared" si="18"/>
        <v/>
      </c>
      <c r="AQ75" s="672" t="str">
        <f t="shared" si="19"/>
        <v/>
      </c>
      <c r="AR75" s="526" t="str">
        <f t="shared" si="22"/>
        <v/>
      </c>
      <c r="AS75" s="526" t="str">
        <f t="shared" si="20"/>
        <v/>
      </c>
      <c r="AT75" s="8"/>
      <c r="AU75" s="353">
        <f>'I-Project Contingency'!$O$4-AE75</f>
        <v>0</v>
      </c>
      <c r="AV75" s="354">
        <v>1687645.9248406207</v>
      </c>
      <c r="AW75" s="354">
        <v>3291004.7254658043</v>
      </c>
      <c r="AX75" s="354">
        <v>4159167.8232088853</v>
      </c>
      <c r="AY75" s="354">
        <f>'I-Project Contingency'!$E$66-AV75</f>
        <v>0</v>
      </c>
      <c r="AZ75" s="354">
        <f>'I-Project Contingency'!$E$69-AW75</f>
        <v>0</v>
      </c>
      <c r="BA75" s="354">
        <f>'I-Project Contingency'!$E$70-AX75</f>
        <v>0</v>
      </c>
      <c r="BB75" s="355">
        <f>'I-Project Contingency'!$O$5-AG75</f>
        <v>0</v>
      </c>
      <c r="BC75" s="356">
        <v>2.9615115956254372</v>
      </c>
      <c r="BD75" s="356">
        <v>6.001919642116226</v>
      </c>
      <c r="BE75" s="357">
        <v>7.5913096572662919</v>
      </c>
      <c r="BF75" s="356">
        <f>'I-Project Contingency'!$E$81-BC75</f>
        <v>0</v>
      </c>
      <c r="BG75" s="356">
        <f>'I-Project Contingency'!$E$84-BD75</f>
        <v>0</v>
      </c>
      <c r="BH75" s="356">
        <f>'I-Project Contingency'!$E$85-BE75</f>
        <v>0</v>
      </c>
      <c r="BI75" s="358">
        <f>IF(BK75="N/A","N/A",IF('D-Project Data'!$C$6=50%,ABS(BK75),IF('D-Project Data'!$C$6=80%,ABS(BL75),IF('D-Project Data'!$C$6=90%,ABS(BM75)))))</f>
        <v>0</v>
      </c>
      <c r="BJ75" s="359">
        <f>IF(BI75="N/A","N/A",RANK(BI75,$BI$18:$BI$116,0)+COUNTIF($BI$18:BI75,BI75)-1)</f>
        <v>58</v>
      </c>
      <c r="BK75" s="358">
        <f>IF(AY75/SUM(AY:AY)*'I-Project Contingency'!$F$66=0,0,AY75/SUM(AY:AY)*'I-Project Contingency'!$F$66)</f>
        <v>0</v>
      </c>
      <c r="BL75" s="358">
        <f>IF(AZ75/SUM(AZ:AZ)*'I-Project Contingency'!$F$69=0,0,AZ75/SUM(AZ:AZ)*'I-Project Contingency'!$F$69)</f>
        <v>0</v>
      </c>
      <c r="BM75" s="358">
        <f>IF(BA75/SUM(BA:BA)*'I-Project Contingency'!$F$70=0,0,BA75/SUM(BA:BA)*'I-Project Contingency'!$F$70)</f>
        <v>0</v>
      </c>
      <c r="BN75" s="357">
        <f>IF(BP75="N/A","N/A",IF('D-Project Data'!$C$6=50%,ABS(BP75),IF('D-Project Data'!$C$6=80%,ABS(BQ75),IF('D-Project Data'!$C$6=90%,ABS(BR75)))))</f>
        <v>0</v>
      </c>
      <c r="BO75" s="359">
        <f>IF(BN75="N/A","N/A",RANK(BN75,$BN$18:$BN$116,0)+COUNTIF($BN$18:BN75,BN75)-1)</f>
        <v>58</v>
      </c>
      <c r="BP75" s="357">
        <f>IF(BF75/SUM(BF:BF)*'I-Project Contingency'!$F$81=0,0,BF75/SUM(BF:BF)*'I-Project Contingency'!$F$81)</f>
        <v>0</v>
      </c>
      <c r="BQ75" s="357">
        <f>IF(BG75/SUM(BG:BG)*'I-Project Contingency'!$F$84=0,0,BG75/SUM(BG:BG)*'I-Project Contingency'!$F$84)</f>
        <v>0</v>
      </c>
      <c r="BR75" s="357">
        <f>IF(BH75/SUM(BH:BH)*'I-Project Contingency'!$F$85=0,0,BH75/SUM(BH:BH)*'I-Project Contingency'!$F$85)</f>
        <v>0</v>
      </c>
      <c r="BS75" s="359">
        <f t="shared" si="46"/>
        <v>58</v>
      </c>
      <c r="BT75" s="360" t="str">
        <f t="shared" si="47"/>
        <v xml:space="preserve">58 -  </v>
      </c>
      <c r="BU75" s="354">
        <f t="shared" si="48"/>
        <v>0</v>
      </c>
      <c r="BV75" s="354">
        <f t="shared" si="49"/>
        <v>0</v>
      </c>
      <c r="BW75" s="356">
        <f t="shared" si="50"/>
        <v>0</v>
      </c>
      <c r="BX75" s="356">
        <f t="shared" si="51"/>
        <v>0</v>
      </c>
    </row>
    <row r="76" spans="1:76" ht="29" x14ac:dyDescent="0.35">
      <c r="A76" s="163">
        <f t="shared" si="21"/>
        <v>59</v>
      </c>
      <c r="B76" s="758" t="s">
        <v>728</v>
      </c>
      <c r="C76" s="760" t="s">
        <v>659</v>
      </c>
      <c r="D76" s="760" t="s">
        <v>659</v>
      </c>
      <c r="E76" s="760" t="s">
        <v>659</v>
      </c>
      <c r="F76" s="759" t="s">
        <v>728</v>
      </c>
      <c r="G76" s="759" t="s">
        <v>728</v>
      </c>
      <c r="H76" s="157" t="str">
        <f>IFERROR(IF('H-Risk Register-Model'!F76="Certain","Relook at Basis of Estimate",INDEX('G-Assumptions'!$F$8:$J$11,MATCH(F76,'G-Assumptions'!$D$8:$D$11,0),MATCH(G76,'G-Assumptions'!$F$6:$J$6,0))),"Unrated")</f>
        <v>Unrated</v>
      </c>
      <c r="I76" s="759" t="s">
        <v>728</v>
      </c>
      <c r="J76" s="157" t="str">
        <f>IFERROR(IF('H-Risk Register-Model'!F76="Certain","Relook at Basis of Estimate",INDEX('G-Assumptions'!$F$8:$J$11,MATCH(F76,'G-Assumptions'!$D$8:$D$11,0),MATCH(I76,'G-Assumptions'!$F$6:$J$6,0))),"Unrated")</f>
        <v>Unrated</v>
      </c>
      <c r="K76" s="759" t="s">
        <v>728</v>
      </c>
      <c r="L76" s="759" t="s">
        <v>728</v>
      </c>
      <c r="M76" s="759"/>
      <c r="N76" s="763" t="s">
        <v>728</v>
      </c>
      <c r="O76" s="763" t="s">
        <v>728</v>
      </c>
      <c r="P76" s="764"/>
      <c r="Q76" s="764"/>
      <c r="R76" s="764"/>
      <c r="S76" s="765"/>
      <c r="T76" s="765"/>
      <c r="U76" s="765"/>
      <c r="V76" s="766"/>
      <c r="W76" s="764"/>
      <c r="X76" s="764"/>
      <c r="Y76" s="767">
        <v>1</v>
      </c>
      <c r="Z76" s="770">
        <v>1</v>
      </c>
      <c r="AA76" s="166">
        <f t="shared" si="40"/>
        <v>0</v>
      </c>
      <c r="AB76" s="166">
        <f t="shared" si="41"/>
        <v>0</v>
      </c>
      <c r="AC76" s="166">
        <f t="shared" si="42"/>
        <v>0</v>
      </c>
      <c r="AD76" s="166"/>
      <c r="AE76" s="164">
        <f t="shared" si="43"/>
        <v>0</v>
      </c>
      <c r="AF76" s="167"/>
      <c r="AG76" s="165">
        <f t="shared" si="44"/>
        <v>0</v>
      </c>
      <c r="AH76" s="760"/>
      <c r="AI76" s="760"/>
      <c r="AJ76" s="8"/>
      <c r="AK76" s="524" t="str">
        <f t="shared" si="45"/>
        <v>No</v>
      </c>
      <c r="AL76" s="525">
        <f>'I-Project Contingency'!$I$4</f>
        <v>7250000</v>
      </c>
      <c r="AM76" s="350">
        <f>'I-Project Contingency'!$I$11</f>
        <v>12</v>
      </c>
      <c r="AN76" s="349">
        <f t="shared" si="8"/>
        <v>0</v>
      </c>
      <c r="AO76" s="350">
        <f t="shared" si="9"/>
        <v>0</v>
      </c>
      <c r="AP76" s="672" t="str">
        <f t="shared" si="18"/>
        <v/>
      </c>
      <c r="AQ76" s="672" t="str">
        <f t="shared" si="19"/>
        <v/>
      </c>
      <c r="AR76" s="526" t="str">
        <f t="shared" si="22"/>
        <v/>
      </c>
      <c r="AS76" s="526" t="str">
        <f t="shared" si="20"/>
        <v/>
      </c>
      <c r="AT76" s="8"/>
      <c r="AU76" s="353">
        <f>'I-Project Contingency'!$O$4-AE76</f>
        <v>0</v>
      </c>
      <c r="AV76" s="354">
        <v>1687645.9248406207</v>
      </c>
      <c r="AW76" s="354">
        <v>3291004.7254658043</v>
      </c>
      <c r="AX76" s="354">
        <v>4159167.8232088853</v>
      </c>
      <c r="AY76" s="354">
        <f>'I-Project Contingency'!$E$66-AV76</f>
        <v>0</v>
      </c>
      <c r="AZ76" s="354">
        <f>'I-Project Contingency'!$E$69-AW76</f>
        <v>0</v>
      </c>
      <c r="BA76" s="354">
        <f>'I-Project Contingency'!$E$70-AX76</f>
        <v>0</v>
      </c>
      <c r="BB76" s="355">
        <f>'I-Project Contingency'!$O$5-AG76</f>
        <v>0</v>
      </c>
      <c r="BC76" s="356">
        <v>2.9615115956254372</v>
      </c>
      <c r="BD76" s="356">
        <v>6.001919642116226</v>
      </c>
      <c r="BE76" s="357">
        <v>7.5913096572662919</v>
      </c>
      <c r="BF76" s="356">
        <f>'I-Project Contingency'!$E$81-BC76</f>
        <v>0</v>
      </c>
      <c r="BG76" s="356">
        <f>'I-Project Contingency'!$E$84-BD76</f>
        <v>0</v>
      </c>
      <c r="BH76" s="356">
        <f>'I-Project Contingency'!$E$85-BE76</f>
        <v>0</v>
      </c>
      <c r="BI76" s="358">
        <f>IF(BK76="N/A","N/A",IF('D-Project Data'!$C$6=50%,ABS(BK76),IF('D-Project Data'!$C$6=80%,ABS(BL76),IF('D-Project Data'!$C$6=90%,ABS(BM76)))))</f>
        <v>0</v>
      </c>
      <c r="BJ76" s="359">
        <f>IF(BI76="N/A","N/A",RANK(BI76,$BI$18:$BI$116,0)+COUNTIF($BI$18:BI76,BI76)-1)</f>
        <v>59</v>
      </c>
      <c r="BK76" s="358">
        <f>IF(AY76/SUM(AY:AY)*'I-Project Contingency'!$F$66=0,0,AY76/SUM(AY:AY)*'I-Project Contingency'!$F$66)</f>
        <v>0</v>
      </c>
      <c r="BL76" s="358">
        <f>IF(AZ76/SUM(AZ:AZ)*'I-Project Contingency'!$F$69=0,0,AZ76/SUM(AZ:AZ)*'I-Project Contingency'!$F$69)</f>
        <v>0</v>
      </c>
      <c r="BM76" s="358">
        <f>IF(BA76/SUM(BA:BA)*'I-Project Contingency'!$F$70=0,0,BA76/SUM(BA:BA)*'I-Project Contingency'!$F$70)</f>
        <v>0</v>
      </c>
      <c r="BN76" s="357">
        <f>IF(BP76="N/A","N/A",IF('D-Project Data'!$C$6=50%,ABS(BP76),IF('D-Project Data'!$C$6=80%,ABS(BQ76),IF('D-Project Data'!$C$6=90%,ABS(BR76)))))</f>
        <v>0</v>
      </c>
      <c r="BO76" s="359">
        <f>IF(BN76="N/A","N/A",RANK(BN76,$BN$18:$BN$116,0)+COUNTIF($BN$18:BN76,BN76)-1)</f>
        <v>59</v>
      </c>
      <c r="BP76" s="357">
        <f>IF(BF76/SUM(BF:BF)*'I-Project Contingency'!$F$81=0,0,BF76/SUM(BF:BF)*'I-Project Contingency'!$F$81)</f>
        <v>0</v>
      </c>
      <c r="BQ76" s="357">
        <f>IF(BG76/SUM(BG:BG)*'I-Project Contingency'!$F$84=0,0,BG76/SUM(BG:BG)*'I-Project Contingency'!$F$84)</f>
        <v>0</v>
      </c>
      <c r="BR76" s="357">
        <f>IF(BH76/SUM(BH:BH)*'I-Project Contingency'!$F$85=0,0,BH76/SUM(BH:BH)*'I-Project Contingency'!$F$85)</f>
        <v>0</v>
      </c>
      <c r="BS76" s="359">
        <f t="shared" si="46"/>
        <v>59</v>
      </c>
      <c r="BT76" s="360" t="str">
        <f t="shared" si="47"/>
        <v xml:space="preserve">59 -  </v>
      </c>
      <c r="BU76" s="354">
        <f t="shared" si="48"/>
        <v>0</v>
      </c>
      <c r="BV76" s="354">
        <f t="shared" si="49"/>
        <v>0</v>
      </c>
      <c r="BW76" s="356">
        <f t="shared" si="50"/>
        <v>0</v>
      </c>
      <c r="BX76" s="356">
        <f t="shared" si="51"/>
        <v>0</v>
      </c>
    </row>
    <row r="77" spans="1:76" ht="29" x14ac:dyDescent="0.35">
      <c r="A77" s="163">
        <f t="shared" si="21"/>
        <v>60</v>
      </c>
      <c r="B77" s="758" t="s">
        <v>728</v>
      </c>
      <c r="C77" s="760" t="s">
        <v>659</v>
      </c>
      <c r="D77" s="760" t="s">
        <v>659</v>
      </c>
      <c r="E77" s="760" t="s">
        <v>659</v>
      </c>
      <c r="F77" s="759" t="s">
        <v>728</v>
      </c>
      <c r="G77" s="759" t="s">
        <v>728</v>
      </c>
      <c r="H77" s="157" t="str">
        <f>IFERROR(IF('H-Risk Register-Model'!F77="Certain","Relook at Basis of Estimate",INDEX('G-Assumptions'!$F$8:$J$11,MATCH(F77,'G-Assumptions'!$D$8:$D$11,0),MATCH(G77,'G-Assumptions'!$F$6:$J$6,0))),"Unrated")</f>
        <v>Unrated</v>
      </c>
      <c r="I77" s="759" t="s">
        <v>728</v>
      </c>
      <c r="J77" s="157" t="str">
        <f>IFERROR(IF('H-Risk Register-Model'!F77="Certain","Relook at Basis of Estimate",INDEX('G-Assumptions'!$F$8:$J$11,MATCH(F77,'G-Assumptions'!$D$8:$D$11,0),MATCH(I77,'G-Assumptions'!$F$6:$J$6,0))),"Unrated")</f>
        <v>Unrated</v>
      </c>
      <c r="K77" s="759" t="s">
        <v>728</v>
      </c>
      <c r="L77" s="759" t="s">
        <v>728</v>
      </c>
      <c r="M77" s="759"/>
      <c r="N77" s="763" t="s">
        <v>728</v>
      </c>
      <c r="O77" s="763" t="s">
        <v>728</v>
      </c>
      <c r="P77" s="764"/>
      <c r="Q77" s="764"/>
      <c r="R77" s="764"/>
      <c r="S77" s="765"/>
      <c r="T77" s="765"/>
      <c r="U77" s="765"/>
      <c r="V77" s="766"/>
      <c r="W77" s="764"/>
      <c r="X77" s="764"/>
      <c r="Y77" s="767">
        <v>1</v>
      </c>
      <c r="Z77" s="770">
        <v>1</v>
      </c>
      <c r="AA77" s="166">
        <f t="shared" si="40"/>
        <v>0</v>
      </c>
      <c r="AB77" s="166">
        <f t="shared" si="41"/>
        <v>0</v>
      </c>
      <c r="AC77" s="166">
        <f t="shared" si="42"/>
        <v>0</v>
      </c>
      <c r="AD77" s="166"/>
      <c r="AE77" s="164">
        <f t="shared" si="43"/>
        <v>0</v>
      </c>
      <c r="AF77" s="167"/>
      <c r="AG77" s="165">
        <f t="shared" si="44"/>
        <v>0</v>
      </c>
      <c r="AH77" s="760"/>
      <c r="AI77" s="760"/>
      <c r="AJ77" s="8"/>
      <c r="AK77" s="524" t="str">
        <f t="shared" si="45"/>
        <v>No</v>
      </c>
      <c r="AL77" s="525">
        <f>'I-Project Contingency'!$I$4</f>
        <v>7250000</v>
      </c>
      <c r="AM77" s="350">
        <f>'I-Project Contingency'!$I$11</f>
        <v>12</v>
      </c>
      <c r="AN77" s="349">
        <f t="shared" si="8"/>
        <v>0</v>
      </c>
      <c r="AO77" s="350">
        <f t="shared" si="9"/>
        <v>0</v>
      </c>
      <c r="AP77" s="672" t="str">
        <f t="shared" si="18"/>
        <v/>
      </c>
      <c r="AQ77" s="672" t="str">
        <f t="shared" si="19"/>
        <v/>
      </c>
      <c r="AR77" s="526" t="str">
        <f t="shared" si="22"/>
        <v/>
      </c>
      <c r="AS77" s="526" t="str">
        <f t="shared" si="20"/>
        <v/>
      </c>
      <c r="AT77" s="8"/>
      <c r="AU77" s="353">
        <f>'I-Project Contingency'!$O$4-AE77</f>
        <v>0</v>
      </c>
      <c r="AV77" s="354">
        <v>1687645.9248406207</v>
      </c>
      <c r="AW77" s="354">
        <v>3291004.7254658043</v>
      </c>
      <c r="AX77" s="354">
        <v>4159167.8232088853</v>
      </c>
      <c r="AY77" s="354">
        <f>'I-Project Contingency'!$E$66-AV77</f>
        <v>0</v>
      </c>
      <c r="AZ77" s="354">
        <f>'I-Project Contingency'!$E$69-AW77</f>
        <v>0</v>
      </c>
      <c r="BA77" s="354">
        <f>'I-Project Contingency'!$E$70-AX77</f>
        <v>0</v>
      </c>
      <c r="BB77" s="355">
        <f>'I-Project Contingency'!$O$5-AG77</f>
        <v>0</v>
      </c>
      <c r="BC77" s="356">
        <v>2.9615115956254372</v>
      </c>
      <c r="BD77" s="356">
        <v>6.001919642116226</v>
      </c>
      <c r="BE77" s="357">
        <v>7.5913096572662919</v>
      </c>
      <c r="BF77" s="356">
        <f>'I-Project Contingency'!$E$81-BC77</f>
        <v>0</v>
      </c>
      <c r="BG77" s="356">
        <f>'I-Project Contingency'!$E$84-BD77</f>
        <v>0</v>
      </c>
      <c r="BH77" s="356">
        <f>'I-Project Contingency'!$E$85-BE77</f>
        <v>0</v>
      </c>
      <c r="BI77" s="358">
        <f>IF(BK77="N/A","N/A",IF('D-Project Data'!$C$6=50%,ABS(BK77),IF('D-Project Data'!$C$6=80%,ABS(BL77),IF('D-Project Data'!$C$6=90%,ABS(BM77)))))</f>
        <v>0</v>
      </c>
      <c r="BJ77" s="359">
        <f>IF(BI77="N/A","N/A",RANK(BI77,$BI$18:$BI$116,0)+COUNTIF($BI$18:BI77,BI77)-1)</f>
        <v>60</v>
      </c>
      <c r="BK77" s="358">
        <f>IF(AY77/SUM(AY:AY)*'I-Project Contingency'!$F$66=0,0,AY77/SUM(AY:AY)*'I-Project Contingency'!$F$66)</f>
        <v>0</v>
      </c>
      <c r="BL77" s="358">
        <f>IF(AZ77/SUM(AZ:AZ)*'I-Project Contingency'!$F$69=0,0,AZ77/SUM(AZ:AZ)*'I-Project Contingency'!$F$69)</f>
        <v>0</v>
      </c>
      <c r="BM77" s="358">
        <f>IF(BA77/SUM(BA:BA)*'I-Project Contingency'!$F$70=0,0,BA77/SUM(BA:BA)*'I-Project Contingency'!$F$70)</f>
        <v>0</v>
      </c>
      <c r="BN77" s="357">
        <f>IF(BP77="N/A","N/A",IF('D-Project Data'!$C$6=50%,ABS(BP77),IF('D-Project Data'!$C$6=80%,ABS(BQ77),IF('D-Project Data'!$C$6=90%,ABS(BR77)))))</f>
        <v>0</v>
      </c>
      <c r="BO77" s="359">
        <f>IF(BN77="N/A","N/A",RANK(BN77,$BN$18:$BN$116,0)+COUNTIF($BN$18:BN77,BN77)-1)</f>
        <v>60</v>
      </c>
      <c r="BP77" s="357">
        <f>IF(BF77/SUM(BF:BF)*'I-Project Contingency'!$F$81=0,0,BF77/SUM(BF:BF)*'I-Project Contingency'!$F$81)</f>
        <v>0</v>
      </c>
      <c r="BQ77" s="357">
        <f>IF(BG77/SUM(BG:BG)*'I-Project Contingency'!$F$84=0,0,BG77/SUM(BG:BG)*'I-Project Contingency'!$F$84)</f>
        <v>0</v>
      </c>
      <c r="BR77" s="357">
        <f>IF(BH77/SUM(BH:BH)*'I-Project Contingency'!$F$85=0,0,BH77/SUM(BH:BH)*'I-Project Contingency'!$F$85)</f>
        <v>0</v>
      </c>
      <c r="BS77" s="359">
        <f t="shared" si="46"/>
        <v>60</v>
      </c>
      <c r="BT77" s="360" t="str">
        <f t="shared" si="47"/>
        <v xml:space="preserve">60 -  </v>
      </c>
      <c r="BU77" s="354">
        <f t="shared" si="48"/>
        <v>0</v>
      </c>
      <c r="BV77" s="354">
        <f t="shared" si="49"/>
        <v>0</v>
      </c>
      <c r="BW77" s="356">
        <f t="shared" si="50"/>
        <v>0</v>
      </c>
      <c r="BX77" s="356">
        <f t="shared" si="51"/>
        <v>0</v>
      </c>
    </row>
    <row r="78" spans="1:76" ht="29" x14ac:dyDescent="0.35">
      <c r="A78" s="163">
        <f t="shared" si="21"/>
        <v>61</v>
      </c>
      <c r="B78" s="758" t="s">
        <v>728</v>
      </c>
      <c r="C78" s="760" t="s">
        <v>659</v>
      </c>
      <c r="D78" s="760" t="s">
        <v>659</v>
      </c>
      <c r="E78" s="760" t="s">
        <v>659</v>
      </c>
      <c r="F78" s="759" t="s">
        <v>728</v>
      </c>
      <c r="G78" s="759" t="s">
        <v>728</v>
      </c>
      <c r="H78" s="157" t="str">
        <f>IFERROR(IF('H-Risk Register-Model'!F78="Certain","Relook at Basis of Estimate",INDEX('G-Assumptions'!$F$8:$J$11,MATCH(F78,'G-Assumptions'!$D$8:$D$11,0),MATCH(G78,'G-Assumptions'!$F$6:$J$6,0))),"Unrated")</f>
        <v>Unrated</v>
      </c>
      <c r="I78" s="759" t="s">
        <v>728</v>
      </c>
      <c r="J78" s="157" t="str">
        <f>IFERROR(IF('H-Risk Register-Model'!F78="Certain","Relook at Basis of Estimate",INDEX('G-Assumptions'!$F$8:$J$11,MATCH(F78,'G-Assumptions'!$D$8:$D$11,0),MATCH(I78,'G-Assumptions'!$F$6:$J$6,0))),"Unrated")</f>
        <v>Unrated</v>
      </c>
      <c r="K78" s="759" t="s">
        <v>728</v>
      </c>
      <c r="L78" s="759" t="s">
        <v>728</v>
      </c>
      <c r="M78" s="759"/>
      <c r="N78" s="763" t="s">
        <v>728</v>
      </c>
      <c r="O78" s="763" t="s">
        <v>728</v>
      </c>
      <c r="P78" s="764"/>
      <c r="Q78" s="764"/>
      <c r="R78" s="764"/>
      <c r="S78" s="765"/>
      <c r="T78" s="765"/>
      <c r="U78" s="765"/>
      <c r="V78" s="766"/>
      <c r="W78" s="764"/>
      <c r="X78" s="764"/>
      <c r="Y78" s="767">
        <v>1</v>
      </c>
      <c r="Z78" s="770">
        <v>1</v>
      </c>
      <c r="AA78" s="166">
        <f t="shared" si="40"/>
        <v>0</v>
      </c>
      <c r="AB78" s="166">
        <f t="shared" si="41"/>
        <v>0</v>
      </c>
      <c r="AC78" s="166">
        <f t="shared" si="42"/>
        <v>0</v>
      </c>
      <c r="AD78" s="166"/>
      <c r="AE78" s="164">
        <f t="shared" si="43"/>
        <v>0</v>
      </c>
      <c r="AF78" s="167"/>
      <c r="AG78" s="165">
        <f t="shared" si="44"/>
        <v>0</v>
      </c>
      <c r="AH78" s="760"/>
      <c r="AI78" s="760"/>
      <c r="AJ78" s="8"/>
      <c r="AK78" s="524" t="str">
        <f t="shared" si="45"/>
        <v>No</v>
      </c>
      <c r="AL78" s="525">
        <f>'I-Project Contingency'!$I$4</f>
        <v>7250000</v>
      </c>
      <c r="AM78" s="350">
        <f>'I-Project Contingency'!$I$11</f>
        <v>12</v>
      </c>
      <c r="AN78" s="349">
        <f t="shared" si="8"/>
        <v>0</v>
      </c>
      <c r="AO78" s="350">
        <f t="shared" si="9"/>
        <v>0</v>
      </c>
      <c r="AP78" s="672" t="str">
        <f t="shared" si="18"/>
        <v/>
      </c>
      <c r="AQ78" s="672" t="str">
        <f t="shared" si="19"/>
        <v/>
      </c>
      <c r="AR78" s="526" t="str">
        <f t="shared" si="22"/>
        <v/>
      </c>
      <c r="AS78" s="526" t="str">
        <f t="shared" si="20"/>
        <v/>
      </c>
      <c r="AT78" s="8"/>
      <c r="AU78" s="353">
        <f>'I-Project Contingency'!$O$4-AE78</f>
        <v>0</v>
      </c>
      <c r="AV78" s="354">
        <v>1687645.9248406207</v>
      </c>
      <c r="AW78" s="354">
        <v>3291004.7254658043</v>
      </c>
      <c r="AX78" s="354">
        <v>4159167.8232088853</v>
      </c>
      <c r="AY78" s="354">
        <f>'I-Project Contingency'!$E$66-AV78</f>
        <v>0</v>
      </c>
      <c r="AZ78" s="354">
        <f>'I-Project Contingency'!$E$69-AW78</f>
        <v>0</v>
      </c>
      <c r="BA78" s="354">
        <f>'I-Project Contingency'!$E$70-AX78</f>
        <v>0</v>
      </c>
      <c r="BB78" s="355">
        <f>'I-Project Contingency'!$O$5-AG78</f>
        <v>0</v>
      </c>
      <c r="BC78" s="356">
        <v>2.9615115956254372</v>
      </c>
      <c r="BD78" s="356">
        <v>6.001919642116226</v>
      </c>
      <c r="BE78" s="357">
        <v>7.5913096572662919</v>
      </c>
      <c r="BF78" s="356">
        <f>'I-Project Contingency'!$E$81-BC78</f>
        <v>0</v>
      </c>
      <c r="BG78" s="356">
        <f>'I-Project Contingency'!$E$84-BD78</f>
        <v>0</v>
      </c>
      <c r="BH78" s="356">
        <f>'I-Project Contingency'!$E$85-BE78</f>
        <v>0</v>
      </c>
      <c r="BI78" s="358">
        <f>IF(BK78="N/A","N/A",IF('D-Project Data'!$C$6=50%,ABS(BK78),IF('D-Project Data'!$C$6=80%,ABS(BL78),IF('D-Project Data'!$C$6=90%,ABS(BM78)))))</f>
        <v>0</v>
      </c>
      <c r="BJ78" s="359">
        <f>IF(BI78="N/A","N/A",RANK(BI78,$BI$18:$BI$116,0)+COUNTIF($BI$18:BI78,BI78)-1)</f>
        <v>61</v>
      </c>
      <c r="BK78" s="358">
        <f>IF(AY78/SUM(AY:AY)*'I-Project Contingency'!$F$66=0,0,AY78/SUM(AY:AY)*'I-Project Contingency'!$F$66)</f>
        <v>0</v>
      </c>
      <c r="BL78" s="358">
        <f>IF(AZ78/SUM(AZ:AZ)*'I-Project Contingency'!$F$69=0,0,AZ78/SUM(AZ:AZ)*'I-Project Contingency'!$F$69)</f>
        <v>0</v>
      </c>
      <c r="BM78" s="358">
        <f>IF(BA78/SUM(BA:BA)*'I-Project Contingency'!$F$70=0,0,BA78/SUM(BA:BA)*'I-Project Contingency'!$F$70)</f>
        <v>0</v>
      </c>
      <c r="BN78" s="357">
        <f>IF(BP78="N/A","N/A",IF('D-Project Data'!$C$6=50%,ABS(BP78),IF('D-Project Data'!$C$6=80%,ABS(BQ78),IF('D-Project Data'!$C$6=90%,ABS(BR78)))))</f>
        <v>0</v>
      </c>
      <c r="BO78" s="359">
        <f>IF(BN78="N/A","N/A",RANK(BN78,$BN$18:$BN$116,0)+COUNTIF($BN$18:BN78,BN78)-1)</f>
        <v>61</v>
      </c>
      <c r="BP78" s="357">
        <f>IF(BF78/SUM(BF:BF)*'I-Project Contingency'!$F$81=0,0,BF78/SUM(BF:BF)*'I-Project Contingency'!$F$81)</f>
        <v>0</v>
      </c>
      <c r="BQ78" s="357">
        <f>IF(BG78/SUM(BG:BG)*'I-Project Contingency'!$F$84=0,0,BG78/SUM(BG:BG)*'I-Project Contingency'!$F$84)</f>
        <v>0</v>
      </c>
      <c r="BR78" s="357">
        <f>IF(BH78/SUM(BH:BH)*'I-Project Contingency'!$F$85=0,0,BH78/SUM(BH:BH)*'I-Project Contingency'!$F$85)</f>
        <v>0</v>
      </c>
      <c r="BS78" s="359">
        <f t="shared" si="46"/>
        <v>61</v>
      </c>
      <c r="BT78" s="360" t="str">
        <f t="shared" si="47"/>
        <v xml:space="preserve">61 -  </v>
      </c>
      <c r="BU78" s="354">
        <f t="shared" si="48"/>
        <v>0</v>
      </c>
      <c r="BV78" s="354">
        <f t="shared" si="49"/>
        <v>0</v>
      </c>
      <c r="BW78" s="356">
        <f t="shared" si="50"/>
        <v>0</v>
      </c>
      <c r="BX78" s="356">
        <f t="shared" si="51"/>
        <v>0</v>
      </c>
    </row>
    <row r="79" spans="1:76" ht="29" x14ac:dyDescent="0.35">
      <c r="A79" s="163">
        <f t="shared" si="21"/>
        <v>62</v>
      </c>
      <c r="B79" s="758" t="s">
        <v>728</v>
      </c>
      <c r="C79" s="760" t="s">
        <v>659</v>
      </c>
      <c r="D79" s="760" t="s">
        <v>659</v>
      </c>
      <c r="E79" s="760" t="s">
        <v>659</v>
      </c>
      <c r="F79" s="759" t="s">
        <v>728</v>
      </c>
      <c r="G79" s="759" t="s">
        <v>728</v>
      </c>
      <c r="H79" s="157" t="str">
        <f>IFERROR(IF('H-Risk Register-Model'!F79="Certain","Relook at Basis of Estimate",INDEX('G-Assumptions'!$F$8:$J$11,MATCH(F79,'G-Assumptions'!$D$8:$D$11,0),MATCH(G79,'G-Assumptions'!$F$6:$J$6,0))),"Unrated")</f>
        <v>Unrated</v>
      </c>
      <c r="I79" s="759" t="s">
        <v>728</v>
      </c>
      <c r="J79" s="157" t="str">
        <f>IFERROR(IF('H-Risk Register-Model'!F79="Certain","Relook at Basis of Estimate",INDEX('G-Assumptions'!$F$8:$J$11,MATCH(F79,'G-Assumptions'!$D$8:$D$11,0),MATCH(I79,'G-Assumptions'!$F$6:$J$6,0))),"Unrated")</f>
        <v>Unrated</v>
      </c>
      <c r="K79" s="759" t="s">
        <v>728</v>
      </c>
      <c r="L79" s="759" t="s">
        <v>728</v>
      </c>
      <c r="M79" s="759"/>
      <c r="N79" s="763" t="s">
        <v>728</v>
      </c>
      <c r="O79" s="763" t="s">
        <v>728</v>
      </c>
      <c r="P79" s="764"/>
      <c r="Q79" s="764"/>
      <c r="R79" s="764"/>
      <c r="S79" s="765"/>
      <c r="T79" s="765"/>
      <c r="U79" s="765"/>
      <c r="V79" s="766"/>
      <c r="W79" s="764"/>
      <c r="X79" s="764"/>
      <c r="Y79" s="767">
        <v>1</v>
      </c>
      <c r="Z79" s="770">
        <v>1</v>
      </c>
      <c r="AA79" s="166">
        <f t="shared" si="40"/>
        <v>0</v>
      </c>
      <c r="AB79" s="166">
        <f t="shared" si="41"/>
        <v>0</v>
      </c>
      <c r="AC79" s="166">
        <f t="shared" si="42"/>
        <v>0</v>
      </c>
      <c r="AD79" s="166"/>
      <c r="AE79" s="164">
        <f t="shared" si="43"/>
        <v>0</v>
      </c>
      <c r="AF79" s="167"/>
      <c r="AG79" s="165">
        <f t="shared" si="44"/>
        <v>0</v>
      </c>
      <c r="AH79" s="760"/>
      <c r="AI79" s="760"/>
      <c r="AJ79" s="8"/>
      <c r="AK79" s="524" t="str">
        <f t="shared" si="45"/>
        <v>No</v>
      </c>
      <c r="AL79" s="525">
        <f>'I-Project Contingency'!$I$4</f>
        <v>7250000</v>
      </c>
      <c r="AM79" s="350">
        <f>'I-Project Contingency'!$I$11</f>
        <v>12</v>
      </c>
      <c r="AN79" s="349">
        <f t="shared" si="8"/>
        <v>0</v>
      </c>
      <c r="AO79" s="350">
        <f t="shared" si="9"/>
        <v>0</v>
      </c>
      <c r="AP79" s="672" t="str">
        <f t="shared" si="18"/>
        <v/>
      </c>
      <c r="AQ79" s="672" t="str">
        <f t="shared" si="19"/>
        <v/>
      </c>
      <c r="AR79" s="526" t="str">
        <f t="shared" si="22"/>
        <v/>
      </c>
      <c r="AS79" s="526" t="str">
        <f t="shared" si="20"/>
        <v/>
      </c>
      <c r="AT79" s="8"/>
      <c r="AU79" s="353">
        <f>'I-Project Contingency'!$O$4-AE79</f>
        <v>0</v>
      </c>
      <c r="AV79" s="354">
        <v>1687645.9248406207</v>
      </c>
      <c r="AW79" s="354">
        <v>3291004.7254658043</v>
      </c>
      <c r="AX79" s="354">
        <v>4159167.8232088853</v>
      </c>
      <c r="AY79" s="354">
        <f>'I-Project Contingency'!$E$66-AV79</f>
        <v>0</v>
      </c>
      <c r="AZ79" s="354">
        <f>'I-Project Contingency'!$E$69-AW79</f>
        <v>0</v>
      </c>
      <c r="BA79" s="354">
        <f>'I-Project Contingency'!$E$70-AX79</f>
        <v>0</v>
      </c>
      <c r="BB79" s="355">
        <f>'I-Project Contingency'!$O$5-AG79</f>
        <v>0</v>
      </c>
      <c r="BC79" s="356">
        <v>2.9615115956254372</v>
      </c>
      <c r="BD79" s="356">
        <v>6.001919642116226</v>
      </c>
      <c r="BE79" s="357">
        <v>7.5913096572662919</v>
      </c>
      <c r="BF79" s="356">
        <f>'I-Project Contingency'!$E$81-BC79</f>
        <v>0</v>
      </c>
      <c r="BG79" s="356">
        <f>'I-Project Contingency'!$E$84-BD79</f>
        <v>0</v>
      </c>
      <c r="BH79" s="356">
        <f>'I-Project Contingency'!$E$85-BE79</f>
        <v>0</v>
      </c>
      <c r="BI79" s="358">
        <f>IF(BK79="N/A","N/A",IF('D-Project Data'!$C$6=50%,ABS(BK79),IF('D-Project Data'!$C$6=80%,ABS(BL79),IF('D-Project Data'!$C$6=90%,ABS(BM79)))))</f>
        <v>0</v>
      </c>
      <c r="BJ79" s="359">
        <f>IF(BI79="N/A","N/A",RANK(BI79,$BI$18:$BI$116,0)+COUNTIF($BI$18:BI79,BI79)-1)</f>
        <v>62</v>
      </c>
      <c r="BK79" s="358">
        <f>IF(AY79/SUM(AY:AY)*'I-Project Contingency'!$F$66=0,0,AY79/SUM(AY:AY)*'I-Project Contingency'!$F$66)</f>
        <v>0</v>
      </c>
      <c r="BL79" s="358">
        <f>IF(AZ79/SUM(AZ:AZ)*'I-Project Contingency'!$F$69=0,0,AZ79/SUM(AZ:AZ)*'I-Project Contingency'!$F$69)</f>
        <v>0</v>
      </c>
      <c r="BM79" s="358">
        <f>IF(BA79/SUM(BA:BA)*'I-Project Contingency'!$F$70=0,0,BA79/SUM(BA:BA)*'I-Project Contingency'!$F$70)</f>
        <v>0</v>
      </c>
      <c r="BN79" s="357">
        <f>IF(BP79="N/A","N/A",IF('D-Project Data'!$C$6=50%,ABS(BP79),IF('D-Project Data'!$C$6=80%,ABS(BQ79),IF('D-Project Data'!$C$6=90%,ABS(BR79)))))</f>
        <v>0</v>
      </c>
      <c r="BO79" s="359">
        <f>IF(BN79="N/A","N/A",RANK(BN79,$BN$18:$BN$116,0)+COUNTIF($BN$18:BN79,BN79)-1)</f>
        <v>62</v>
      </c>
      <c r="BP79" s="357">
        <f>IF(BF79/SUM(BF:BF)*'I-Project Contingency'!$F$81=0,0,BF79/SUM(BF:BF)*'I-Project Contingency'!$F$81)</f>
        <v>0</v>
      </c>
      <c r="BQ79" s="357">
        <f>IF(BG79/SUM(BG:BG)*'I-Project Contingency'!$F$84=0,0,BG79/SUM(BG:BG)*'I-Project Contingency'!$F$84)</f>
        <v>0</v>
      </c>
      <c r="BR79" s="357">
        <f>IF(BH79/SUM(BH:BH)*'I-Project Contingency'!$F$85=0,0,BH79/SUM(BH:BH)*'I-Project Contingency'!$F$85)</f>
        <v>0</v>
      </c>
      <c r="BS79" s="359">
        <f t="shared" si="46"/>
        <v>62</v>
      </c>
      <c r="BT79" s="360" t="str">
        <f t="shared" si="47"/>
        <v xml:space="preserve">62 -  </v>
      </c>
      <c r="BU79" s="354">
        <f t="shared" si="48"/>
        <v>0</v>
      </c>
      <c r="BV79" s="354">
        <f t="shared" si="49"/>
        <v>0</v>
      </c>
      <c r="BW79" s="356">
        <f t="shared" si="50"/>
        <v>0</v>
      </c>
      <c r="BX79" s="356">
        <f t="shared" si="51"/>
        <v>0</v>
      </c>
    </row>
    <row r="80" spans="1:76" ht="29" x14ac:dyDescent="0.35">
      <c r="A80" s="163">
        <f t="shared" si="21"/>
        <v>63</v>
      </c>
      <c r="B80" s="758" t="s">
        <v>728</v>
      </c>
      <c r="C80" s="760" t="s">
        <v>659</v>
      </c>
      <c r="D80" s="760" t="s">
        <v>659</v>
      </c>
      <c r="E80" s="760" t="s">
        <v>659</v>
      </c>
      <c r="F80" s="759" t="s">
        <v>728</v>
      </c>
      <c r="G80" s="759" t="s">
        <v>728</v>
      </c>
      <c r="H80" s="157" t="str">
        <f>IFERROR(IF('H-Risk Register-Model'!F80="Certain","Relook at Basis of Estimate",INDEX('G-Assumptions'!$F$8:$J$11,MATCH(F80,'G-Assumptions'!$D$8:$D$11,0),MATCH(G80,'G-Assumptions'!$F$6:$J$6,0))),"Unrated")</f>
        <v>Unrated</v>
      </c>
      <c r="I80" s="759" t="s">
        <v>728</v>
      </c>
      <c r="J80" s="157" t="str">
        <f>IFERROR(IF('H-Risk Register-Model'!F80="Certain","Relook at Basis of Estimate",INDEX('G-Assumptions'!$F$8:$J$11,MATCH(F80,'G-Assumptions'!$D$8:$D$11,0),MATCH(I80,'G-Assumptions'!$F$6:$J$6,0))),"Unrated")</f>
        <v>Unrated</v>
      </c>
      <c r="K80" s="759" t="s">
        <v>728</v>
      </c>
      <c r="L80" s="759" t="s">
        <v>728</v>
      </c>
      <c r="M80" s="759"/>
      <c r="N80" s="763" t="s">
        <v>728</v>
      </c>
      <c r="O80" s="763" t="s">
        <v>728</v>
      </c>
      <c r="P80" s="764"/>
      <c r="Q80" s="764"/>
      <c r="R80" s="764"/>
      <c r="S80" s="765"/>
      <c r="T80" s="765"/>
      <c r="U80" s="765"/>
      <c r="V80" s="766"/>
      <c r="W80" s="764"/>
      <c r="X80" s="764"/>
      <c r="Y80" s="767">
        <v>1</v>
      </c>
      <c r="Z80" s="770">
        <v>1</v>
      </c>
      <c r="AA80" s="166">
        <f t="shared" si="40"/>
        <v>0</v>
      </c>
      <c r="AB80" s="166">
        <f t="shared" si="41"/>
        <v>0</v>
      </c>
      <c r="AC80" s="166">
        <f t="shared" si="42"/>
        <v>0</v>
      </c>
      <c r="AD80" s="166"/>
      <c r="AE80" s="164">
        <f t="shared" si="43"/>
        <v>0</v>
      </c>
      <c r="AF80" s="167"/>
      <c r="AG80" s="165">
        <f t="shared" si="44"/>
        <v>0</v>
      </c>
      <c r="AH80" s="760"/>
      <c r="AI80" s="760"/>
      <c r="AJ80" s="8"/>
      <c r="AK80" s="524" t="str">
        <f t="shared" si="45"/>
        <v>No</v>
      </c>
      <c r="AL80" s="525">
        <f>'I-Project Contingency'!$I$4</f>
        <v>7250000</v>
      </c>
      <c r="AM80" s="350">
        <f>'I-Project Contingency'!$I$11</f>
        <v>12</v>
      </c>
      <c r="AN80" s="349">
        <f t="shared" ref="AN80:AN116" si="52">IF(B80="","",MAX(ABS(AA80),ABS(AB80),ABS(AC80)))</f>
        <v>0</v>
      </c>
      <c r="AO80" s="350">
        <f t="shared" ref="AO80:AO116" si="53">IF(B80="","",MAX(ABS(S80),ABS(T80),ABS(U80)))</f>
        <v>0</v>
      </c>
      <c r="AP80" s="672" t="str">
        <f t="shared" si="18"/>
        <v/>
      </c>
      <c r="AQ80" s="672" t="str">
        <f t="shared" si="19"/>
        <v/>
      </c>
      <c r="AR80" s="526" t="str">
        <f t="shared" si="22"/>
        <v/>
      </c>
      <c r="AS80" s="526" t="str">
        <f t="shared" si="20"/>
        <v/>
      </c>
      <c r="AT80" s="8"/>
      <c r="AU80" s="353">
        <f>'I-Project Contingency'!$O$4-AE80</f>
        <v>0</v>
      </c>
      <c r="AV80" s="354">
        <v>1687645.9248406207</v>
      </c>
      <c r="AW80" s="354">
        <v>3291004.7254658043</v>
      </c>
      <c r="AX80" s="354">
        <v>4159167.8232088853</v>
      </c>
      <c r="AY80" s="354">
        <f>'I-Project Contingency'!$E$66-AV80</f>
        <v>0</v>
      </c>
      <c r="AZ80" s="354">
        <f>'I-Project Contingency'!$E$69-AW80</f>
        <v>0</v>
      </c>
      <c r="BA80" s="354">
        <f>'I-Project Contingency'!$E$70-AX80</f>
        <v>0</v>
      </c>
      <c r="BB80" s="355">
        <f>'I-Project Contingency'!$O$5-AG80</f>
        <v>0</v>
      </c>
      <c r="BC80" s="356">
        <v>2.9615115956254372</v>
      </c>
      <c r="BD80" s="356">
        <v>6.001919642116226</v>
      </c>
      <c r="BE80" s="357">
        <v>7.5913096572662919</v>
      </c>
      <c r="BF80" s="356">
        <f>'I-Project Contingency'!$E$81-BC80</f>
        <v>0</v>
      </c>
      <c r="BG80" s="356">
        <f>'I-Project Contingency'!$E$84-BD80</f>
        <v>0</v>
      </c>
      <c r="BH80" s="356">
        <f>'I-Project Contingency'!$E$85-BE80</f>
        <v>0</v>
      </c>
      <c r="BI80" s="358">
        <f>IF(BK80="N/A","N/A",IF('D-Project Data'!$C$6=50%,ABS(BK80),IF('D-Project Data'!$C$6=80%,ABS(BL80),IF('D-Project Data'!$C$6=90%,ABS(BM80)))))</f>
        <v>0</v>
      </c>
      <c r="BJ80" s="359">
        <f>IF(BI80="N/A","N/A",RANK(BI80,$BI$18:$BI$116,0)+COUNTIF($BI$18:BI80,BI80)-1)</f>
        <v>63</v>
      </c>
      <c r="BK80" s="358">
        <f>IF(AY80/SUM(AY:AY)*'I-Project Contingency'!$F$66=0,0,AY80/SUM(AY:AY)*'I-Project Contingency'!$F$66)</f>
        <v>0</v>
      </c>
      <c r="BL80" s="358">
        <f>IF(AZ80/SUM(AZ:AZ)*'I-Project Contingency'!$F$69=0,0,AZ80/SUM(AZ:AZ)*'I-Project Contingency'!$F$69)</f>
        <v>0</v>
      </c>
      <c r="BM80" s="358">
        <f>IF(BA80/SUM(BA:BA)*'I-Project Contingency'!$F$70=0,0,BA80/SUM(BA:BA)*'I-Project Contingency'!$F$70)</f>
        <v>0</v>
      </c>
      <c r="BN80" s="357">
        <f>IF(BP80="N/A","N/A",IF('D-Project Data'!$C$6=50%,ABS(BP80),IF('D-Project Data'!$C$6=80%,ABS(BQ80),IF('D-Project Data'!$C$6=90%,ABS(BR80)))))</f>
        <v>0</v>
      </c>
      <c r="BO80" s="359">
        <f>IF(BN80="N/A","N/A",RANK(BN80,$BN$18:$BN$116,0)+COUNTIF($BN$18:BN80,BN80)-1)</f>
        <v>63</v>
      </c>
      <c r="BP80" s="357">
        <f>IF(BF80/SUM(BF:BF)*'I-Project Contingency'!$F$81=0,0,BF80/SUM(BF:BF)*'I-Project Contingency'!$F$81)</f>
        <v>0</v>
      </c>
      <c r="BQ80" s="357">
        <f>IF(BG80/SUM(BG:BG)*'I-Project Contingency'!$F$84=0,0,BG80/SUM(BG:BG)*'I-Project Contingency'!$F$84)</f>
        <v>0</v>
      </c>
      <c r="BR80" s="357">
        <f>IF(BH80/SUM(BH:BH)*'I-Project Contingency'!$F$85=0,0,BH80/SUM(BH:BH)*'I-Project Contingency'!$F$85)</f>
        <v>0</v>
      </c>
      <c r="BS80" s="359">
        <f t="shared" si="46"/>
        <v>63</v>
      </c>
      <c r="BT80" s="360" t="str">
        <f t="shared" si="47"/>
        <v xml:space="preserve">63 -  </v>
      </c>
      <c r="BU80" s="354">
        <f t="shared" si="48"/>
        <v>0</v>
      </c>
      <c r="BV80" s="354">
        <f t="shared" si="49"/>
        <v>0</v>
      </c>
      <c r="BW80" s="356">
        <f t="shared" si="50"/>
        <v>0</v>
      </c>
      <c r="BX80" s="356">
        <f t="shared" si="51"/>
        <v>0</v>
      </c>
    </row>
    <row r="81" spans="1:76" ht="29" x14ac:dyDescent="0.35">
      <c r="A81" s="163">
        <f t="shared" si="21"/>
        <v>64</v>
      </c>
      <c r="B81" s="758" t="s">
        <v>728</v>
      </c>
      <c r="C81" s="760" t="s">
        <v>659</v>
      </c>
      <c r="D81" s="760" t="s">
        <v>659</v>
      </c>
      <c r="E81" s="760" t="s">
        <v>659</v>
      </c>
      <c r="F81" s="759" t="s">
        <v>728</v>
      </c>
      <c r="G81" s="759" t="s">
        <v>728</v>
      </c>
      <c r="H81" s="157" t="str">
        <f>IFERROR(IF('H-Risk Register-Model'!F81="Certain","Relook at Basis of Estimate",INDEX('G-Assumptions'!$F$8:$J$11,MATCH(F81,'G-Assumptions'!$D$8:$D$11,0),MATCH(G81,'G-Assumptions'!$F$6:$J$6,0))),"Unrated")</f>
        <v>Unrated</v>
      </c>
      <c r="I81" s="759" t="s">
        <v>728</v>
      </c>
      <c r="J81" s="157" t="str">
        <f>IFERROR(IF('H-Risk Register-Model'!F81="Certain","Relook at Basis of Estimate",INDEX('G-Assumptions'!$F$8:$J$11,MATCH(F81,'G-Assumptions'!$D$8:$D$11,0),MATCH(I81,'G-Assumptions'!$F$6:$J$6,0))),"Unrated")</f>
        <v>Unrated</v>
      </c>
      <c r="K81" s="759" t="s">
        <v>728</v>
      </c>
      <c r="L81" s="759" t="s">
        <v>728</v>
      </c>
      <c r="M81" s="759"/>
      <c r="N81" s="763" t="s">
        <v>728</v>
      </c>
      <c r="O81" s="763" t="s">
        <v>728</v>
      </c>
      <c r="P81" s="764"/>
      <c r="Q81" s="764"/>
      <c r="R81" s="764"/>
      <c r="S81" s="765"/>
      <c r="T81" s="765"/>
      <c r="U81" s="765"/>
      <c r="V81" s="766"/>
      <c r="W81" s="764"/>
      <c r="X81" s="764"/>
      <c r="Y81" s="767">
        <v>1</v>
      </c>
      <c r="Z81" s="770">
        <v>1</v>
      </c>
      <c r="AA81" s="166">
        <f t="shared" si="40"/>
        <v>0</v>
      </c>
      <c r="AB81" s="166">
        <f t="shared" si="41"/>
        <v>0</v>
      </c>
      <c r="AC81" s="166">
        <f t="shared" si="42"/>
        <v>0</v>
      </c>
      <c r="AD81" s="166"/>
      <c r="AE81" s="164">
        <f t="shared" si="43"/>
        <v>0</v>
      </c>
      <c r="AF81" s="167"/>
      <c r="AG81" s="165">
        <f t="shared" si="44"/>
        <v>0</v>
      </c>
      <c r="AH81" s="760"/>
      <c r="AI81" s="760"/>
      <c r="AJ81" s="8"/>
      <c r="AK81" s="524" t="str">
        <f t="shared" si="45"/>
        <v>No</v>
      </c>
      <c r="AL81" s="525">
        <f>'I-Project Contingency'!$I$4</f>
        <v>7250000</v>
      </c>
      <c r="AM81" s="350">
        <f>'I-Project Contingency'!$I$11</f>
        <v>12</v>
      </c>
      <c r="AN81" s="349">
        <f t="shared" si="52"/>
        <v>0</v>
      </c>
      <c r="AO81" s="350">
        <f t="shared" si="53"/>
        <v>0</v>
      </c>
      <c r="AP81" s="672" t="str">
        <f t="shared" si="18"/>
        <v/>
      </c>
      <c r="AQ81" s="672" t="str">
        <f t="shared" si="19"/>
        <v/>
      </c>
      <c r="AR81" s="526" t="str">
        <f t="shared" si="22"/>
        <v/>
      </c>
      <c r="AS81" s="526" t="str">
        <f t="shared" si="20"/>
        <v/>
      </c>
      <c r="AT81" s="8"/>
      <c r="AU81" s="353">
        <f>'I-Project Contingency'!$O$4-AE81</f>
        <v>0</v>
      </c>
      <c r="AV81" s="354">
        <v>1687645.9248406207</v>
      </c>
      <c r="AW81" s="354">
        <v>3291004.7254658043</v>
      </c>
      <c r="AX81" s="354">
        <v>4159167.8232088853</v>
      </c>
      <c r="AY81" s="354">
        <f>'I-Project Contingency'!$E$66-AV81</f>
        <v>0</v>
      </c>
      <c r="AZ81" s="354">
        <f>'I-Project Contingency'!$E$69-AW81</f>
        <v>0</v>
      </c>
      <c r="BA81" s="354">
        <f>'I-Project Contingency'!$E$70-AX81</f>
        <v>0</v>
      </c>
      <c r="BB81" s="355">
        <f>'I-Project Contingency'!$O$5-AG81</f>
        <v>0</v>
      </c>
      <c r="BC81" s="356">
        <v>2.9615115956254372</v>
      </c>
      <c r="BD81" s="356">
        <v>6.001919642116226</v>
      </c>
      <c r="BE81" s="357">
        <v>7.5913096572662919</v>
      </c>
      <c r="BF81" s="356">
        <f>'I-Project Contingency'!$E$81-BC81</f>
        <v>0</v>
      </c>
      <c r="BG81" s="356">
        <f>'I-Project Contingency'!$E$84-BD81</f>
        <v>0</v>
      </c>
      <c r="BH81" s="356">
        <f>'I-Project Contingency'!$E$85-BE81</f>
        <v>0</v>
      </c>
      <c r="BI81" s="358">
        <f>IF(BK81="N/A","N/A",IF('D-Project Data'!$C$6=50%,ABS(BK81),IF('D-Project Data'!$C$6=80%,ABS(BL81),IF('D-Project Data'!$C$6=90%,ABS(BM81)))))</f>
        <v>0</v>
      </c>
      <c r="BJ81" s="359">
        <f>IF(BI81="N/A","N/A",RANK(BI81,$BI$18:$BI$116,0)+COUNTIF($BI$18:BI81,BI81)-1)</f>
        <v>64</v>
      </c>
      <c r="BK81" s="358">
        <f>IF(AY81/SUM(AY:AY)*'I-Project Contingency'!$F$66=0,0,AY81/SUM(AY:AY)*'I-Project Contingency'!$F$66)</f>
        <v>0</v>
      </c>
      <c r="BL81" s="358">
        <f>IF(AZ81/SUM(AZ:AZ)*'I-Project Contingency'!$F$69=0,0,AZ81/SUM(AZ:AZ)*'I-Project Contingency'!$F$69)</f>
        <v>0</v>
      </c>
      <c r="BM81" s="358">
        <f>IF(BA81/SUM(BA:BA)*'I-Project Contingency'!$F$70=0,0,BA81/SUM(BA:BA)*'I-Project Contingency'!$F$70)</f>
        <v>0</v>
      </c>
      <c r="BN81" s="357">
        <f>IF(BP81="N/A","N/A",IF('D-Project Data'!$C$6=50%,ABS(BP81),IF('D-Project Data'!$C$6=80%,ABS(BQ81),IF('D-Project Data'!$C$6=90%,ABS(BR81)))))</f>
        <v>0</v>
      </c>
      <c r="BO81" s="359">
        <f>IF(BN81="N/A","N/A",RANK(BN81,$BN$18:$BN$116,0)+COUNTIF($BN$18:BN81,BN81)-1)</f>
        <v>64</v>
      </c>
      <c r="BP81" s="357">
        <f>IF(BF81/SUM(BF:BF)*'I-Project Contingency'!$F$81=0,0,BF81/SUM(BF:BF)*'I-Project Contingency'!$F$81)</f>
        <v>0</v>
      </c>
      <c r="BQ81" s="357">
        <f>IF(BG81/SUM(BG:BG)*'I-Project Contingency'!$F$84=0,0,BG81/SUM(BG:BG)*'I-Project Contingency'!$F$84)</f>
        <v>0</v>
      </c>
      <c r="BR81" s="357">
        <f>IF(BH81/SUM(BH:BH)*'I-Project Contingency'!$F$85=0,0,BH81/SUM(BH:BH)*'I-Project Contingency'!$F$85)</f>
        <v>0</v>
      </c>
      <c r="BS81" s="359">
        <f t="shared" si="46"/>
        <v>64</v>
      </c>
      <c r="BT81" s="360" t="str">
        <f t="shared" si="47"/>
        <v xml:space="preserve">64 -  </v>
      </c>
      <c r="BU81" s="354">
        <f t="shared" si="48"/>
        <v>0</v>
      </c>
      <c r="BV81" s="354">
        <f t="shared" si="49"/>
        <v>0</v>
      </c>
      <c r="BW81" s="356">
        <f t="shared" si="50"/>
        <v>0</v>
      </c>
      <c r="BX81" s="356">
        <f t="shared" si="51"/>
        <v>0</v>
      </c>
    </row>
    <row r="82" spans="1:76" ht="29" x14ac:dyDescent="0.35">
      <c r="A82" s="163">
        <f t="shared" si="21"/>
        <v>65</v>
      </c>
      <c r="B82" s="758" t="s">
        <v>728</v>
      </c>
      <c r="C82" s="760" t="s">
        <v>659</v>
      </c>
      <c r="D82" s="760" t="s">
        <v>659</v>
      </c>
      <c r="E82" s="760" t="s">
        <v>659</v>
      </c>
      <c r="F82" s="759" t="s">
        <v>728</v>
      </c>
      <c r="G82" s="759" t="s">
        <v>728</v>
      </c>
      <c r="H82" s="157" t="str">
        <f>IFERROR(IF('H-Risk Register-Model'!F82="Certain","Relook at Basis of Estimate",INDEX('G-Assumptions'!$F$8:$J$11,MATCH(F82,'G-Assumptions'!$D$8:$D$11,0),MATCH(G82,'G-Assumptions'!$F$6:$J$6,0))),"Unrated")</f>
        <v>Unrated</v>
      </c>
      <c r="I82" s="759" t="s">
        <v>728</v>
      </c>
      <c r="J82" s="157" t="str">
        <f>IFERROR(IF('H-Risk Register-Model'!F82="Certain","Relook at Basis of Estimate",INDEX('G-Assumptions'!$F$8:$J$11,MATCH(F82,'G-Assumptions'!$D$8:$D$11,0),MATCH(I82,'G-Assumptions'!$F$6:$J$6,0))),"Unrated")</f>
        <v>Unrated</v>
      </c>
      <c r="K82" s="759" t="s">
        <v>728</v>
      </c>
      <c r="L82" s="759" t="s">
        <v>728</v>
      </c>
      <c r="M82" s="759"/>
      <c r="N82" s="763" t="s">
        <v>728</v>
      </c>
      <c r="O82" s="763" t="s">
        <v>728</v>
      </c>
      <c r="P82" s="764"/>
      <c r="Q82" s="764"/>
      <c r="R82" s="764"/>
      <c r="S82" s="765"/>
      <c r="T82" s="765"/>
      <c r="U82" s="765"/>
      <c r="V82" s="766"/>
      <c r="W82" s="764"/>
      <c r="X82" s="764"/>
      <c r="Y82" s="767">
        <v>1</v>
      </c>
      <c r="Z82" s="770">
        <v>1</v>
      </c>
      <c r="AA82" s="166">
        <f t="shared" si="40"/>
        <v>0</v>
      </c>
      <c r="AB82" s="166">
        <f t="shared" si="41"/>
        <v>0</v>
      </c>
      <c r="AC82" s="166">
        <f t="shared" si="42"/>
        <v>0</v>
      </c>
      <c r="AD82" s="166"/>
      <c r="AE82" s="164">
        <f t="shared" si="43"/>
        <v>0</v>
      </c>
      <c r="AF82" s="167"/>
      <c r="AG82" s="165">
        <f t="shared" si="44"/>
        <v>0</v>
      </c>
      <c r="AH82" s="760"/>
      <c r="AI82" s="760"/>
      <c r="AJ82" s="8"/>
      <c r="AK82" s="524" t="str">
        <f t="shared" si="45"/>
        <v>No</v>
      </c>
      <c r="AL82" s="525">
        <f>'I-Project Contingency'!$I$4</f>
        <v>7250000</v>
      </c>
      <c r="AM82" s="350">
        <f>'I-Project Contingency'!$I$11</f>
        <v>12</v>
      </c>
      <c r="AN82" s="349">
        <f t="shared" si="52"/>
        <v>0</v>
      </c>
      <c r="AO82" s="350">
        <f t="shared" si="53"/>
        <v>0</v>
      </c>
      <c r="AP82" s="672" t="str">
        <f t="shared" si="18"/>
        <v/>
      </c>
      <c r="AQ82" s="672" t="str">
        <f t="shared" si="19"/>
        <v/>
      </c>
      <c r="AR82" s="526" t="str">
        <f t="shared" si="22"/>
        <v/>
      </c>
      <c r="AS82" s="526" t="str">
        <f t="shared" si="20"/>
        <v/>
      </c>
      <c r="AT82" s="8"/>
      <c r="AU82" s="353">
        <f>'I-Project Contingency'!$O$4-AE82</f>
        <v>0</v>
      </c>
      <c r="AV82" s="354">
        <v>1687645.9248406207</v>
      </c>
      <c r="AW82" s="354">
        <v>3291004.7254658043</v>
      </c>
      <c r="AX82" s="354">
        <v>4159167.8232088853</v>
      </c>
      <c r="AY82" s="354">
        <f>'I-Project Contingency'!$E$66-AV82</f>
        <v>0</v>
      </c>
      <c r="AZ82" s="354">
        <f>'I-Project Contingency'!$E$69-AW82</f>
        <v>0</v>
      </c>
      <c r="BA82" s="354">
        <f>'I-Project Contingency'!$E$70-AX82</f>
        <v>0</v>
      </c>
      <c r="BB82" s="355">
        <f>'I-Project Contingency'!$O$5-AG82</f>
        <v>0</v>
      </c>
      <c r="BC82" s="356">
        <v>2.9615115956254372</v>
      </c>
      <c r="BD82" s="356">
        <v>6.001919642116226</v>
      </c>
      <c r="BE82" s="357">
        <v>7.5913096572662919</v>
      </c>
      <c r="BF82" s="356">
        <f>'I-Project Contingency'!$E$81-BC82</f>
        <v>0</v>
      </c>
      <c r="BG82" s="356">
        <f>'I-Project Contingency'!$E$84-BD82</f>
        <v>0</v>
      </c>
      <c r="BH82" s="356">
        <f>'I-Project Contingency'!$E$85-BE82</f>
        <v>0</v>
      </c>
      <c r="BI82" s="358">
        <f>IF(BK82="N/A","N/A",IF('D-Project Data'!$C$6=50%,ABS(BK82),IF('D-Project Data'!$C$6=80%,ABS(BL82),IF('D-Project Data'!$C$6=90%,ABS(BM82)))))</f>
        <v>0</v>
      </c>
      <c r="BJ82" s="359">
        <f>IF(BI82="N/A","N/A",RANK(BI82,$BI$18:$BI$116,0)+COUNTIF($BI$18:BI82,BI82)-1)</f>
        <v>65</v>
      </c>
      <c r="BK82" s="358">
        <f>IF(AY82/SUM(AY:AY)*'I-Project Contingency'!$F$66=0,0,AY82/SUM(AY:AY)*'I-Project Contingency'!$F$66)</f>
        <v>0</v>
      </c>
      <c r="BL82" s="358">
        <f>IF(AZ82/SUM(AZ:AZ)*'I-Project Contingency'!$F$69=0,0,AZ82/SUM(AZ:AZ)*'I-Project Contingency'!$F$69)</f>
        <v>0</v>
      </c>
      <c r="BM82" s="358">
        <f>IF(BA82/SUM(BA:BA)*'I-Project Contingency'!$F$70=0,0,BA82/SUM(BA:BA)*'I-Project Contingency'!$F$70)</f>
        <v>0</v>
      </c>
      <c r="BN82" s="357">
        <f>IF(BP82="N/A","N/A",IF('D-Project Data'!$C$6=50%,ABS(BP82),IF('D-Project Data'!$C$6=80%,ABS(BQ82),IF('D-Project Data'!$C$6=90%,ABS(BR82)))))</f>
        <v>0</v>
      </c>
      <c r="BO82" s="359">
        <f>IF(BN82="N/A","N/A",RANK(BN82,$BN$18:$BN$116,0)+COUNTIF($BN$18:BN82,BN82)-1)</f>
        <v>65</v>
      </c>
      <c r="BP82" s="357">
        <f>IF(BF82/SUM(BF:BF)*'I-Project Contingency'!$F$81=0,0,BF82/SUM(BF:BF)*'I-Project Contingency'!$F$81)</f>
        <v>0</v>
      </c>
      <c r="BQ82" s="357">
        <f>IF(BG82/SUM(BG:BG)*'I-Project Contingency'!$F$84=0,0,BG82/SUM(BG:BG)*'I-Project Contingency'!$F$84)</f>
        <v>0</v>
      </c>
      <c r="BR82" s="357">
        <f>IF(BH82/SUM(BH:BH)*'I-Project Contingency'!$F$85=0,0,BH82/SUM(BH:BH)*'I-Project Contingency'!$F$85)</f>
        <v>0</v>
      </c>
      <c r="BS82" s="359">
        <f t="shared" si="46"/>
        <v>65</v>
      </c>
      <c r="BT82" s="360" t="str">
        <f t="shared" si="47"/>
        <v xml:space="preserve">65 -  </v>
      </c>
      <c r="BU82" s="354">
        <f t="shared" si="48"/>
        <v>0</v>
      </c>
      <c r="BV82" s="354">
        <f t="shared" si="49"/>
        <v>0</v>
      </c>
      <c r="BW82" s="356">
        <f t="shared" si="50"/>
        <v>0</v>
      </c>
      <c r="BX82" s="356">
        <f t="shared" si="51"/>
        <v>0</v>
      </c>
    </row>
    <row r="83" spans="1:76" ht="29" x14ac:dyDescent="0.35">
      <c r="A83" s="163">
        <f t="shared" si="21"/>
        <v>66</v>
      </c>
      <c r="B83" s="758" t="s">
        <v>728</v>
      </c>
      <c r="C83" s="760" t="s">
        <v>659</v>
      </c>
      <c r="D83" s="760" t="s">
        <v>659</v>
      </c>
      <c r="E83" s="760" t="s">
        <v>659</v>
      </c>
      <c r="F83" s="759" t="s">
        <v>728</v>
      </c>
      <c r="G83" s="759" t="s">
        <v>728</v>
      </c>
      <c r="H83" s="157" t="str">
        <f>IFERROR(IF('H-Risk Register-Model'!F83="Certain","Relook at Basis of Estimate",INDEX('G-Assumptions'!$F$8:$J$11,MATCH(F83,'G-Assumptions'!$D$8:$D$11,0),MATCH(G83,'G-Assumptions'!$F$6:$J$6,0))),"Unrated")</f>
        <v>Unrated</v>
      </c>
      <c r="I83" s="759" t="s">
        <v>728</v>
      </c>
      <c r="J83" s="157" t="str">
        <f>IFERROR(IF('H-Risk Register-Model'!F83="Certain","Relook at Basis of Estimate",INDEX('G-Assumptions'!$F$8:$J$11,MATCH(F83,'G-Assumptions'!$D$8:$D$11,0),MATCH(I83,'G-Assumptions'!$F$6:$J$6,0))),"Unrated")</f>
        <v>Unrated</v>
      </c>
      <c r="K83" s="759" t="s">
        <v>728</v>
      </c>
      <c r="L83" s="759" t="s">
        <v>728</v>
      </c>
      <c r="M83" s="759"/>
      <c r="N83" s="763" t="s">
        <v>728</v>
      </c>
      <c r="O83" s="763" t="s">
        <v>728</v>
      </c>
      <c r="P83" s="764"/>
      <c r="Q83" s="764"/>
      <c r="R83" s="764"/>
      <c r="S83" s="765"/>
      <c r="T83" s="765"/>
      <c r="U83" s="765"/>
      <c r="V83" s="766"/>
      <c r="W83" s="764"/>
      <c r="X83" s="764"/>
      <c r="Y83" s="767">
        <v>1</v>
      </c>
      <c r="Z83" s="770">
        <v>1</v>
      </c>
      <c r="AA83" s="166">
        <f t="shared" si="40"/>
        <v>0</v>
      </c>
      <c r="AB83" s="166">
        <f t="shared" si="41"/>
        <v>0</v>
      </c>
      <c r="AC83" s="166">
        <f t="shared" si="42"/>
        <v>0</v>
      </c>
      <c r="AD83" s="166"/>
      <c r="AE83" s="164">
        <f t="shared" si="43"/>
        <v>0</v>
      </c>
      <c r="AF83" s="167"/>
      <c r="AG83" s="165">
        <f t="shared" si="44"/>
        <v>0</v>
      </c>
      <c r="AH83" s="760"/>
      <c r="AI83" s="760"/>
      <c r="AJ83" s="8"/>
      <c r="AK83" s="524" t="str">
        <f t="shared" si="45"/>
        <v>No</v>
      </c>
      <c r="AL83" s="525">
        <f>'I-Project Contingency'!$I$4</f>
        <v>7250000</v>
      </c>
      <c r="AM83" s="350">
        <f>'I-Project Contingency'!$I$11</f>
        <v>12</v>
      </c>
      <c r="AN83" s="349">
        <f t="shared" si="52"/>
        <v>0</v>
      </c>
      <c r="AO83" s="350">
        <f t="shared" si="53"/>
        <v>0</v>
      </c>
      <c r="AP83" s="672" t="str">
        <f t="shared" ref="AP83:AP116" si="54">IF(H83="Unrated","",IF(AND(H83="Low",AN83=0),G83,IF(ISNUMBER(AN83),IF(AND(AN83&gt;=VLOOKUP(G83,$AL$9:$AN$13,2,FALSE),AN83&lt;=VLOOKUP(G83,$AL$9:$AN$13,3,FALSE)),G83,VLOOKUP(AN83,$AM$9:$AO$13,3,TRUE)),G83)))</f>
        <v/>
      </c>
      <c r="AQ83" s="672" t="str">
        <f t="shared" ref="AQ83:AQ116" si="55">IF(J83="Unrated","",IF(AND(J83="Low",AO83=0),I83,IF(ISNUMBER(AO83),IF(AND(AO83&gt;=VLOOKUP(I83,$AP$9:$AR$13,2,FALSE),AO83&lt;=VLOOKUP(I83,$AP$9:$AR$13,3,FALSE)),I83,VLOOKUP(AO83,$AQ$9:$AS$13,3,TRUE)),I83)))</f>
        <v/>
      </c>
      <c r="AR83" s="526" t="str">
        <f t="shared" si="22"/>
        <v/>
      </c>
      <c r="AS83" s="526" t="str">
        <f t="shared" ref="AS83:AS116" si="56">IF(AQ83="","",IF(B83="","",IF(I83=AQ83,"","Check Impact")))</f>
        <v/>
      </c>
      <c r="AT83" s="8"/>
      <c r="AU83" s="353">
        <f>'I-Project Contingency'!$O$4-AE83</f>
        <v>0</v>
      </c>
      <c r="AV83" s="354">
        <v>1687645.9248406207</v>
      </c>
      <c r="AW83" s="354">
        <v>3291004.7254658043</v>
      </c>
      <c r="AX83" s="354">
        <v>4159167.8232088853</v>
      </c>
      <c r="AY83" s="354">
        <f>'I-Project Contingency'!$E$66-AV83</f>
        <v>0</v>
      </c>
      <c r="AZ83" s="354">
        <f>'I-Project Contingency'!$E$69-AW83</f>
        <v>0</v>
      </c>
      <c r="BA83" s="354">
        <f>'I-Project Contingency'!$E$70-AX83</f>
        <v>0</v>
      </c>
      <c r="BB83" s="355">
        <f>'I-Project Contingency'!$O$5-AG83</f>
        <v>0</v>
      </c>
      <c r="BC83" s="356">
        <v>2.9615115956254372</v>
      </c>
      <c r="BD83" s="356">
        <v>6.001919642116226</v>
      </c>
      <c r="BE83" s="357">
        <v>7.5913096572662919</v>
      </c>
      <c r="BF83" s="356">
        <f>'I-Project Contingency'!$E$81-BC83</f>
        <v>0</v>
      </c>
      <c r="BG83" s="356">
        <f>'I-Project Contingency'!$E$84-BD83</f>
        <v>0</v>
      </c>
      <c r="BH83" s="356">
        <f>'I-Project Contingency'!$E$85-BE83</f>
        <v>0</v>
      </c>
      <c r="BI83" s="358">
        <f>IF(BK83="N/A","N/A",IF('D-Project Data'!$C$6=50%,ABS(BK83),IF('D-Project Data'!$C$6=80%,ABS(BL83),IF('D-Project Data'!$C$6=90%,ABS(BM83)))))</f>
        <v>0</v>
      </c>
      <c r="BJ83" s="359">
        <f>IF(BI83="N/A","N/A",RANK(BI83,$BI$18:$BI$116,0)+COUNTIF($BI$18:BI83,BI83)-1)</f>
        <v>66</v>
      </c>
      <c r="BK83" s="358">
        <f>IF(AY83/SUM(AY:AY)*'I-Project Contingency'!$F$66=0,0,AY83/SUM(AY:AY)*'I-Project Contingency'!$F$66)</f>
        <v>0</v>
      </c>
      <c r="BL83" s="358">
        <f>IF(AZ83/SUM(AZ:AZ)*'I-Project Contingency'!$F$69=0,0,AZ83/SUM(AZ:AZ)*'I-Project Contingency'!$F$69)</f>
        <v>0</v>
      </c>
      <c r="BM83" s="358">
        <f>IF(BA83/SUM(BA:BA)*'I-Project Contingency'!$F$70=0,0,BA83/SUM(BA:BA)*'I-Project Contingency'!$F$70)</f>
        <v>0</v>
      </c>
      <c r="BN83" s="357">
        <f>IF(BP83="N/A","N/A",IF('D-Project Data'!$C$6=50%,ABS(BP83),IF('D-Project Data'!$C$6=80%,ABS(BQ83),IF('D-Project Data'!$C$6=90%,ABS(BR83)))))</f>
        <v>0</v>
      </c>
      <c r="BO83" s="359">
        <f>IF(BN83="N/A","N/A",RANK(BN83,$BN$18:$BN$116,0)+COUNTIF($BN$18:BN83,BN83)-1)</f>
        <v>66</v>
      </c>
      <c r="BP83" s="357">
        <f>IF(BF83/SUM(BF:BF)*'I-Project Contingency'!$F$81=0,0,BF83/SUM(BF:BF)*'I-Project Contingency'!$F$81)</f>
        <v>0</v>
      </c>
      <c r="BQ83" s="357">
        <f>IF(BG83/SUM(BG:BG)*'I-Project Contingency'!$F$84=0,0,BG83/SUM(BG:BG)*'I-Project Contingency'!$F$84)</f>
        <v>0</v>
      </c>
      <c r="BR83" s="357">
        <f>IF(BH83/SUM(BH:BH)*'I-Project Contingency'!$F$85=0,0,BH83/SUM(BH:BH)*'I-Project Contingency'!$F$85)</f>
        <v>0</v>
      </c>
      <c r="BS83" s="359">
        <f t="shared" si="46"/>
        <v>66</v>
      </c>
      <c r="BT83" s="360" t="str">
        <f t="shared" si="47"/>
        <v xml:space="preserve">66 -  </v>
      </c>
      <c r="BU83" s="354">
        <f t="shared" si="48"/>
        <v>0</v>
      </c>
      <c r="BV83" s="354">
        <f t="shared" si="49"/>
        <v>0</v>
      </c>
      <c r="BW83" s="356">
        <f t="shared" si="50"/>
        <v>0</v>
      </c>
      <c r="BX83" s="356">
        <f t="shared" si="51"/>
        <v>0</v>
      </c>
    </row>
    <row r="84" spans="1:76" ht="29" x14ac:dyDescent="0.35">
      <c r="A84" s="163">
        <f t="shared" si="21"/>
        <v>67</v>
      </c>
      <c r="B84" s="758" t="s">
        <v>728</v>
      </c>
      <c r="C84" s="760" t="s">
        <v>659</v>
      </c>
      <c r="D84" s="760" t="s">
        <v>659</v>
      </c>
      <c r="E84" s="760" t="s">
        <v>659</v>
      </c>
      <c r="F84" s="759" t="s">
        <v>728</v>
      </c>
      <c r="G84" s="759" t="s">
        <v>728</v>
      </c>
      <c r="H84" s="157" t="str">
        <f>IFERROR(IF('H-Risk Register-Model'!F84="Certain","Relook at Basis of Estimate",INDEX('G-Assumptions'!$F$8:$J$11,MATCH(F84,'G-Assumptions'!$D$8:$D$11,0),MATCH(G84,'G-Assumptions'!$F$6:$J$6,0))),"Unrated")</f>
        <v>Unrated</v>
      </c>
      <c r="I84" s="759" t="s">
        <v>728</v>
      </c>
      <c r="J84" s="157" t="str">
        <f>IFERROR(IF('H-Risk Register-Model'!F84="Certain","Relook at Basis of Estimate",INDEX('G-Assumptions'!$F$8:$J$11,MATCH(F84,'G-Assumptions'!$D$8:$D$11,0),MATCH(I84,'G-Assumptions'!$F$6:$J$6,0))),"Unrated")</f>
        <v>Unrated</v>
      </c>
      <c r="K84" s="759" t="s">
        <v>728</v>
      </c>
      <c r="L84" s="759" t="s">
        <v>728</v>
      </c>
      <c r="M84" s="759"/>
      <c r="N84" s="763" t="s">
        <v>728</v>
      </c>
      <c r="O84" s="763" t="s">
        <v>728</v>
      </c>
      <c r="P84" s="764"/>
      <c r="Q84" s="764"/>
      <c r="R84" s="764"/>
      <c r="S84" s="765"/>
      <c r="T84" s="765"/>
      <c r="U84" s="765"/>
      <c r="V84" s="766"/>
      <c r="W84" s="764"/>
      <c r="X84" s="764"/>
      <c r="Y84" s="767">
        <v>1</v>
      </c>
      <c r="Z84" s="770">
        <v>1</v>
      </c>
      <c r="AA84" s="166">
        <f t="shared" si="40"/>
        <v>0</v>
      </c>
      <c r="AB84" s="166">
        <f t="shared" si="41"/>
        <v>0</v>
      </c>
      <c r="AC84" s="166">
        <f t="shared" si="42"/>
        <v>0</v>
      </c>
      <c r="AD84" s="166"/>
      <c r="AE84" s="164">
        <f t="shared" si="43"/>
        <v>0</v>
      </c>
      <c r="AF84" s="167"/>
      <c r="AG84" s="165">
        <f t="shared" si="44"/>
        <v>0</v>
      </c>
      <c r="AH84" s="760"/>
      <c r="AI84" s="760"/>
      <c r="AJ84" s="8"/>
      <c r="AK84" s="524" t="str">
        <f t="shared" si="45"/>
        <v>No</v>
      </c>
      <c r="AL84" s="525">
        <f>'I-Project Contingency'!$I$4</f>
        <v>7250000</v>
      </c>
      <c r="AM84" s="350">
        <f>'I-Project Contingency'!$I$11</f>
        <v>12</v>
      </c>
      <c r="AN84" s="349">
        <f t="shared" si="52"/>
        <v>0</v>
      </c>
      <c r="AO84" s="350">
        <f t="shared" si="53"/>
        <v>0</v>
      </c>
      <c r="AP84" s="672" t="str">
        <f t="shared" si="54"/>
        <v/>
      </c>
      <c r="AQ84" s="672" t="str">
        <f t="shared" si="55"/>
        <v/>
      </c>
      <c r="AR84" s="526" t="str">
        <f t="shared" ref="AR84:AR116" si="57">IF(AP84="","",IF(B84="","",IF(G84=AP84,"","Check Impact")))</f>
        <v/>
      </c>
      <c r="AS84" s="526" t="str">
        <f t="shared" si="56"/>
        <v/>
      </c>
      <c r="AT84" s="8"/>
      <c r="AU84" s="353">
        <f>'I-Project Contingency'!$O$4-AE84</f>
        <v>0</v>
      </c>
      <c r="AV84" s="354">
        <v>1687645.9248406207</v>
      </c>
      <c r="AW84" s="354">
        <v>3291004.7254658043</v>
      </c>
      <c r="AX84" s="354">
        <v>4159167.8232088853</v>
      </c>
      <c r="AY84" s="354">
        <f>'I-Project Contingency'!$E$66-AV84</f>
        <v>0</v>
      </c>
      <c r="AZ84" s="354">
        <f>'I-Project Contingency'!$E$69-AW84</f>
        <v>0</v>
      </c>
      <c r="BA84" s="354">
        <f>'I-Project Contingency'!$E$70-AX84</f>
        <v>0</v>
      </c>
      <c r="BB84" s="355">
        <f>'I-Project Contingency'!$O$5-AG84</f>
        <v>0</v>
      </c>
      <c r="BC84" s="356">
        <v>2.9615115956254372</v>
      </c>
      <c r="BD84" s="356">
        <v>6.001919642116226</v>
      </c>
      <c r="BE84" s="357">
        <v>7.5913096572662919</v>
      </c>
      <c r="BF84" s="356">
        <f>'I-Project Contingency'!$E$81-BC84</f>
        <v>0</v>
      </c>
      <c r="BG84" s="356">
        <f>'I-Project Contingency'!$E$84-BD84</f>
        <v>0</v>
      </c>
      <c r="BH84" s="356">
        <f>'I-Project Contingency'!$E$85-BE84</f>
        <v>0</v>
      </c>
      <c r="BI84" s="358">
        <f>IF(BK84="N/A","N/A",IF('D-Project Data'!$C$6=50%,ABS(BK84),IF('D-Project Data'!$C$6=80%,ABS(BL84),IF('D-Project Data'!$C$6=90%,ABS(BM84)))))</f>
        <v>0</v>
      </c>
      <c r="BJ84" s="359">
        <f>IF(BI84="N/A","N/A",RANK(BI84,$BI$18:$BI$116,0)+COUNTIF($BI$18:BI84,BI84)-1)</f>
        <v>67</v>
      </c>
      <c r="BK84" s="358">
        <f>IF(AY84/SUM(AY:AY)*'I-Project Contingency'!$F$66=0,0,AY84/SUM(AY:AY)*'I-Project Contingency'!$F$66)</f>
        <v>0</v>
      </c>
      <c r="BL84" s="358">
        <f>IF(AZ84/SUM(AZ:AZ)*'I-Project Contingency'!$F$69=0,0,AZ84/SUM(AZ:AZ)*'I-Project Contingency'!$F$69)</f>
        <v>0</v>
      </c>
      <c r="BM84" s="358">
        <f>IF(BA84/SUM(BA:BA)*'I-Project Contingency'!$F$70=0,0,BA84/SUM(BA:BA)*'I-Project Contingency'!$F$70)</f>
        <v>0</v>
      </c>
      <c r="BN84" s="357">
        <f>IF(BP84="N/A","N/A",IF('D-Project Data'!$C$6=50%,ABS(BP84),IF('D-Project Data'!$C$6=80%,ABS(BQ84),IF('D-Project Data'!$C$6=90%,ABS(BR84)))))</f>
        <v>0</v>
      </c>
      <c r="BO84" s="359">
        <f>IF(BN84="N/A","N/A",RANK(BN84,$BN$18:$BN$116,0)+COUNTIF($BN$18:BN84,BN84)-1)</f>
        <v>67</v>
      </c>
      <c r="BP84" s="357">
        <f>IF(BF84/SUM(BF:BF)*'I-Project Contingency'!$F$81=0,0,BF84/SUM(BF:BF)*'I-Project Contingency'!$F$81)</f>
        <v>0</v>
      </c>
      <c r="BQ84" s="357">
        <f>IF(BG84/SUM(BG:BG)*'I-Project Contingency'!$F$84=0,0,BG84/SUM(BG:BG)*'I-Project Contingency'!$F$84)</f>
        <v>0</v>
      </c>
      <c r="BR84" s="357">
        <f>IF(BH84/SUM(BH:BH)*'I-Project Contingency'!$F$85=0,0,BH84/SUM(BH:BH)*'I-Project Contingency'!$F$85)</f>
        <v>0</v>
      </c>
      <c r="BS84" s="359">
        <f t="shared" si="46"/>
        <v>67</v>
      </c>
      <c r="BT84" s="360" t="str">
        <f t="shared" si="47"/>
        <v xml:space="preserve">67 -  </v>
      </c>
      <c r="BU84" s="354">
        <f t="shared" si="48"/>
        <v>0</v>
      </c>
      <c r="BV84" s="354">
        <f t="shared" si="49"/>
        <v>0</v>
      </c>
      <c r="BW84" s="356">
        <f t="shared" si="50"/>
        <v>0</v>
      </c>
      <c r="BX84" s="356">
        <f t="shared" si="51"/>
        <v>0</v>
      </c>
    </row>
    <row r="85" spans="1:76" ht="29" x14ac:dyDescent="0.35">
      <c r="A85" s="163">
        <f t="shared" si="21"/>
        <v>68</v>
      </c>
      <c r="B85" s="758" t="s">
        <v>728</v>
      </c>
      <c r="C85" s="760" t="s">
        <v>659</v>
      </c>
      <c r="D85" s="760" t="s">
        <v>659</v>
      </c>
      <c r="E85" s="760" t="s">
        <v>659</v>
      </c>
      <c r="F85" s="759" t="s">
        <v>728</v>
      </c>
      <c r="G85" s="759" t="s">
        <v>728</v>
      </c>
      <c r="H85" s="157" t="str">
        <f>IFERROR(IF('H-Risk Register-Model'!F85="Certain","Relook at Basis of Estimate",INDEX('G-Assumptions'!$F$8:$J$11,MATCH(F85,'G-Assumptions'!$D$8:$D$11,0),MATCH(G85,'G-Assumptions'!$F$6:$J$6,0))),"Unrated")</f>
        <v>Unrated</v>
      </c>
      <c r="I85" s="759" t="s">
        <v>728</v>
      </c>
      <c r="J85" s="157" t="str">
        <f>IFERROR(IF('H-Risk Register-Model'!F85="Certain","Relook at Basis of Estimate",INDEX('G-Assumptions'!$F$8:$J$11,MATCH(F85,'G-Assumptions'!$D$8:$D$11,0),MATCH(I85,'G-Assumptions'!$F$6:$J$6,0))),"Unrated")</f>
        <v>Unrated</v>
      </c>
      <c r="K85" s="759" t="s">
        <v>728</v>
      </c>
      <c r="L85" s="759" t="s">
        <v>728</v>
      </c>
      <c r="M85" s="759"/>
      <c r="N85" s="763" t="s">
        <v>728</v>
      </c>
      <c r="O85" s="763" t="s">
        <v>728</v>
      </c>
      <c r="P85" s="764"/>
      <c r="Q85" s="764"/>
      <c r="R85" s="764"/>
      <c r="S85" s="765"/>
      <c r="T85" s="765"/>
      <c r="U85" s="765"/>
      <c r="V85" s="766"/>
      <c r="W85" s="764"/>
      <c r="X85" s="764"/>
      <c r="Y85" s="767">
        <v>1</v>
      </c>
      <c r="Z85" s="770">
        <v>1</v>
      </c>
      <c r="AA85" s="166">
        <f t="shared" si="40"/>
        <v>0</v>
      </c>
      <c r="AB85" s="166">
        <f t="shared" si="41"/>
        <v>0</v>
      </c>
      <c r="AC85" s="166">
        <f t="shared" si="42"/>
        <v>0</v>
      </c>
      <c r="AD85" s="166"/>
      <c r="AE85" s="164">
        <f t="shared" si="43"/>
        <v>0</v>
      </c>
      <c r="AF85" s="167"/>
      <c r="AG85" s="165">
        <f t="shared" si="44"/>
        <v>0</v>
      </c>
      <c r="AH85" s="760"/>
      <c r="AI85" s="760"/>
      <c r="AJ85" s="8"/>
      <c r="AK85" s="524" t="str">
        <f t="shared" si="45"/>
        <v>No</v>
      </c>
      <c r="AL85" s="525">
        <f>'I-Project Contingency'!$I$4</f>
        <v>7250000</v>
      </c>
      <c r="AM85" s="350">
        <f>'I-Project Contingency'!$I$11</f>
        <v>12</v>
      </c>
      <c r="AN85" s="349">
        <f t="shared" si="52"/>
        <v>0</v>
      </c>
      <c r="AO85" s="350">
        <f t="shared" si="53"/>
        <v>0</v>
      </c>
      <c r="AP85" s="672" t="str">
        <f t="shared" si="54"/>
        <v/>
      </c>
      <c r="AQ85" s="672" t="str">
        <f t="shared" si="55"/>
        <v/>
      </c>
      <c r="AR85" s="526" t="str">
        <f t="shared" si="57"/>
        <v/>
      </c>
      <c r="AS85" s="526" t="str">
        <f t="shared" si="56"/>
        <v/>
      </c>
      <c r="AT85" s="8"/>
      <c r="AU85" s="353">
        <f>'I-Project Contingency'!$O$4-AE85</f>
        <v>0</v>
      </c>
      <c r="AV85" s="354">
        <v>1687645.9248406207</v>
      </c>
      <c r="AW85" s="354">
        <v>3291004.7254658043</v>
      </c>
      <c r="AX85" s="354">
        <v>4159167.8232088853</v>
      </c>
      <c r="AY85" s="354">
        <f>'I-Project Contingency'!$E$66-AV85</f>
        <v>0</v>
      </c>
      <c r="AZ85" s="354">
        <f>'I-Project Contingency'!$E$69-AW85</f>
        <v>0</v>
      </c>
      <c r="BA85" s="354">
        <f>'I-Project Contingency'!$E$70-AX85</f>
        <v>0</v>
      </c>
      <c r="BB85" s="355">
        <f>'I-Project Contingency'!$O$5-AG85</f>
        <v>0</v>
      </c>
      <c r="BC85" s="356">
        <v>2.9615115956254372</v>
      </c>
      <c r="BD85" s="356">
        <v>6.001919642116226</v>
      </c>
      <c r="BE85" s="357">
        <v>7.5913096572662919</v>
      </c>
      <c r="BF85" s="356">
        <f>'I-Project Contingency'!$E$81-BC85</f>
        <v>0</v>
      </c>
      <c r="BG85" s="356">
        <f>'I-Project Contingency'!$E$84-BD85</f>
        <v>0</v>
      </c>
      <c r="BH85" s="356">
        <f>'I-Project Contingency'!$E$85-BE85</f>
        <v>0</v>
      </c>
      <c r="BI85" s="358">
        <f>IF(BK85="N/A","N/A",IF('D-Project Data'!$C$6=50%,ABS(BK85),IF('D-Project Data'!$C$6=80%,ABS(BL85),IF('D-Project Data'!$C$6=90%,ABS(BM85)))))</f>
        <v>0</v>
      </c>
      <c r="BJ85" s="359">
        <f>IF(BI85="N/A","N/A",RANK(BI85,$BI$18:$BI$116,0)+COUNTIF($BI$18:BI85,BI85)-1)</f>
        <v>68</v>
      </c>
      <c r="BK85" s="358">
        <f>IF(AY85/SUM(AY:AY)*'I-Project Contingency'!$F$66=0,0,AY85/SUM(AY:AY)*'I-Project Contingency'!$F$66)</f>
        <v>0</v>
      </c>
      <c r="BL85" s="358">
        <f>IF(AZ85/SUM(AZ:AZ)*'I-Project Contingency'!$F$69=0,0,AZ85/SUM(AZ:AZ)*'I-Project Contingency'!$F$69)</f>
        <v>0</v>
      </c>
      <c r="BM85" s="358">
        <f>IF(BA85/SUM(BA:BA)*'I-Project Contingency'!$F$70=0,0,BA85/SUM(BA:BA)*'I-Project Contingency'!$F$70)</f>
        <v>0</v>
      </c>
      <c r="BN85" s="357">
        <f>IF(BP85="N/A","N/A",IF('D-Project Data'!$C$6=50%,ABS(BP85),IF('D-Project Data'!$C$6=80%,ABS(BQ85),IF('D-Project Data'!$C$6=90%,ABS(BR85)))))</f>
        <v>0</v>
      </c>
      <c r="BO85" s="359">
        <f>IF(BN85="N/A","N/A",RANK(BN85,$BN$18:$BN$116,0)+COUNTIF($BN$18:BN85,BN85)-1)</f>
        <v>68</v>
      </c>
      <c r="BP85" s="357">
        <f>IF(BF85/SUM(BF:BF)*'I-Project Contingency'!$F$81=0,0,BF85/SUM(BF:BF)*'I-Project Contingency'!$F$81)</f>
        <v>0</v>
      </c>
      <c r="BQ85" s="357">
        <f>IF(BG85/SUM(BG:BG)*'I-Project Contingency'!$F$84=0,0,BG85/SUM(BG:BG)*'I-Project Contingency'!$F$84)</f>
        <v>0</v>
      </c>
      <c r="BR85" s="357">
        <f>IF(BH85/SUM(BH:BH)*'I-Project Contingency'!$F$85=0,0,BH85/SUM(BH:BH)*'I-Project Contingency'!$F$85)</f>
        <v>0</v>
      </c>
      <c r="BS85" s="359">
        <f t="shared" si="46"/>
        <v>68</v>
      </c>
      <c r="BT85" s="360" t="str">
        <f t="shared" si="47"/>
        <v xml:space="preserve">68 -  </v>
      </c>
      <c r="BU85" s="354">
        <f t="shared" si="48"/>
        <v>0</v>
      </c>
      <c r="BV85" s="354">
        <f t="shared" si="49"/>
        <v>0</v>
      </c>
      <c r="BW85" s="356">
        <f t="shared" si="50"/>
        <v>0</v>
      </c>
      <c r="BX85" s="356">
        <f t="shared" si="51"/>
        <v>0</v>
      </c>
    </row>
    <row r="86" spans="1:76" ht="29" x14ac:dyDescent="0.35">
      <c r="A86" s="163">
        <f t="shared" si="21"/>
        <v>69</v>
      </c>
      <c r="B86" s="758" t="s">
        <v>728</v>
      </c>
      <c r="C86" s="760" t="s">
        <v>659</v>
      </c>
      <c r="D86" s="760" t="s">
        <v>659</v>
      </c>
      <c r="E86" s="760" t="s">
        <v>659</v>
      </c>
      <c r="F86" s="759" t="s">
        <v>728</v>
      </c>
      <c r="G86" s="759" t="s">
        <v>728</v>
      </c>
      <c r="H86" s="157" t="str">
        <f>IFERROR(IF('H-Risk Register-Model'!F86="Certain","Relook at Basis of Estimate",INDEX('G-Assumptions'!$F$8:$J$11,MATCH(F86,'G-Assumptions'!$D$8:$D$11,0),MATCH(G86,'G-Assumptions'!$F$6:$J$6,0))),"Unrated")</f>
        <v>Unrated</v>
      </c>
      <c r="I86" s="759" t="s">
        <v>728</v>
      </c>
      <c r="J86" s="157" t="str">
        <f>IFERROR(IF('H-Risk Register-Model'!F86="Certain","Relook at Basis of Estimate",INDEX('G-Assumptions'!$F$8:$J$11,MATCH(F86,'G-Assumptions'!$D$8:$D$11,0),MATCH(I86,'G-Assumptions'!$F$6:$J$6,0))),"Unrated")</f>
        <v>Unrated</v>
      </c>
      <c r="K86" s="759" t="s">
        <v>728</v>
      </c>
      <c r="L86" s="759" t="s">
        <v>728</v>
      </c>
      <c r="M86" s="759"/>
      <c r="N86" s="763" t="s">
        <v>728</v>
      </c>
      <c r="O86" s="763" t="s">
        <v>728</v>
      </c>
      <c r="P86" s="764"/>
      <c r="Q86" s="764"/>
      <c r="R86" s="764"/>
      <c r="S86" s="765"/>
      <c r="T86" s="765"/>
      <c r="U86" s="765"/>
      <c r="V86" s="766"/>
      <c r="W86" s="764"/>
      <c r="X86" s="764"/>
      <c r="Y86" s="767">
        <v>1</v>
      </c>
      <c r="Z86" s="770">
        <v>1</v>
      </c>
      <c r="AA86" s="166">
        <f t="shared" si="40"/>
        <v>0</v>
      </c>
      <c r="AB86" s="166">
        <f t="shared" si="41"/>
        <v>0</v>
      </c>
      <c r="AC86" s="166">
        <f t="shared" si="42"/>
        <v>0</v>
      </c>
      <c r="AD86" s="166"/>
      <c r="AE86" s="164">
        <f t="shared" si="43"/>
        <v>0</v>
      </c>
      <c r="AF86" s="167"/>
      <c r="AG86" s="165">
        <f t="shared" si="44"/>
        <v>0</v>
      </c>
      <c r="AH86" s="760"/>
      <c r="AI86" s="760"/>
      <c r="AJ86" s="8"/>
      <c r="AK86" s="524" t="str">
        <f t="shared" si="45"/>
        <v>No</v>
      </c>
      <c r="AL86" s="525">
        <f>'I-Project Contingency'!$I$4</f>
        <v>7250000</v>
      </c>
      <c r="AM86" s="350">
        <f>'I-Project Contingency'!$I$11</f>
        <v>12</v>
      </c>
      <c r="AN86" s="349">
        <f t="shared" si="52"/>
        <v>0</v>
      </c>
      <c r="AO86" s="350">
        <f t="shared" si="53"/>
        <v>0</v>
      </c>
      <c r="AP86" s="672" t="str">
        <f t="shared" si="54"/>
        <v/>
      </c>
      <c r="AQ86" s="672" t="str">
        <f t="shared" si="55"/>
        <v/>
      </c>
      <c r="AR86" s="526" t="str">
        <f t="shared" si="57"/>
        <v/>
      </c>
      <c r="AS86" s="526" t="str">
        <f t="shared" si="56"/>
        <v/>
      </c>
      <c r="AT86" s="8"/>
      <c r="AU86" s="353">
        <f>'I-Project Contingency'!$O$4-AE86</f>
        <v>0</v>
      </c>
      <c r="AV86" s="354">
        <v>1687645.9248406207</v>
      </c>
      <c r="AW86" s="354">
        <v>3291004.7254658043</v>
      </c>
      <c r="AX86" s="354">
        <v>4159167.8232088853</v>
      </c>
      <c r="AY86" s="354">
        <f>'I-Project Contingency'!$E$66-AV86</f>
        <v>0</v>
      </c>
      <c r="AZ86" s="354">
        <f>'I-Project Contingency'!$E$69-AW86</f>
        <v>0</v>
      </c>
      <c r="BA86" s="354">
        <f>'I-Project Contingency'!$E$70-AX86</f>
        <v>0</v>
      </c>
      <c r="BB86" s="355">
        <f>'I-Project Contingency'!$O$5-AG86</f>
        <v>0</v>
      </c>
      <c r="BC86" s="356">
        <v>2.9615115956254372</v>
      </c>
      <c r="BD86" s="356">
        <v>6.001919642116226</v>
      </c>
      <c r="BE86" s="357">
        <v>7.5913096572662919</v>
      </c>
      <c r="BF86" s="356">
        <f>'I-Project Contingency'!$E$81-BC86</f>
        <v>0</v>
      </c>
      <c r="BG86" s="356">
        <f>'I-Project Contingency'!$E$84-BD86</f>
        <v>0</v>
      </c>
      <c r="BH86" s="356">
        <f>'I-Project Contingency'!$E$85-BE86</f>
        <v>0</v>
      </c>
      <c r="BI86" s="358">
        <f>IF(BK86="N/A","N/A",IF('D-Project Data'!$C$6=50%,ABS(BK86),IF('D-Project Data'!$C$6=80%,ABS(BL86),IF('D-Project Data'!$C$6=90%,ABS(BM86)))))</f>
        <v>0</v>
      </c>
      <c r="BJ86" s="359">
        <f>IF(BI86="N/A","N/A",RANK(BI86,$BI$18:$BI$116,0)+COUNTIF($BI$18:BI86,BI86)-1)</f>
        <v>69</v>
      </c>
      <c r="BK86" s="358">
        <f>IF(AY86/SUM(AY:AY)*'I-Project Contingency'!$F$66=0,0,AY86/SUM(AY:AY)*'I-Project Contingency'!$F$66)</f>
        <v>0</v>
      </c>
      <c r="BL86" s="358">
        <f>IF(AZ86/SUM(AZ:AZ)*'I-Project Contingency'!$F$69=0,0,AZ86/SUM(AZ:AZ)*'I-Project Contingency'!$F$69)</f>
        <v>0</v>
      </c>
      <c r="BM86" s="358">
        <f>IF(BA86/SUM(BA:BA)*'I-Project Contingency'!$F$70=0,0,BA86/SUM(BA:BA)*'I-Project Contingency'!$F$70)</f>
        <v>0</v>
      </c>
      <c r="BN86" s="357">
        <f>IF(BP86="N/A","N/A",IF('D-Project Data'!$C$6=50%,ABS(BP86),IF('D-Project Data'!$C$6=80%,ABS(BQ86),IF('D-Project Data'!$C$6=90%,ABS(BR86)))))</f>
        <v>0</v>
      </c>
      <c r="BO86" s="359">
        <f>IF(BN86="N/A","N/A",RANK(BN86,$BN$18:$BN$116,0)+COUNTIF($BN$18:BN86,BN86)-1)</f>
        <v>69</v>
      </c>
      <c r="BP86" s="357">
        <f>IF(BF86/SUM(BF:BF)*'I-Project Contingency'!$F$81=0,0,BF86/SUM(BF:BF)*'I-Project Contingency'!$F$81)</f>
        <v>0</v>
      </c>
      <c r="BQ86" s="357">
        <f>IF(BG86/SUM(BG:BG)*'I-Project Contingency'!$F$84=0,0,BG86/SUM(BG:BG)*'I-Project Contingency'!$F$84)</f>
        <v>0</v>
      </c>
      <c r="BR86" s="357">
        <f>IF(BH86/SUM(BH:BH)*'I-Project Contingency'!$F$85=0,0,BH86/SUM(BH:BH)*'I-Project Contingency'!$F$85)</f>
        <v>0</v>
      </c>
      <c r="BS86" s="359">
        <f t="shared" si="46"/>
        <v>69</v>
      </c>
      <c r="BT86" s="360" t="str">
        <f t="shared" si="47"/>
        <v xml:space="preserve">69 -  </v>
      </c>
      <c r="BU86" s="354">
        <f t="shared" si="48"/>
        <v>0</v>
      </c>
      <c r="BV86" s="354">
        <f t="shared" si="49"/>
        <v>0</v>
      </c>
      <c r="BW86" s="356">
        <f t="shared" si="50"/>
        <v>0</v>
      </c>
      <c r="BX86" s="356">
        <f t="shared" si="51"/>
        <v>0</v>
      </c>
    </row>
    <row r="87" spans="1:76" ht="29" x14ac:dyDescent="0.35">
      <c r="A87" s="163">
        <f t="shared" si="21"/>
        <v>70</v>
      </c>
      <c r="B87" s="758" t="s">
        <v>728</v>
      </c>
      <c r="C87" s="760" t="s">
        <v>659</v>
      </c>
      <c r="D87" s="760" t="s">
        <v>659</v>
      </c>
      <c r="E87" s="760" t="s">
        <v>659</v>
      </c>
      <c r="F87" s="759" t="s">
        <v>728</v>
      </c>
      <c r="G87" s="759" t="s">
        <v>728</v>
      </c>
      <c r="H87" s="157" t="str">
        <f>IFERROR(IF('H-Risk Register-Model'!F87="Certain","Relook at Basis of Estimate",INDEX('G-Assumptions'!$F$8:$J$11,MATCH(F87,'G-Assumptions'!$D$8:$D$11,0),MATCH(G87,'G-Assumptions'!$F$6:$J$6,0))),"Unrated")</f>
        <v>Unrated</v>
      </c>
      <c r="I87" s="759" t="s">
        <v>728</v>
      </c>
      <c r="J87" s="157" t="str">
        <f>IFERROR(IF('H-Risk Register-Model'!F87="Certain","Relook at Basis of Estimate",INDEX('G-Assumptions'!$F$8:$J$11,MATCH(F87,'G-Assumptions'!$D$8:$D$11,0),MATCH(I87,'G-Assumptions'!$F$6:$J$6,0))),"Unrated")</f>
        <v>Unrated</v>
      </c>
      <c r="K87" s="759" t="s">
        <v>728</v>
      </c>
      <c r="L87" s="759" t="s">
        <v>728</v>
      </c>
      <c r="M87" s="759"/>
      <c r="N87" s="763" t="s">
        <v>728</v>
      </c>
      <c r="O87" s="763" t="s">
        <v>728</v>
      </c>
      <c r="P87" s="764"/>
      <c r="Q87" s="764"/>
      <c r="R87" s="764"/>
      <c r="S87" s="765"/>
      <c r="T87" s="765"/>
      <c r="U87" s="765"/>
      <c r="V87" s="766"/>
      <c r="W87" s="764"/>
      <c r="X87" s="764"/>
      <c r="Y87" s="767">
        <v>1</v>
      </c>
      <c r="Z87" s="770">
        <v>1</v>
      </c>
      <c r="AA87" s="166">
        <f t="shared" si="40"/>
        <v>0</v>
      </c>
      <c r="AB87" s="166">
        <f t="shared" si="41"/>
        <v>0</v>
      </c>
      <c r="AC87" s="166">
        <f t="shared" si="42"/>
        <v>0</v>
      </c>
      <c r="AD87" s="166"/>
      <c r="AE87" s="164">
        <f t="shared" si="43"/>
        <v>0</v>
      </c>
      <c r="AF87" s="167"/>
      <c r="AG87" s="165">
        <f t="shared" si="44"/>
        <v>0</v>
      </c>
      <c r="AH87" s="760"/>
      <c r="AI87" s="760"/>
      <c r="AJ87" s="8"/>
      <c r="AK87" s="524" t="str">
        <f t="shared" si="45"/>
        <v>No</v>
      </c>
      <c r="AL87" s="525">
        <f>'I-Project Contingency'!$I$4</f>
        <v>7250000</v>
      </c>
      <c r="AM87" s="350">
        <f>'I-Project Contingency'!$I$11</f>
        <v>12</v>
      </c>
      <c r="AN87" s="349">
        <f t="shared" si="52"/>
        <v>0</v>
      </c>
      <c r="AO87" s="350">
        <f t="shared" si="53"/>
        <v>0</v>
      </c>
      <c r="AP87" s="672" t="str">
        <f t="shared" si="54"/>
        <v/>
      </c>
      <c r="AQ87" s="672" t="str">
        <f t="shared" si="55"/>
        <v/>
      </c>
      <c r="AR87" s="526" t="str">
        <f t="shared" si="57"/>
        <v/>
      </c>
      <c r="AS87" s="526" t="str">
        <f t="shared" si="56"/>
        <v/>
      </c>
      <c r="AT87" s="8"/>
      <c r="AU87" s="353">
        <f>'I-Project Contingency'!$O$4-AE87</f>
        <v>0</v>
      </c>
      <c r="AV87" s="354">
        <v>1687645.9248406207</v>
      </c>
      <c r="AW87" s="354">
        <v>3291004.7254658043</v>
      </c>
      <c r="AX87" s="354">
        <v>4159167.8232088853</v>
      </c>
      <c r="AY87" s="354">
        <f>'I-Project Contingency'!$E$66-AV87</f>
        <v>0</v>
      </c>
      <c r="AZ87" s="354">
        <f>'I-Project Contingency'!$E$69-AW87</f>
        <v>0</v>
      </c>
      <c r="BA87" s="354">
        <f>'I-Project Contingency'!$E$70-AX87</f>
        <v>0</v>
      </c>
      <c r="BB87" s="355">
        <f>'I-Project Contingency'!$O$5-AG87</f>
        <v>0</v>
      </c>
      <c r="BC87" s="356">
        <v>2.9615115956254372</v>
      </c>
      <c r="BD87" s="356">
        <v>6.001919642116226</v>
      </c>
      <c r="BE87" s="357">
        <v>7.5913096572662919</v>
      </c>
      <c r="BF87" s="356">
        <f>'I-Project Contingency'!$E$81-BC87</f>
        <v>0</v>
      </c>
      <c r="BG87" s="356">
        <f>'I-Project Contingency'!$E$84-BD87</f>
        <v>0</v>
      </c>
      <c r="BH87" s="356">
        <f>'I-Project Contingency'!$E$85-BE87</f>
        <v>0</v>
      </c>
      <c r="BI87" s="358">
        <f>IF(BK87="N/A","N/A",IF('D-Project Data'!$C$6=50%,ABS(BK87),IF('D-Project Data'!$C$6=80%,ABS(BL87),IF('D-Project Data'!$C$6=90%,ABS(BM87)))))</f>
        <v>0</v>
      </c>
      <c r="BJ87" s="359">
        <f>IF(BI87="N/A","N/A",RANK(BI87,$BI$18:$BI$116,0)+COUNTIF($BI$18:BI87,BI87)-1)</f>
        <v>70</v>
      </c>
      <c r="BK87" s="358">
        <f>IF(AY87/SUM(AY:AY)*'I-Project Contingency'!$F$66=0,0,AY87/SUM(AY:AY)*'I-Project Contingency'!$F$66)</f>
        <v>0</v>
      </c>
      <c r="BL87" s="358">
        <f>IF(AZ87/SUM(AZ:AZ)*'I-Project Contingency'!$F$69=0,0,AZ87/SUM(AZ:AZ)*'I-Project Contingency'!$F$69)</f>
        <v>0</v>
      </c>
      <c r="BM87" s="358">
        <f>IF(BA87/SUM(BA:BA)*'I-Project Contingency'!$F$70=0,0,BA87/SUM(BA:BA)*'I-Project Contingency'!$F$70)</f>
        <v>0</v>
      </c>
      <c r="BN87" s="357">
        <f>IF(BP87="N/A","N/A",IF('D-Project Data'!$C$6=50%,ABS(BP87),IF('D-Project Data'!$C$6=80%,ABS(BQ87),IF('D-Project Data'!$C$6=90%,ABS(BR87)))))</f>
        <v>0</v>
      </c>
      <c r="BO87" s="359">
        <f>IF(BN87="N/A","N/A",RANK(BN87,$BN$18:$BN$116,0)+COUNTIF($BN$18:BN87,BN87)-1)</f>
        <v>70</v>
      </c>
      <c r="BP87" s="357">
        <f>IF(BF87/SUM(BF:BF)*'I-Project Contingency'!$F$81=0,0,BF87/SUM(BF:BF)*'I-Project Contingency'!$F$81)</f>
        <v>0</v>
      </c>
      <c r="BQ87" s="357">
        <f>IF(BG87/SUM(BG:BG)*'I-Project Contingency'!$F$84=0,0,BG87/SUM(BG:BG)*'I-Project Contingency'!$F$84)</f>
        <v>0</v>
      </c>
      <c r="BR87" s="357">
        <f>IF(BH87/SUM(BH:BH)*'I-Project Contingency'!$F$85=0,0,BH87/SUM(BH:BH)*'I-Project Contingency'!$F$85)</f>
        <v>0</v>
      </c>
      <c r="BS87" s="359">
        <f t="shared" si="46"/>
        <v>70</v>
      </c>
      <c r="BT87" s="360" t="str">
        <f t="shared" si="47"/>
        <v xml:space="preserve">70 -  </v>
      </c>
      <c r="BU87" s="354">
        <f t="shared" si="48"/>
        <v>0</v>
      </c>
      <c r="BV87" s="354">
        <f t="shared" si="49"/>
        <v>0</v>
      </c>
      <c r="BW87" s="356">
        <f t="shared" si="50"/>
        <v>0</v>
      </c>
      <c r="BX87" s="356">
        <f t="shared" si="51"/>
        <v>0</v>
      </c>
    </row>
    <row r="88" spans="1:76" ht="29" x14ac:dyDescent="0.35">
      <c r="A88" s="163">
        <f t="shared" si="21"/>
        <v>71</v>
      </c>
      <c r="B88" s="758" t="s">
        <v>728</v>
      </c>
      <c r="C88" s="760" t="s">
        <v>659</v>
      </c>
      <c r="D88" s="760" t="s">
        <v>659</v>
      </c>
      <c r="E88" s="760" t="s">
        <v>659</v>
      </c>
      <c r="F88" s="759" t="s">
        <v>728</v>
      </c>
      <c r="G88" s="759" t="s">
        <v>728</v>
      </c>
      <c r="H88" s="157" t="str">
        <f>IFERROR(IF('H-Risk Register-Model'!F88="Certain","Relook at Basis of Estimate",INDEX('G-Assumptions'!$F$8:$J$11,MATCH(F88,'G-Assumptions'!$D$8:$D$11,0),MATCH(G88,'G-Assumptions'!$F$6:$J$6,0))),"Unrated")</f>
        <v>Unrated</v>
      </c>
      <c r="I88" s="759" t="s">
        <v>728</v>
      </c>
      <c r="J88" s="157" t="str">
        <f>IFERROR(IF('H-Risk Register-Model'!F88="Certain","Relook at Basis of Estimate",INDEX('G-Assumptions'!$F$8:$J$11,MATCH(F88,'G-Assumptions'!$D$8:$D$11,0),MATCH(I88,'G-Assumptions'!$F$6:$J$6,0))),"Unrated")</f>
        <v>Unrated</v>
      </c>
      <c r="K88" s="759" t="s">
        <v>728</v>
      </c>
      <c r="L88" s="759" t="s">
        <v>728</v>
      </c>
      <c r="M88" s="759"/>
      <c r="N88" s="763" t="s">
        <v>728</v>
      </c>
      <c r="O88" s="763" t="s">
        <v>728</v>
      </c>
      <c r="P88" s="764"/>
      <c r="Q88" s="764"/>
      <c r="R88" s="764"/>
      <c r="S88" s="765"/>
      <c r="T88" s="765"/>
      <c r="U88" s="765"/>
      <c r="V88" s="766"/>
      <c r="W88" s="764"/>
      <c r="X88" s="764"/>
      <c r="Y88" s="767">
        <v>1</v>
      </c>
      <c r="Z88" s="770">
        <v>1</v>
      </c>
      <c r="AA88" s="166">
        <f t="shared" si="40"/>
        <v>0</v>
      </c>
      <c r="AB88" s="166">
        <f t="shared" si="41"/>
        <v>0</v>
      </c>
      <c r="AC88" s="166">
        <f t="shared" si="42"/>
        <v>0</v>
      </c>
      <c r="AD88" s="166"/>
      <c r="AE88" s="164">
        <f t="shared" si="43"/>
        <v>0</v>
      </c>
      <c r="AF88" s="167"/>
      <c r="AG88" s="165">
        <f t="shared" si="44"/>
        <v>0</v>
      </c>
      <c r="AH88" s="760"/>
      <c r="AI88" s="760"/>
      <c r="AJ88" s="8"/>
      <c r="AK88" s="524" t="str">
        <f t="shared" si="45"/>
        <v>No</v>
      </c>
      <c r="AL88" s="525">
        <f>'I-Project Contingency'!$I$4</f>
        <v>7250000</v>
      </c>
      <c r="AM88" s="350">
        <f>'I-Project Contingency'!$I$11</f>
        <v>12</v>
      </c>
      <c r="AN88" s="349">
        <f t="shared" si="52"/>
        <v>0</v>
      </c>
      <c r="AO88" s="350">
        <f t="shared" si="53"/>
        <v>0</v>
      </c>
      <c r="AP88" s="672" t="str">
        <f t="shared" si="54"/>
        <v/>
      </c>
      <c r="AQ88" s="672" t="str">
        <f t="shared" si="55"/>
        <v/>
      </c>
      <c r="AR88" s="526" t="str">
        <f t="shared" si="57"/>
        <v/>
      </c>
      <c r="AS88" s="526" t="str">
        <f t="shared" si="56"/>
        <v/>
      </c>
      <c r="AT88" s="8"/>
      <c r="AU88" s="353">
        <f>'I-Project Contingency'!$O$4-AE88</f>
        <v>0</v>
      </c>
      <c r="AV88" s="354">
        <v>1687645.9248406207</v>
      </c>
      <c r="AW88" s="354">
        <v>3291004.7254658043</v>
      </c>
      <c r="AX88" s="354">
        <v>4159167.8232088853</v>
      </c>
      <c r="AY88" s="354">
        <f>'I-Project Contingency'!$E$66-AV88</f>
        <v>0</v>
      </c>
      <c r="AZ88" s="354">
        <f>'I-Project Contingency'!$E$69-AW88</f>
        <v>0</v>
      </c>
      <c r="BA88" s="354">
        <f>'I-Project Contingency'!$E$70-AX88</f>
        <v>0</v>
      </c>
      <c r="BB88" s="355">
        <f>'I-Project Contingency'!$O$5-AG88</f>
        <v>0</v>
      </c>
      <c r="BC88" s="356">
        <v>2.9615115956254372</v>
      </c>
      <c r="BD88" s="356">
        <v>6.001919642116226</v>
      </c>
      <c r="BE88" s="357">
        <v>7.5913096572662919</v>
      </c>
      <c r="BF88" s="356">
        <f>'I-Project Contingency'!$E$81-BC88</f>
        <v>0</v>
      </c>
      <c r="BG88" s="356">
        <f>'I-Project Contingency'!$E$84-BD88</f>
        <v>0</v>
      </c>
      <c r="BH88" s="356">
        <f>'I-Project Contingency'!$E$85-BE88</f>
        <v>0</v>
      </c>
      <c r="BI88" s="358">
        <f>IF(BK88="N/A","N/A",IF('D-Project Data'!$C$6=50%,ABS(BK88),IF('D-Project Data'!$C$6=80%,ABS(BL88),IF('D-Project Data'!$C$6=90%,ABS(BM88)))))</f>
        <v>0</v>
      </c>
      <c r="BJ88" s="359">
        <f>IF(BI88="N/A","N/A",RANK(BI88,$BI$18:$BI$116,0)+COUNTIF($BI$18:BI88,BI88)-1)</f>
        <v>71</v>
      </c>
      <c r="BK88" s="358">
        <f>IF(AY88/SUM(AY:AY)*'I-Project Contingency'!$F$66=0,0,AY88/SUM(AY:AY)*'I-Project Contingency'!$F$66)</f>
        <v>0</v>
      </c>
      <c r="BL88" s="358">
        <f>IF(AZ88/SUM(AZ:AZ)*'I-Project Contingency'!$F$69=0,0,AZ88/SUM(AZ:AZ)*'I-Project Contingency'!$F$69)</f>
        <v>0</v>
      </c>
      <c r="BM88" s="358">
        <f>IF(BA88/SUM(BA:BA)*'I-Project Contingency'!$F$70=0,0,BA88/SUM(BA:BA)*'I-Project Contingency'!$F$70)</f>
        <v>0</v>
      </c>
      <c r="BN88" s="357">
        <f>IF(BP88="N/A","N/A",IF('D-Project Data'!$C$6=50%,ABS(BP88),IF('D-Project Data'!$C$6=80%,ABS(BQ88),IF('D-Project Data'!$C$6=90%,ABS(BR88)))))</f>
        <v>0</v>
      </c>
      <c r="BO88" s="359">
        <f>IF(BN88="N/A","N/A",RANK(BN88,$BN$18:$BN$116,0)+COUNTIF($BN$18:BN88,BN88)-1)</f>
        <v>71</v>
      </c>
      <c r="BP88" s="357">
        <f>IF(BF88/SUM(BF:BF)*'I-Project Contingency'!$F$81=0,0,BF88/SUM(BF:BF)*'I-Project Contingency'!$F$81)</f>
        <v>0</v>
      </c>
      <c r="BQ88" s="357">
        <f>IF(BG88/SUM(BG:BG)*'I-Project Contingency'!$F$84=0,0,BG88/SUM(BG:BG)*'I-Project Contingency'!$F$84)</f>
        <v>0</v>
      </c>
      <c r="BR88" s="357">
        <f>IF(BH88/SUM(BH:BH)*'I-Project Contingency'!$F$85=0,0,BH88/SUM(BH:BH)*'I-Project Contingency'!$F$85)</f>
        <v>0</v>
      </c>
      <c r="BS88" s="359">
        <f t="shared" si="46"/>
        <v>71</v>
      </c>
      <c r="BT88" s="360" t="str">
        <f t="shared" si="47"/>
        <v xml:space="preserve">71 -  </v>
      </c>
      <c r="BU88" s="354">
        <f t="shared" si="48"/>
        <v>0</v>
      </c>
      <c r="BV88" s="354">
        <f t="shared" si="49"/>
        <v>0</v>
      </c>
      <c r="BW88" s="356">
        <f t="shared" si="50"/>
        <v>0</v>
      </c>
      <c r="BX88" s="356">
        <f t="shared" si="51"/>
        <v>0</v>
      </c>
    </row>
    <row r="89" spans="1:76" ht="29" x14ac:dyDescent="0.35">
      <c r="A89" s="163">
        <f t="shared" si="21"/>
        <v>72</v>
      </c>
      <c r="B89" s="758" t="s">
        <v>728</v>
      </c>
      <c r="C89" s="760" t="s">
        <v>659</v>
      </c>
      <c r="D89" s="760" t="s">
        <v>659</v>
      </c>
      <c r="E89" s="760" t="s">
        <v>659</v>
      </c>
      <c r="F89" s="759" t="s">
        <v>728</v>
      </c>
      <c r="G89" s="759" t="s">
        <v>728</v>
      </c>
      <c r="H89" s="157" t="str">
        <f>IFERROR(IF('H-Risk Register-Model'!F89="Certain","Relook at Basis of Estimate",INDEX('G-Assumptions'!$F$8:$J$11,MATCH(F89,'G-Assumptions'!$D$8:$D$11,0),MATCH(G89,'G-Assumptions'!$F$6:$J$6,0))),"Unrated")</f>
        <v>Unrated</v>
      </c>
      <c r="I89" s="759" t="s">
        <v>728</v>
      </c>
      <c r="J89" s="157" t="str">
        <f>IFERROR(IF('H-Risk Register-Model'!F89="Certain","Relook at Basis of Estimate",INDEX('G-Assumptions'!$F$8:$J$11,MATCH(F89,'G-Assumptions'!$D$8:$D$11,0),MATCH(I89,'G-Assumptions'!$F$6:$J$6,0))),"Unrated")</f>
        <v>Unrated</v>
      </c>
      <c r="K89" s="759" t="s">
        <v>728</v>
      </c>
      <c r="L89" s="759" t="s">
        <v>728</v>
      </c>
      <c r="M89" s="759"/>
      <c r="N89" s="763" t="s">
        <v>728</v>
      </c>
      <c r="O89" s="763" t="s">
        <v>728</v>
      </c>
      <c r="P89" s="764"/>
      <c r="Q89" s="764"/>
      <c r="R89" s="764"/>
      <c r="S89" s="765"/>
      <c r="T89" s="765"/>
      <c r="U89" s="765"/>
      <c r="V89" s="766"/>
      <c r="W89" s="764"/>
      <c r="X89" s="764"/>
      <c r="Y89" s="767">
        <v>1</v>
      </c>
      <c r="Z89" s="770">
        <v>1</v>
      </c>
      <c r="AA89" s="166">
        <f t="shared" si="40"/>
        <v>0</v>
      </c>
      <c r="AB89" s="166">
        <f t="shared" si="41"/>
        <v>0</v>
      </c>
      <c r="AC89" s="166">
        <f t="shared" si="42"/>
        <v>0</v>
      </c>
      <c r="AD89" s="166"/>
      <c r="AE89" s="164">
        <f t="shared" si="43"/>
        <v>0</v>
      </c>
      <c r="AF89" s="167"/>
      <c r="AG89" s="165">
        <f t="shared" si="44"/>
        <v>0</v>
      </c>
      <c r="AH89" s="760"/>
      <c r="AI89" s="760"/>
      <c r="AJ89" s="8"/>
      <c r="AK89" s="524" t="str">
        <f t="shared" si="45"/>
        <v>No</v>
      </c>
      <c r="AL89" s="525">
        <f>'I-Project Contingency'!$I$4</f>
        <v>7250000</v>
      </c>
      <c r="AM89" s="350">
        <f>'I-Project Contingency'!$I$11</f>
        <v>12</v>
      </c>
      <c r="AN89" s="349">
        <f t="shared" si="52"/>
        <v>0</v>
      </c>
      <c r="AO89" s="350">
        <f t="shared" si="53"/>
        <v>0</v>
      </c>
      <c r="AP89" s="672" t="str">
        <f t="shared" si="54"/>
        <v/>
      </c>
      <c r="AQ89" s="672" t="str">
        <f t="shared" si="55"/>
        <v/>
      </c>
      <c r="AR89" s="526" t="str">
        <f t="shared" si="57"/>
        <v/>
      </c>
      <c r="AS89" s="526" t="str">
        <f t="shared" si="56"/>
        <v/>
      </c>
      <c r="AT89" s="8"/>
      <c r="AU89" s="353">
        <f>'I-Project Contingency'!$O$4-AE89</f>
        <v>0</v>
      </c>
      <c r="AV89" s="354">
        <v>1687645.9248406207</v>
      </c>
      <c r="AW89" s="354">
        <v>3291004.7254658043</v>
      </c>
      <c r="AX89" s="354">
        <v>4159167.8232088853</v>
      </c>
      <c r="AY89" s="354">
        <f>'I-Project Contingency'!$E$66-AV89</f>
        <v>0</v>
      </c>
      <c r="AZ89" s="354">
        <f>'I-Project Contingency'!$E$69-AW89</f>
        <v>0</v>
      </c>
      <c r="BA89" s="354">
        <f>'I-Project Contingency'!$E$70-AX89</f>
        <v>0</v>
      </c>
      <c r="BB89" s="355">
        <f>'I-Project Contingency'!$O$5-AG89</f>
        <v>0</v>
      </c>
      <c r="BC89" s="356">
        <v>2.9615115956254372</v>
      </c>
      <c r="BD89" s="356">
        <v>6.001919642116226</v>
      </c>
      <c r="BE89" s="357">
        <v>7.5913096572662919</v>
      </c>
      <c r="BF89" s="356">
        <f>'I-Project Contingency'!$E$81-BC89</f>
        <v>0</v>
      </c>
      <c r="BG89" s="356">
        <f>'I-Project Contingency'!$E$84-BD89</f>
        <v>0</v>
      </c>
      <c r="BH89" s="356">
        <f>'I-Project Contingency'!$E$85-BE89</f>
        <v>0</v>
      </c>
      <c r="BI89" s="358">
        <f>IF(BK89="N/A","N/A",IF('D-Project Data'!$C$6=50%,ABS(BK89),IF('D-Project Data'!$C$6=80%,ABS(BL89),IF('D-Project Data'!$C$6=90%,ABS(BM89)))))</f>
        <v>0</v>
      </c>
      <c r="BJ89" s="359">
        <f>IF(BI89="N/A","N/A",RANK(BI89,$BI$18:$BI$116,0)+COUNTIF($BI$18:BI89,BI89)-1)</f>
        <v>72</v>
      </c>
      <c r="BK89" s="358">
        <f>IF(AY89/SUM(AY:AY)*'I-Project Contingency'!$F$66=0,0,AY89/SUM(AY:AY)*'I-Project Contingency'!$F$66)</f>
        <v>0</v>
      </c>
      <c r="BL89" s="358">
        <f>IF(AZ89/SUM(AZ:AZ)*'I-Project Contingency'!$F$69=0,0,AZ89/SUM(AZ:AZ)*'I-Project Contingency'!$F$69)</f>
        <v>0</v>
      </c>
      <c r="BM89" s="358">
        <f>IF(BA89/SUM(BA:BA)*'I-Project Contingency'!$F$70=0,0,BA89/SUM(BA:BA)*'I-Project Contingency'!$F$70)</f>
        <v>0</v>
      </c>
      <c r="BN89" s="357">
        <f>IF(BP89="N/A","N/A",IF('D-Project Data'!$C$6=50%,ABS(BP89),IF('D-Project Data'!$C$6=80%,ABS(BQ89),IF('D-Project Data'!$C$6=90%,ABS(BR89)))))</f>
        <v>0</v>
      </c>
      <c r="BO89" s="359">
        <f>IF(BN89="N/A","N/A",RANK(BN89,$BN$18:$BN$116,0)+COUNTIF($BN$18:BN89,BN89)-1)</f>
        <v>72</v>
      </c>
      <c r="BP89" s="357">
        <f>IF(BF89/SUM(BF:BF)*'I-Project Contingency'!$F$81=0,0,BF89/SUM(BF:BF)*'I-Project Contingency'!$F$81)</f>
        <v>0</v>
      </c>
      <c r="BQ89" s="357">
        <f>IF(BG89/SUM(BG:BG)*'I-Project Contingency'!$F$84=0,0,BG89/SUM(BG:BG)*'I-Project Contingency'!$F$84)</f>
        <v>0</v>
      </c>
      <c r="BR89" s="357">
        <f>IF(BH89/SUM(BH:BH)*'I-Project Contingency'!$F$85=0,0,BH89/SUM(BH:BH)*'I-Project Contingency'!$F$85)</f>
        <v>0</v>
      </c>
      <c r="BS89" s="359">
        <f t="shared" si="46"/>
        <v>72</v>
      </c>
      <c r="BT89" s="360" t="str">
        <f t="shared" si="47"/>
        <v xml:space="preserve">72 -  </v>
      </c>
      <c r="BU89" s="354">
        <f t="shared" si="48"/>
        <v>0</v>
      </c>
      <c r="BV89" s="354">
        <f t="shared" si="49"/>
        <v>0</v>
      </c>
      <c r="BW89" s="356">
        <f t="shared" si="50"/>
        <v>0</v>
      </c>
      <c r="BX89" s="356">
        <f t="shared" si="51"/>
        <v>0</v>
      </c>
    </row>
    <row r="90" spans="1:76" ht="29" x14ac:dyDescent="0.35">
      <c r="A90" s="163">
        <f t="shared" si="21"/>
        <v>73</v>
      </c>
      <c r="B90" s="758" t="s">
        <v>728</v>
      </c>
      <c r="C90" s="760" t="s">
        <v>659</v>
      </c>
      <c r="D90" s="760" t="s">
        <v>659</v>
      </c>
      <c r="E90" s="760" t="s">
        <v>659</v>
      </c>
      <c r="F90" s="759" t="s">
        <v>728</v>
      </c>
      <c r="G90" s="759" t="s">
        <v>728</v>
      </c>
      <c r="H90" s="157" t="str">
        <f>IFERROR(IF('H-Risk Register-Model'!F90="Certain","Relook at Basis of Estimate",INDEX('G-Assumptions'!$F$8:$J$11,MATCH(F90,'G-Assumptions'!$D$8:$D$11,0),MATCH(G90,'G-Assumptions'!$F$6:$J$6,0))),"Unrated")</f>
        <v>Unrated</v>
      </c>
      <c r="I90" s="759" t="s">
        <v>728</v>
      </c>
      <c r="J90" s="157" t="str">
        <f>IFERROR(IF('H-Risk Register-Model'!F90="Certain","Relook at Basis of Estimate",INDEX('G-Assumptions'!$F$8:$J$11,MATCH(F90,'G-Assumptions'!$D$8:$D$11,0),MATCH(I90,'G-Assumptions'!$F$6:$J$6,0))),"Unrated")</f>
        <v>Unrated</v>
      </c>
      <c r="K90" s="759" t="s">
        <v>728</v>
      </c>
      <c r="L90" s="759" t="s">
        <v>728</v>
      </c>
      <c r="M90" s="759"/>
      <c r="N90" s="763" t="s">
        <v>728</v>
      </c>
      <c r="O90" s="763" t="s">
        <v>728</v>
      </c>
      <c r="P90" s="764"/>
      <c r="Q90" s="764"/>
      <c r="R90" s="764"/>
      <c r="S90" s="765"/>
      <c r="T90" s="765"/>
      <c r="U90" s="765"/>
      <c r="V90" s="766"/>
      <c r="W90" s="764"/>
      <c r="X90" s="764"/>
      <c r="Y90" s="767">
        <v>1</v>
      </c>
      <c r="Z90" s="770">
        <v>1</v>
      </c>
      <c r="AA90" s="166">
        <f t="shared" si="40"/>
        <v>0</v>
      </c>
      <c r="AB90" s="166">
        <f t="shared" si="41"/>
        <v>0</v>
      </c>
      <c r="AC90" s="166">
        <f t="shared" si="42"/>
        <v>0</v>
      </c>
      <c r="AD90" s="166"/>
      <c r="AE90" s="164">
        <f t="shared" si="43"/>
        <v>0</v>
      </c>
      <c r="AF90" s="167"/>
      <c r="AG90" s="165">
        <f t="shared" si="44"/>
        <v>0</v>
      </c>
      <c r="AH90" s="760"/>
      <c r="AI90" s="760"/>
      <c r="AJ90" s="8"/>
      <c r="AK90" s="524" t="str">
        <f t="shared" si="45"/>
        <v>No</v>
      </c>
      <c r="AL90" s="525">
        <f>'I-Project Contingency'!$I$4</f>
        <v>7250000</v>
      </c>
      <c r="AM90" s="350">
        <f>'I-Project Contingency'!$I$11</f>
        <v>12</v>
      </c>
      <c r="AN90" s="349">
        <f t="shared" si="52"/>
        <v>0</v>
      </c>
      <c r="AO90" s="350">
        <f t="shared" si="53"/>
        <v>0</v>
      </c>
      <c r="AP90" s="672" t="str">
        <f t="shared" si="54"/>
        <v/>
      </c>
      <c r="AQ90" s="672" t="str">
        <f t="shared" si="55"/>
        <v/>
      </c>
      <c r="AR90" s="526" t="str">
        <f t="shared" si="57"/>
        <v/>
      </c>
      <c r="AS90" s="526" t="str">
        <f t="shared" si="56"/>
        <v/>
      </c>
      <c r="AT90" s="8"/>
      <c r="AU90" s="353">
        <f>'I-Project Contingency'!$O$4-AE90</f>
        <v>0</v>
      </c>
      <c r="AV90" s="354">
        <v>1687645.9248406207</v>
      </c>
      <c r="AW90" s="354">
        <v>3291004.7254658043</v>
      </c>
      <c r="AX90" s="354">
        <v>4159167.8232088853</v>
      </c>
      <c r="AY90" s="354">
        <f>'I-Project Contingency'!$E$66-AV90</f>
        <v>0</v>
      </c>
      <c r="AZ90" s="354">
        <f>'I-Project Contingency'!$E$69-AW90</f>
        <v>0</v>
      </c>
      <c r="BA90" s="354">
        <f>'I-Project Contingency'!$E$70-AX90</f>
        <v>0</v>
      </c>
      <c r="BB90" s="355">
        <f>'I-Project Contingency'!$O$5-AG90</f>
        <v>0</v>
      </c>
      <c r="BC90" s="356">
        <v>2.9615115956254372</v>
      </c>
      <c r="BD90" s="356">
        <v>6.001919642116226</v>
      </c>
      <c r="BE90" s="357">
        <v>7.5913096572662919</v>
      </c>
      <c r="BF90" s="356">
        <f>'I-Project Contingency'!$E$81-BC90</f>
        <v>0</v>
      </c>
      <c r="BG90" s="356">
        <f>'I-Project Contingency'!$E$84-BD90</f>
        <v>0</v>
      </c>
      <c r="BH90" s="356">
        <f>'I-Project Contingency'!$E$85-BE90</f>
        <v>0</v>
      </c>
      <c r="BI90" s="358">
        <f>IF(BK90="N/A","N/A",IF('D-Project Data'!$C$6=50%,ABS(BK90),IF('D-Project Data'!$C$6=80%,ABS(BL90),IF('D-Project Data'!$C$6=90%,ABS(BM90)))))</f>
        <v>0</v>
      </c>
      <c r="BJ90" s="359">
        <f>IF(BI90="N/A","N/A",RANK(BI90,$BI$18:$BI$116,0)+COUNTIF($BI$18:BI90,BI90)-1)</f>
        <v>73</v>
      </c>
      <c r="BK90" s="358">
        <f>IF(AY90/SUM(AY:AY)*'I-Project Contingency'!$F$66=0,0,AY90/SUM(AY:AY)*'I-Project Contingency'!$F$66)</f>
        <v>0</v>
      </c>
      <c r="BL90" s="358">
        <f>IF(AZ90/SUM(AZ:AZ)*'I-Project Contingency'!$F$69=0,0,AZ90/SUM(AZ:AZ)*'I-Project Contingency'!$F$69)</f>
        <v>0</v>
      </c>
      <c r="BM90" s="358">
        <f>IF(BA90/SUM(BA:BA)*'I-Project Contingency'!$F$70=0,0,BA90/SUM(BA:BA)*'I-Project Contingency'!$F$70)</f>
        <v>0</v>
      </c>
      <c r="BN90" s="357">
        <f>IF(BP90="N/A","N/A",IF('D-Project Data'!$C$6=50%,ABS(BP90),IF('D-Project Data'!$C$6=80%,ABS(BQ90),IF('D-Project Data'!$C$6=90%,ABS(BR90)))))</f>
        <v>0</v>
      </c>
      <c r="BO90" s="359">
        <f>IF(BN90="N/A","N/A",RANK(BN90,$BN$18:$BN$116,0)+COUNTIF($BN$18:BN90,BN90)-1)</f>
        <v>73</v>
      </c>
      <c r="BP90" s="357">
        <f>IF(BF90/SUM(BF:BF)*'I-Project Contingency'!$F$81=0,0,BF90/SUM(BF:BF)*'I-Project Contingency'!$F$81)</f>
        <v>0</v>
      </c>
      <c r="BQ90" s="357">
        <f>IF(BG90/SUM(BG:BG)*'I-Project Contingency'!$F$84=0,0,BG90/SUM(BG:BG)*'I-Project Contingency'!$F$84)</f>
        <v>0</v>
      </c>
      <c r="BR90" s="357">
        <f>IF(BH90/SUM(BH:BH)*'I-Project Contingency'!$F$85=0,0,BH90/SUM(BH:BH)*'I-Project Contingency'!$F$85)</f>
        <v>0</v>
      </c>
      <c r="BS90" s="359">
        <f t="shared" si="46"/>
        <v>73</v>
      </c>
      <c r="BT90" s="360" t="str">
        <f t="shared" si="47"/>
        <v xml:space="preserve">73 -  </v>
      </c>
      <c r="BU90" s="354">
        <f t="shared" si="48"/>
        <v>0</v>
      </c>
      <c r="BV90" s="354">
        <f t="shared" si="49"/>
        <v>0</v>
      </c>
      <c r="BW90" s="356">
        <f t="shared" si="50"/>
        <v>0</v>
      </c>
      <c r="BX90" s="356">
        <f t="shared" si="51"/>
        <v>0</v>
      </c>
    </row>
    <row r="91" spans="1:76" ht="29" x14ac:dyDescent="0.35">
      <c r="A91" s="163">
        <f t="shared" si="21"/>
        <v>74</v>
      </c>
      <c r="B91" s="758" t="s">
        <v>728</v>
      </c>
      <c r="C91" s="760" t="s">
        <v>659</v>
      </c>
      <c r="D91" s="760" t="s">
        <v>659</v>
      </c>
      <c r="E91" s="760" t="s">
        <v>659</v>
      </c>
      <c r="F91" s="759" t="s">
        <v>728</v>
      </c>
      <c r="G91" s="759" t="s">
        <v>728</v>
      </c>
      <c r="H91" s="157" t="str">
        <f>IFERROR(IF('H-Risk Register-Model'!F91="Certain","Relook at Basis of Estimate",INDEX('G-Assumptions'!$F$8:$J$11,MATCH(F91,'G-Assumptions'!$D$8:$D$11,0),MATCH(G91,'G-Assumptions'!$F$6:$J$6,0))),"Unrated")</f>
        <v>Unrated</v>
      </c>
      <c r="I91" s="759" t="s">
        <v>728</v>
      </c>
      <c r="J91" s="157" t="str">
        <f>IFERROR(IF('H-Risk Register-Model'!F91="Certain","Relook at Basis of Estimate",INDEX('G-Assumptions'!$F$8:$J$11,MATCH(F91,'G-Assumptions'!$D$8:$D$11,0),MATCH(I91,'G-Assumptions'!$F$6:$J$6,0))),"Unrated")</f>
        <v>Unrated</v>
      </c>
      <c r="K91" s="759" t="s">
        <v>728</v>
      </c>
      <c r="L91" s="759" t="s">
        <v>728</v>
      </c>
      <c r="M91" s="759"/>
      <c r="N91" s="763" t="s">
        <v>728</v>
      </c>
      <c r="O91" s="763" t="s">
        <v>728</v>
      </c>
      <c r="P91" s="764"/>
      <c r="Q91" s="764"/>
      <c r="R91" s="764"/>
      <c r="S91" s="765"/>
      <c r="T91" s="765"/>
      <c r="U91" s="765"/>
      <c r="V91" s="766"/>
      <c r="W91" s="764"/>
      <c r="X91" s="764"/>
      <c r="Y91" s="767">
        <v>1</v>
      </c>
      <c r="Z91" s="770">
        <v>1</v>
      </c>
      <c r="AA91" s="166">
        <f t="shared" si="40"/>
        <v>0</v>
      </c>
      <c r="AB91" s="166">
        <f t="shared" si="41"/>
        <v>0</v>
      </c>
      <c r="AC91" s="166">
        <f t="shared" si="42"/>
        <v>0</v>
      </c>
      <c r="AD91" s="166"/>
      <c r="AE91" s="164">
        <f t="shared" si="43"/>
        <v>0</v>
      </c>
      <c r="AF91" s="167"/>
      <c r="AG91" s="165">
        <f t="shared" si="44"/>
        <v>0</v>
      </c>
      <c r="AH91" s="760"/>
      <c r="AI91" s="760"/>
      <c r="AJ91" s="8"/>
      <c r="AK91" s="524" t="str">
        <f t="shared" si="45"/>
        <v>No</v>
      </c>
      <c r="AL91" s="525">
        <f>'I-Project Contingency'!$I$4</f>
        <v>7250000</v>
      </c>
      <c r="AM91" s="350">
        <f>'I-Project Contingency'!$I$11</f>
        <v>12</v>
      </c>
      <c r="AN91" s="349">
        <f t="shared" si="52"/>
        <v>0</v>
      </c>
      <c r="AO91" s="350">
        <f t="shared" si="53"/>
        <v>0</v>
      </c>
      <c r="AP91" s="672" t="str">
        <f t="shared" si="54"/>
        <v/>
      </c>
      <c r="AQ91" s="672" t="str">
        <f t="shared" si="55"/>
        <v/>
      </c>
      <c r="AR91" s="526" t="str">
        <f t="shared" si="57"/>
        <v/>
      </c>
      <c r="AS91" s="526" t="str">
        <f t="shared" si="56"/>
        <v/>
      </c>
      <c r="AT91" s="8"/>
      <c r="AU91" s="353">
        <f>'I-Project Contingency'!$O$4-AE91</f>
        <v>0</v>
      </c>
      <c r="AV91" s="354">
        <v>1687645.9248406207</v>
      </c>
      <c r="AW91" s="354">
        <v>3291004.7254658043</v>
      </c>
      <c r="AX91" s="354">
        <v>4159167.8232088853</v>
      </c>
      <c r="AY91" s="354">
        <f>'I-Project Contingency'!$E$66-AV91</f>
        <v>0</v>
      </c>
      <c r="AZ91" s="354">
        <f>'I-Project Contingency'!$E$69-AW91</f>
        <v>0</v>
      </c>
      <c r="BA91" s="354">
        <f>'I-Project Contingency'!$E$70-AX91</f>
        <v>0</v>
      </c>
      <c r="BB91" s="355">
        <f>'I-Project Contingency'!$O$5-AG91</f>
        <v>0</v>
      </c>
      <c r="BC91" s="356">
        <v>2.9615115956254372</v>
      </c>
      <c r="BD91" s="356">
        <v>6.001919642116226</v>
      </c>
      <c r="BE91" s="357">
        <v>7.5913096572662919</v>
      </c>
      <c r="BF91" s="356">
        <f>'I-Project Contingency'!$E$81-BC91</f>
        <v>0</v>
      </c>
      <c r="BG91" s="356">
        <f>'I-Project Contingency'!$E$84-BD91</f>
        <v>0</v>
      </c>
      <c r="BH91" s="356">
        <f>'I-Project Contingency'!$E$85-BE91</f>
        <v>0</v>
      </c>
      <c r="BI91" s="358">
        <f>IF(BK91="N/A","N/A",IF('D-Project Data'!$C$6=50%,ABS(BK91),IF('D-Project Data'!$C$6=80%,ABS(BL91),IF('D-Project Data'!$C$6=90%,ABS(BM91)))))</f>
        <v>0</v>
      </c>
      <c r="BJ91" s="359">
        <f>IF(BI91="N/A","N/A",RANK(BI91,$BI$18:$BI$116,0)+COUNTIF($BI$18:BI91,BI91)-1)</f>
        <v>74</v>
      </c>
      <c r="BK91" s="358">
        <f>IF(AY91/SUM(AY:AY)*'I-Project Contingency'!$F$66=0,0,AY91/SUM(AY:AY)*'I-Project Contingency'!$F$66)</f>
        <v>0</v>
      </c>
      <c r="BL91" s="358">
        <f>IF(AZ91/SUM(AZ:AZ)*'I-Project Contingency'!$F$69=0,0,AZ91/SUM(AZ:AZ)*'I-Project Contingency'!$F$69)</f>
        <v>0</v>
      </c>
      <c r="BM91" s="358">
        <f>IF(BA91/SUM(BA:BA)*'I-Project Contingency'!$F$70=0,0,BA91/SUM(BA:BA)*'I-Project Contingency'!$F$70)</f>
        <v>0</v>
      </c>
      <c r="BN91" s="357">
        <f>IF(BP91="N/A","N/A",IF('D-Project Data'!$C$6=50%,ABS(BP91),IF('D-Project Data'!$C$6=80%,ABS(BQ91),IF('D-Project Data'!$C$6=90%,ABS(BR91)))))</f>
        <v>0</v>
      </c>
      <c r="BO91" s="359">
        <f>IF(BN91="N/A","N/A",RANK(BN91,$BN$18:$BN$116,0)+COUNTIF($BN$18:BN91,BN91)-1)</f>
        <v>74</v>
      </c>
      <c r="BP91" s="357">
        <f>IF(BF91/SUM(BF:BF)*'I-Project Contingency'!$F$81=0,0,BF91/SUM(BF:BF)*'I-Project Contingency'!$F$81)</f>
        <v>0</v>
      </c>
      <c r="BQ91" s="357">
        <f>IF(BG91/SUM(BG:BG)*'I-Project Contingency'!$F$84=0,0,BG91/SUM(BG:BG)*'I-Project Contingency'!$F$84)</f>
        <v>0</v>
      </c>
      <c r="BR91" s="357">
        <f>IF(BH91/SUM(BH:BH)*'I-Project Contingency'!$F$85=0,0,BH91/SUM(BH:BH)*'I-Project Contingency'!$F$85)</f>
        <v>0</v>
      </c>
      <c r="BS91" s="359">
        <f t="shared" si="46"/>
        <v>74</v>
      </c>
      <c r="BT91" s="360" t="str">
        <f t="shared" si="47"/>
        <v xml:space="preserve">74 -  </v>
      </c>
      <c r="BU91" s="354">
        <f t="shared" si="48"/>
        <v>0</v>
      </c>
      <c r="BV91" s="354">
        <f t="shared" si="49"/>
        <v>0</v>
      </c>
      <c r="BW91" s="356">
        <f t="shared" si="50"/>
        <v>0</v>
      </c>
      <c r="BX91" s="356">
        <f t="shared" si="51"/>
        <v>0</v>
      </c>
    </row>
    <row r="92" spans="1:76" ht="29" x14ac:dyDescent="0.35">
      <c r="A92" s="163">
        <f t="shared" si="21"/>
        <v>75</v>
      </c>
      <c r="B92" s="758" t="s">
        <v>728</v>
      </c>
      <c r="C92" s="760" t="s">
        <v>659</v>
      </c>
      <c r="D92" s="760" t="s">
        <v>659</v>
      </c>
      <c r="E92" s="760" t="s">
        <v>659</v>
      </c>
      <c r="F92" s="759" t="s">
        <v>728</v>
      </c>
      <c r="G92" s="759" t="s">
        <v>728</v>
      </c>
      <c r="H92" s="157" t="str">
        <f>IFERROR(IF('H-Risk Register-Model'!F92="Certain","Relook at Basis of Estimate",INDEX('G-Assumptions'!$F$8:$J$11,MATCH(F92,'G-Assumptions'!$D$8:$D$11,0),MATCH(G92,'G-Assumptions'!$F$6:$J$6,0))),"Unrated")</f>
        <v>Unrated</v>
      </c>
      <c r="I92" s="759" t="s">
        <v>728</v>
      </c>
      <c r="J92" s="157" t="str">
        <f>IFERROR(IF('H-Risk Register-Model'!F92="Certain","Relook at Basis of Estimate",INDEX('G-Assumptions'!$F$8:$J$11,MATCH(F92,'G-Assumptions'!$D$8:$D$11,0),MATCH(I92,'G-Assumptions'!$F$6:$J$6,0))),"Unrated")</f>
        <v>Unrated</v>
      </c>
      <c r="K92" s="759" t="s">
        <v>728</v>
      </c>
      <c r="L92" s="759" t="s">
        <v>728</v>
      </c>
      <c r="M92" s="759"/>
      <c r="N92" s="763" t="s">
        <v>728</v>
      </c>
      <c r="O92" s="763" t="s">
        <v>728</v>
      </c>
      <c r="P92" s="764"/>
      <c r="Q92" s="764"/>
      <c r="R92" s="764"/>
      <c r="S92" s="765"/>
      <c r="T92" s="765"/>
      <c r="U92" s="765"/>
      <c r="V92" s="766"/>
      <c r="W92" s="764"/>
      <c r="X92" s="764"/>
      <c r="Y92" s="767">
        <v>1</v>
      </c>
      <c r="Z92" s="770">
        <v>1</v>
      </c>
      <c r="AA92" s="166">
        <f t="shared" si="40"/>
        <v>0</v>
      </c>
      <c r="AB92" s="166">
        <f t="shared" si="41"/>
        <v>0</v>
      </c>
      <c r="AC92" s="166">
        <f t="shared" si="42"/>
        <v>0</v>
      </c>
      <c r="AD92" s="166"/>
      <c r="AE92" s="164">
        <f t="shared" si="43"/>
        <v>0</v>
      </c>
      <c r="AF92" s="167"/>
      <c r="AG92" s="165">
        <f t="shared" si="44"/>
        <v>0</v>
      </c>
      <c r="AH92" s="760"/>
      <c r="AI92" s="760"/>
      <c r="AJ92" s="8"/>
      <c r="AK92" s="524" t="str">
        <f t="shared" si="45"/>
        <v>No</v>
      </c>
      <c r="AL92" s="525">
        <f>'I-Project Contingency'!$I$4</f>
        <v>7250000</v>
      </c>
      <c r="AM92" s="350">
        <f>'I-Project Contingency'!$I$11</f>
        <v>12</v>
      </c>
      <c r="AN92" s="349">
        <f t="shared" si="52"/>
        <v>0</v>
      </c>
      <c r="AO92" s="350">
        <f t="shared" si="53"/>
        <v>0</v>
      </c>
      <c r="AP92" s="672" t="str">
        <f t="shared" si="54"/>
        <v/>
      </c>
      <c r="AQ92" s="672" t="str">
        <f t="shared" si="55"/>
        <v/>
      </c>
      <c r="AR92" s="526" t="str">
        <f t="shared" si="57"/>
        <v/>
      </c>
      <c r="AS92" s="526" t="str">
        <f t="shared" si="56"/>
        <v/>
      </c>
      <c r="AT92" s="8"/>
      <c r="AU92" s="353">
        <f>'I-Project Contingency'!$O$4-AE92</f>
        <v>0</v>
      </c>
      <c r="AV92" s="354">
        <v>1687645.9248406207</v>
      </c>
      <c r="AW92" s="354">
        <v>3291004.7254658043</v>
      </c>
      <c r="AX92" s="354">
        <v>4159167.8232088853</v>
      </c>
      <c r="AY92" s="354">
        <f>'I-Project Contingency'!$E$66-AV92</f>
        <v>0</v>
      </c>
      <c r="AZ92" s="354">
        <f>'I-Project Contingency'!$E$69-AW92</f>
        <v>0</v>
      </c>
      <c r="BA92" s="354">
        <f>'I-Project Contingency'!$E$70-AX92</f>
        <v>0</v>
      </c>
      <c r="BB92" s="355">
        <f>'I-Project Contingency'!$O$5-AG92</f>
        <v>0</v>
      </c>
      <c r="BC92" s="356">
        <v>2.9615115956254372</v>
      </c>
      <c r="BD92" s="356">
        <v>6.001919642116226</v>
      </c>
      <c r="BE92" s="357">
        <v>7.5913096572662919</v>
      </c>
      <c r="BF92" s="356">
        <f>'I-Project Contingency'!$E$81-BC92</f>
        <v>0</v>
      </c>
      <c r="BG92" s="356">
        <f>'I-Project Contingency'!$E$84-BD92</f>
        <v>0</v>
      </c>
      <c r="BH92" s="356">
        <f>'I-Project Contingency'!$E$85-BE92</f>
        <v>0</v>
      </c>
      <c r="BI92" s="358">
        <f>IF(BK92="N/A","N/A",IF('D-Project Data'!$C$6=50%,ABS(BK92),IF('D-Project Data'!$C$6=80%,ABS(BL92),IF('D-Project Data'!$C$6=90%,ABS(BM92)))))</f>
        <v>0</v>
      </c>
      <c r="BJ92" s="359">
        <f>IF(BI92="N/A","N/A",RANK(BI92,$BI$18:$BI$116,0)+COUNTIF($BI$18:BI92,BI92)-1)</f>
        <v>75</v>
      </c>
      <c r="BK92" s="358">
        <f>IF(AY92/SUM(AY:AY)*'I-Project Contingency'!$F$66=0,0,AY92/SUM(AY:AY)*'I-Project Contingency'!$F$66)</f>
        <v>0</v>
      </c>
      <c r="BL92" s="358">
        <f>IF(AZ92/SUM(AZ:AZ)*'I-Project Contingency'!$F$69=0,0,AZ92/SUM(AZ:AZ)*'I-Project Contingency'!$F$69)</f>
        <v>0</v>
      </c>
      <c r="BM92" s="358">
        <f>IF(BA92/SUM(BA:BA)*'I-Project Contingency'!$F$70=0,0,BA92/SUM(BA:BA)*'I-Project Contingency'!$F$70)</f>
        <v>0</v>
      </c>
      <c r="BN92" s="357">
        <f>IF(BP92="N/A","N/A",IF('D-Project Data'!$C$6=50%,ABS(BP92),IF('D-Project Data'!$C$6=80%,ABS(BQ92),IF('D-Project Data'!$C$6=90%,ABS(BR92)))))</f>
        <v>0</v>
      </c>
      <c r="BO92" s="359">
        <f>IF(BN92="N/A","N/A",RANK(BN92,$BN$18:$BN$116,0)+COUNTIF($BN$18:BN92,BN92)-1)</f>
        <v>75</v>
      </c>
      <c r="BP92" s="357">
        <f>IF(BF92/SUM(BF:BF)*'I-Project Contingency'!$F$81=0,0,BF92/SUM(BF:BF)*'I-Project Contingency'!$F$81)</f>
        <v>0</v>
      </c>
      <c r="BQ92" s="357">
        <f>IF(BG92/SUM(BG:BG)*'I-Project Contingency'!$F$84=0,0,BG92/SUM(BG:BG)*'I-Project Contingency'!$F$84)</f>
        <v>0</v>
      </c>
      <c r="BR92" s="357">
        <f>IF(BH92/SUM(BH:BH)*'I-Project Contingency'!$F$85=0,0,BH92/SUM(BH:BH)*'I-Project Contingency'!$F$85)</f>
        <v>0</v>
      </c>
      <c r="BS92" s="359">
        <f t="shared" si="46"/>
        <v>75</v>
      </c>
      <c r="BT92" s="360" t="str">
        <f t="shared" si="47"/>
        <v xml:space="preserve">75 -  </v>
      </c>
      <c r="BU92" s="354">
        <f t="shared" si="48"/>
        <v>0</v>
      </c>
      <c r="BV92" s="354">
        <f t="shared" si="49"/>
        <v>0</v>
      </c>
      <c r="BW92" s="356">
        <f t="shared" si="50"/>
        <v>0</v>
      </c>
      <c r="BX92" s="356">
        <f t="shared" si="51"/>
        <v>0</v>
      </c>
    </row>
    <row r="93" spans="1:76" ht="29" x14ac:dyDescent="0.35">
      <c r="A93" s="163">
        <f t="shared" si="21"/>
        <v>76</v>
      </c>
      <c r="B93" s="758" t="s">
        <v>728</v>
      </c>
      <c r="C93" s="760" t="s">
        <v>659</v>
      </c>
      <c r="D93" s="760" t="s">
        <v>659</v>
      </c>
      <c r="E93" s="760" t="s">
        <v>659</v>
      </c>
      <c r="F93" s="759" t="s">
        <v>728</v>
      </c>
      <c r="G93" s="759" t="s">
        <v>728</v>
      </c>
      <c r="H93" s="157" t="str">
        <f>IFERROR(IF('H-Risk Register-Model'!F93="Certain","Relook at Basis of Estimate",INDEX('G-Assumptions'!$F$8:$J$11,MATCH(F93,'G-Assumptions'!$D$8:$D$11,0),MATCH(G93,'G-Assumptions'!$F$6:$J$6,0))),"Unrated")</f>
        <v>Unrated</v>
      </c>
      <c r="I93" s="759" t="s">
        <v>728</v>
      </c>
      <c r="J93" s="157" t="str">
        <f>IFERROR(IF('H-Risk Register-Model'!F93="Certain","Relook at Basis of Estimate",INDEX('G-Assumptions'!$F$8:$J$11,MATCH(F93,'G-Assumptions'!$D$8:$D$11,0),MATCH(I93,'G-Assumptions'!$F$6:$J$6,0))),"Unrated")</f>
        <v>Unrated</v>
      </c>
      <c r="K93" s="759" t="s">
        <v>728</v>
      </c>
      <c r="L93" s="759" t="s">
        <v>728</v>
      </c>
      <c r="M93" s="759"/>
      <c r="N93" s="763" t="s">
        <v>728</v>
      </c>
      <c r="O93" s="763" t="s">
        <v>728</v>
      </c>
      <c r="P93" s="764"/>
      <c r="Q93" s="764"/>
      <c r="R93" s="764"/>
      <c r="S93" s="765"/>
      <c r="T93" s="765"/>
      <c r="U93" s="765"/>
      <c r="V93" s="766"/>
      <c r="W93" s="764"/>
      <c r="X93" s="764"/>
      <c r="Y93" s="767">
        <v>1</v>
      </c>
      <c r="Z93" s="770">
        <v>1</v>
      </c>
      <c r="AA93" s="166">
        <f t="shared" si="40"/>
        <v>0</v>
      </c>
      <c r="AB93" s="166">
        <f t="shared" si="41"/>
        <v>0</v>
      </c>
      <c r="AC93" s="166">
        <f t="shared" si="42"/>
        <v>0</v>
      </c>
      <c r="AD93" s="166"/>
      <c r="AE93" s="164">
        <f t="shared" si="43"/>
        <v>0</v>
      </c>
      <c r="AF93" s="167"/>
      <c r="AG93" s="165">
        <f t="shared" si="44"/>
        <v>0</v>
      </c>
      <c r="AH93" s="760"/>
      <c r="AI93" s="760"/>
      <c r="AJ93" s="8"/>
      <c r="AK93" s="524" t="str">
        <f t="shared" si="45"/>
        <v>No</v>
      </c>
      <c r="AL93" s="525">
        <f>'I-Project Contingency'!$I$4</f>
        <v>7250000</v>
      </c>
      <c r="AM93" s="350">
        <f>'I-Project Contingency'!$I$11</f>
        <v>12</v>
      </c>
      <c r="AN93" s="349">
        <f t="shared" si="52"/>
        <v>0</v>
      </c>
      <c r="AO93" s="350">
        <f t="shared" si="53"/>
        <v>0</v>
      </c>
      <c r="AP93" s="672" t="str">
        <f t="shared" si="54"/>
        <v/>
      </c>
      <c r="AQ93" s="672" t="str">
        <f t="shared" si="55"/>
        <v/>
      </c>
      <c r="AR93" s="526" t="str">
        <f t="shared" si="57"/>
        <v/>
      </c>
      <c r="AS93" s="526" t="str">
        <f t="shared" si="56"/>
        <v/>
      </c>
      <c r="AT93" s="8"/>
      <c r="AU93" s="353">
        <f>'I-Project Contingency'!$O$4-AE93</f>
        <v>0</v>
      </c>
      <c r="AV93" s="354">
        <v>1687645.9248406207</v>
      </c>
      <c r="AW93" s="354">
        <v>3291004.7254658043</v>
      </c>
      <c r="AX93" s="354">
        <v>4159167.8232088853</v>
      </c>
      <c r="AY93" s="354">
        <f>'I-Project Contingency'!$E$66-AV93</f>
        <v>0</v>
      </c>
      <c r="AZ93" s="354">
        <f>'I-Project Contingency'!$E$69-AW93</f>
        <v>0</v>
      </c>
      <c r="BA93" s="354">
        <f>'I-Project Contingency'!$E$70-AX93</f>
        <v>0</v>
      </c>
      <c r="BB93" s="355">
        <f>'I-Project Contingency'!$O$5-AG93</f>
        <v>0</v>
      </c>
      <c r="BC93" s="356">
        <v>2.9615115956254372</v>
      </c>
      <c r="BD93" s="356">
        <v>6.001919642116226</v>
      </c>
      <c r="BE93" s="357">
        <v>7.5913096572662919</v>
      </c>
      <c r="BF93" s="356">
        <f>'I-Project Contingency'!$E$81-BC93</f>
        <v>0</v>
      </c>
      <c r="BG93" s="356">
        <f>'I-Project Contingency'!$E$84-BD93</f>
        <v>0</v>
      </c>
      <c r="BH93" s="356">
        <f>'I-Project Contingency'!$E$85-BE93</f>
        <v>0</v>
      </c>
      <c r="BI93" s="358">
        <f>IF(BK93="N/A","N/A",IF('D-Project Data'!$C$6=50%,ABS(BK93),IF('D-Project Data'!$C$6=80%,ABS(BL93),IF('D-Project Data'!$C$6=90%,ABS(BM93)))))</f>
        <v>0</v>
      </c>
      <c r="BJ93" s="359">
        <f>IF(BI93="N/A","N/A",RANK(BI93,$BI$18:$BI$116,0)+COUNTIF($BI$18:BI93,BI93)-1)</f>
        <v>76</v>
      </c>
      <c r="BK93" s="358">
        <f>IF(AY93/SUM(AY:AY)*'I-Project Contingency'!$F$66=0,0,AY93/SUM(AY:AY)*'I-Project Contingency'!$F$66)</f>
        <v>0</v>
      </c>
      <c r="BL93" s="358">
        <f>IF(AZ93/SUM(AZ:AZ)*'I-Project Contingency'!$F$69=0,0,AZ93/SUM(AZ:AZ)*'I-Project Contingency'!$F$69)</f>
        <v>0</v>
      </c>
      <c r="BM93" s="358">
        <f>IF(BA93/SUM(BA:BA)*'I-Project Contingency'!$F$70=0,0,BA93/SUM(BA:BA)*'I-Project Contingency'!$F$70)</f>
        <v>0</v>
      </c>
      <c r="BN93" s="357">
        <f>IF(BP93="N/A","N/A",IF('D-Project Data'!$C$6=50%,ABS(BP93),IF('D-Project Data'!$C$6=80%,ABS(BQ93),IF('D-Project Data'!$C$6=90%,ABS(BR93)))))</f>
        <v>0</v>
      </c>
      <c r="BO93" s="359">
        <f>IF(BN93="N/A","N/A",RANK(BN93,$BN$18:$BN$116,0)+COUNTIF($BN$18:BN93,BN93)-1)</f>
        <v>76</v>
      </c>
      <c r="BP93" s="357">
        <f>IF(BF93/SUM(BF:BF)*'I-Project Contingency'!$F$81=0,0,BF93/SUM(BF:BF)*'I-Project Contingency'!$F$81)</f>
        <v>0</v>
      </c>
      <c r="BQ93" s="357">
        <f>IF(BG93/SUM(BG:BG)*'I-Project Contingency'!$F$84=0,0,BG93/SUM(BG:BG)*'I-Project Contingency'!$F$84)</f>
        <v>0</v>
      </c>
      <c r="BR93" s="357">
        <f>IF(BH93/SUM(BH:BH)*'I-Project Contingency'!$F$85=0,0,BH93/SUM(BH:BH)*'I-Project Contingency'!$F$85)</f>
        <v>0</v>
      </c>
      <c r="BS93" s="359">
        <f t="shared" si="46"/>
        <v>76</v>
      </c>
      <c r="BT93" s="360" t="str">
        <f t="shared" si="47"/>
        <v xml:space="preserve">76 -  </v>
      </c>
      <c r="BU93" s="354">
        <f t="shared" si="48"/>
        <v>0</v>
      </c>
      <c r="BV93" s="354">
        <f t="shared" si="49"/>
        <v>0</v>
      </c>
      <c r="BW93" s="356">
        <f t="shared" si="50"/>
        <v>0</v>
      </c>
      <c r="BX93" s="356">
        <f t="shared" si="51"/>
        <v>0</v>
      </c>
    </row>
    <row r="94" spans="1:76" ht="29" x14ac:dyDescent="0.35">
      <c r="A94" s="163">
        <f t="shared" si="21"/>
        <v>77</v>
      </c>
      <c r="B94" s="758" t="s">
        <v>728</v>
      </c>
      <c r="C94" s="760" t="s">
        <v>659</v>
      </c>
      <c r="D94" s="760" t="s">
        <v>659</v>
      </c>
      <c r="E94" s="760" t="s">
        <v>659</v>
      </c>
      <c r="F94" s="759" t="s">
        <v>728</v>
      </c>
      <c r="G94" s="759" t="s">
        <v>728</v>
      </c>
      <c r="H94" s="157" t="str">
        <f>IFERROR(IF('H-Risk Register-Model'!F94="Certain","Relook at Basis of Estimate",INDEX('G-Assumptions'!$F$8:$J$11,MATCH(F94,'G-Assumptions'!$D$8:$D$11,0),MATCH(G94,'G-Assumptions'!$F$6:$J$6,0))),"Unrated")</f>
        <v>Unrated</v>
      </c>
      <c r="I94" s="759" t="s">
        <v>728</v>
      </c>
      <c r="J94" s="157" t="str">
        <f>IFERROR(IF('H-Risk Register-Model'!F94="Certain","Relook at Basis of Estimate",INDEX('G-Assumptions'!$F$8:$J$11,MATCH(F94,'G-Assumptions'!$D$8:$D$11,0),MATCH(I94,'G-Assumptions'!$F$6:$J$6,0))),"Unrated")</f>
        <v>Unrated</v>
      </c>
      <c r="K94" s="759" t="s">
        <v>728</v>
      </c>
      <c r="L94" s="759" t="s">
        <v>728</v>
      </c>
      <c r="M94" s="759"/>
      <c r="N94" s="763" t="s">
        <v>728</v>
      </c>
      <c r="O94" s="763" t="s">
        <v>728</v>
      </c>
      <c r="P94" s="764"/>
      <c r="Q94" s="764"/>
      <c r="R94" s="764"/>
      <c r="S94" s="765"/>
      <c r="T94" s="765"/>
      <c r="U94" s="765"/>
      <c r="V94" s="766"/>
      <c r="W94" s="764"/>
      <c r="X94" s="764"/>
      <c r="Y94" s="767">
        <v>1</v>
      </c>
      <c r="Z94" s="770">
        <v>1</v>
      </c>
      <c r="AA94" s="166">
        <f t="shared" si="40"/>
        <v>0</v>
      </c>
      <c r="AB94" s="166">
        <f t="shared" si="41"/>
        <v>0</v>
      </c>
      <c r="AC94" s="166">
        <f t="shared" si="42"/>
        <v>0</v>
      </c>
      <c r="AD94" s="166"/>
      <c r="AE94" s="164">
        <f t="shared" si="43"/>
        <v>0</v>
      </c>
      <c r="AF94" s="167"/>
      <c r="AG94" s="165">
        <f t="shared" si="44"/>
        <v>0</v>
      </c>
      <c r="AH94" s="760"/>
      <c r="AI94" s="760"/>
      <c r="AJ94" s="8"/>
      <c r="AK94" s="524" t="str">
        <f t="shared" si="45"/>
        <v>No</v>
      </c>
      <c r="AL94" s="525">
        <f>'I-Project Contingency'!$I$4</f>
        <v>7250000</v>
      </c>
      <c r="AM94" s="350">
        <f>'I-Project Contingency'!$I$11</f>
        <v>12</v>
      </c>
      <c r="AN94" s="349">
        <f t="shared" si="52"/>
        <v>0</v>
      </c>
      <c r="AO94" s="350">
        <f t="shared" si="53"/>
        <v>0</v>
      </c>
      <c r="AP94" s="672" t="str">
        <f t="shared" si="54"/>
        <v/>
      </c>
      <c r="AQ94" s="672" t="str">
        <f t="shared" si="55"/>
        <v/>
      </c>
      <c r="AR94" s="526" t="str">
        <f t="shared" si="57"/>
        <v/>
      </c>
      <c r="AS94" s="526" t="str">
        <f t="shared" si="56"/>
        <v/>
      </c>
      <c r="AT94" s="8"/>
      <c r="AU94" s="353">
        <f>'I-Project Contingency'!$O$4-AE94</f>
        <v>0</v>
      </c>
      <c r="AV94" s="354">
        <v>1687645.9248406207</v>
      </c>
      <c r="AW94" s="354">
        <v>3291004.7254658043</v>
      </c>
      <c r="AX94" s="354">
        <v>4159167.8232088853</v>
      </c>
      <c r="AY94" s="354">
        <f>'I-Project Contingency'!$E$66-AV94</f>
        <v>0</v>
      </c>
      <c r="AZ94" s="354">
        <f>'I-Project Contingency'!$E$69-AW94</f>
        <v>0</v>
      </c>
      <c r="BA94" s="354">
        <f>'I-Project Contingency'!$E$70-AX94</f>
        <v>0</v>
      </c>
      <c r="BB94" s="355">
        <f>'I-Project Contingency'!$O$5-AG94</f>
        <v>0</v>
      </c>
      <c r="BC94" s="356">
        <v>2.9615115956254372</v>
      </c>
      <c r="BD94" s="356">
        <v>6.001919642116226</v>
      </c>
      <c r="BE94" s="357">
        <v>7.5913096572662919</v>
      </c>
      <c r="BF94" s="356">
        <f>'I-Project Contingency'!$E$81-BC94</f>
        <v>0</v>
      </c>
      <c r="BG94" s="356">
        <f>'I-Project Contingency'!$E$84-BD94</f>
        <v>0</v>
      </c>
      <c r="BH94" s="356">
        <f>'I-Project Contingency'!$E$85-BE94</f>
        <v>0</v>
      </c>
      <c r="BI94" s="358">
        <f>IF(BK94="N/A","N/A",IF('D-Project Data'!$C$6=50%,ABS(BK94),IF('D-Project Data'!$C$6=80%,ABS(BL94),IF('D-Project Data'!$C$6=90%,ABS(BM94)))))</f>
        <v>0</v>
      </c>
      <c r="BJ94" s="359">
        <f>IF(BI94="N/A","N/A",RANK(BI94,$BI$18:$BI$116,0)+COUNTIF($BI$18:BI94,BI94)-1)</f>
        <v>77</v>
      </c>
      <c r="BK94" s="358">
        <f>IF(AY94/SUM(AY:AY)*'I-Project Contingency'!$F$66=0,0,AY94/SUM(AY:AY)*'I-Project Contingency'!$F$66)</f>
        <v>0</v>
      </c>
      <c r="BL94" s="358">
        <f>IF(AZ94/SUM(AZ:AZ)*'I-Project Contingency'!$F$69=0,0,AZ94/SUM(AZ:AZ)*'I-Project Contingency'!$F$69)</f>
        <v>0</v>
      </c>
      <c r="BM94" s="358">
        <f>IF(BA94/SUM(BA:BA)*'I-Project Contingency'!$F$70=0,0,BA94/SUM(BA:BA)*'I-Project Contingency'!$F$70)</f>
        <v>0</v>
      </c>
      <c r="BN94" s="357">
        <f>IF(BP94="N/A","N/A",IF('D-Project Data'!$C$6=50%,ABS(BP94),IF('D-Project Data'!$C$6=80%,ABS(BQ94),IF('D-Project Data'!$C$6=90%,ABS(BR94)))))</f>
        <v>0</v>
      </c>
      <c r="BO94" s="359">
        <f>IF(BN94="N/A","N/A",RANK(BN94,$BN$18:$BN$116,0)+COUNTIF($BN$18:BN94,BN94)-1)</f>
        <v>77</v>
      </c>
      <c r="BP94" s="357">
        <f>IF(BF94/SUM(BF:BF)*'I-Project Contingency'!$F$81=0,0,BF94/SUM(BF:BF)*'I-Project Contingency'!$F$81)</f>
        <v>0</v>
      </c>
      <c r="BQ94" s="357">
        <f>IF(BG94/SUM(BG:BG)*'I-Project Contingency'!$F$84=0,0,BG94/SUM(BG:BG)*'I-Project Contingency'!$F$84)</f>
        <v>0</v>
      </c>
      <c r="BR94" s="357">
        <f>IF(BH94/SUM(BH:BH)*'I-Project Contingency'!$F$85=0,0,BH94/SUM(BH:BH)*'I-Project Contingency'!$F$85)</f>
        <v>0</v>
      </c>
      <c r="BS94" s="359">
        <f t="shared" si="46"/>
        <v>77</v>
      </c>
      <c r="BT94" s="360" t="str">
        <f t="shared" si="47"/>
        <v xml:space="preserve">77 -  </v>
      </c>
      <c r="BU94" s="354">
        <f t="shared" si="48"/>
        <v>0</v>
      </c>
      <c r="BV94" s="354">
        <f t="shared" si="49"/>
        <v>0</v>
      </c>
      <c r="BW94" s="356">
        <f t="shared" si="50"/>
        <v>0</v>
      </c>
      <c r="BX94" s="356">
        <f t="shared" si="51"/>
        <v>0</v>
      </c>
    </row>
    <row r="95" spans="1:76" ht="29" x14ac:dyDescent="0.35">
      <c r="A95" s="163">
        <f t="shared" si="21"/>
        <v>78</v>
      </c>
      <c r="B95" s="758" t="s">
        <v>728</v>
      </c>
      <c r="C95" s="760" t="s">
        <v>659</v>
      </c>
      <c r="D95" s="760" t="s">
        <v>659</v>
      </c>
      <c r="E95" s="760" t="s">
        <v>659</v>
      </c>
      <c r="F95" s="759" t="s">
        <v>728</v>
      </c>
      <c r="G95" s="759" t="s">
        <v>728</v>
      </c>
      <c r="H95" s="157" t="str">
        <f>IFERROR(IF('H-Risk Register-Model'!F95="Certain","Relook at Basis of Estimate",INDEX('G-Assumptions'!$F$8:$J$11,MATCH(F95,'G-Assumptions'!$D$8:$D$11,0),MATCH(G95,'G-Assumptions'!$F$6:$J$6,0))),"Unrated")</f>
        <v>Unrated</v>
      </c>
      <c r="I95" s="759" t="s">
        <v>728</v>
      </c>
      <c r="J95" s="157" t="str">
        <f>IFERROR(IF('H-Risk Register-Model'!F95="Certain","Relook at Basis of Estimate",INDEX('G-Assumptions'!$F$8:$J$11,MATCH(F95,'G-Assumptions'!$D$8:$D$11,0),MATCH(I95,'G-Assumptions'!$F$6:$J$6,0))),"Unrated")</f>
        <v>Unrated</v>
      </c>
      <c r="K95" s="759" t="s">
        <v>728</v>
      </c>
      <c r="L95" s="759" t="s">
        <v>728</v>
      </c>
      <c r="M95" s="759"/>
      <c r="N95" s="763" t="s">
        <v>728</v>
      </c>
      <c r="O95" s="763" t="s">
        <v>728</v>
      </c>
      <c r="P95" s="764"/>
      <c r="Q95" s="764"/>
      <c r="R95" s="764"/>
      <c r="S95" s="765"/>
      <c r="T95" s="765"/>
      <c r="U95" s="765"/>
      <c r="V95" s="766"/>
      <c r="W95" s="764"/>
      <c r="X95" s="764"/>
      <c r="Y95" s="767">
        <v>1</v>
      </c>
      <c r="Z95" s="770">
        <v>1</v>
      </c>
      <c r="AA95" s="166">
        <f t="shared" si="40"/>
        <v>0</v>
      </c>
      <c r="AB95" s="166">
        <f t="shared" si="41"/>
        <v>0</v>
      </c>
      <c r="AC95" s="166">
        <f t="shared" si="42"/>
        <v>0</v>
      </c>
      <c r="AD95" s="166"/>
      <c r="AE95" s="164">
        <f t="shared" si="43"/>
        <v>0</v>
      </c>
      <c r="AF95" s="167"/>
      <c r="AG95" s="165">
        <f t="shared" si="44"/>
        <v>0</v>
      </c>
      <c r="AH95" s="760"/>
      <c r="AI95" s="760"/>
      <c r="AJ95" s="8"/>
      <c r="AK95" s="524" t="str">
        <f t="shared" si="45"/>
        <v>No</v>
      </c>
      <c r="AL95" s="525">
        <f>'I-Project Contingency'!$I$4</f>
        <v>7250000</v>
      </c>
      <c r="AM95" s="350">
        <f>'I-Project Contingency'!$I$11</f>
        <v>12</v>
      </c>
      <c r="AN95" s="349">
        <f t="shared" si="52"/>
        <v>0</v>
      </c>
      <c r="AO95" s="350">
        <f t="shared" si="53"/>
        <v>0</v>
      </c>
      <c r="AP95" s="672" t="str">
        <f t="shared" si="54"/>
        <v/>
      </c>
      <c r="AQ95" s="672" t="str">
        <f t="shared" si="55"/>
        <v/>
      </c>
      <c r="AR95" s="526" t="str">
        <f t="shared" si="57"/>
        <v/>
      </c>
      <c r="AS95" s="526" t="str">
        <f t="shared" si="56"/>
        <v/>
      </c>
      <c r="AT95" s="8"/>
      <c r="AU95" s="353">
        <f>'I-Project Contingency'!$O$4-AE95</f>
        <v>0</v>
      </c>
      <c r="AV95" s="354">
        <v>1687645.9248406207</v>
      </c>
      <c r="AW95" s="354">
        <v>3291004.7254658043</v>
      </c>
      <c r="AX95" s="354">
        <v>4159167.8232088853</v>
      </c>
      <c r="AY95" s="354">
        <f>'I-Project Contingency'!$E$66-AV95</f>
        <v>0</v>
      </c>
      <c r="AZ95" s="354">
        <f>'I-Project Contingency'!$E$69-AW95</f>
        <v>0</v>
      </c>
      <c r="BA95" s="354">
        <f>'I-Project Contingency'!$E$70-AX95</f>
        <v>0</v>
      </c>
      <c r="BB95" s="355">
        <f>'I-Project Contingency'!$O$5-AG95</f>
        <v>0</v>
      </c>
      <c r="BC95" s="356">
        <v>2.9615115956254372</v>
      </c>
      <c r="BD95" s="356">
        <v>6.001919642116226</v>
      </c>
      <c r="BE95" s="357">
        <v>7.5913096572662919</v>
      </c>
      <c r="BF95" s="356">
        <f>'I-Project Contingency'!$E$81-BC95</f>
        <v>0</v>
      </c>
      <c r="BG95" s="356">
        <f>'I-Project Contingency'!$E$84-BD95</f>
        <v>0</v>
      </c>
      <c r="BH95" s="356">
        <f>'I-Project Contingency'!$E$85-BE95</f>
        <v>0</v>
      </c>
      <c r="BI95" s="358">
        <f>IF(BK95="N/A","N/A",IF('D-Project Data'!$C$6=50%,ABS(BK95),IF('D-Project Data'!$C$6=80%,ABS(BL95),IF('D-Project Data'!$C$6=90%,ABS(BM95)))))</f>
        <v>0</v>
      </c>
      <c r="BJ95" s="359">
        <f>IF(BI95="N/A","N/A",RANK(BI95,$BI$18:$BI$116,0)+COUNTIF($BI$18:BI95,BI95)-1)</f>
        <v>78</v>
      </c>
      <c r="BK95" s="358">
        <f>IF(AY95/SUM(AY:AY)*'I-Project Contingency'!$F$66=0,0,AY95/SUM(AY:AY)*'I-Project Contingency'!$F$66)</f>
        <v>0</v>
      </c>
      <c r="BL95" s="358">
        <f>IF(AZ95/SUM(AZ:AZ)*'I-Project Contingency'!$F$69=0,0,AZ95/SUM(AZ:AZ)*'I-Project Contingency'!$F$69)</f>
        <v>0</v>
      </c>
      <c r="BM95" s="358">
        <f>IF(BA95/SUM(BA:BA)*'I-Project Contingency'!$F$70=0,0,BA95/SUM(BA:BA)*'I-Project Contingency'!$F$70)</f>
        <v>0</v>
      </c>
      <c r="BN95" s="357">
        <f>IF(BP95="N/A","N/A",IF('D-Project Data'!$C$6=50%,ABS(BP95),IF('D-Project Data'!$C$6=80%,ABS(BQ95),IF('D-Project Data'!$C$6=90%,ABS(BR95)))))</f>
        <v>0</v>
      </c>
      <c r="BO95" s="359">
        <f>IF(BN95="N/A","N/A",RANK(BN95,$BN$18:$BN$116,0)+COUNTIF($BN$18:BN95,BN95)-1)</f>
        <v>78</v>
      </c>
      <c r="BP95" s="357">
        <f>IF(BF95/SUM(BF:BF)*'I-Project Contingency'!$F$81=0,0,BF95/SUM(BF:BF)*'I-Project Contingency'!$F$81)</f>
        <v>0</v>
      </c>
      <c r="BQ95" s="357">
        <f>IF(BG95/SUM(BG:BG)*'I-Project Contingency'!$F$84=0,0,BG95/SUM(BG:BG)*'I-Project Contingency'!$F$84)</f>
        <v>0</v>
      </c>
      <c r="BR95" s="357">
        <f>IF(BH95/SUM(BH:BH)*'I-Project Contingency'!$F$85=0,0,BH95/SUM(BH:BH)*'I-Project Contingency'!$F$85)</f>
        <v>0</v>
      </c>
      <c r="BS95" s="359">
        <f t="shared" si="46"/>
        <v>78</v>
      </c>
      <c r="BT95" s="360" t="str">
        <f t="shared" si="47"/>
        <v xml:space="preserve">78 -  </v>
      </c>
      <c r="BU95" s="354">
        <f t="shared" si="48"/>
        <v>0</v>
      </c>
      <c r="BV95" s="354">
        <f t="shared" si="49"/>
        <v>0</v>
      </c>
      <c r="BW95" s="356">
        <f t="shared" si="50"/>
        <v>0</v>
      </c>
      <c r="BX95" s="356">
        <f t="shared" si="51"/>
        <v>0</v>
      </c>
    </row>
    <row r="96" spans="1:76" ht="29" x14ac:dyDescent="0.35">
      <c r="A96" s="163">
        <f t="shared" si="21"/>
        <v>79</v>
      </c>
      <c r="B96" s="758" t="s">
        <v>728</v>
      </c>
      <c r="C96" s="760" t="s">
        <v>659</v>
      </c>
      <c r="D96" s="760" t="s">
        <v>659</v>
      </c>
      <c r="E96" s="760" t="s">
        <v>659</v>
      </c>
      <c r="F96" s="759" t="s">
        <v>728</v>
      </c>
      <c r="G96" s="759" t="s">
        <v>728</v>
      </c>
      <c r="H96" s="157" t="str">
        <f>IFERROR(IF('H-Risk Register-Model'!F96="Certain","Relook at Basis of Estimate",INDEX('G-Assumptions'!$F$8:$J$11,MATCH(F96,'G-Assumptions'!$D$8:$D$11,0),MATCH(G96,'G-Assumptions'!$F$6:$J$6,0))),"Unrated")</f>
        <v>Unrated</v>
      </c>
      <c r="I96" s="759" t="s">
        <v>728</v>
      </c>
      <c r="J96" s="157" t="str">
        <f>IFERROR(IF('H-Risk Register-Model'!F96="Certain","Relook at Basis of Estimate",INDEX('G-Assumptions'!$F$8:$J$11,MATCH(F96,'G-Assumptions'!$D$8:$D$11,0),MATCH(I96,'G-Assumptions'!$F$6:$J$6,0))),"Unrated")</f>
        <v>Unrated</v>
      </c>
      <c r="K96" s="759" t="s">
        <v>728</v>
      </c>
      <c r="L96" s="759" t="s">
        <v>728</v>
      </c>
      <c r="M96" s="759"/>
      <c r="N96" s="763" t="s">
        <v>728</v>
      </c>
      <c r="O96" s="763" t="s">
        <v>728</v>
      </c>
      <c r="P96" s="764"/>
      <c r="Q96" s="764"/>
      <c r="R96" s="764"/>
      <c r="S96" s="765"/>
      <c r="T96" s="765"/>
      <c r="U96" s="765"/>
      <c r="V96" s="766"/>
      <c r="W96" s="764"/>
      <c r="X96" s="764"/>
      <c r="Y96" s="767">
        <v>1</v>
      </c>
      <c r="Z96" s="770">
        <v>1</v>
      </c>
      <c r="AA96" s="166">
        <f t="shared" si="40"/>
        <v>0</v>
      </c>
      <c r="AB96" s="166">
        <f t="shared" si="41"/>
        <v>0</v>
      </c>
      <c r="AC96" s="166">
        <f t="shared" si="42"/>
        <v>0</v>
      </c>
      <c r="AD96" s="166"/>
      <c r="AE96" s="164">
        <f t="shared" si="43"/>
        <v>0</v>
      </c>
      <c r="AF96" s="167"/>
      <c r="AG96" s="165">
        <f t="shared" si="44"/>
        <v>0</v>
      </c>
      <c r="AH96" s="760"/>
      <c r="AI96" s="760"/>
      <c r="AJ96" s="8"/>
      <c r="AK96" s="524" t="str">
        <f t="shared" si="45"/>
        <v>No</v>
      </c>
      <c r="AL96" s="525">
        <f>'I-Project Contingency'!$I$4</f>
        <v>7250000</v>
      </c>
      <c r="AM96" s="350">
        <f>'I-Project Contingency'!$I$11</f>
        <v>12</v>
      </c>
      <c r="AN96" s="349">
        <f t="shared" si="52"/>
        <v>0</v>
      </c>
      <c r="AO96" s="350">
        <f t="shared" si="53"/>
        <v>0</v>
      </c>
      <c r="AP96" s="672" t="str">
        <f t="shared" si="54"/>
        <v/>
      </c>
      <c r="AQ96" s="672" t="str">
        <f t="shared" si="55"/>
        <v/>
      </c>
      <c r="AR96" s="526" t="str">
        <f t="shared" si="57"/>
        <v/>
      </c>
      <c r="AS96" s="526" t="str">
        <f t="shared" si="56"/>
        <v/>
      </c>
      <c r="AT96" s="8"/>
      <c r="AU96" s="353">
        <f>'I-Project Contingency'!$O$4-AE96</f>
        <v>0</v>
      </c>
      <c r="AV96" s="354">
        <v>1687645.9248406207</v>
      </c>
      <c r="AW96" s="354">
        <v>3291004.7254658043</v>
      </c>
      <c r="AX96" s="354">
        <v>4159167.8232088853</v>
      </c>
      <c r="AY96" s="354">
        <f>'I-Project Contingency'!$E$66-AV96</f>
        <v>0</v>
      </c>
      <c r="AZ96" s="354">
        <f>'I-Project Contingency'!$E$69-AW96</f>
        <v>0</v>
      </c>
      <c r="BA96" s="354">
        <f>'I-Project Contingency'!$E$70-AX96</f>
        <v>0</v>
      </c>
      <c r="BB96" s="355">
        <f>'I-Project Contingency'!$O$5-AG96</f>
        <v>0</v>
      </c>
      <c r="BC96" s="356">
        <v>2.9615115956254372</v>
      </c>
      <c r="BD96" s="356">
        <v>6.001919642116226</v>
      </c>
      <c r="BE96" s="357">
        <v>7.5913096572662919</v>
      </c>
      <c r="BF96" s="356">
        <f>'I-Project Contingency'!$E$81-BC96</f>
        <v>0</v>
      </c>
      <c r="BG96" s="356">
        <f>'I-Project Contingency'!$E$84-BD96</f>
        <v>0</v>
      </c>
      <c r="BH96" s="356">
        <f>'I-Project Contingency'!$E$85-BE96</f>
        <v>0</v>
      </c>
      <c r="BI96" s="358">
        <f>IF(BK96="N/A","N/A",IF('D-Project Data'!$C$6=50%,ABS(BK96),IF('D-Project Data'!$C$6=80%,ABS(BL96),IF('D-Project Data'!$C$6=90%,ABS(BM96)))))</f>
        <v>0</v>
      </c>
      <c r="BJ96" s="359">
        <f>IF(BI96="N/A","N/A",RANK(BI96,$BI$18:$BI$116,0)+COUNTIF($BI$18:BI96,BI96)-1)</f>
        <v>79</v>
      </c>
      <c r="BK96" s="358">
        <f>IF(AY96/SUM(AY:AY)*'I-Project Contingency'!$F$66=0,0,AY96/SUM(AY:AY)*'I-Project Contingency'!$F$66)</f>
        <v>0</v>
      </c>
      <c r="BL96" s="358">
        <f>IF(AZ96/SUM(AZ:AZ)*'I-Project Contingency'!$F$69=0,0,AZ96/SUM(AZ:AZ)*'I-Project Contingency'!$F$69)</f>
        <v>0</v>
      </c>
      <c r="BM96" s="358">
        <f>IF(BA96/SUM(BA:BA)*'I-Project Contingency'!$F$70=0,0,BA96/SUM(BA:BA)*'I-Project Contingency'!$F$70)</f>
        <v>0</v>
      </c>
      <c r="BN96" s="357">
        <f>IF(BP96="N/A","N/A",IF('D-Project Data'!$C$6=50%,ABS(BP96),IF('D-Project Data'!$C$6=80%,ABS(BQ96),IF('D-Project Data'!$C$6=90%,ABS(BR96)))))</f>
        <v>0</v>
      </c>
      <c r="BO96" s="359">
        <f>IF(BN96="N/A","N/A",RANK(BN96,$BN$18:$BN$116,0)+COUNTIF($BN$18:BN96,BN96)-1)</f>
        <v>79</v>
      </c>
      <c r="BP96" s="357">
        <f>IF(BF96/SUM(BF:BF)*'I-Project Contingency'!$F$81=0,0,BF96/SUM(BF:BF)*'I-Project Contingency'!$F$81)</f>
        <v>0</v>
      </c>
      <c r="BQ96" s="357">
        <f>IF(BG96/SUM(BG:BG)*'I-Project Contingency'!$F$84=0,0,BG96/SUM(BG:BG)*'I-Project Contingency'!$F$84)</f>
        <v>0</v>
      </c>
      <c r="BR96" s="357">
        <f>IF(BH96/SUM(BH:BH)*'I-Project Contingency'!$F$85=0,0,BH96/SUM(BH:BH)*'I-Project Contingency'!$F$85)</f>
        <v>0</v>
      </c>
      <c r="BS96" s="359">
        <f t="shared" si="46"/>
        <v>79</v>
      </c>
      <c r="BT96" s="360" t="str">
        <f t="shared" si="47"/>
        <v xml:space="preserve">79 -  </v>
      </c>
      <c r="BU96" s="354">
        <f t="shared" si="48"/>
        <v>0</v>
      </c>
      <c r="BV96" s="354">
        <f t="shared" si="49"/>
        <v>0</v>
      </c>
      <c r="BW96" s="356">
        <f t="shared" si="50"/>
        <v>0</v>
      </c>
      <c r="BX96" s="356">
        <f t="shared" si="51"/>
        <v>0</v>
      </c>
    </row>
    <row r="97" spans="1:76" ht="29" x14ac:dyDescent="0.35">
      <c r="A97" s="163">
        <f t="shared" si="21"/>
        <v>80</v>
      </c>
      <c r="B97" s="758" t="s">
        <v>728</v>
      </c>
      <c r="C97" s="760" t="s">
        <v>659</v>
      </c>
      <c r="D97" s="760" t="s">
        <v>659</v>
      </c>
      <c r="E97" s="760" t="s">
        <v>659</v>
      </c>
      <c r="F97" s="759" t="s">
        <v>728</v>
      </c>
      <c r="G97" s="759" t="s">
        <v>728</v>
      </c>
      <c r="H97" s="157" t="str">
        <f>IFERROR(IF('H-Risk Register-Model'!F97="Certain","Relook at Basis of Estimate",INDEX('G-Assumptions'!$F$8:$J$11,MATCH(F97,'G-Assumptions'!$D$8:$D$11,0),MATCH(G97,'G-Assumptions'!$F$6:$J$6,0))),"Unrated")</f>
        <v>Unrated</v>
      </c>
      <c r="I97" s="759" t="s">
        <v>728</v>
      </c>
      <c r="J97" s="157" t="str">
        <f>IFERROR(IF('H-Risk Register-Model'!F97="Certain","Relook at Basis of Estimate",INDEX('G-Assumptions'!$F$8:$J$11,MATCH(F97,'G-Assumptions'!$D$8:$D$11,0),MATCH(I97,'G-Assumptions'!$F$6:$J$6,0))),"Unrated")</f>
        <v>Unrated</v>
      </c>
      <c r="K97" s="759" t="s">
        <v>728</v>
      </c>
      <c r="L97" s="759" t="s">
        <v>728</v>
      </c>
      <c r="M97" s="759"/>
      <c r="N97" s="763" t="s">
        <v>728</v>
      </c>
      <c r="O97" s="763" t="s">
        <v>728</v>
      </c>
      <c r="P97" s="764"/>
      <c r="Q97" s="764"/>
      <c r="R97" s="764"/>
      <c r="S97" s="765"/>
      <c r="T97" s="765"/>
      <c r="U97" s="765"/>
      <c r="V97" s="766"/>
      <c r="W97" s="764"/>
      <c r="X97" s="764"/>
      <c r="Y97" s="767">
        <v>1</v>
      </c>
      <c r="Z97" s="770">
        <v>1</v>
      </c>
      <c r="AA97" s="166">
        <f t="shared" si="40"/>
        <v>0</v>
      </c>
      <c r="AB97" s="166">
        <f t="shared" si="41"/>
        <v>0</v>
      </c>
      <c r="AC97" s="166">
        <f t="shared" si="42"/>
        <v>0</v>
      </c>
      <c r="AD97" s="166"/>
      <c r="AE97" s="164">
        <f t="shared" si="43"/>
        <v>0</v>
      </c>
      <c r="AF97" s="167"/>
      <c r="AG97" s="165">
        <f t="shared" si="44"/>
        <v>0</v>
      </c>
      <c r="AH97" s="760"/>
      <c r="AI97" s="760"/>
      <c r="AJ97" s="8"/>
      <c r="AK97" s="524" t="str">
        <f t="shared" si="45"/>
        <v>No</v>
      </c>
      <c r="AL97" s="525">
        <f>'I-Project Contingency'!$I$4</f>
        <v>7250000</v>
      </c>
      <c r="AM97" s="350">
        <f>'I-Project Contingency'!$I$11</f>
        <v>12</v>
      </c>
      <c r="AN97" s="349">
        <f t="shared" si="52"/>
        <v>0</v>
      </c>
      <c r="AO97" s="350">
        <f t="shared" si="53"/>
        <v>0</v>
      </c>
      <c r="AP97" s="672" t="str">
        <f t="shared" si="54"/>
        <v/>
      </c>
      <c r="AQ97" s="672" t="str">
        <f t="shared" si="55"/>
        <v/>
      </c>
      <c r="AR97" s="526" t="str">
        <f t="shared" si="57"/>
        <v/>
      </c>
      <c r="AS97" s="526" t="str">
        <f t="shared" si="56"/>
        <v/>
      </c>
      <c r="AT97" s="8"/>
      <c r="AU97" s="353">
        <f>'I-Project Contingency'!$O$4-AE97</f>
        <v>0</v>
      </c>
      <c r="AV97" s="354">
        <v>1687645.9248406207</v>
      </c>
      <c r="AW97" s="354">
        <v>3291004.7254658043</v>
      </c>
      <c r="AX97" s="354">
        <v>4159167.8232088853</v>
      </c>
      <c r="AY97" s="354">
        <f>'I-Project Contingency'!$E$66-AV97</f>
        <v>0</v>
      </c>
      <c r="AZ97" s="354">
        <f>'I-Project Contingency'!$E$69-AW97</f>
        <v>0</v>
      </c>
      <c r="BA97" s="354">
        <f>'I-Project Contingency'!$E$70-AX97</f>
        <v>0</v>
      </c>
      <c r="BB97" s="355">
        <f>'I-Project Contingency'!$O$5-AG97</f>
        <v>0</v>
      </c>
      <c r="BC97" s="356">
        <v>2.9615115956254372</v>
      </c>
      <c r="BD97" s="356">
        <v>6.001919642116226</v>
      </c>
      <c r="BE97" s="357">
        <v>7.5913096572662919</v>
      </c>
      <c r="BF97" s="356">
        <f>'I-Project Contingency'!$E$81-BC97</f>
        <v>0</v>
      </c>
      <c r="BG97" s="356">
        <f>'I-Project Contingency'!$E$84-BD97</f>
        <v>0</v>
      </c>
      <c r="BH97" s="356">
        <f>'I-Project Contingency'!$E$85-BE97</f>
        <v>0</v>
      </c>
      <c r="BI97" s="358">
        <f>IF(BK97="N/A","N/A",IF('D-Project Data'!$C$6=50%,ABS(BK97),IF('D-Project Data'!$C$6=80%,ABS(BL97),IF('D-Project Data'!$C$6=90%,ABS(BM97)))))</f>
        <v>0</v>
      </c>
      <c r="BJ97" s="359">
        <f>IF(BI97="N/A","N/A",RANK(BI97,$BI$18:$BI$116,0)+COUNTIF($BI$18:BI97,BI97)-1)</f>
        <v>80</v>
      </c>
      <c r="BK97" s="358">
        <f>IF(AY97/SUM(AY:AY)*'I-Project Contingency'!$F$66=0,0,AY97/SUM(AY:AY)*'I-Project Contingency'!$F$66)</f>
        <v>0</v>
      </c>
      <c r="BL97" s="358">
        <f>IF(AZ97/SUM(AZ:AZ)*'I-Project Contingency'!$F$69=0,0,AZ97/SUM(AZ:AZ)*'I-Project Contingency'!$F$69)</f>
        <v>0</v>
      </c>
      <c r="BM97" s="358">
        <f>IF(BA97/SUM(BA:BA)*'I-Project Contingency'!$F$70=0,0,BA97/SUM(BA:BA)*'I-Project Contingency'!$F$70)</f>
        <v>0</v>
      </c>
      <c r="BN97" s="357">
        <f>IF(BP97="N/A","N/A",IF('D-Project Data'!$C$6=50%,ABS(BP97),IF('D-Project Data'!$C$6=80%,ABS(BQ97),IF('D-Project Data'!$C$6=90%,ABS(BR97)))))</f>
        <v>0</v>
      </c>
      <c r="BO97" s="359">
        <f>IF(BN97="N/A","N/A",RANK(BN97,$BN$18:$BN$116,0)+COUNTIF($BN$18:BN97,BN97)-1)</f>
        <v>80</v>
      </c>
      <c r="BP97" s="357">
        <f>IF(BF97/SUM(BF:BF)*'I-Project Contingency'!$F$81=0,0,BF97/SUM(BF:BF)*'I-Project Contingency'!$F$81)</f>
        <v>0</v>
      </c>
      <c r="BQ97" s="357">
        <f>IF(BG97/SUM(BG:BG)*'I-Project Contingency'!$F$84=0,0,BG97/SUM(BG:BG)*'I-Project Contingency'!$F$84)</f>
        <v>0</v>
      </c>
      <c r="BR97" s="357">
        <f>IF(BH97/SUM(BH:BH)*'I-Project Contingency'!$F$85=0,0,BH97/SUM(BH:BH)*'I-Project Contingency'!$F$85)</f>
        <v>0</v>
      </c>
      <c r="BS97" s="359">
        <f t="shared" si="46"/>
        <v>80</v>
      </c>
      <c r="BT97" s="360" t="str">
        <f t="shared" si="47"/>
        <v xml:space="preserve">80 -  </v>
      </c>
      <c r="BU97" s="354">
        <f t="shared" si="48"/>
        <v>0</v>
      </c>
      <c r="BV97" s="354">
        <f t="shared" si="49"/>
        <v>0</v>
      </c>
      <c r="BW97" s="356">
        <f t="shared" si="50"/>
        <v>0</v>
      </c>
      <c r="BX97" s="356">
        <f t="shared" si="51"/>
        <v>0</v>
      </c>
    </row>
    <row r="98" spans="1:76" ht="29" x14ac:dyDescent="0.35">
      <c r="A98" s="163">
        <f t="shared" si="21"/>
        <v>81</v>
      </c>
      <c r="B98" s="758" t="s">
        <v>728</v>
      </c>
      <c r="C98" s="760" t="s">
        <v>659</v>
      </c>
      <c r="D98" s="760" t="s">
        <v>659</v>
      </c>
      <c r="E98" s="760" t="s">
        <v>659</v>
      </c>
      <c r="F98" s="759" t="s">
        <v>728</v>
      </c>
      <c r="G98" s="759" t="s">
        <v>728</v>
      </c>
      <c r="H98" s="157" t="str">
        <f>IFERROR(IF('H-Risk Register-Model'!F98="Certain","Relook at Basis of Estimate",INDEX('G-Assumptions'!$F$8:$J$11,MATCH(F98,'G-Assumptions'!$D$8:$D$11,0),MATCH(G98,'G-Assumptions'!$F$6:$J$6,0))),"Unrated")</f>
        <v>Unrated</v>
      </c>
      <c r="I98" s="759" t="s">
        <v>728</v>
      </c>
      <c r="J98" s="157" t="str">
        <f>IFERROR(IF('H-Risk Register-Model'!F98="Certain","Relook at Basis of Estimate",INDEX('G-Assumptions'!$F$8:$J$11,MATCH(F98,'G-Assumptions'!$D$8:$D$11,0),MATCH(I98,'G-Assumptions'!$F$6:$J$6,0))),"Unrated")</f>
        <v>Unrated</v>
      </c>
      <c r="K98" s="759" t="s">
        <v>728</v>
      </c>
      <c r="L98" s="759" t="s">
        <v>728</v>
      </c>
      <c r="M98" s="759"/>
      <c r="N98" s="763" t="s">
        <v>728</v>
      </c>
      <c r="O98" s="763" t="s">
        <v>728</v>
      </c>
      <c r="P98" s="764"/>
      <c r="Q98" s="764"/>
      <c r="R98" s="764"/>
      <c r="S98" s="765"/>
      <c r="T98" s="765"/>
      <c r="U98" s="765"/>
      <c r="V98" s="766"/>
      <c r="W98" s="764"/>
      <c r="X98" s="764"/>
      <c r="Y98" s="767">
        <v>1</v>
      </c>
      <c r="Z98" s="770">
        <v>1</v>
      </c>
      <c r="AA98" s="166">
        <f t="shared" si="40"/>
        <v>0</v>
      </c>
      <c r="AB98" s="166">
        <f t="shared" si="41"/>
        <v>0</v>
      </c>
      <c r="AC98" s="166">
        <f t="shared" si="42"/>
        <v>0</v>
      </c>
      <c r="AD98" s="166"/>
      <c r="AE98" s="164">
        <f t="shared" si="43"/>
        <v>0</v>
      </c>
      <c r="AF98" s="167"/>
      <c r="AG98" s="165">
        <f t="shared" si="44"/>
        <v>0</v>
      </c>
      <c r="AH98" s="760"/>
      <c r="AI98" s="760"/>
      <c r="AJ98" s="8"/>
      <c r="AK98" s="524" t="str">
        <f t="shared" si="45"/>
        <v>No</v>
      </c>
      <c r="AL98" s="525">
        <f>'I-Project Contingency'!$I$4</f>
        <v>7250000</v>
      </c>
      <c r="AM98" s="350">
        <f>'I-Project Contingency'!$I$11</f>
        <v>12</v>
      </c>
      <c r="AN98" s="349">
        <f t="shared" si="52"/>
        <v>0</v>
      </c>
      <c r="AO98" s="350">
        <f t="shared" si="53"/>
        <v>0</v>
      </c>
      <c r="AP98" s="672" t="str">
        <f t="shared" si="54"/>
        <v/>
      </c>
      <c r="AQ98" s="672" t="str">
        <f t="shared" si="55"/>
        <v/>
      </c>
      <c r="AR98" s="526" t="str">
        <f t="shared" si="57"/>
        <v/>
      </c>
      <c r="AS98" s="526" t="str">
        <f t="shared" si="56"/>
        <v/>
      </c>
      <c r="AT98" s="8"/>
      <c r="AU98" s="353">
        <f>'I-Project Contingency'!$O$4-AE98</f>
        <v>0</v>
      </c>
      <c r="AV98" s="354">
        <v>1687645.9248406207</v>
      </c>
      <c r="AW98" s="354">
        <v>3291004.7254658043</v>
      </c>
      <c r="AX98" s="354">
        <v>4159167.8232088853</v>
      </c>
      <c r="AY98" s="354">
        <f>'I-Project Contingency'!$E$66-AV98</f>
        <v>0</v>
      </c>
      <c r="AZ98" s="354">
        <f>'I-Project Contingency'!$E$69-AW98</f>
        <v>0</v>
      </c>
      <c r="BA98" s="354">
        <f>'I-Project Contingency'!$E$70-AX98</f>
        <v>0</v>
      </c>
      <c r="BB98" s="355">
        <f>'I-Project Contingency'!$O$5-AG98</f>
        <v>0</v>
      </c>
      <c r="BC98" s="356">
        <v>2.9615115956254372</v>
      </c>
      <c r="BD98" s="356">
        <v>6.001919642116226</v>
      </c>
      <c r="BE98" s="357">
        <v>7.5913096572662919</v>
      </c>
      <c r="BF98" s="356">
        <f>'I-Project Contingency'!$E$81-BC98</f>
        <v>0</v>
      </c>
      <c r="BG98" s="356">
        <f>'I-Project Contingency'!$E$84-BD98</f>
        <v>0</v>
      </c>
      <c r="BH98" s="356">
        <f>'I-Project Contingency'!$E$85-BE98</f>
        <v>0</v>
      </c>
      <c r="BI98" s="358">
        <f>IF(BK98="N/A","N/A",IF('D-Project Data'!$C$6=50%,ABS(BK98),IF('D-Project Data'!$C$6=80%,ABS(BL98),IF('D-Project Data'!$C$6=90%,ABS(BM98)))))</f>
        <v>0</v>
      </c>
      <c r="BJ98" s="359">
        <f>IF(BI98="N/A","N/A",RANK(BI98,$BI$18:$BI$116,0)+COUNTIF($BI$18:BI98,BI98)-1)</f>
        <v>81</v>
      </c>
      <c r="BK98" s="358">
        <f>IF(AY98/SUM(AY:AY)*'I-Project Contingency'!$F$66=0,0,AY98/SUM(AY:AY)*'I-Project Contingency'!$F$66)</f>
        <v>0</v>
      </c>
      <c r="BL98" s="358">
        <f>IF(AZ98/SUM(AZ:AZ)*'I-Project Contingency'!$F$69=0,0,AZ98/SUM(AZ:AZ)*'I-Project Contingency'!$F$69)</f>
        <v>0</v>
      </c>
      <c r="BM98" s="358">
        <f>IF(BA98/SUM(BA:BA)*'I-Project Contingency'!$F$70=0,0,BA98/SUM(BA:BA)*'I-Project Contingency'!$F$70)</f>
        <v>0</v>
      </c>
      <c r="BN98" s="357">
        <f>IF(BP98="N/A","N/A",IF('D-Project Data'!$C$6=50%,ABS(BP98),IF('D-Project Data'!$C$6=80%,ABS(BQ98),IF('D-Project Data'!$C$6=90%,ABS(BR98)))))</f>
        <v>0</v>
      </c>
      <c r="BO98" s="359">
        <f>IF(BN98="N/A","N/A",RANK(BN98,$BN$18:$BN$116,0)+COUNTIF($BN$18:BN98,BN98)-1)</f>
        <v>81</v>
      </c>
      <c r="BP98" s="357">
        <f>IF(BF98/SUM(BF:BF)*'I-Project Contingency'!$F$81=0,0,BF98/SUM(BF:BF)*'I-Project Contingency'!$F$81)</f>
        <v>0</v>
      </c>
      <c r="BQ98" s="357">
        <f>IF(BG98/SUM(BG:BG)*'I-Project Contingency'!$F$84=0,0,BG98/SUM(BG:BG)*'I-Project Contingency'!$F$84)</f>
        <v>0</v>
      </c>
      <c r="BR98" s="357">
        <f>IF(BH98/SUM(BH:BH)*'I-Project Contingency'!$F$85=0,0,BH98/SUM(BH:BH)*'I-Project Contingency'!$F$85)</f>
        <v>0</v>
      </c>
      <c r="BS98" s="359">
        <f t="shared" si="46"/>
        <v>81</v>
      </c>
      <c r="BT98" s="360" t="str">
        <f t="shared" si="47"/>
        <v xml:space="preserve">81 -  </v>
      </c>
      <c r="BU98" s="354">
        <f t="shared" si="48"/>
        <v>0</v>
      </c>
      <c r="BV98" s="354">
        <f t="shared" si="49"/>
        <v>0</v>
      </c>
      <c r="BW98" s="356">
        <f t="shared" si="50"/>
        <v>0</v>
      </c>
      <c r="BX98" s="356">
        <f t="shared" si="51"/>
        <v>0</v>
      </c>
    </row>
    <row r="99" spans="1:76" ht="29" x14ac:dyDescent="0.35">
      <c r="A99" s="163">
        <f t="shared" si="21"/>
        <v>82</v>
      </c>
      <c r="B99" s="758" t="s">
        <v>728</v>
      </c>
      <c r="C99" s="760" t="s">
        <v>659</v>
      </c>
      <c r="D99" s="760" t="s">
        <v>659</v>
      </c>
      <c r="E99" s="760" t="s">
        <v>659</v>
      </c>
      <c r="F99" s="759" t="s">
        <v>728</v>
      </c>
      <c r="G99" s="759" t="s">
        <v>728</v>
      </c>
      <c r="H99" s="157" t="str">
        <f>IFERROR(IF('H-Risk Register-Model'!F99="Certain","Relook at Basis of Estimate",INDEX('G-Assumptions'!$F$8:$J$11,MATCH(F99,'G-Assumptions'!$D$8:$D$11,0),MATCH(G99,'G-Assumptions'!$F$6:$J$6,0))),"Unrated")</f>
        <v>Unrated</v>
      </c>
      <c r="I99" s="759" t="s">
        <v>728</v>
      </c>
      <c r="J99" s="157" t="str">
        <f>IFERROR(IF('H-Risk Register-Model'!F99="Certain","Relook at Basis of Estimate",INDEX('G-Assumptions'!$F$8:$J$11,MATCH(F99,'G-Assumptions'!$D$8:$D$11,0),MATCH(I99,'G-Assumptions'!$F$6:$J$6,0))),"Unrated")</f>
        <v>Unrated</v>
      </c>
      <c r="K99" s="759" t="s">
        <v>728</v>
      </c>
      <c r="L99" s="759" t="s">
        <v>728</v>
      </c>
      <c r="M99" s="759"/>
      <c r="N99" s="763" t="s">
        <v>728</v>
      </c>
      <c r="O99" s="763" t="s">
        <v>728</v>
      </c>
      <c r="P99" s="764"/>
      <c r="Q99" s="764"/>
      <c r="R99" s="764"/>
      <c r="S99" s="765"/>
      <c r="T99" s="765"/>
      <c r="U99" s="765"/>
      <c r="V99" s="766"/>
      <c r="W99" s="764"/>
      <c r="X99" s="764"/>
      <c r="Y99" s="767">
        <v>1</v>
      </c>
      <c r="Z99" s="770">
        <v>1</v>
      </c>
      <c r="AA99" s="166">
        <f t="shared" si="40"/>
        <v>0</v>
      </c>
      <c r="AB99" s="166">
        <f t="shared" si="41"/>
        <v>0</v>
      </c>
      <c r="AC99" s="166">
        <f t="shared" si="42"/>
        <v>0</v>
      </c>
      <c r="AD99" s="166"/>
      <c r="AE99" s="164">
        <f t="shared" si="43"/>
        <v>0</v>
      </c>
      <c r="AF99" s="167"/>
      <c r="AG99" s="165">
        <f t="shared" si="44"/>
        <v>0</v>
      </c>
      <c r="AH99" s="760"/>
      <c r="AI99" s="760"/>
      <c r="AJ99" s="8"/>
      <c r="AK99" s="524" t="str">
        <f t="shared" si="45"/>
        <v>No</v>
      </c>
      <c r="AL99" s="525">
        <f>'I-Project Contingency'!$I$4</f>
        <v>7250000</v>
      </c>
      <c r="AM99" s="350">
        <f>'I-Project Contingency'!$I$11</f>
        <v>12</v>
      </c>
      <c r="AN99" s="349">
        <f t="shared" si="52"/>
        <v>0</v>
      </c>
      <c r="AO99" s="350">
        <f t="shared" si="53"/>
        <v>0</v>
      </c>
      <c r="AP99" s="672" t="str">
        <f t="shared" si="54"/>
        <v/>
      </c>
      <c r="AQ99" s="672" t="str">
        <f t="shared" si="55"/>
        <v/>
      </c>
      <c r="AR99" s="526" t="str">
        <f t="shared" si="57"/>
        <v/>
      </c>
      <c r="AS99" s="526" t="str">
        <f t="shared" si="56"/>
        <v/>
      </c>
      <c r="AT99" s="8"/>
      <c r="AU99" s="353">
        <f>'I-Project Contingency'!$O$4-AE99</f>
        <v>0</v>
      </c>
      <c r="AV99" s="354">
        <v>1687645.9248406207</v>
      </c>
      <c r="AW99" s="354">
        <v>3291004.7254658043</v>
      </c>
      <c r="AX99" s="354">
        <v>4159167.8232088853</v>
      </c>
      <c r="AY99" s="354">
        <f>'I-Project Contingency'!$E$66-AV99</f>
        <v>0</v>
      </c>
      <c r="AZ99" s="354">
        <f>'I-Project Contingency'!$E$69-AW99</f>
        <v>0</v>
      </c>
      <c r="BA99" s="354">
        <f>'I-Project Contingency'!$E$70-AX99</f>
        <v>0</v>
      </c>
      <c r="BB99" s="355">
        <f>'I-Project Contingency'!$O$5-AG99</f>
        <v>0</v>
      </c>
      <c r="BC99" s="356">
        <v>2.9615115956254372</v>
      </c>
      <c r="BD99" s="356">
        <v>6.001919642116226</v>
      </c>
      <c r="BE99" s="357">
        <v>7.5913096572662919</v>
      </c>
      <c r="BF99" s="356">
        <f>'I-Project Contingency'!$E$81-BC99</f>
        <v>0</v>
      </c>
      <c r="BG99" s="356">
        <f>'I-Project Contingency'!$E$84-BD99</f>
        <v>0</v>
      </c>
      <c r="BH99" s="356">
        <f>'I-Project Contingency'!$E$85-BE99</f>
        <v>0</v>
      </c>
      <c r="BI99" s="358">
        <f>IF(BK99="N/A","N/A",IF('D-Project Data'!$C$6=50%,ABS(BK99),IF('D-Project Data'!$C$6=80%,ABS(BL99),IF('D-Project Data'!$C$6=90%,ABS(BM99)))))</f>
        <v>0</v>
      </c>
      <c r="BJ99" s="359">
        <f>IF(BI99="N/A","N/A",RANK(BI99,$BI$18:$BI$116,0)+COUNTIF($BI$18:BI99,BI99)-1)</f>
        <v>82</v>
      </c>
      <c r="BK99" s="358">
        <f>IF(AY99/SUM(AY:AY)*'I-Project Contingency'!$F$66=0,0,AY99/SUM(AY:AY)*'I-Project Contingency'!$F$66)</f>
        <v>0</v>
      </c>
      <c r="BL99" s="358">
        <f>IF(AZ99/SUM(AZ:AZ)*'I-Project Contingency'!$F$69=0,0,AZ99/SUM(AZ:AZ)*'I-Project Contingency'!$F$69)</f>
        <v>0</v>
      </c>
      <c r="BM99" s="358">
        <f>IF(BA99/SUM(BA:BA)*'I-Project Contingency'!$F$70=0,0,BA99/SUM(BA:BA)*'I-Project Contingency'!$F$70)</f>
        <v>0</v>
      </c>
      <c r="BN99" s="357">
        <f>IF(BP99="N/A","N/A",IF('D-Project Data'!$C$6=50%,ABS(BP99),IF('D-Project Data'!$C$6=80%,ABS(BQ99),IF('D-Project Data'!$C$6=90%,ABS(BR99)))))</f>
        <v>0</v>
      </c>
      <c r="BO99" s="359">
        <f>IF(BN99="N/A","N/A",RANK(BN99,$BN$18:$BN$116,0)+COUNTIF($BN$18:BN99,BN99)-1)</f>
        <v>82</v>
      </c>
      <c r="BP99" s="357">
        <f>IF(BF99/SUM(BF:BF)*'I-Project Contingency'!$F$81=0,0,BF99/SUM(BF:BF)*'I-Project Contingency'!$F$81)</f>
        <v>0</v>
      </c>
      <c r="BQ99" s="357">
        <f>IF(BG99/SUM(BG:BG)*'I-Project Contingency'!$F$84=0,0,BG99/SUM(BG:BG)*'I-Project Contingency'!$F$84)</f>
        <v>0</v>
      </c>
      <c r="BR99" s="357">
        <f>IF(BH99/SUM(BH:BH)*'I-Project Contingency'!$F$85=0,0,BH99/SUM(BH:BH)*'I-Project Contingency'!$F$85)</f>
        <v>0</v>
      </c>
      <c r="BS99" s="359">
        <f t="shared" si="46"/>
        <v>82</v>
      </c>
      <c r="BT99" s="360" t="str">
        <f t="shared" si="47"/>
        <v xml:space="preserve">82 -  </v>
      </c>
      <c r="BU99" s="354">
        <f t="shared" si="48"/>
        <v>0</v>
      </c>
      <c r="BV99" s="354">
        <f t="shared" si="49"/>
        <v>0</v>
      </c>
      <c r="BW99" s="356">
        <f t="shared" si="50"/>
        <v>0</v>
      </c>
      <c r="BX99" s="356">
        <f t="shared" si="51"/>
        <v>0</v>
      </c>
    </row>
    <row r="100" spans="1:76" ht="29" x14ac:dyDescent="0.35">
      <c r="A100" s="163">
        <f t="shared" si="21"/>
        <v>83</v>
      </c>
      <c r="B100" s="758" t="s">
        <v>728</v>
      </c>
      <c r="C100" s="760" t="s">
        <v>659</v>
      </c>
      <c r="D100" s="760" t="s">
        <v>659</v>
      </c>
      <c r="E100" s="760" t="s">
        <v>659</v>
      </c>
      <c r="F100" s="759" t="s">
        <v>728</v>
      </c>
      <c r="G100" s="759" t="s">
        <v>728</v>
      </c>
      <c r="H100" s="157" t="str">
        <f>IFERROR(IF('H-Risk Register-Model'!F100="Certain","Relook at Basis of Estimate",INDEX('G-Assumptions'!$F$8:$J$11,MATCH(F100,'G-Assumptions'!$D$8:$D$11,0),MATCH(G100,'G-Assumptions'!$F$6:$J$6,0))),"Unrated")</f>
        <v>Unrated</v>
      </c>
      <c r="I100" s="759" t="s">
        <v>728</v>
      </c>
      <c r="J100" s="157" t="str">
        <f>IFERROR(IF('H-Risk Register-Model'!F100="Certain","Relook at Basis of Estimate",INDEX('G-Assumptions'!$F$8:$J$11,MATCH(F100,'G-Assumptions'!$D$8:$D$11,0),MATCH(I100,'G-Assumptions'!$F$6:$J$6,0))),"Unrated")</f>
        <v>Unrated</v>
      </c>
      <c r="K100" s="759" t="s">
        <v>728</v>
      </c>
      <c r="L100" s="759" t="s">
        <v>728</v>
      </c>
      <c r="M100" s="759"/>
      <c r="N100" s="763" t="s">
        <v>728</v>
      </c>
      <c r="O100" s="763" t="s">
        <v>728</v>
      </c>
      <c r="P100" s="764"/>
      <c r="Q100" s="764"/>
      <c r="R100" s="764"/>
      <c r="S100" s="765"/>
      <c r="T100" s="765"/>
      <c r="U100" s="765"/>
      <c r="V100" s="766"/>
      <c r="W100" s="764"/>
      <c r="X100" s="764"/>
      <c r="Y100" s="767">
        <v>1</v>
      </c>
      <c r="Z100" s="770">
        <v>1</v>
      </c>
      <c r="AA100" s="166">
        <f t="shared" si="40"/>
        <v>0</v>
      </c>
      <c r="AB100" s="166">
        <f t="shared" si="41"/>
        <v>0</v>
      </c>
      <c r="AC100" s="166">
        <f t="shared" si="42"/>
        <v>0</v>
      </c>
      <c r="AD100" s="166"/>
      <c r="AE100" s="164">
        <f t="shared" si="43"/>
        <v>0</v>
      </c>
      <c r="AF100" s="167"/>
      <c r="AG100" s="165">
        <f t="shared" si="44"/>
        <v>0</v>
      </c>
      <c r="AH100" s="760"/>
      <c r="AI100" s="760"/>
      <c r="AJ100" s="8"/>
      <c r="AK100" s="524" t="str">
        <f t="shared" si="45"/>
        <v>No</v>
      </c>
      <c r="AL100" s="525">
        <f>'I-Project Contingency'!$I$4</f>
        <v>7250000</v>
      </c>
      <c r="AM100" s="350">
        <f>'I-Project Contingency'!$I$11</f>
        <v>12</v>
      </c>
      <c r="AN100" s="349">
        <f t="shared" si="52"/>
        <v>0</v>
      </c>
      <c r="AO100" s="350">
        <f t="shared" si="53"/>
        <v>0</v>
      </c>
      <c r="AP100" s="672" t="str">
        <f t="shared" si="54"/>
        <v/>
      </c>
      <c r="AQ100" s="672" t="str">
        <f t="shared" si="55"/>
        <v/>
      </c>
      <c r="AR100" s="526" t="str">
        <f t="shared" si="57"/>
        <v/>
      </c>
      <c r="AS100" s="526" t="str">
        <f t="shared" si="56"/>
        <v/>
      </c>
      <c r="AT100" s="8"/>
      <c r="AU100" s="353">
        <f>'I-Project Contingency'!$O$4-AE100</f>
        <v>0</v>
      </c>
      <c r="AV100" s="354">
        <v>1687645.9248406207</v>
      </c>
      <c r="AW100" s="354">
        <v>3291004.7254658043</v>
      </c>
      <c r="AX100" s="354">
        <v>4159167.8232088853</v>
      </c>
      <c r="AY100" s="354">
        <f>'I-Project Contingency'!$E$66-AV100</f>
        <v>0</v>
      </c>
      <c r="AZ100" s="354">
        <f>'I-Project Contingency'!$E$69-AW100</f>
        <v>0</v>
      </c>
      <c r="BA100" s="354">
        <f>'I-Project Contingency'!$E$70-AX100</f>
        <v>0</v>
      </c>
      <c r="BB100" s="355">
        <f>'I-Project Contingency'!$O$5-AG100</f>
        <v>0</v>
      </c>
      <c r="BC100" s="356">
        <v>2.9615115956254372</v>
      </c>
      <c r="BD100" s="356">
        <v>6.001919642116226</v>
      </c>
      <c r="BE100" s="357">
        <v>7.5913096572662919</v>
      </c>
      <c r="BF100" s="356">
        <f>'I-Project Contingency'!$E$81-BC100</f>
        <v>0</v>
      </c>
      <c r="BG100" s="356">
        <f>'I-Project Contingency'!$E$84-BD100</f>
        <v>0</v>
      </c>
      <c r="BH100" s="356">
        <f>'I-Project Contingency'!$E$85-BE100</f>
        <v>0</v>
      </c>
      <c r="BI100" s="358">
        <f>IF(BK100="N/A","N/A",IF('D-Project Data'!$C$6=50%,ABS(BK100),IF('D-Project Data'!$C$6=80%,ABS(BL100),IF('D-Project Data'!$C$6=90%,ABS(BM100)))))</f>
        <v>0</v>
      </c>
      <c r="BJ100" s="359">
        <f>IF(BI100="N/A","N/A",RANK(BI100,$BI$18:$BI$116,0)+COUNTIF($BI$18:BI100,BI100)-1)</f>
        <v>83</v>
      </c>
      <c r="BK100" s="358">
        <f>IF(AY100/SUM(AY:AY)*'I-Project Contingency'!$F$66=0,0,AY100/SUM(AY:AY)*'I-Project Contingency'!$F$66)</f>
        <v>0</v>
      </c>
      <c r="BL100" s="358">
        <f>IF(AZ100/SUM(AZ:AZ)*'I-Project Contingency'!$F$69=0,0,AZ100/SUM(AZ:AZ)*'I-Project Contingency'!$F$69)</f>
        <v>0</v>
      </c>
      <c r="BM100" s="358">
        <f>IF(BA100/SUM(BA:BA)*'I-Project Contingency'!$F$70=0,0,BA100/SUM(BA:BA)*'I-Project Contingency'!$F$70)</f>
        <v>0</v>
      </c>
      <c r="BN100" s="357">
        <f>IF(BP100="N/A","N/A",IF('D-Project Data'!$C$6=50%,ABS(BP100),IF('D-Project Data'!$C$6=80%,ABS(BQ100),IF('D-Project Data'!$C$6=90%,ABS(BR100)))))</f>
        <v>0</v>
      </c>
      <c r="BO100" s="359">
        <f>IF(BN100="N/A","N/A",RANK(BN100,$BN$18:$BN$116,0)+COUNTIF($BN$18:BN100,BN100)-1)</f>
        <v>83</v>
      </c>
      <c r="BP100" s="357">
        <f>IF(BF100/SUM(BF:BF)*'I-Project Contingency'!$F$81=0,0,BF100/SUM(BF:BF)*'I-Project Contingency'!$F$81)</f>
        <v>0</v>
      </c>
      <c r="BQ100" s="357">
        <f>IF(BG100/SUM(BG:BG)*'I-Project Contingency'!$F$84=0,0,BG100/SUM(BG:BG)*'I-Project Contingency'!$F$84)</f>
        <v>0</v>
      </c>
      <c r="BR100" s="357">
        <f>IF(BH100/SUM(BH:BH)*'I-Project Contingency'!$F$85=0,0,BH100/SUM(BH:BH)*'I-Project Contingency'!$F$85)</f>
        <v>0</v>
      </c>
      <c r="BS100" s="359">
        <f t="shared" si="46"/>
        <v>83</v>
      </c>
      <c r="BT100" s="360" t="str">
        <f t="shared" si="47"/>
        <v xml:space="preserve">83 -  </v>
      </c>
      <c r="BU100" s="354">
        <f t="shared" si="48"/>
        <v>0</v>
      </c>
      <c r="BV100" s="354">
        <f t="shared" si="49"/>
        <v>0</v>
      </c>
      <c r="BW100" s="356">
        <f t="shared" si="50"/>
        <v>0</v>
      </c>
      <c r="BX100" s="356">
        <f t="shared" si="51"/>
        <v>0</v>
      </c>
    </row>
    <row r="101" spans="1:76" ht="29" x14ac:dyDescent="0.35">
      <c r="A101" s="163">
        <f t="shared" si="21"/>
        <v>84</v>
      </c>
      <c r="B101" s="758" t="s">
        <v>728</v>
      </c>
      <c r="C101" s="760" t="s">
        <v>659</v>
      </c>
      <c r="D101" s="760" t="s">
        <v>659</v>
      </c>
      <c r="E101" s="760" t="s">
        <v>659</v>
      </c>
      <c r="F101" s="759" t="s">
        <v>728</v>
      </c>
      <c r="G101" s="759" t="s">
        <v>728</v>
      </c>
      <c r="H101" s="157" t="str">
        <f>IFERROR(IF('H-Risk Register-Model'!F101="Certain","Relook at Basis of Estimate",INDEX('G-Assumptions'!$F$8:$J$11,MATCH(F101,'G-Assumptions'!$D$8:$D$11,0),MATCH(G101,'G-Assumptions'!$F$6:$J$6,0))),"Unrated")</f>
        <v>Unrated</v>
      </c>
      <c r="I101" s="759" t="s">
        <v>728</v>
      </c>
      <c r="J101" s="157" t="str">
        <f>IFERROR(IF('H-Risk Register-Model'!F101="Certain","Relook at Basis of Estimate",INDEX('G-Assumptions'!$F$8:$J$11,MATCH(F101,'G-Assumptions'!$D$8:$D$11,0),MATCH(I101,'G-Assumptions'!$F$6:$J$6,0))),"Unrated")</f>
        <v>Unrated</v>
      </c>
      <c r="K101" s="759" t="s">
        <v>728</v>
      </c>
      <c r="L101" s="759" t="s">
        <v>728</v>
      </c>
      <c r="M101" s="759"/>
      <c r="N101" s="763" t="s">
        <v>728</v>
      </c>
      <c r="O101" s="763" t="s">
        <v>728</v>
      </c>
      <c r="P101" s="764"/>
      <c r="Q101" s="764"/>
      <c r="R101" s="764"/>
      <c r="S101" s="765"/>
      <c r="T101" s="765"/>
      <c r="U101" s="765"/>
      <c r="V101" s="766"/>
      <c r="W101" s="764"/>
      <c r="X101" s="764"/>
      <c r="Y101" s="767">
        <v>1</v>
      </c>
      <c r="Z101" s="770">
        <v>1</v>
      </c>
      <c r="AA101" s="166">
        <f t="shared" si="40"/>
        <v>0</v>
      </c>
      <c r="AB101" s="166">
        <f t="shared" si="41"/>
        <v>0</v>
      </c>
      <c r="AC101" s="166">
        <f t="shared" si="42"/>
        <v>0</v>
      </c>
      <c r="AD101" s="166"/>
      <c r="AE101" s="164">
        <f t="shared" si="43"/>
        <v>0</v>
      </c>
      <c r="AF101" s="167"/>
      <c r="AG101" s="165">
        <f t="shared" si="44"/>
        <v>0</v>
      </c>
      <c r="AH101" s="760"/>
      <c r="AI101" s="760"/>
      <c r="AJ101" s="8"/>
      <c r="AK101" s="524" t="str">
        <f t="shared" si="45"/>
        <v>No</v>
      </c>
      <c r="AL101" s="525">
        <f>'I-Project Contingency'!$I$4</f>
        <v>7250000</v>
      </c>
      <c r="AM101" s="350">
        <f>'I-Project Contingency'!$I$11</f>
        <v>12</v>
      </c>
      <c r="AN101" s="349">
        <f t="shared" si="52"/>
        <v>0</v>
      </c>
      <c r="AO101" s="350">
        <f t="shared" si="53"/>
        <v>0</v>
      </c>
      <c r="AP101" s="672" t="str">
        <f t="shared" si="54"/>
        <v/>
      </c>
      <c r="AQ101" s="672" t="str">
        <f t="shared" si="55"/>
        <v/>
      </c>
      <c r="AR101" s="526" t="str">
        <f t="shared" si="57"/>
        <v/>
      </c>
      <c r="AS101" s="526" t="str">
        <f t="shared" si="56"/>
        <v/>
      </c>
      <c r="AT101" s="8"/>
      <c r="AU101" s="353">
        <f>'I-Project Contingency'!$O$4-AE101</f>
        <v>0</v>
      </c>
      <c r="AV101" s="354">
        <v>1687645.9248406207</v>
      </c>
      <c r="AW101" s="354">
        <v>3291004.7254658043</v>
      </c>
      <c r="AX101" s="354">
        <v>4159167.8232088853</v>
      </c>
      <c r="AY101" s="354">
        <f>'I-Project Contingency'!$E$66-AV101</f>
        <v>0</v>
      </c>
      <c r="AZ101" s="354">
        <f>'I-Project Contingency'!$E$69-AW101</f>
        <v>0</v>
      </c>
      <c r="BA101" s="354">
        <f>'I-Project Contingency'!$E$70-AX101</f>
        <v>0</v>
      </c>
      <c r="BB101" s="355">
        <f>'I-Project Contingency'!$O$5-AG101</f>
        <v>0</v>
      </c>
      <c r="BC101" s="356">
        <v>2.9615115956254372</v>
      </c>
      <c r="BD101" s="356">
        <v>6.001919642116226</v>
      </c>
      <c r="BE101" s="357">
        <v>7.5913096572662919</v>
      </c>
      <c r="BF101" s="356">
        <f>'I-Project Contingency'!$E$81-BC101</f>
        <v>0</v>
      </c>
      <c r="BG101" s="356">
        <f>'I-Project Contingency'!$E$84-BD101</f>
        <v>0</v>
      </c>
      <c r="BH101" s="356">
        <f>'I-Project Contingency'!$E$85-BE101</f>
        <v>0</v>
      </c>
      <c r="BI101" s="358">
        <f>IF(BK101="N/A","N/A",IF('D-Project Data'!$C$6=50%,ABS(BK101),IF('D-Project Data'!$C$6=80%,ABS(BL101),IF('D-Project Data'!$C$6=90%,ABS(BM101)))))</f>
        <v>0</v>
      </c>
      <c r="BJ101" s="359">
        <f>IF(BI101="N/A","N/A",RANK(BI101,$BI$18:$BI$116,0)+COUNTIF($BI$18:BI101,BI101)-1)</f>
        <v>84</v>
      </c>
      <c r="BK101" s="358">
        <f>IF(AY101/SUM(AY:AY)*'I-Project Contingency'!$F$66=0,0,AY101/SUM(AY:AY)*'I-Project Contingency'!$F$66)</f>
        <v>0</v>
      </c>
      <c r="BL101" s="358">
        <f>IF(AZ101/SUM(AZ:AZ)*'I-Project Contingency'!$F$69=0,0,AZ101/SUM(AZ:AZ)*'I-Project Contingency'!$F$69)</f>
        <v>0</v>
      </c>
      <c r="BM101" s="358">
        <f>IF(BA101/SUM(BA:BA)*'I-Project Contingency'!$F$70=0,0,BA101/SUM(BA:BA)*'I-Project Contingency'!$F$70)</f>
        <v>0</v>
      </c>
      <c r="BN101" s="357">
        <f>IF(BP101="N/A","N/A",IF('D-Project Data'!$C$6=50%,ABS(BP101),IF('D-Project Data'!$C$6=80%,ABS(BQ101),IF('D-Project Data'!$C$6=90%,ABS(BR101)))))</f>
        <v>0</v>
      </c>
      <c r="BO101" s="359">
        <f>IF(BN101="N/A","N/A",RANK(BN101,$BN$18:$BN$116,0)+COUNTIF($BN$18:BN101,BN101)-1)</f>
        <v>84</v>
      </c>
      <c r="BP101" s="357">
        <f>IF(BF101/SUM(BF:BF)*'I-Project Contingency'!$F$81=0,0,BF101/SUM(BF:BF)*'I-Project Contingency'!$F$81)</f>
        <v>0</v>
      </c>
      <c r="BQ101" s="357">
        <f>IF(BG101/SUM(BG:BG)*'I-Project Contingency'!$F$84=0,0,BG101/SUM(BG:BG)*'I-Project Contingency'!$F$84)</f>
        <v>0</v>
      </c>
      <c r="BR101" s="357">
        <f>IF(BH101/SUM(BH:BH)*'I-Project Contingency'!$F$85=0,0,BH101/SUM(BH:BH)*'I-Project Contingency'!$F$85)</f>
        <v>0</v>
      </c>
      <c r="BS101" s="359">
        <f t="shared" si="46"/>
        <v>84</v>
      </c>
      <c r="BT101" s="360" t="str">
        <f t="shared" si="47"/>
        <v xml:space="preserve">84 -  </v>
      </c>
      <c r="BU101" s="354">
        <f t="shared" si="48"/>
        <v>0</v>
      </c>
      <c r="BV101" s="354">
        <f t="shared" si="49"/>
        <v>0</v>
      </c>
      <c r="BW101" s="356">
        <f t="shared" si="50"/>
        <v>0</v>
      </c>
      <c r="BX101" s="356">
        <f t="shared" si="51"/>
        <v>0</v>
      </c>
    </row>
    <row r="102" spans="1:76" ht="29" x14ac:dyDescent="0.35">
      <c r="A102" s="163">
        <f t="shared" si="21"/>
        <v>85</v>
      </c>
      <c r="B102" s="758" t="s">
        <v>728</v>
      </c>
      <c r="C102" s="760" t="s">
        <v>659</v>
      </c>
      <c r="D102" s="760" t="s">
        <v>659</v>
      </c>
      <c r="E102" s="760" t="s">
        <v>659</v>
      </c>
      <c r="F102" s="759" t="s">
        <v>728</v>
      </c>
      <c r="G102" s="759" t="s">
        <v>728</v>
      </c>
      <c r="H102" s="157" t="str">
        <f>IFERROR(IF('H-Risk Register-Model'!F102="Certain","Relook at Basis of Estimate",INDEX('G-Assumptions'!$F$8:$J$11,MATCH(F102,'G-Assumptions'!$D$8:$D$11,0),MATCH(G102,'G-Assumptions'!$F$6:$J$6,0))),"Unrated")</f>
        <v>Unrated</v>
      </c>
      <c r="I102" s="759" t="s">
        <v>728</v>
      </c>
      <c r="J102" s="157" t="str">
        <f>IFERROR(IF('H-Risk Register-Model'!F102="Certain","Relook at Basis of Estimate",INDEX('G-Assumptions'!$F$8:$J$11,MATCH(F102,'G-Assumptions'!$D$8:$D$11,0),MATCH(I102,'G-Assumptions'!$F$6:$J$6,0))),"Unrated")</f>
        <v>Unrated</v>
      </c>
      <c r="K102" s="759" t="s">
        <v>728</v>
      </c>
      <c r="L102" s="759" t="s">
        <v>728</v>
      </c>
      <c r="M102" s="759"/>
      <c r="N102" s="763" t="s">
        <v>728</v>
      </c>
      <c r="O102" s="763" t="s">
        <v>728</v>
      </c>
      <c r="P102" s="764"/>
      <c r="Q102" s="764"/>
      <c r="R102" s="764"/>
      <c r="S102" s="765"/>
      <c r="T102" s="765"/>
      <c r="U102" s="765"/>
      <c r="V102" s="766"/>
      <c r="W102" s="764"/>
      <c r="X102" s="764"/>
      <c r="Y102" s="767">
        <v>1</v>
      </c>
      <c r="Z102" s="770">
        <v>1</v>
      </c>
      <c r="AA102" s="166">
        <f t="shared" si="40"/>
        <v>0</v>
      </c>
      <c r="AB102" s="166">
        <f t="shared" si="41"/>
        <v>0</v>
      </c>
      <c r="AC102" s="166">
        <f t="shared" si="42"/>
        <v>0</v>
      </c>
      <c r="AD102" s="166"/>
      <c r="AE102" s="164">
        <f t="shared" si="43"/>
        <v>0</v>
      </c>
      <c r="AF102" s="167"/>
      <c r="AG102" s="165">
        <f t="shared" si="44"/>
        <v>0</v>
      </c>
      <c r="AH102" s="760"/>
      <c r="AI102" s="760"/>
      <c r="AJ102" s="8"/>
      <c r="AK102" s="524" t="str">
        <f t="shared" si="45"/>
        <v>No</v>
      </c>
      <c r="AL102" s="525">
        <f>'I-Project Contingency'!$I$4</f>
        <v>7250000</v>
      </c>
      <c r="AM102" s="350">
        <f>'I-Project Contingency'!$I$11</f>
        <v>12</v>
      </c>
      <c r="AN102" s="349">
        <f t="shared" si="52"/>
        <v>0</v>
      </c>
      <c r="AO102" s="350">
        <f t="shared" si="53"/>
        <v>0</v>
      </c>
      <c r="AP102" s="672" t="str">
        <f t="shared" si="54"/>
        <v/>
      </c>
      <c r="AQ102" s="672" t="str">
        <f t="shared" si="55"/>
        <v/>
      </c>
      <c r="AR102" s="526" t="str">
        <f t="shared" si="57"/>
        <v/>
      </c>
      <c r="AS102" s="526" t="str">
        <f t="shared" si="56"/>
        <v/>
      </c>
      <c r="AT102" s="8"/>
      <c r="AU102" s="353">
        <f>'I-Project Contingency'!$O$4-AE102</f>
        <v>0</v>
      </c>
      <c r="AV102" s="354">
        <v>1687645.9248406207</v>
      </c>
      <c r="AW102" s="354">
        <v>3291004.7254658043</v>
      </c>
      <c r="AX102" s="354">
        <v>4159167.8232088853</v>
      </c>
      <c r="AY102" s="354">
        <f>'I-Project Contingency'!$E$66-AV102</f>
        <v>0</v>
      </c>
      <c r="AZ102" s="354">
        <f>'I-Project Contingency'!$E$69-AW102</f>
        <v>0</v>
      </c>
      <c r="BA102" s="354">
        <f>'I-Project Contingency'!$E$70-AX102</f>
        <v>0</v>
      </c>
      <c r="BB102" s="355">
        <f>'I-Project Contingency'!$O$5-AG102</f>
        <v>0</v>
      </c>
      <c r="BC102" s="356">
        <v>2.9615115956254372</v>
      </c>
      <c r="BD102" s="356">
        <v>6.001919642116226</v>
      </c>
      <c r="BE102" s="357">
        <v>7.5913096572662919</v>
      </c>
      <c r="BF102" s="356">
        <f>'I-Project Contingency'!$E$81-BC102</f>
        <v>0</v>
      </c>
      <c r="BG102" s="356">
        <f>'I-Project Contingency'!$E$84-BD102</f>
        <v>0</v>
      </c>
      <c r="BH102" s="356">
        <f>'I-Project Contingency'!$E$85-BE102</f>
        <v>0</v>
      </c>
      <c r="BI102" s="358">
        <f>IF(BK102="N/A","N/A",IF('D-Project Data'!$C$6=50%,ABS(BK102),IF('D-Project Data'!$C$6=80%,ABS(BL102),IF('D-Project Data'!$C$6=90%,ABS(BM102)))))</f>
        <v>0</v>
      </c>
      <c r="BJ102" s="359">
        <f>IF(BI102="N/A","N/A",RANK(BI102,$BI$18:$BI$116,0)+COUNTIF($BI$18:BI102,BI102)-1)</f>
        <v>85</v>
      </c>
      <c r="BK102" s="358">
        <f>IF(AY102/SUM(AY:AY)*'I-Project Contingency'!$F$66=0,0,AY102/SUM(AY:AY)*'I-Project Contingency'!$F$66)</f>
        <v>0</v>
      </c>
      <c r="BL102" s="358">
        <f>IF(AZ102/SUM(AZ:AZ)*'I-Project Contingency'!$F$69=0,0,AZ102/SUM(AZ:AZ)*'I-Project Contingency'!$F$69)</f>
        <v>0</v>
      </c>
      <c r="BM102" s="358">
        <f>IF(BA102/SUM(BA:BA)*'I-Project Contingency'!$F$70=0,0,BA102/SUM(BA:BA)*'I-Project Contingency'!$F$70)</f>
        <v>0</v>
      </c>
      <c r="BN102" s="357">
        <f>IF(BP102="N/A","N/A",IF('D-Project Data'!$C$6=50%,ABS(BP102),IF('D-Project Data'!$C$6=80%,ABS(BQ102),IF('D-Project Data'!$C$6=90%,ABS(BR102)))))</f>
        <v>0</v>
      </c>
      <c r="BO102" s="359">
        <f>IF(BN102="N/A","N/A",RANK(BN102,$BN$18:$BN$116,0)+COUNTIF($BN$18:BN102,BN102)-1)</f>
        <v>85</v>
      </c>
      <c r="BP102" s="357">
        <f>IF(BF102/SUM(BF:BF)*'I-Project Contingency'!$F$81=0,0,BF102/SUM(BF:BF)*'I-Project Contingency'!$F$81)</f>
        <v>0</v>
      </c>
      <c r="BQ102" s="357">
        <f>IF(BG102/SUM(BG:BG)*'I-Project Contingency'!$F$84=0,0,BG102/SUM(BG:BG)*'I-Project Contingency'!$F$84)</f>
        <v>0</v>
      </c>
      <c r="BR102" s="357">
        <f>IF(BH102/SUM(BH:BH)*'I-Project Contingency'!$F$85=0,0,BH102/SUM(BH:BH)*'I-Project Contingency'!$F$85)</f>
        <v>0</v>
      </c>
      <c r="BS102" s="359">
        <f t="shared" si="46"/>
        <v>85</v>
      </c>
      <c r="BT102" s="360" t="str">
        <f t="shared" si="47"/>
        <v xml:space="preserve">85 -  </v>
      </c>
      <c r="BU102" s="354">
        <f t="shared" si="48"/>
        <v>0</v>
      </c>
      <c r="BV102" s="354">
        <f t="shared" si="49"/>
        <v>0</v>
      </c>
      <c r="BW102" s="356">
        <f t="shared" si="50"/>
        <v>0</v>
      </c>
      <c r="BX102" s="356">
        <f t="shared" si="51"/>
        <v>0</v>
      </c>
    </row>
    <row r="103" spans="1:76" ht="29" x14ac:dyDescent="0.35">
      <c r="A103" s="163">
        <f t="shared" si="21"/>
        <v>86</v>
      </c>
      <c r="B103" s="758" t="s">
        <v>728</v>
      </c>
      <c r="C103" s="760" t="s">
        <v>659</v>
      </c>
      <c r="D103" s="760" t="s">
        <v>659</v>
      </c>
      <c r="E103" s="760" t="s">
        <v>659</v>
      </c>
      <c r="F103" s="759" t="s">
        <v>728</v>
      </c>
      <c r="G103" s="759" t="s">
        <v>728</v>
      </c>
      <c r="H103" s="157" t="str">
        <f>IFERROR(IF('H-Risk Register-Model'!F103="Certain","Relook at Basis of Estimate",INDEX('G-Assumptions'!$F$8:$J$11,MATCH(F103,'G-Assumptions'!$D$8:$D$11,0),MATCH(G103,'G-Assumptions'!$F$6:$J$6,0))),"Unrated")</f>
        <v>Unrated</v>
      </c>
      <c r="I103" s="759" t="s">
        <v>728</v>
      </c>
      <c r="J103" s="157" t="str">
        <f>IFERROR(IF('H-Risk Register-Model'!F103="Certain","Relook at Basis of Estimate",INDEX('G-Assumptions'!$F$8:$J$11,MATCH(F103,'G-Assumptions'!$D$8:$D$11,0),MATCH(I103,'G-Assumptions'!$F$6:$J$6,0))),"Unrated")</f>
        <v>Unrated</v>
      </c>
      <c r="K103" s="759" t="s">
        <v>728</v>
      </c>
      <c r="L103" s="759" t="s">
        <v>728</v>
      </c>
      <c r="M103" s="759"/>
      <c r="N103" s="763" t="s">
        <v>728</v>
      </c>
      <c r="O103" s="763" t="s">
        <v>728</v>
      </c>
      <c r="P103" s="764"/>
      <c r="Q103" s="764"/>
      <c r="R103" s="764"/>
      <c r="S103" s="765"/>
      <c r="T103" s="765"/>
      <c r="U103" s="765"/>
      <c r="V103" s="766"/>
      <c r="W103" s="764"/>
      <c r="X103" s="764"/>
      <c r="Y103" s="767">
        <v>1</v>
      </c>
      <c r="Z103" s="770">
        <v>1</v>
      </c>
      <c r="AA103" s="166">
        <f t="shared" si="40"/>
        <v>0</v>
      </c>
      <c r="AB103" s="166">
        <f t="shared" si="41"/>
        <v>0</v>
      </c>
      <c r="AC103" s="166">
        <f t="shared" si="42"/>
        <v>0</v>
      </c>
      <c r="AD103" s="166"/>
      <c r="AE103" s="164">
        <f t="shared" si="43"/>
        <v>0</v>
      </c>
      <c r="AF103" s="167"/>
      <c r="AG103" s="165">
        <f t="shared" si="44"/>
        <v>0</v>
      </c>
      <c r="AH103" s="760"/>
      <c r="AI103" s="760"/>
      <c r="AJ103" s="8"/>
      <c r="AK103" s="524" t="str">
        <f t="shared" si="45"/>
        <v>No</v>
      </c>
      <c r="AL103" s="525">
        <f>'I-Project Contingency'!$I$4</f>
        <v>7250000</v>
      </c>
      <c r="AM103" s="350">
        <f>'I-Project Contingency'!$I$11</f>
        <v>12</v>
      </c>
      <c r="AN103" s="349">
        <f t="shared" si="52"/>
        <v>0</v>
      </c>
      <c r="AO103" s="350">
        <f t="shared" si="53"/>
        <v>0</v>
      </c>
      <c r="AP103" s="672" t="str">
        <f t="shared" si="54"/>
        <v/>
      </c>
      <c r="AQ103" s="672" t="str">
        <f t="shared" si="55"/>
        <v/>
      </c>
      <c r="AR103" s="526" t="str">
        <f t="shared" si="57"/>
        <v/>
      </c>
      <c r="AS103" s="526" t="str">
        <f t="shared" si="56"/>
        <v/>
      </c>
      <c r="AT103" s="8"/>
      <c r="AU103" s="353">
        <f>'I-Project Contingency'!$O$4-AE103</f>
        <v>0</v>
      </c>
      <c r="AV103" s="354">
        <v>1687645.9248406207</v>
      </c>
      <c r="AW103" s="354">
        <v>3291004.7254658043</v>
      </c>
      <c r="AX103" s="354">
        <v>4159167.8232088853</v>
      </c>
      <c r="AY103" s="354">
        <f>'I-Project Contingency'!$E$66-AV103</f>
        <v>0</v>
      </c>
      <c r="AZ103" s="354">
        <f>'I-Project Contingency'!$E$69-AW103</f>
        <v>0</v>
      </c>
      <c r="BA103" s="354">
        <f>'I-Project Contingency'!$E$70-AX103</f>
        <v>0</v>
      </c>
      <c r="BB103" s="355">
        <f>'I-Project Contingency'!$O$5-AG103</f>
        <v>0</v>
      </c>
      <c r="BC103" s="356">
        <v>2.9615115956254372</v>
      </c>
      <c r="BD103" s="356">
        <v>6.001919642116226</v>
      </c>
      <c r="BE103" s="357">
        <v>7.5913096572662919</v>
      </c>
      <c r="BF103" s="356">
        <f>'I-Project Contingency'!$E$81-BC103</f>
        <v>0</v>
      </c>
      <c r="BG103" s="356">
        <f>'I-Project Contingency'!$E$84-BD103</f>
        <v>0</v>
      </c>
      <c r="BH103" s="356">
        <f>'I-Project Contingency'!$E$85-BE103</f>
        <v>0</v>
      </c>
      <c r="BI103" s="358">
        <f>IF(BK103="N/A","N/A",IF('D-Project Data'!$C$6=50%,ABS(BK103),IF('D-Project Data'!$C$6=80%,ABS(BL103),IF('D-Project Data'!$C$6=90%,ABS(BM103)))))</f>
        <v>0</v>
      </c>
      <c r="BJ103" s="359">
        <f>IF(BI103="N/A","N/A",RANK(BI103,$BI$18:$BI$116,0)+COUNTIF($BI$18:BI103,BI103)-1)</f>
        <v>86</v>
      </c>
      <c r="BK103" s="358">
        <f>IF(AY103/SUM(AY:AY)*'I-Project Contingency'!$F$66=0,0,AY103/SUM(AY:AY)*'I-Project Contingency'!$F$66)</f>
        <v>0</v>
      </c>
      <c r="BL103" s="358">
        <f>IF(AZ103/SUM(AZ:AZ)*'I-Project Contingency'!$F$69=0,0,AZ103/SUM(AZ:AZ)*'I-Project Contingency'!$F$69)</f>
        <v>0</v>
      </c>
      <c r="BM103" s="358">
        <f>IF(BA103/SUM(BA:BA)*'I-Project Contingency'!$F$70=0,0,BA103/SUM(BA:BA)*'I-Project Contingency'!$F$70)</f>
        <v>0</v>
      </c>
      <c r="BN103" s="357">
        <f>IF(BP103="N/A","N/A",IF('D-Project Data'!$C$6=50%,ABS(BP103),IF('D-Project Data'!$C$6=80%,ABS(BQ103),IF('D-Project Data'!$C$6=90%,ABS(BR103)))))</f>
        <v>0</v>
      </c>
      <c r="BO103" s="359">
        <f>IF(BN103="N/A","N/A",RANK(BN103,$BN$18:$BN$116,0)+COUNTIF($BN$18:BN103,BN103)-1)</f>
        <v>86</v>
      </c>
      <c r="BP103" s="357">
        <f>IF(BF103/SUM(BF:BF)*'I-Project Contingency'!$F$81=0,0,BF103/SUM(BF:BF)*'I-Project Contingency'!$F$81)</f>
        <v>0</v>
      </c>
      <c r="BQ103" s="357">
        <f>IF(BG103/SUM(BG:BG)*'I-Project Contingency'!$F$84=0,0,BG103/SUM(BG:BG)*'I-Project Contingency'!$F$84)</f>
        <v>0</v>
      </c>
      <c r="BR103" s="357">
        <f>IF(BH103/SUM(BH:BH)*'I-Project Contingency'!$F$85=0,0,BH103/SUM(BH:BH)*'I-Project Contingency'!$F$85)</f>
        <v>0</v>
      </c>
      <c r="BS103" s="359">
        <f t="shared" si="46"/>
        <v>86</v>
      </c>
      <c r="BT103" s="360" t="str">
        <f t="shared" si="47"/>
        <v xml:space="preserve">86 -  </v>
      </c>
      <c r="BU103" s="354">
        <f t="shared" si="48"/>
        <v>0</v>
      </c>
      <c r="BV103" s="354">
        <f t="shared" si="49"/>
        <v>0</v>
      </c>
      <c r="BW103" s="356">
        <f t="shared" si="50"/>
        <v>0</v>
      </c>
      <c r="BX103" s="356">
        <f t="shared" si="51"/>
        <v>0</v>
      </c>
    </row>
    <row r="104" spans="1:76" ht="29" x14ac:dyDescent="0.35">
      <c r="A104" s="163">
        <f t="shared" si="21"/>
        <v>87</v>
      </c>
      <c r="B104" s="758" t="s">
        <v>728</v>
      </c>
      <c r="C104" s="760" t="s">
        <v>659</v>
      </c>
      <c r="D104" s="760" t="s">
        <v>659</v>
      </c>
      <c r="E104" s="760" t="s">
        <v>659</v>
      </c>
      <c r="F104" s="759" t="s">
        <v>728</v>
      </c>
      <c r="G104" s="759" t="s">
        <v>728</v>
      </c>
      <c r="H104" s="157" t="str">
        <f>IFERROR(IF('H-Risk Register-Model'!F104="Certain","Relook at Basis of Estimate",INDEX('G-Assumptions'!$F$8:$J$11,MATCH(F104,'G-Assumptions'!$D$8:$D$11,0),MATCH(G104,'G-Assumptions'!$F$6:$J$6,0))),"Unrated")</f>
        <v>Unrated</v>
      </c>
      <c r="I104" s="759" t="s">
        <v>728</v>
      </c>
      <c r="J104" s="157" t="str">
        <f>IFERROR(IF('H-Risk Register-Model'!F104="Certain","Relook at Basis of Estimate",INDEX('G-Assumptions'!$F$8:$J$11,MATCH(F104,'G-Assumptions'!$D$8:$D$11,0),MATCH(I104,'G-Assumptions'!$F$6:$J$6,0))),"Unrated")</f>
        <v>Unrated</v>
      </c>
      <c r="K104" s="759" t="s">
        <v>728</v>
      </c>
      <c r="L104" s="759" t="s">
        <v>728</v>
      </c>
      <c r="M104" s="759"/>
      <c r="N104" s="763" t="s">
        <v>728</v>
      </c>
      <c r="O104" s="763" t="s">
        <v>728</v>
      </c>
      <c r="P104" s="764"/>
      <c r="Q104" s="764"/>
      <c r="R104" s="764"/>
      <c r="S104" s="765"/>
      <c r="T104" s="765"/>
      <c r="U104" s="765"/>
      <c r="V104" s="766"/>
      <c r="W104" s="764"/>
      <c r="X104" s="764"/>
      <c r="Y104" s="767">
        <v>1</v>
      </c>
      <c r="Z104" s="770">
        <v>1</v>
      </c>
      <c r="AA104" s="166">
        <f t="shared" si="40"/>
        <v>0</v>
      </c>
      <c r="AB104" s="166">
        <f t="shared" si="41"/>
        <v>0</v>
      </c>
      <c r="AC104" s="166">
        <f t="shared" si="42"/>
        <v>0</v>
      </c>
      <c r="AD104" s="166"/>
      <c r="AE104" s="164">
        <f t="shared" si="43"/>
        <v>0</v>
      </c>
      <c r="AF104" s="167"/>
      <c r="AG104" s="165">
        <f t="shared" si="44"/>
        <v>0</v>
      </c>
      <c r="AH104" s="760"/>
      <c r="AI104" s="760"/>
      <c r="AJ104" s="8"/>
      <c r="AK104" s="524" t="str">
        <f t="shared" si="45"/>
        <v>No</v>
      </c>
      <c r="AL104" s="525">
        <f>'I-Project Contingency'!$I$4</f>
        <v>7250000</v>
      </c>
      <c r="AM104" s="350">
        <f>'I-Project Contingency'!$I$11</f>
        <v>12</v>
      </c>
      <c r="AN104" s="349">
        <f t="shared" si="52"/>
        <v>0</v>
      </c>
      <c r="AO104" s="350">
        <f t="shared" si="53"/>
        <v>0</v>
      </c>
      <c r="AP104" s="672" t="str">
        <f t="shared" si="54"/>
        <v/>
      </c>
      <c r="AQ104" s="672" t="str">
        <f t="shared" si="55"/>
        <v/>
      </c>
      <c r="AR104" s="526" t="str">
        <f t="shared" si="57"/>
        <v/>
      </c>
      <c r="AS104" s="526" t="str">
        <f t="shared" si="56"/>
        <v/>
      </c>
      <c r="AT104" s="8"/>
      <c r="AU104" s="353">
        <f>'I-Project Contingency'!$O$4-AE104</f>
        <v>0</v>
      </c>
      <c r="AV104" s="354">
        <v>1687645.9248406207</v>
      </c>
      <c r="AW104" s="354">
        <v>3291004.7254658043</v>
      </c>
      <c r="AX104" s="354">
        <v>4159167.8232088853</v>
      </c>
      <c r="AY104" s="354">
        <f>'I-Project Contingency'!$E$66-AV104</f>
        <v>0</v>
      </c>
      <c r="AZ104" s="354">
        <f>'I-Project Contingency'!$E$69-AW104</f>
        <v>0</v>
      </c>
      <c r="BA104" s="354">
        <f>'I-Project Contingency'!$E$70-AX104</f>
        <v>0</v>
      </c>
      <c r="BB104" s="355">
        <f>'I-Project Contingency'!$O$5-AG104</f>
        <v>0</v>
      </c>
      <c r="BC104" s="356">
        <v>2.9615115956254372</v>
      </c>
      <c r="BD104" s="356">
        <v>6.001919642116226</v>
      </c>
      <c r="BE104" s="357">
        <v>7.5913096572662919</v>
      </c>
      <c r="BF104" s="356">
        <f>'I-Project Contingency'!$E$81-BC104</f>
        <v>0</v>
      </c>
      <c r="BG104" s="356">
        <f>'I-Project Contingency'!$E$84-BD104</f>
        <v>0</v>
      </c>
      <c r="BH104" s="356">
        <f>'I-Project Contingency'!$E$85-BE104</f>
        <v>0</v>
      </c>
      <c r="BI104" s="358">
        <f>IF(BK104="N/A","N/A",IF('D-Project Data'!$C$6=50%,ABS(BK104),IF('D-Project Data'!$C$6=80%,ABS(BL104),IF('D-Project Data'!$C$6=90%,ABS(BM104)))))</f>
        <v>0</v>
      </c>
      <c r="BJ104" s="359">
        <f>IF(BI104="N/A","N/A",RANK(BI104,$BI$18:$BI$116,0)+COUNTIF($BI$18:BI104,BI104)-1)</f>
        <v>87</v>
      </c>
      <c r="BK104" s="358">
        <f>IF(AY104/SUM(AY:AY)*'I-Project Contingency'!$F$66=0,0,AY104/SUM(AY:AY)*'I-Project Contingency'!$F$66)</f>
        <v>0</v>
      </c>
      <c r="BL104" s="358">
        <f>IF(AZ104/SUM(AZ:AZ)*'I-Project Contingency'!$F$69=0,0,AZ104/SUM(AZ:AZ)*'I-Project Contingency'!$F$69)</f>
        <v>0</v>
      </c>
      <c r="BM104" s="358">
        <f>IF(BA104/SUM(BA:BA)*'I-Project Contingency'!$F$70=0,0,BA104/SUM(BA:BA)*'I-Project Contingency'!$F$70)</f>
        <v>0</v>
      </c>
      <c r="BN104" s="357">
        <f>IF(BP104="N/A","N/A",IF('D-Project Data'!$C$6=50%,ABS(BP104),IF('D-Project Data'!$C$6=80%,ABS(BQ104),IF('D-Project Data'!$C$6=90%,ABS(BR104)))))</f>
        <v>0</v>
      </c>
      <c r="BO104" s="359">
        <f>IF(BN104="N/A","N/A",RANK(BN104,$BN$18:$BN$116,0)+COUNTIF($BN$18:BN104,BN104)-1)</f>
        <v>87</v>
      </c>
      <c r="BP104" s="357">
        <f>IF(BF104/SUM(BF:BF)*'I-Project Contingency'!$F$81=0,0,BF104/SUM(BF:BF)*'I-Project Contingency'!$F$81)</f>
        <v>0</v>
      </c>
      <c r="BQ104" s="357">
        <f>IF(BG104/SUM(BG:BG)*'I-Project Contingency'!$F$84=0,0,BG104/SUM(BG:BG)*'I-Project Contingency'!$F$84)</f>
        <v>0</v>
      </c>
      <c r="BR104" s="357">
        <f>IF(BH104/SUM(BH:BH)*'I-Project Contingency'!$F$85=0,0,BH104/SUM(BH:BH)*'I-Project Contingency'!$F$85)</f>
        <v>0</v>
      </c>
      <c r="BS104" s="359">
        <f t="shared" si="46"/>
        <v>87</v>
      </c>
      <c r="BT104" s="360" t="str">
        <f t="shared" si="47"/>
        <v xml:space="preserve">87 -  </v>
      </c>
      <c r="BU104" s="354">
        <f t="shared" si="48"/>
        <v>0</v>
      </c>
      <c r="BV104" s="354">
        <f t="shared" si="49"/>
        <v>0</v>
      </c>
      <c r="BW104" s="356">
        <f t="shared" si="50"/>
        <v>0</v>
      </c>
      <c r="BX104" s="356">
        <f t="shared" si="51"/>
        <v>0</v>
      </c>
    </row>
    <row r="105" spans="1:76" ht="29" x14ac:dyDescent="0.35">
      <c r="A105" s="163">
        <f t="shared" si="21"/>
        <v>88</v>
      </c>
      <c r="B105" s="758" t="s">
        <v>728</v>
      </c>
      <c r="C105" s="760" t="s">
        <v>659</v>
      </c>
      <c r="D105" s="760" t="s">
        <v>659</v>
      </c>
      <c r="E105" s="760" t="s">
        <v>659</v>
      </c>
      <c r="F105" s="759" t="s">
        <v>728</v>
      </c>
      <c r="G105" s="759" t="s">
        <v>728</v>
      </c>
      <c r="H105" s="157" t="str">
        <f>IFERROR(IF('H-Risk Register-Model'!F105="Certain","Relook at Basis of Estimate",INDEX('G-Assumptions'!$F$8:$J$11,MATCH(F105,'G-Assumptions'!$D$8:$D$11,0),MATCH(G105,'G-Assumptions'!$F$6:$J$6,0))),"Unrated")</f>
        <v>Unrated</v>
      </c>
      <c r="I105" s="759" t="s">
        <v>728</v>
      </c>
      <c r="J105" s="157" t="str">
        <f>IFERROR(IF('H-Risk Register-Model'!F105="Certain","Relook at Basis of Estimate",INDEX('G-Assumptions'!$F$8:$J$11,MATCH(F105,'G-Assumptions'!$D$8:$D$11,0),MATCH(I105,'G-Assumptions'!$F$6:$J$6,0))),"Unrated")</f>
        <v>Unrated</v>
      </c>
      <c r="K105" s="759" t="s">
        <v>728</v>
      </c>
      <c r="L105" s="759" t="s">
        <v>728</v>
      </c>
      <c r="M105" s="759"/>
      <c r="N105" s="763" t="s">
        <v>728</v>
      </c>
      <c r="O105" s="763" t="s">
        <v>728</v>
      </c>
      <c r="P105" s="764"/>
      <c r="Q105" s="764"/>
      <c r="R105" s="764"/>
      <c r="S105" s="765"/>
      <c r="T105" s="765"/>
      <c r="U105" s="765"/>
      <c r="V105" s="766"/>
      <c r="W105" s="764"/>
      <c r="X105" s="764"/>
      <c r="Y105" s="767">
        <v>1</v>
      </c>
      <c r="Z105" s="770">
        <v>1</v>
      </c>
      <c r="AA105" s="166">
        <f t="shared" si="40"/>
        <v>0</v>
      </c>
      <c r="AB105" s="166">
        <f t="shared" si="41"/>
        <v>0</v>
      </c>
      <c r="AC105" s="166">
        <f t="shared" si="42"/>
        <v>0</v>
      </c>
      <c r="AD105" s="166"/>
      <c r="AE105" s="164">
        <f t="shared" si="43"/>
        <v>0</v>
      </c>
      <c r="AF105" s="167"/>
      <c r="AG105" s="165">
        <f t="shared" si="44"/>
        <v>0</v>
      </c>
      <c r="AH105" s="760"/>
      <c r="AI105" s="760"/>
      <c r="AJ105" s="8"/>
      <c r="AK105" s="524" t="str">
        <f t="shared" si="45"/>
        <v>No</v>
      </c>
      <c r="AL105" s="525">
        <f>'I-Project Contingency'!$I$4</f>
        <v>7250000</v>
      </c>
      <c r="AM105" s="350">
        <f>'I-Project Contingency'!$I$11</f>
        <v>12</v>
      </c>
      <c r="AN105" s="349">
        <f t="shared" si="52"/>
        <v>0</v>
      </c>
      <c r="AO105" s="350">
        <f t="shared" si="53"/>
        <v>0</v>
      </c>
      <c r="AP105" s="672" t="str">
        <f t="shared" si="54"/>
        <v/>
      </c>
      <c r="AQ105" s="672" t="str">
        <f t="shared" si="55"/>
        <v/>
      </c>
      <c r="AR105" s="526" t="str">
        <f t="shared" si="57"/>
        <v/>
      </c>
      <c r="AS105" s="526" t="str">
        <f t="shared" si="56"/>
        <v/>
      </c>
      <c r="AT105" s="8"/>
      <c r="AU105" s="353">
        <f>'I-Project Contingency'!$O$4-AE105</f>
        <v>0</v>
      </c>
      <c r="AV105" s="354">
        <v>1687645.9248406207</v>
      </c>
      <c r="AW105" s="354">
        <v>3291004.7254658043</v>
      </c>
      <c r="AX105" s="354">
        <v>4159167.8232088853</v>
      </c>
      <c r="AY105" s="354">
        <f>'I-Project Contingency'!$E$66-AV105</f>
        <v>0</v>
      </c>
      <c r="AZ105" s="354">
        <f>'I-Project Contingency'!$E$69-AW105</f>
        <v>0</v>
      </c>
      <c r="BA105" s="354">
        <f>'I-Project Contingency'!$E$70-AX105</f>
        <v>0</v>
      </c>
      <c r="BB105" s="355">
        <f>'I-Project Contingency'!$O$5-AG105</f>
        <v>0</v>
      </c>
      <c r="BC105" s="356">
        <v>2.9615115956254372</v>
      </c>
      <c r="BD105" s="356">
        <v>6.001919642116226</v>
      </c>
      <c r="BE105" s="357">
        <v>7.5913096572662919</v>
      </c>
      <c r="BF105" s="356">
        <f>'I-Project Contingency'!$E$81-BC105</f>
        <v>0</v>
      </c>
      <c r="BG105" s="356">
        <f>'I-Project Contingency'!$E$84-BD105</f>
        <v>0</v>
      </c>
      <c r="BH105" s="356">
        <f>'I-Project Contingency'!$E$85-BE105</f>
        <v>0</v>
      </c>
      <c r="BI105" s="358">
        <f>IF(BK105="N/A","N/A",IF('D-Project Data'!$C$6=50%,ABS(BK105),IF('D-Project Data'!$C$6=80%,ABS(BL105),IF('D-Project Data'!$C$6=90%,ABS(BM105)))))</f>
        <v>0</v>
      </c>
      <c r="BJ105" s="359">
        <f>IF(BI105="N/A","N/A",RANK(BI105,$BI$18:$BI$116,0)+COUNTIF($BI$18:BI105,BI105)-1)</f>
        <v>88</v>
      </c>
      <c r="BK105" s="358">
        <f>IF(AY105/SUM(AY:AY)*'I-Project Contingency'!$F$66=0,0,AY105/SUM(AY:AY)*'I-Project Contingency'!$F$66)</f>
        <v>0</v>
      </c>
      <c r="BL105" s="358">
        <f>IF(AZ105/SUM(AZ:AZ)*'I-Project Contingency'!$F$69=0,0,AZ105/SUM(AZ:AZ)*'I-Project Contingency'!$F$69)</f>
        <v>0</v>
      </c>
      <c r="BM105" s="358">
        <f>IF(BA105/SUM(BA:BA)*'I-Project Contingency'!$F$70=0,0,BA105/SUM(BA:BA)*'I-Project Contingency'!$F$70)</f>
        <v>0</v>
      </c>
      <c r="BN105" s="357">
        <f>IF(BP105="N/A","N/A",IF('D-Project Data'!$C$6=50%,ABS(BP105),IF('D-Project Data'!$C$6=80%,ABS(BQ105),IF('D-Project Data'!$C$6=90%,ABS(BR105)))))</f>
        <v>0</v>
      </c>
      <c r="BO105" s="359">
        <f>IF(BN105="N/A","N/A",RANK(BN105,$BN$18:$BN$116,0)+COUNTIF($BN$18:BN105,BN105)-1)</f>
        <v>88</v>
      </c>
      <c r="BP105" s="357">
        <f>IF(BF105/SUM(BF:BF)*'I-Project Contingency'!$F$81=0,0,BF105/SUM(BF:BF)*'I-Project Contingency'!$F$81)</f>
        <v>0</v>
      </c>
      <c r="BQ105" s="357">
        <f>IF(BG105/SUM(BG:BG)*'I-Project Contingency'!$F$84=0,0,BG105/SUM(BG:BG)*'I-Project Contingency'!$F$84)</f>
        <v>0</v>
      </c>
      <c r="BR105" s="357">
        <f>IF(BH105/SUM(BH:BH)*'I-Project Contingency'!$F$85=0,0,BH105/SUM(BH:BH)*'I-Project Contingency'!$F$85)</f>
        <v>0</v>
      </c>
      <c r="BS105" s="359">
        <f t="shared" si="46"/>
        <v>88</v>
      </c>
      <c r="BT105" s="360" t="str">
        <f t="shared" si="47"/>
        <v xml:space="preserve">88 -  </v>
      </c>
      <c r="BU105" s="354">
        <f t="shared" si="48"/>
        <v>0</v>
      </c>
      <c r="BV105" s="354">
        <f t="shared" si="49"/>
        <v>0</v>
      </c>
      <c r="BW105" s="356">
        <f t="shared" si="50"/>
        <v>0</v>
      </c>
      <c r="BX105" s="356">
        <f t="shared" si="51"/>
        <v>0</v>
      </c>
    </row>
    <row r="106" spans="1:76" ht="29" x14ac:dyDescent="0.35">
      <c r="A106" s="163">
        <f t="shared" si="21"/>
        <v>89</v>
      </c>
      <c r="B106" s="758" t="s">
        <v>728</v>
      </c>
      <c r="C106" s="760" t="s">
        <v>659</v>
      </c>
      <c r="D106" s="760" t="s">
        <v>659</v>
      </c>
      <c r="E106" s="760" t="s">
        <v>659</v>
      </c>
      <c r="F106" s="759" t="s">
        <v>728</v>
      </c>
      <c r="G106" s="759" t="s">
        <v>728</v>
      </c>
      <c r="H106" s="157" t="str">
        <f>IFERROR(IF('H-Risk Register-Model'!F106="Certain","Relook at Basis of Estimate",INDEX('G-Assumptions'!$F$8:$J$11,MATCH(F106,'G-Assumptions'!$D$8:$D$11,0),MATCH(G106,'G-Assumptions'!$F$6:$J$6,0))),"Unrated")</f>
        <v>Unrated</v>
      </c>
      <c r="I106" s="759" t="s">
        <v>728</v>
      </c>
      <c r="J106" s="157" t="str">
        <f>IFERROR(IF('H-Risk Register-Model'!F106="Certain","Relook at Basis of Estimate",INDEX('G-Assumptions'!$F$8:$J$11,MATCH(F106,'G-Assumptions'!$D$8:$D$11,0),MATCH(I106,'G-Assumptions'!$F$6:$J$6,0))),"Unrated")</f>
        <v>Unrated</v>
      </c>
      <c r="K106" s="759" t="s">
        <v>728</v>
      </c>
      <c r="L106" s="759" t="s">
        <v>728</v>
      </c>
      <c r="M106" s="759"/>
      <c r="N106" s="763" t="s">
        <v>728</v>
      </c>
      <c r="O106" s="763" t="s">
        <v>728</v>
      </c>
      <c r="P106" s="764"/>
      <c r="Q106" s="764"/>
      <c r="R106" s="764"/>
      <c r="S106" s="765"/>
      <c r="T106" s="765"/>
      <c r="U106" s="765"/>
      <c r="V106" s="766"/>
      <c r="W106" s="764"/>
      <c r="X106" s="764"/>
      <c r="Y106" s="767">
        <v>1</v>
      </c>
      <c r="Z106" s="770">
        <v>1</v>
      </c>
      <c r="AA106" s="166">
        <f t="shared" si="40"/>
        <v>0</v>
      </c>
      <c r="AB106" s="166">
        <f t="shared" si="41"/>
        <v>0</v>
      </c>
      <c r="AC106" s="166">
        <f t="shared" si="42"/>
        <v>0</v>
      </c>
      <c r="AD106" s="166"/>
      <c r="AE106" s="164">
        <f t="shared" si="43"/>
        <v>0</v>
      </c>
      <c r="AF106" s="167"/>
      <c r="AG106" s="165">
        <f t="shared" si="44"/>
        <v>0</v>
      </c>
      <c r="AH106" s="760"/>
      <c r="AI106" s="760"/>
      <c r="AJ106" s="8"/>
      <c r="AK106" s="524" t="str">
        <f t="shared" si="45"/>
        <v>No</v>
      </c>
      <c r="AL106" s="525">
        <f>'I-Project Contingency'!$I$4</f>
        <v>7250000</v>
      </c>
      <c r="AM106" s="350">
        <f>'I-Project Contingency'!$I$11</f>
        <v>12</v>
      </c>
      <c r="AN106" s="349">
        <f t="shared" si="52"/>
        <v>0</v>
      </c>
      <c r="AO106" s="350">
        <f t="shared" si="53"/>
        <v>0</v>
      </c>
      <c r="AP106" s="672" t="str">
        <f t="shared" si="54"/>
        <v/>
      </c>
      <c r="AQ106" s="672" t="str">
        <f t="shared" si="55"/>
        <v/>
      </c>
      <c r="AR106" s="526" t="str">
        <f t="shared" si="57"/>
        <v/>
      </c>
      <c r="AS106" s="526" t="str">
        <f t="shared" si="56"/>
        <v/>
      </c>
      <c r="AT106" s="8"/>
      <c r="AU106" s="353">
        <f>'I-Project Contingency'!$O$4-AE106</f>
        <v>0</v>
      </c>
      <c r="AV106" s="354">
        <v>1687645.9248406207</v>
      </c>
      <c r="AW106" s="354">
        <v>3291004.7254658043</v>
      </c>
      <c r="AX106" s="354">
        <v>4159167.8232088853</v>
      </c>
      <c r="AY106" s="354">
        <f>'I-Project Contingency'!$E$66-AV106</f>
        <v>0</v>
      </c>
      <c r="AZ106" s="354">
        <f>'I-Project Contingency'!$E$69-AW106</f>
        <v>0</v>
      </c>
      <c r="BA106" s="354">
        <f>'I-Project Contingency'!$E$70-AX106</f>
        <v>0</v>
      </c>
      <c r="BB106" s="355">
        <f>'I-Project Contingency'!$O$5-AG106</f>
        <v>0</v>
      </c>
      <c r="BC106" s="356">
        <v>2.9615115956254372</v>
      </c>
      <c r="BD106" s="356">
        <v>6.001919642116226</v>
      </c>
      <c r="BE106" s="357">
        <v>7.5913096572662919</v>
      </c>
      <c r="BF106" s="356">
        <f>'I-Project Contingency'!$E$81-BC106</f>
        <v>0</v>
      </c>
      <c r="BG106" s="356">
        <f>'I-Project Contingency'!$E$84-BD106</f>
        <v>0</v>
      </c>
      <c r="BH106" s="356">
        <f>'I-Project Contingency'!$E$85-BE106</f>
        <v>0</v>
      </c>
      <c r="BI106" s="358">
        <f>IF(BK106="N/A","N/A",IF('D-Project Data'!$C$6=50%,ABS(BK106),IF('D-Project Data'!$C$6=80%,ABS(BL106),IF('D-Project Data'!$C$6=90%,ABS(BM106)))))</f>
        <v>0</v>
      </c>
      <c r="BJ106" s="359">
        <f>IF(BI106="N/A","N/A",RANK(BI106,$BI$18:$BI$116,0)+COUNTIF($BI$18:BI106,BI106)-1)</f>
        <v>89</v>
      </c>
      <c r="BK106" s="358">
        <f>IF(AY106/SUM(AY:AY)*'I-Project Contingency'!$F$66=0,0,AY106/SUM(AY:AY)*'I-Project Contingency'!$F$66)</f>
        <v>0</v>
      </c>
      <c r="BL106" s="358">
        <f>IF(AZ106/SUM(AZ:AZ)*'I-Project Contingency'!$F$69=0,0,AZ106/SUM(AZ:AZ)*'I-Project Contingency'!$F$69)</f>
        <v>0</v>
      </c>
      <c r="BM106" s="358">
        <f>IF(BA106/SUM(BA:BA)*'I-Project Contingency'!$F$70=0,0,BA106/SUM(BA:BA)*'I-Project Contingency'!$F$70)</f>
        <v>0</v>
      </c>
      <c r="BN106" s="357">
        <f>IF(BP106="N/A","N/A",IF('D-Project Data'!$C$6=50%,ABS(BP106),IF('D-Project Data'!$C$6=80%,ABS(BQ106),IF('D-Project Data'!$C$6=90%,ABS(BR106)))))</f>
        <v>0</v>
      </c>
      <c r="BO106" s="359">
        <f>IF(BN106="N/A","N/A",RANK(BN106,$BN$18:$BN$116,0)+COUNTIF($BN$18:BN106,BN106)-1)</f>
        <v>89</v>
      </c>
      <c r="BP106" s="357">
        <f>IF(BF106/SUM(BF:BF)*'I-Project Contingency'!$F$81=0,0,BF106/SUM(BF:BF)*'I-Project Contingency'!$F$81)</f>
        <v>0</v>
      </c>
      <c r="BQ106" s="357">
        <f>IF(BG106/SUM(BG:BG)*'I-Project Contingency'!$F$84=0,0,BG106/SUM(BG:BG)*'I-Project Contingency'!$F$84)</f>
        <v>0</v>
      </c>
      <c r="BR106" s="357">
        <f>IF(BH106/SUM(BH:BH)*'I-Project Contingency'!$F$85=0,0,BH106/SUM(BH:BH)*'I-Project Contingency'!$F$85)</f>
        <v>0</v>
      </c>
      <c r="BS106" s="359">
        <f t="shared" si="46"/>
        <v>89</v>
      </c>
      <c r="BT106" s="360" t="str">
        <f t="shared" si="47"/>
        <v xml:space="preserve">89 -  </v>
      </c>
      <c r="BU106" s="354">
        <f t="shared" si="48"/>
        <v>0</v>
      </c>
      <c r="BV106" s="354">
        <f t="shared" si="49"/>
        <v>0</v>
      </c>
      <c r="BW106" s="356">
        <f t="shared" si="50"/>
        <v>0</v>
      </c>
      <c r="BX106" s="356">
        <f t="shared" si="51"/>
        <v>0</v>
      </c>
    </row>
    <row r="107" spans="1:76" ht="29" x14ac:dyDescent="0.35">
      <c r="A107" s="163">
        <f t="shared" si="21"/>
        <v>90</v>
      </c>
      <c r="B107" s="758" t="s">
        <v>728</v>
      </c>
      <c r="C107" s="760" t="s">
        <v>659</v>
      </c>
      <c r="D107" s="760" t="s">
        <v>659</v>
      </c>
      <c r="E107" s="760" t="s">
        <v>659</v>
      </c>
      <c r="F107" s="759" t="s">
        <v>728</v>
      </c>
      <c r="G107" s="759" t="s">
        <v>728</v>
      </c>
      <c r="H107" s="157" t="str">
        <f>IFERROR(IF('H-Risk Register-Model'!F107="Certain","Relook at Basis of Estimate",INDEX('G-Assumptions'!$F$8:$J$11,MATCH(F107,'G-Assumptions'!$D$8:$D$11,0),MATCH(G107,'G-Assumptions'!$F$6:$J$6,0))),"Unrated")</f>
        <v>Unrated</v>
      </c>
      <c r="I107" s="759" t="s">
        <v>728</v>
      </c>
      <c r="J107" s="157" t="str">
        <f>IFERROR(IF('H-Risk Register-Model'!F107="Certain","Relook at Basis of Estimate",INDEX('G-Assumptions'!$F$8:$J$11,MATCH(F107,'G-Assumptions'!$D$8:$D$11,0),MATCH(I107,'G-Assumptions'!$F$6:$J$6,0))),"Unrated")</f>
        <v>Unrated</v>
      </c>
      <c r="K107" s="759" t="s">
        <v>728</v>
      </c>
      <c r="L107" s="759" t="s">
        <v>728</v>
      </c>
      <c r="M107" s="759"/>
      <c r="N107" s="763" t="s">
        <v>728</v>
      </c>
      <c r="O107" s="763" t="s">
        <v>728</v>
      </c>
      <c r="P107" s="764"/>
      <c r="Q107" s="764"/>
      <c r="R107" s="764"/>
      <c r="S107" s="765"/>
      <c r="T107" s="765"/>
      <c r="U107" s="765"/>
      <c r="V107" s="766"/>
      <c r="W107" s="764"/>
      <c r="X107" s="764"/>
      <c r="Y107" s="767">
        <v>1</v>
      </c>
      <c r="Z107" s="770">
        <v>1</v>
      </c>
      <c r="AA107" s="166">
        <f t="shared" si="40"/>
        <v>0</v>
      </c>
      <c r="AB107" s="166">
        <f t="shared" si="41"/>
        <v>0</v>
      </c>
      <c r="AC107" s="166">
        <f t="shared" si="42"/>
        <v>0</v>
      </c>
      <c r="AD107" s="166"/>
      <c r="AE107" s="164">
        <f t="shared" si="43"/>
        <v>0</v>
      </c>
      <c r="AF107" s="167"/>
      <c r="AG107" s="165">
        <f t="shared" si="44"/>
        <v>0</v>
      </c>
      <c r="AH107" s="760"/>
      <c r="AI107" s="760"/>
      <c r="AJ107" s="8"/>
      <c r="AK107" s="524" t="str">
        <f t="shared" si="45"/>
        <v>No</v>
      </c>
      <c r="AL107" s="525">
        <f>'I-Project Contingency'!$I$4</f>
        <v>7250000</v>
      </c>
      <c r="AM107" s="350">
        <f>'I-Project Contingency'!$I$11</f>
        <v>12</v>
      </c>
      <c r="AN107" s="349">
        <f t="shared" si="52"/>
        <v>0</v>
      </c>
      <c r="AO107" s="350">
        <f t="shared" si="53"/>
        <v>0</v>
      </c>
      <c r="AP107" s="672" t="str">
        <f t="shared" si="54"/>
        <v/>
      </c>
      <c r="AQ107" s="672" t="str">
        <f t="shared" si="55"/>
        <v/>
      </c>
      <c r="AR107" s="526" t="str">
        <f t="shared" si="57"/>
        <v/>
      </c>
      <c r="AS107" s="526" t="str">
        <f t="shared" si="56"/>
        <v/>
      </c>
      <c r="AT107" s="8"/>
      <c r="AU107" s="353">
        <f>'I-Project Contingency'!$O$4-AE107</f>
        <v>0</v>
      </c>
      <c r="AV107" s="354">
        <v>1687645.9248406207</v>
      </c>
      <c r="AW107" s="354">
        <v>3291004.7254658043</v>
      </c>
      <c r="AX107" s="354">
        <v>4159167.8232088853</v>
      </c>
      <c r="AY107" s="354">
        <f>'I-Project Contingency'!$E$66-AV107</f>
        <v>0</v>
      </c>
      <c r="AZ107" s="354">
        <f>'I-Project Contingency'!$E$69-AW107</f>
        <v>0</v>
      </c>
      <c r="BA107" s="354">
        <f>'I-Project Contingency'!$E$70-AX107</f>
        <v>0</v>
      </c>
      <c r="BB107" s="355">
        <f>'I-Project Contingency'!$O$5-AG107</f>
        <v>0</v>
      </c>
      <c r="BC107" s="356">
        <v>2.9615115956254372</v>
      </c>
      <c r="BD107" s="356">
        <v>6.001919642116226</v>
      </c>
      <c r="BE107" s="357">
        <v>7.5913096572662919</v>
      </c>
      <c r="BF107" s="356">
        <f>'I-Project Contingency'!$E$81-BC107</f>
        <v>0</v>
      </c>
      <c r="BG107" s="356">
        <f>'I-Project Contingency'!$E$84-BD107</f>
        <v>0</v>
      </c>
      <c r="BH107" s="356">
        <f>'I-Project Contingency'!$E$85-BE107</f>
        <v>0</v>
      </c>
      <c r="BI107" s="358">
        <f>IF(BK107="N/A","N/A",IF('D-Project Data'!$C$6=50%,ABS(BK107),IF('D-Project Data'!$C$6=80%,ABS(BL107),IF('D-Project Data'!$C$6=90%,ABS(BM107)))))</f>
        <v>0</v>
      </c>
      <c r="BJ107" s="359">
        <f>IF(BI107="N/A","N/A",RANK(BI107,$BI$18:$BI$116,0)+COUNTIF($BI$18:BI107,BI107)-1)</f>
        <v>90</v>
      </c>
      <c r="BK107" s="358">
        <f>IF(AY107/SUM(AY:AY)*'I-Project Contingency'!$F$66=0,0,AY107/SUM(AY:AY)*'I-Project Contingency'!$F$66)</f>
        <v>0</v>
      </c>
      <c r="BL107" s="358">
        <f>IF(AZ107/SUM(AZ:AZ)*'I-Project Contingency'!$F$69=0,0,AZ107/SUM(AZ:AZ)*'I-Project Contingency'!$F$69)</f>
        <v>0</v>
      </c>
      <c r="BM107" s="358">
        <f>IF(BA107/SUM(BA:BA)*'I-Project Contingency'!$F$70=0,0,BA107/SUM(BA:BA)*'I-Project Contingency'!$F$70)</f>
        <v>0</v>
      </c>
      <c r="BN107" s="357">
        <f>IF(BP107="N/A","N/A",IF('D-Project Data'!$C$6=50%,ABS(BP107),IF('D-Project Data'!$C$6=80%,ABS(BQ107),IF('D-Project Data'!$C$6=90%,ABS(BR107)))))</f>
        <v>0</v>
      </c>
      <c r="BO107" s="359">
        <f>IF(BN107="N/A","N/A",RANK(BN107,$BN$18:$BN$116,0)+COUNTIF($BN$18:BN107,BN107)-1)</f>
        <v>90</v>
      </c>
      <c r="BP107" s="357">
        <f>IF(BF107/SUM(BF:BF)*'I-Project Contingency'!$F$81=0,0,BF107/SUM(BF:BF)*'I-Project Contingency'!$F$81)</f>
        <v>0</v>
      </c>
      <c r="BQ107" s="357">
        <f>IF(BG107/SUM(BG:BG)*'I-Project Contingency'!$F$84=0,0,BG107/SUM(BG:BG)*'I-Project Contingency'!$F$84)</f>
        <v>0</v>
      </c>
      <c r="BR107" s="357">
        <f>IF(BH107/SUM(BH:BH)*'I-Project Contingency'!$F$85=0,0,BH107/SUM(BH:BH)*'I-Project Contingency'!$F$85)</f>
        <v>0</v>
      </c>
      <c r="BS107" s="359">
        <f t="shared" si="46"/>
        <v>90</v>
      </c>
      <c r="BT107" s="360" t="str">
        <f t="shared" si="47"/>
        <v xml:space="preserve">90 -  </v>
      </c>
      <c r="BU107" s="354">
        <f t="shared" si="48"/>
        <v>0</v>
      </c>
      <c r="BV107" s="354">
        <f t="shared" si="49"/>
        <v>0</v>
      </c>
      <c r="BW107" s="356">
        <f t="shared" si="50"/>
        <v>0</v>
      </c>
      <c r="BX107" s="356">
        <f t="shared" si="51"/>
        <v>0</v>
      </c>
    </row>
    <row r="108" spans="1:76" ht="29" x14ac:dyDescent="0.35">
      <c r="A108" s="163">
        <f t="shared" si="21"/>
        <v>91</v>
      </c>
      <c r="B108" s="758" t="s">
        <v>728</v>
      </c>
      <c r="C108" s="760" t="s">
        <v>659</v>
      </c>
      <c r="D108" s="760" t="s">
        <v>659</v>
      </c>
      <c r="E108" s="760" t="s">
        <v>659</v>
      </c>
      <c r="F108" s="759" t="s">
        <v>728</v>
      </c>
      <c r="G108" s="759" t="s">
        <v>728</v>
      </c>
      <c r="H108" s="157" t="str">
        <f>IFERROR(IF('H-Risk Register-Model'!F108="Certain","Relook at Basis of Estimate",INDEX('G-Assumptions'!$F$8:$J$11,MATCH(F108,'G-Assumptions'!$D$8:$D$11,0),MATCH(G108,'G-Assumptions'!$F$6:$J$6,0))),"Unrated")</f>
        <v>Unrated</v>
      </c>
      <c r="I108" s="759" t="s">
        <v>728</v>
      </c>
      <c r="J108" s="157" t="str">
        <f>IFERROR(IF('H-Risk Register-Model'!F108="Certain","Relook at Basis of Estimate",INDEX('G-Assumptions'!$F$8:$J$11,MATCH(F108,'G-Assumptions'!$D$8:$D$11,0),MATCH(I108,'G-Assumptions'!$F$6:$J$6,0))),"Unrated")</f>
        <v>Unrated</v>
      </c>
      <c r="K108" s="759" t="s">
        <v>728</v>
      </c>
      <c r="L108" s="759" t="s">
        <v>728</v>
      </c>
      <c r="M108" s="759"/>
      <c r="N108" s="763" t="s">
        <v>728</v>
      </c>
      <c r="O108" s="763" t="s">
        <v>728</v>
      </c>
      <c r="P108" s="764"/>
      <c r="Q108" s="764"/>
      <c r="R108" s="764"/>
      <c r="S108" s="765"/>
      <c r="T108" s="765"/>
      <c r="U108" s="765"/>
      <c r="V108" s="766"/>
      <c r="W108" s="764"/>
      <c r="X108" s="764"/>
      <c r="Y108" s="767">
        <v>1</v>
      </c>
      <c r="Z108" s="770">
        <v>1</v>
      </c>
      <c r="AA108" s="166">
        <f t="shared" si="40"/>
        <v>0</v>
      </c>
      <c r="AB108" s="166">
        <f t="shared" si="41"/>
        <v>0</v>
      </c>
      <c r="AC108" s="166">
        <f t="shared" si="42"/>
        <v>0</v>
      </c>
      <c r="AD108" s="166"/>
      <c r="AE108" s="164">
        <f t="shared" si="43"/>
        <v>0</v>
      </c>
      <c r="AF108" s="167"/>
      <c r="AG108" s="165">
        <f t="shared" si="44"/>
        <v>0</v>
      </c>
      <c r="AH108" s="760"/>
      <c r="AI108" s="760"/>
      <c r="AJ108" s="8"/>
      <c r="AK108" s="524" t="str">
        <f t="shared" si="45"/>
        <v>No</v>
      </c>
      <c r="AL108" s="525">
        <f>'I-Project Contingency'!$I$4</f>
        <v>7250000</v>
      </c>
      <c r="AM108" s="350">
        <f>'I-Project Contingency'!$I$11</f>
        <v>12</v>
      </c>
      <c r="AN108" s="349">
        <f t="shared" si="52"/>
        <v>0</v>
      </c>
      <c r="AO108" s="350">
        <f t="shared" si="53"/>
        <v>0</v>
      </c>
      <c r="AP108" s="672" t="str">
        <f t="shared" si="54"/>
        <v/>
      </c>
      <c r="AQ108" s="672" t="str">
        <f t="shared" si="55"/>
        <v/>
      </c>
      <c r="AR108" s="526" t="str">
        <f t="shared" si="57"/>
        <v/>
      </c>
      <c r="AS108" s="526" t="str">
        <f t="shared" si="56"/>
        <v/>
      </c>
      <c r="AT108" s="8"/>
      <c r="AU108" s="353">
        <f>'I-Project Contingency'!$O$4-AE108</f>
        <v>0</v>
      </c>
      <c r="AV108" s="354">
        <v>1687645.9248406207</v>
      </c>
      <c r="AW108" s="354">
        <v>3291004.7254658043</v>
      </c>
      <c r="AX108" s="354">
        <v>4159167.8232088853</v>
      </c>
      <c r="AY108" s="354">
        <f>'I-Project Contingency'!$E$66-AV108</f>
        <v>0</v>
      </c>
      <c r="AZ108" s="354">
        <f>'I-Project Contingency'!$E$69-AW108</f>
        <v>0</v>
      </c>
      <c r="BA108" s="354">
        <f>'I-Project Contingency'!$E$70-AX108</f>
        <v>0</v>
      </c>
      <c r="BB108" s="355">
        <f>'I-Project Contingency'!$O$5-AG108</f>
        <v>0</v>
      </c>
      <c r="BC108" s="356">
        <v>2.9615115956254372</v>
      </c>
      <c r="BD108" s="356">
        <v>6.001919642116226</v>
      </c>
      <c r="BE108" s="357">
        <v>7.5913096572662919</v>
      </c>
      <c r="BF108" s="356">
        <f>'I-Project Contingency'!$E$81-BC108</f>
        <v>0</v>
      </c>
      <c r="BG108" s="356">
        <f>'I-Project Contingency'!$E$84-BD108</f>
        <v>0</v>
      </c>
      <c r="BH108" s="356">
        <f>'I-Project Contingency'!$E$85-BE108</f>
        <v>0</v>
      </c>
      <c r="BI108" s="358">
        <f>IF(BK108="N/A","N/A",IF('D-Project Data'!$C$6=50%,ABS(BK108),IF('D-Project Data'!$C$6=80%,ABS(BL108),IF('D-Project Data'!$C$6=90%,ABS(BM108)))))</f>
        <v>0</v>
      </c>
      <c r="BJ108" s="359">
        <f>IF(BI108="N/A","N/A",RANK(BI108,$BI$18:$BI$116,0)+COUNTIF($BI$18:BI108,BI108)-1)</f>
        <v>91</v>
      </c>
      <c r="BK108" s="358">
        <f>IF(AY108/SUM(AY:AY)*'I-Project Contingency'!$F$66=0,0,AY108/SUM(AY:AY)*'I-Project Contingency'!$F$66)</f>
        <v>0</v>
      </c>
      <c r="BL108" s="358">
        <f>IF(AZ108/SUM(AZ:AZ)*'I-Project Contingency'!$F$69=0,0,AZ108/SUM(AZ:AZ)*'I-Project Contingency'!$F$69)</f>
        <v>0</v>
      </c>
      <c r="BM108" s="358">
        <f>IF(BA108/SUM(BA:BA)*'I-Project Contingency'!$F$70=0,0,BA108/SUM(BA:BA)*'I-Project Contingency'!$F$70)</f>
        <v>0</v>
      </c>
      <c r="BN108" s="357">
        <f>IF(BP108="N/A","N/A",IF('D-Project Data'!$C$6=50%,ABS(BP108),IF('D-Project Data'!$C$6=80%,ABS(BQ108),IF('D-Project Data'!$C$6=90%,ABS(BR108)))))</f>
        <v>0</v>
      </c>
      <c r="BO108" s="359">
        <f>IF(BN108="N/A","N/A",RANK(BN108,$BN$18:$BN$116,0)+COUNTIF($BN$18:BN108,BN108)-1)</f>
        <v>91</v>
      </c>
      <c r="BP108" s="357">
        <f>IF(BF108/SUM(BF:BF)*'I-Project Contingency'!$F$81=0,0,BF108/SUM(BF:BF)*'I-Project Contingency'!$F$81)</f>
        <v>0</v>
      </c>
      <c r="BQ108" s="357">
        <f>IF(BG108/SUM(BG:BG)*'I-Project Contingency'!$F$84=0,0,BG108/SUM(BG:BG)*'I-Project Contingency'!$F$84)</f>
        <v>0</v>
      </c>
      <c r="BR108" s="357">
        <f>IF(BH108/SUM(BH:BH)*'I-Project Contingency'!$F$85=0,0,BH108/SUM(BH:BH)*'I-Project Contingency'!$F$85)</f>
        <v>0</v>
      </c>
      <c r="BS108" s="359">
        <f t="shared" si="46"/>
        <v>91</v>
      </c>
      <c r="BT108" s="360" t="str">
        <f t="shared" si="47"/>
        <v xml:space="preserve">91 -  </v>
      </c>
      <c r="BU108" s="354">
        <f t="shared" si="48"/>
        <v>0</v>
      </c>
      <c r="BV108" s="354">
        <f t="shared" si="49"/>
        <v>0</v>
      </c>
      <c r="BW108" s="356">
        <f t="shared" si="50"/>
        <v>0</v>
      </c>
      <c r="BX108" s="356">
        <f t="shared" si="51"/>
        <v>0</v>
      </c>
    </row>
    <row r="109" spans="1:76" ht="29" x14ac:dyDescent="0.35">
      <c r="A109" s="163">
        <f t="shared" si="21"/>
        <v>92</v>
      </c>
      <c r="B109" s="758" t="s">
        <v>728</v>
      </c>
      <c r="C109" s="760" t="s">
        <v>659</v>
      </c>
      <c r="D109" s="760" t="s">
        <v>659</v>
      </c>
      <c r="E109" s="760" t="s">
        <v>659</v>
      </c>
      <c r="F109" s="759" t="s">
        <v>728</v>
      </c>
      <c r="G109" s="759" t="s">
        <v>728</v>
      </c>
      <c r="H109" s="157" t="str">
        <f>IFERROR(IF('H-Risk Register-Model'!F109="Certain","Relook at Basis of Estimate",INDEX('G-Assumptions'!$F$8:$J$11,MATCH(F109,'G-Assumptions'!$D$8:$D$11,0),MATCH(G109,'G-Assumptions'!$F$6:$J$6,0))),"Unrated")</f>
        <v>Unrated</v>
      </c>
      <c r="I109" s="759" t="s">
        <v>728</v>
      </c>
      <c r="J109" s="157" t="str">
        <f>IFERROR(IF('H-Risk Register-Model'!F109="Certain","Relook at Basis of Estimate",INDEX('G-Assumptions'!$F$8:$J$11,MATCH(F109,'G-Assumptions'!$D$8:$D$11,0),MATCH(I109,'G-Assumptions'!$F$6:$J$6,0))),"Unrated")</f>
        <v>Unrated</v>
      </c>
      <c r="K109" s="759" t="s">
        <v>728</v>
      </c>
      <c r="L109" s="759" t="s">
        <v>728</v>
      </c>
      <c r="M109" s="759"/>
      <c r="N109" s="763" t="s">
        <v>728</v>
      </c>
      <c r="O109" s="763" t="s">
        <v>728</v>
      </c>
      <c r="P109" s="764"/>
      <c r="Q109" s="764"/>
      <c r="R109" s="764"/>
      <c r="S109" s="765"/>
      <c r="T109" s="765"/>
      <c r="U109" s="765"/>
      <c r="V109" s="766"/>
      <c r="W109" s="764"/>
      <c r="X109" s="764"/>
      <c r="Y109" s="767">
        <v>1</v>
      </c>
      <c r="Z109" s="770">
        <v>1</v>
      </c>
      <c r="AA109" s="166">
        <f t="shared" si="40"/>
        <v>0</v>
      </c>
      <c r="AB109" s="166">
        <f t="shared" si="41"/>
        <v>0</v>
      </c>
      <c r="AC109" s="166">
        <f t="shared" si="42"/>
        <v>0</v>
      </c>
      <c r="AD109" s="166"/>
      <c r="AE109" s="164">
        <f t="shared" si="43"/>
        <v>0</v>
      </c>
      <c r="AF109" s="167"/>
      <c r="AG109" s="165">
        <f t="shared" si="44"/>
        <v>0</v>
      </c>
      <c r="AH109" s="760"/>
      <c r="AI109" s="760"/>
      <c r="AJ109" s="8"/>
      <c r="AK109" s="524" t="str">
        <f t="shared" si="45"/>
        <v>No</v>
      </c>
      <c r="AL109" s="525">
        <f>'I-Project Contingency'!$I$4</f>
        <v>7250000</v>
      </c>
      <c r="AM109" s="350">
        <f>'I-Project Contingency'!$I$11</f>
        <v>12</v>
      </c>
      <c r="AN109" s="349">
        <f t="shared" si="52"/>
        <v>0</v>
      </c>
      <c r="AO109" s="350">
        <f t="shared" si="53"/>
        <v>0</v>
      </c>
      <c r="AP109" s="672" t="str">
        <f t="shared" si="54"/>
        <v/>
      </c>
      <c r="AQ109" s="672" t="str">
        <f t="shared" si="55"/>
        <v/>
      </c>
      <c r="AR109" s="526" t="str">
        <f t="shared" si="57"/>
        <v/>
      </c>
      <c r="AS109" s="526" t="str">
        <f t="shared" si="56"/>
        <v/>
      </c>
      <c r="AT109" s="8"/>
      <c r="AU109" s="353">
        <f>'I-Project Contingency'!$O$4-AE109</f>
        <v>0</v>
      </c>
      <c r="AV109" s="354">
        <v>1687645.9248406207</v>
      </c>
      <c r="AW109" s="354">
        <v>3291004.7254658043</v>
      </c>
      <c r="AX109" s="354">
        <v>4159167.8232088853</v>
      </c>
      <c r="AY109" s="354">
        <f>'I-Project Contingency'!$E$66-AV109</f>
        <v>0</v>
      </c>
      <c r="AZ109" s="354">
        <f>'I-Project Contingency'!$E$69-AW109</f>
        <v>0</v>
      </c>
      <c r="BA109" s="354">
        <f>'I-Project Contingency'!$E$70-AX109</f>
        <v>0</v>
      </c>
      <c r="BB109" s="355">
        <f>'I-Project Contingency'!$O$5-AG109</f>
        <v>0</v>
      </c>
      <c r="BC109" s="356">
        <v>2.9615115956254372</v>
      </c>
      <c r="BD109" s="356">
        <v>6.001919642116226</v>
      </c>
      <c r="BE109" s="357">
        <v>7.5913096572662919</v>
      </c>
      <c r="BF109" s="356">
        <f>'I-Project Contingency'!$E$81-BC109</f>
        <v>0</v>
      </c>
      <c r="BG109" s="356">
        <f>'I-Project Contingency'!$E$84-BD109</f>
        <v>0</v>
      </c>
      <c r="BH109" s="356">
        <f>'I-Project Contingency'!$E$85-BE109</f>
        <v>0</v>
      </c>
      <c r="BI109" s="358">
        <f>IF(BK109="N/A","N/A",IF('D-Project Data'!$C$6=50%,ABS(BK109),IF('D-Project Data'!$C$6=80%,ABS(BL109),IF('D-Project Data'!$C$6=90%,ABS(BM109)))))</f>
        <v>0</v>
      </c>
      <c r="BJ109" s="359">
        <f>IF(BI109="N/A","N/A",RANK(BI109,$BI$18:$BI$116,0)+COUNTIF($BI$18:BI109,BI109)-1)</f>
        <v>92</v>
      </c>
      <c r="BK109" s="358">
        <f>IF(AY109/SUM(AY:AY)*'I-Project Contingency'!$F$66=0,0,AY109/SUM(AY:AY)*'I-Project Contingency'!$F$66)</f>
        <v>0</v>
      </c>
      <c r="BL109" s="358">
        <f>IF(AZ109/SUM(AZ:AZ)*'I-Project Contingency'!$F$69=0,0,AZ109/SUM(AZ:AZ)*'I-Project Contingency'!$F$69)</f>
        <v>0</v>
      </c>
      <c r="BM109" s="358">
        <f>IF(BA109/SUM(BA:BA)*'I-Project Contingency'!$F$70=0,0,BA109/SUM(BA:BA)*'I-Project Contingency'!$F$70)</f>
        <v>0</v>
      </c>
      <c r="BN109" s="357">
        <f>IF(BP109="N/A","N/A",IF('D-Project Data'!$C$6=50%,ABS(BP109),IF('D-Project Data'!$C$6=80%,ABS(BQ109),IF('D-Project Data'!$C$6=90%,ABS(BR109)))))</f>
        <v>0</v>
      </c>
      <c r="BO109" s="359">
        <f>IF(BN109="N/A","N/A",RANK(BN109,$BN$18:$BN$116,0)+COUNTIF($BN$18:BN109,BN109)-1)</f>
        <v>92</v>
      </c>
      <c r="BP109" s="357">
        <f>IF(BF109/SUM(BF:BF)*'I-Project Contingency'!$F$81=0,0,BF109/SUM(BF:BF)*'I-Project Contingency'!$F$81)</f>
        <v>0</v>
      </c>
      <c r="BQ109" s="357">
        <f>IF(BG109/SUM(BG:BG)*'I-Project Contingency'!$F$84=0,0,BG109/SUM(BG:BG)*'I-Project Contingency'!$F$84)</f>
        <v>0</v>
      </c>
      <c r="BR109" s="357">
        <f>IF(BH109/SUM(BH:BH)*'I-Project Contingency'!$F$85=0,0,BH109/SUM(BH:BH)*'I-Project Contingency'!$F$85)</f>
        <v>0</v>
      </c>
      <c r="BS109" s="359">
        <f t="shared" si="46"/>
        <v>92</v>
      </c>
      <c r="BT109" s="360" t="str">
        <f t="shared" si="47"/>
        <v xml:space="preserve">92 -  </v>
      </c>
      <c r="BU109" s="354">
        <f t="shared" si="48"/>
        <v>0</v>
      </c>
      <c r="BV109" s="354">
        <f t="shared" si="49"/>
        <v>0</v>
      </c>
      <c r="BW109" s="356">
        <f t="shared" si="50"/>
        <v>0</v>
      </c>
      <c r="BX109" s="356">
        <f t="shared" si="51"/>
        <v>0</v>
      </c>
    </row>
    <row r="110" spans="1:76" ht="29" x14ac:dyDescent="0.35">
      <c r="A110" s="163">
        <f t="shared" si="21"/>
        <v>93</v>
      </c>
      <c r="B110" s="758" t="s">
        <v>728</v>
      </c>
      <c r="C110" s="760" t="s">
        <v>659</v>
      </c>
      <c r="D110" s="760" t="s">
        <v>659</v>
      </c>
      <c r="E110" s="760" t="s">
        <v>659</v>
      </c>
      <c r="F110" s="759" t="s">
        <v>728</v>
      </c>
      <c r="G110" s="759" t="s">
        <v>728</v>
      </c>
      <c r="H110" s="157" t="str">
        <f>IFERROR(IF('H-Risk Register-Model'!F110="Certain","Relook at Basis of Estimate",INDEX('G-Assumptions'!$F$8:$J$11,MATCH(F110,'G-Assumptions'!$D$8:$D$11,0),MATCH(G110,'G-Assumptions'!$F$6:$J$6,0))),"Unrated")</f>
        <v>Unrated</v>
      </c>
      <c r="I110" s="759" t="s">
        <v>728</v>
      </c>
      <c r="J110" s="157" t="str">
        <f>IFERROR(IF('H-Risk Register-Model'!F110="Certain","Relook at Basis of Estimate",INDEX('G-Assumptions'!$F$8:$J$11,MATCH(F110,'G-Assumptions'!$D$8:$D$11,0),MATCH(I110,'G-Assumptions'!$F$6:$J$6,0))),"Unrated")</f>
        <v>Unrated</v>
      </c>
      <c r="K110" s="759" t="s">
        <v>728</v>
      </c>
      <c r="L110" s="759" t="s">
        <v>728</v>
      </c>
      <c r="M110" s="759"/>
      <c r="N110" s="763" t="s">
        <v>728</v>
      </c>
      <c r="O110" s="763" t="s">
        <v>728</v>
      </c>
      <c r="P110" s="764"/>
      <c r="Q110" s="764"/>
      <c r="R110" s="764"/>
      <c r="S110" s="765"/>
      <c r="T110" s="765"/>
      <c r="U110" s="765"/>
      <c r="V110" s="766"/>
      <c r="W110" s="764"/>
      <c r="X110" s="764"/>
      <c r="Y110" s="767">
        <v>1</v>
      </c>
      <c r="Z110" s="770">
        <v>1</v>
      </c>
      <c r="AA110" s="166">
        <f t="shared" si="40"/>
        <v>0</v>
      </c>
      <c r="AB110" s="166">
        <f t="shared" si="41"/>
        <v>0</v>
      </c>
      <c r="AC110" s="166">
        <f t="shared" si="42"/>
        <v>0</v>
      </c>
      <c r="AD110" s="166"/>
      <c r="AE110" s="164">
        <f t="shared" si="43"/>
        <v>0</v>
      </c>
      <c r="AF110" s="167"/>
      <c r="AG110" s="165">
        <f t="shared" si="44"/>
        <v>0</v>
      </c>
      <c r="AH110" s="760"/>
      <c r="AI110" s="760"/>
      <c r="AJ110" s="8"/>
      <c r="AK110" s="524" t="str">
        <f t="shared" si="45"/>
        <v>No</v>
      </c>
      <c r="AL110" s="525">
        <f>'I-Project Contingency'!$I$4</f>
        <v>7250000</v>
      </c>
      <c r="AM110" s="350">
        <f>'I-Project Contingency'!$I$11</f>
        <v>12</v>
      </c>
      <c r="AN110" s="349">
        <f t="shared" si="52"/>
        <v>0</v>
      </c>
      <c r="AO110" s="350">
        <f t="shared" si="53"/>
        <v>0</v>
      </c>
      <c r="AP110" s="672" t="str">
        <f t="shared" si="54"/>
        <v/>
      </c>
      <c r="AQ110" s="672" t="str">
        <f t="shared" si="55"/>
        <v/>
      </c>
      <c r="AR110" s="526" t="str">
        <f t="shared" si="57"/>
        <v/>
      </c>
      <c r="AS110" s="526" t="str">
        <f t="shared" si="56"/>
        <v/>
      </c>
      <c r="AT110" s="8"/>
      <c r="AU110" s="353">
        <f>'I-Project Contingency'!$O$4-AE110</f>
        <v>0</v>
      </c>
      <c r="AV110" s="354">
        <v>1687645.9248406207</v>
      </c>
      <c r="AW110" s="354">
        <v>3291004.7254658043</v>
      </c>
      <c r="AX110" s="354">
        <v>4159167.8232088853</v>
      </c>
      <c r="AY110" s="354">
        <f>'I-Project Contingency'!$E$66-AV110</f>
        <v>0</v>
      </c>
      <c r="AZ110" s="354">
        <f>'I-Project Contingency'!$E$69-AW110</f>
        <v>0</v>
      </c>
      <c r="BA110" s="354">
        <f>'I-Project Contingency'!$E$70-AX110</f>
        <v>0</v>
      </c>
      <c r="BB110" s="355">
        <f>'I-Project Contingency'!$O$5-AG110</f>
        <v>0</v>
      </c>
      <c r="BC110" s="356">
        <v>2.9615115956254372</v>
      </c>
      <c r="BD110" s="356">
        <v>6.001919642116226</v>
      </c>
      <c r="BE110" s="357">
        <v>7.5913096572662919</v>
      </c>
      <c r="BF110" s="356">
        <f>'I-Project Contingency'!$E$81-BC110</f>
        <v>0</v>
      </c>
      <c r="BG110" s="356">
        <f>'I-Project Contingency'!$E$84-BD110</f>
        <v>0</v>
      </c>
      <c r="BH110" s="356">
        <f>'I-Project Contingency'!$E$85-BE110</f>
        <v>0</v>
      </c>
      <c r="BI110" s="358">
        <f>IF(BK110="N/A","N/A",IF('D-Project Data'!$C$6=50%,ABS(BK110),IF('D-Project Data'!$C$6=80%,ABS(BL110),IF('D-Project Data'!$C$6=90%,ABS(BM110)))))</f>
        <v>0</v>
      </c>
      <c r="BJ110" s="359">
        <f>IF(BI110="N/A","N/A",RANK(BI110,$BI$18:$BI$116,0)+COUNTIF($BI$18:BI110,BI110)-1)</f>
        <v>93</v>
      </c>
      <c r="BK110" s="358">
        <f>IF(AY110/SUM(AY:AY)*'I-Project Contingency'!$F$66=0,0,AY110/SUM(AY:AY)*'I-Project Contingency'!$F$66)</f>
        <v>0</v>
      </c>
      <c r="BL110" s="358">
        <f>IF(AZ110/SUM(AZ:AZ)*'I-Project Contingency'!$F$69=0,0,AZ110/SUM(AZ:AZ)*'I-Project Contingency'!$F$69)</f>
        <v>0</v>
      </c>
      <c r="BM110" s="358">
        <f>IF(BA110/SUM(BA:BA)*'I-Project Contingency'!$F$70=0,0,BA110/SUM(BA:BA)*'I-Project Contingency'!$F$70)</f>
        <v>0</v>
      </c>
      <c r="BN110" s="357">
        <f>IF(BP110="N/A","N/A",IF('D-Project Data'!$C$6=50%,ABS(BP110),IF('D-Project Data'!$C$6=80%,ABS(BQ110),IF('D-Project Data'!$C$6=90%,ABS(BR110)))))</f>
        <v>0</v>
      </c>
      <c r="BO110" s="359">
        <f>IF(BN110="N/A","N/A",RANK(BN110,$BN$18:$BN$116,0)+COUNTIF($BN$18:BN110,BN110)-1)</f>
        <v>93</v>
      </c>
      <c r="BP110" s="357">
        <f>IF(BF110/SUM(BF:BF)*'I-Project Contingency'!$F$81=0,0,BF110/SUM(BF:BF)*'I-Project Contingency'!$F$81)</f>
        <v>0</v>
      </c>
      <c r="BQ110" s="357">
        <f>IF(BG110/SUM(BG:BG)*'I-Project Contingency'!$F$84=0,0,BG110/SUM(BG:BG)*'I-Project Contingency'!$F$84)</f>
        <v>0</v>
      </c>
      <c r="BR110" s="357">
        <f>IF(BH110/SUM(BH:BH)*'I-Project Contingency'!$F$85=0,0,BH110/SUM(BH:BH)*'I-Project Contingency'!$F$85)</f>
        <v>0</v>
      </c>
      <c r="BS110" s="359">
        <f t="shared" si="46"/>
        <v>93</v>
      </c>
      <c r="BT110" s="360" t="str">
        <f t="shared" si="47"/>
        <v xml:space="preserve">93 -  </v>
      </c>
      <c r="BU110" s="354">
        <f t="shared" si="48"/>
        <v>0</v>
      </c>
      <c r="BV110" s="354">
        <f t="shared" si="49"/>
        <v>0</v>
      </c>
      <c r="BW110" s="356">
        <f t="shared" si="50"/>
        <v>0</v>
      </c>
      <c r="BX110" s="356">
        <f t="shared" si="51"/>
        <v>0</v>
      </c>
    </row>
    <row r="111" spans="1:76" ht="29" x14ac:dyDescent="0.35">
      <c r="A111" s="163">
        <f t="shared" si="21"/>
        <v>94</v>
      </c>
      <c r="B111" s="758" t="s">
        <v>728</v>
      </c>
      <c r="C111" s="760" t="s">
        <v>659</v>
      </c>
      <c r="D111" s="760" t="s">
        <v>659</v>
      </c>
      <c r="E111" s="760" t="s">
        <v>659</v>
      </c>
      <c r="F111" s="759" t="s">
        <v>728</v>
      </c>
      <c r="G111" s="759" t="s">
        <v>728</v>
      </c>
      <c r="H111" s="157" t="str">
        <f>IFERROR(IF('H-Risk Register-Model'!F111="Certain","Relook at Basis of Estimate",INDEX('G-Assumptions'!$F$8:$J$11,MATCH(F111,'G-Assumptions'!$D$8:$D$11,0),MATCH(G111,'G-Assumptions'!$F$6:$J$6,0))),"Unrated")</f>
        <v>Unrated</v>
      </c>
      <c r="I111" s="759" t="s">
        <v>728</v>
      </c>
      <c r="J111" s="157" t="str">
        <f>IFERROR(IF('H-Risk Register-Model'!F111="Certain","Relook at Basis of Estimate",INDEX('G-Assumptions'!$F$8:$J$11,MATCH(F111,'G-Assumptions'!$D$8:$D$11,0),MATCH(I111,'G-Assumptions'!$F$6:$J$6,0))),"Unrated")</f>
        <v>Unrated</v>
      </c>
      <c r="K111" s="759" t="s">
        <v>728</v>
      </c>
      <c r="L111" s="759" t="s">
        <v>728</v>
      </c>
      <c r="M111" s="759"/>
      <c r="N111" s="763" t="s">
        <v>728</v>
      </c>
      <c r="O111" s="763" t="s">
        <v>728</v>
      </c>
      <c r="P111" s="764"/>
      <c r="Q111" s="764"/>
      <c r="R111" s="764"/>
      <c r="S111" s="765"/>
      <c r="T111" s="765"/>
      <c r="U111" s="765"/>
      <c r="V111" s="766"/>
      <c r="W111" s="764"/>
      <c r="X111" s="764"/>
      <c r="Y111" s="767">
        <v>1</v>
      </c>
      <c r="Z111" s="770">
        <v>1</v>
      </c>
      <c r="AA111" s="166">
        <f t="shared" si="40"/>
        <v>0</v>
      </c>
      <c r="AB111" s="166">
        <f t="shared" si="41"/>
        <v>0</v>
      </c>
      <c r="AC111" s="166">
        <f t="shared" si="42"/>
        <v>0</v>
      </c>
      <c r="AD111" s="166"/>
      <c r="AE111" s="164">
        <f t="shared" si="43"/>
        <v>0</v>
      </c>
      <c r="AF111" s="167"/>
      <c r="AG111" s="165">
        <f t="shared" si="44"/>
        <v>0</v>
      </c>
      <c r="AH111" s="760"/>
      <c r="AI111" s="760"/>
      <c r="AJ111" s="8"/>
      <c r="AK111" s="524" t="str">
        <f t="shared" si="45"/>
        <v>No</v>
      </c>
      <c r="AL111" s="525">
        <f>'I-Project Contingency'!$I$4</f>
        <v>7250000</v>
      </c>
      <c r="AM111" s="350">
        <f>'I-Project Contingency'!$I$11</f>
        <v>12</v>
      </c>
      <c r="AN111" s="349">
        <f t="shared" si="52"/>
        <v>0</v>
      </c>
      <c r="AO111" s="350">
        <f t="shared" si="53"/>
        <v>0</v>
      </c>
      <c r="AP111" s="672" t="str">
        <f t="shared" si="54"/>
        <v/>
      </c>
      <c r="AQ111" s="672" t="str">
        <f t="shared" si="55"/>
        <v/>
      </c>
      <c r="AR111" s="526" t="str">
        <f t="shared" si="57"/>
        <v/>
      </c>
      <c r="AS111" s="526" t="str">
        <f t="shared" si="56"/>
        <v/>
      </c>
      <c r="AT111" s="8"/>
      <c r="AU111" s="353">
        <f>'I-Project Contingency'!$O$4-AE111</f>
        <v>0</v>
      </c>
      <c r="AV111" s="354">
        <v>1687645.9248406207</v>
      </c>
      <c r="AW111" s="354">
        <v>3291004.7254658043</v>
      </c>
      <c r="AX111" s="354">
        <v>4159167.8232088853</v>
      </c>
      <c r="AY111" s="354">
        <f>'I-Project Contingency'!$E$66-AV111</f>
        <v>0</v>
      </c>
      <c r="AZ111" s="354">
        <f>'I-Project Contingency'!$E$69-AW111</f>
        <v>0</v>
      </c>
      <c r="BA111" s="354">
        <f>'I-Project Contingency'!$E$70-AX111</f>
        <v>0</v>
      </c>
      <c r="BB111" s="355">
        <f>'I-Project Contingency'!$O$5-AG111</f>
        <v>0</v>
      </c>
      <c r="BC111" s="356">
        <v>2.9615115956254372</v>
      </c>
      <c r="BD111" s="356">
        <v>6.001919642116226</v>
      </c>
      <c r="BE111" s="357">
        <v>7.5913096572662919</v>
      </c>
      <c r="BF111" s="356">
        <f>'I-Project Contingency'!$E$81-BC111</f>
        <v>0</v>
      </c>
      <c r="BG111" s="356">
        <f>'I-Project Contingency'!$E$84-BD111</f>
        <v>0</v>
      </c>
      <c r="BH111" s="356">
        <f>'I-Project Contingency'!$E$85-BE111</f>
        <v>0</v>
      </c>
      <c r="BI111" s="358">
        <f>IF(BK111="N/A","N/A",IF('D-Project Data'!$C$6=50%,ABS(BK111),IF('D-Project Data'!$C$6=80%,ABS(BL111),IF('D-Project Data'!$C$6=90%,ABS(BM111)))))</f>
        <v>0</v>
      </c>
      <c r="BJ111" s="359">
        <f>IF(BI111="N/A","N/A",RANK(BI111,$BI$18:$BI$116,0)+COUNTIF($BI$18:BI111,BI111)-1)</f>
        <v>94</v>
      </c>
      <c r="BK111" s="358">
        <f>IF(AY111/SUM(AY:AY)*'I-Project Contingency'!$F$66=0,0,AY111/SUM(AY:AY)*'I-Project Contingency'!$F$66)</f>
        <v>0</v>
      </c>
      <c r="BL111" s="358">
        <f>IF(AZ111/SUM(AZ:AZ)*'I-Project Contingency'!$F$69=0,0,AZ111/SUM(AZ:AZ)*'I-Project Contingency'!$F$69)</f>
        <v>0</v>
      </c>
      <c r="BM111" s="358">
        <f>IF(BA111/SUM(BA:BA)*'I-Project Contingency'!$F$70=0,0,BA111/SUM(BA:BA)*'I-Project Contingency'!$F$70)</f>
        <v>0</v>
      </c>
      <c r="BN111" s="357">
        <f>IF(BP111="N/A","N/A",IF('D-Project Data'!$C$6=50%,ABS(BP111),IF('D-Project Data'!$C$6=80%,ABS(BQ111),IF('D-Project Data'!$C$6=90%,ABS(BR111)))))</f>
        <v>0</v>
      </c>
      <c r="BO111" s="359">
        <f>IF(BN111="N/A","N/A",RANK(BN111,$BN$18:$BN$116,0)+COUNTIF($BN$18:BN111,BN111)-1)</f>
        <v>94</v>
      </c>
      <c r="BP111" s="357">
        <f>IF(BF111/SUM(BF:BF)*'I-Project Contingency'!$F$81=0,0,BF111/SUM(BF:BF)*'I-Project Contingency'!$F$81)</f>
        <v>0</v>
      </c>
      <c r="BQ111" s="357">
        <f>IF(BG111/SUM(BG:BG)*'I-Project Contingency'!$F$84=0,0,BG111/SUM(BG:BG)*'I-Project Contingency'!$F$84)</f>
        <v>0</v>
      </c>
      <c r="BR111" s="357">
        <f>IF(BH111/SUM(BH:BH)*'I-Project Contingency'!$F$85=0,0,BH111/SUM(BH:BH)*'I-Project Contingency'!$F$85)</f>
        <v>0</v>
      </c>
      <c r="BS111" s="359">
        <f t="shared" si="46"/>
        <v>94</v>
      </c>
      <c r="BT111" s="360" t="str">
        <f t="shared" si="47"/>
        <v xml:space="preserve">94 -  </v>
      </c>
      <c r="BU111" s="354">
        <f t="shared" si="48"/>
        <v>0</v>
      </c>
      <c r="BV111" s="354">
        <f t="shared" si="49"/>
        <v>0</v>
      </c>
      <c r="BW111" s="356">
        <f t="shared" si="50"/>
        <v>0</v>
      </c>
      <c r="BX111" s="356">
        <f t="shared" si="51"/>
        <v>0</v>
      </c>
    </row>
    <row r="112" spans="1:76" ht="29" x14ac:dyDescent="0.35">
      <c r="A112" s="163">
        <f t="shared" si="21"/>
        <v>95</v>
      </c>
      <c r="B112" s="758" t="s">
        <v>728</v>
      </c>
      <c r="C112" s="760" t="s">
        <v>659</v>
      </c>
      <c r="D112" s="760" t="s">
        <v>659</v>
      </c>
      <c r="E112" s="760" t="s">
        <v>659</v>
      </c>
      <c r="F112" s="759" t="s">
        <v>728</v>
      </c>
      <c r="G112" s="759" t="s">
        <v>728</v>
      </c>
      <c r="H112" s="157" t="str">
        <f>IFERROR(IF('H-Risk Register-Model'!F112="Certain","Relook at Basis of Estimate",INDEX('G-Assumptions'!$F$8:$J$11,MATCH(F112,'G-Assumptions'!$D$8:$D$11,0),MATCH(G112,'G-Assumptions'!$F$6:$J$6,0))),"Unrated")</f>
        <v>Unrated</v>
      </c>
      <c r="I112" s="759" t="s">
        <v>728</v>
      </c>
      <c r="J112" s="157" t="str">
        <f>IFERROR(IF('H-Risk Register-Model'!F112="Certain","Relook at Basis of Estimate",INDEX('G-Assumptions'!$F$8:$J$11,MATCH(F112,'G-Assumptions'!$D$8:$D$11,0),MATCH(I112,'G-Assumptions'!$F$6:$J$6,0))),"Unrated")</f>
        <v>Unrated</v>
      </c>
      <c r="K112" s="759" t="s">
        <v>728</v>
      </c>
      <c r="L112" s="759" t="s">
        <v>728</v>
      </c>
      <c r="M112" s="759"/>
      <c r="N112" s="763" t="s">
        <v>728</v>
      </c>
      <c r="O112" s="763" t="s">
        <v>728</v>
      </c>
      <c r="P112" s="764"/>
      <c r="Q112" s="764"/>
      <c r="R112" s="764"/>
      <c r="S112" s="765"/>
      <c r="T112" s="765"/>
      <c r="U112" s="765"/>
      <c r="V112" s="766"/>
      <c r="W112" s="764"/>
      <c r="X112" s="764"/>
      <c r="Y112" s="767">
        <v>1</v>
      </c>
      <c r="Z112" s="770">
        <v>1</v>
      </c>
      <c r="AA112" s="166">
        <f t="shared" si="40"/>
        <v>0</v>
      </c>
      <c r="AB112" s="166">
        <f t="shared" si="41"/>
        <v>0</v>
      </c>
      <c r="AC112" s="166">
        <f t="shared" si="42"/>
        <v>0</v>
      </c>
      <c r="AD112" s="166"/>
      <c r="AE112" s="164">
        <f t="shared" si="43"/>
        <v>0</v>
      </c>
      <c r="AF112" s="167"/>
      <c r="AG112" s="165">
        <f t="shared" si="44"/>
        <v>0</v>
      </c>
      <c r="AH112" s="760"/>
      <c r="AI112" s="760"/>
      <c r="AJ112" s="8"/>
      <c r="AK112" s="524" t="str">
        <f t="shared" si="45"/>
        <v>No</v>
      </c>
      <c r="AL112" s="525">
        <f>'I-Project Contingency'!$I$4</f>
        <v>7250000</v>
      </c>
      <c r="AM112" s="350">
        <f>'I-Project Contingency'!$I$11</f>
        <v>12</v>
      </c>
      <c r="AN112" s="349">
        <f t="shared" si="52"/>
        <v>0</v>
      </c>
      <c r="AO112" s="350">
        <f t="shared" si="53"/>
        <v>0</v>
      </c>
      <c r="AP112" s="672" t="str">
        <f t="shared" si="54"/>
        <v/>
      </c>
      <c r="AQ112" s="672" t="str">
        <f t="shared" si="55"/>
        <v/>
      </c>
      <c r="AR112" s="526" t="str">
        <f t="shared" si="57"/>
        <v/>
      </c>
      <c r="AS112" s="526" t="str">
        <f t="shared" si="56"/>
        <v/>
      </c>
      <c r="AT112" s="8"/>
      <c r="AU112" s="353">
        <f>'I-Project Contingency'!$O$4-AE112</f>
        <v>0</v>
      </c>
      <c r="AV112" s="354">
        <v>1687645.9248406207</v>
      </c>
      <c r="AW112" s="354">
        <v>3291004.7254658043</v>
      </c>
      <c r="AX112" s="354">
        <v>4159167.8232088853</v>
      </c>
      <c r="AY112" s="354">
        <f>'I-Project Contingency'!$E$66-AV112</f>
        <v>0</v>
      </c>
      <c r="AZ112" s="354">
        <f>'I-Project Contingency'!$E$69-AW112</f>
        <v>0</v>
      </c>
      <c r="BA112" s="354">
        <f>'I-Project Contingency'!$E$70-AX112</f>
        <v>0</v>
      </c>
      <c r="BB112" s="355">
        <f>'I-Project Contingency'!$O$5-AG112</f>
        <v>0</v>
      </c>
      <c r="BC112" s="356">
        <v>2.9615115956254372</v>
      </c>
      <c r="BD112" s="356">
        <v>6.001919642116226</v>
      </c>
      <c r="BE112" s="357">
        <v>7.5913096572662919</v>
      </c>
      <c r="BF112" s="356">
        <f>'I-Project Contingency'!$E$81-BC112</f>
        <v>0</v>
      </c>
      <c r="BG112" s="356">
        <f>'I-Project Contingency'!$E$84-BD112</f>
        <v>0</v>
      </c>
      <c r="BH112" s="356">
        <f>'I-Project Contingency'!$E$85-BE112</f>
        <v>0</v>
      </c>
      <c r="BI112" s="358">
        <f>IF(BK112="N/A","N/A",IF('D-Project Data'!$C$6=50%,ABS(BK112),IF('D-Project Data'!$C$6=80%,ABS(BL112),IF('D-Project Data'!$C$6=90%,ABS(BM112)))))</f>
        <v>0</v>
      </c>
      <c r="BJ112" s="359">
        <f>IF(BI112="N/A","N/A",RANK(BI112,$BI$18:$BI$116,0)+COUNTIF($BI$18:BI112,BI112)-1)</f>
        <v>95</v>
      </c>
      <c r="BK112" s="358">
        <f>IF(AY112/SUM(AY:AY)*'I-Project Contingency'!$F$66=0,0,AY112/SUM(AY:AY)*'I-Project Contingency'!$F$66)</f>
        <v>0</v>
      </c>
      <c r="BL112" s="358">
        <f>IF(AZ112/SUM(AZ:AZ)*'I-Project Contingency'!$F$69=0,0,AZ112/SUM(AZ:AZ)*'I-Project Contingency'!$F$69)</f>
        <v>0</v>
      </c>
      <c r="BM112" s="358">
        <f>IF(BA112/SUM(BA:BA)*'I-Project Contingency'!$F$70=0,0,BA112/SUM(BA:BA)*'I-Project Contingency'!$F$70)</f>
        <v>0</v>
      </c>
      <c r="BN112" s="357">
        <f>IF(BP112="N/A","N/A",IF('D-Project Data'!$C$6=50%,ABS(BP112),IF('D-Project Data'!$C$6=80%,ABS(BQ112),IF('D-Project Data'!$C$6=90%,ABS(BR112)))))</f>
        <v>0</v>
      </c>
      <c r="BO112" s="359">
        <f>IF(BN112="N/A","N/A",RANK(BN112,$BN$18:$BN$116,0)+COUNTIF($BN$18:BN112,BN112)-1)</f>
        <v>95</v>
      </c>
      <c r="BP112" s="357">
        <f>IF(BF112/SUM(BF:BF)*'I-Project Contingency'!$F$81=0,0,BF112/SUM(BF:BF)*'I-Project Contingency'!$F$81)</f>
        <v>0</v>
      </c>
      <c r="BQ112" s="357">
        <f>IF(BG112/SUM(BG:BG)*'I-Project Contingency'!$F$84=0,0,BG112/SUM(BG:BG)*'I-Project Contingency'!$F$84)</f>
        <v>0</v>
      </c>
      <c r="BR112" s="357">
        <f>IF(BH112/SUM(BH:BH)*'I-Project Contingency'!$F$85=0,0,BH112/SUM(BH:BH)*'I-Project Contingency'!$F$85)</f>
        <v>0</v>
      </c>
      <c r="BS112" s="359">
        <f t="shared" si="46"/>
        <v>95</v>
      </c>
      <c r="BT112" s="360" t="str">
        <f t="shared" si="47"/>
        <v xml:space="preserve">95 -  </v>
      </c>
      <c r="BU112" s="354">
        <f t="shared" si="48"/>
        <v>0</v>
      </c>
      <c r="BV112" s="354">
        <f t="shared" si="49"/>
        <v>0</v>
      </c>
      <c r="BW112" s="356">
        <f t="shared" si="50"/>
        <v>0</v>
      </c>
      <c r="BX112" s="356">
        <f t="shared" si="51"/>
        <v>0</v>
      </c>
    </row>
    <row r="113" spans="1:76" ht="29" x14ac:dyDescent="0.35">
      <c r="A113" s="163">
        <f t="shared" si="21"/>
        <v>96</v>
      </c>
      <c r="B113" s="758" t="s">
        <v>728</v>
      </c>
      <c r="C113" s="760" t="s">
        <v>659</v>
      </c>
      <c r="D113" s="760" t="s">
        <v>659</v>
      </c>
      <c r="E113" s="760" t="s">
        <v>659</v>
      </c>
      <c r="F113" s="759" t="s">
        <v>728</v>
      </c>
      <c r="G113" s="759" t="s">
        <v>728</v>
      </c>
      <c r="H113" s="157" t="str">
        <f>IFERROR(IF('H-Risk Register-Model'!F113="Certain","Relook at Basis of Estimate",INDEX('G-Assumptions'!$F$8:$J$11,MATCH(F113,'G-Assumptions'!$D$8:$D$11,0),MATCH(G113,'G-Assumptions'!$F$6:$J$6,0))),"Unrated")</f>
        <v>Unrated</v>
      </c>
      <c r="I113" s="759" t="s">
        <v>728</v>
      </c>
      <c r="J113" s="157" t="str">
        <f>IFERROR(IF('H-Risk Register-Model'!F113="Certain","Relook at Basis of Estimate",INDEX('G-Assumptions'!$F$8:$J$11,MATCH(F113,'G-Assumptions'!$D$8:$D$11,0),MATCH(I113,'G-Assumptions'!$F$6:$J$6,0))),"Unrated")</f>
        <v>Unrated</v>
      </c>
      <c r="K113" s="759" t="s">
        <v>728</v>
      </c>
      <c r="L113" s="759" t="s">
        <v>728</v>
      </c>
      <c r="M113" s="759"/>
      <c r="N113" s="763" t="s">
        <v>728</v>
      </c>
      <c r="O113" s="763" t="s">
        <v>728</v>
      </c>
      <c r="P113" s="764"/>
      <c r="Q113" s="764"/>
      <c r="R113" s="764"/>
      <c r="S113" s="765"/>
      <c r="T113" s="765"/>
      <c r="U113" s="765"/>
      <c r="V113" s="766"/>
      <c r="W113" s="764"/>
      <c r="X113" s="764"/>
      <c r="Y113" s="767">
        <v>1</v>
      </c>
      <c r="Z113" s="770">
        <v>1</v>
      </c>
      <c r="AA113" s="166">
        <f t="shared" si="40"/>
        <v>0</v>
      </c>
      <c r="AB113" s="166">
        <f t="shared" si="41"/>
        <v>0</v>
      </c>
      <c r="AC113" s="166">
        <f t="shared" si="42"/>
        <v>0</v>
      </c>
      <c r="AD113" s="166"/>
      <c r="AE113" s="164">
        <f t="shared" si="43"/>
        <v>0</v>
      </c>
      <c r="AF113" s="167"/>
      <c r="AG113" s="165">
        <f t="shared" si="44"/>
        <v>0</v>
      </c>
      <c r="AH113" s="760"/>
      <c r="AI113" s="760"/>
      <c r="AJ113" s="8"/>
      <c r="AK113" s="524" t="str">
        <f t="shared" si="45"/>
        <v>No</v>
      </c>
      <c r="AL113" s="525">
        <f>'I-Project Contingency'!$I$4</f>
        <v>7250000</v>
      </c>
      <c r="AM113" s="350">
        <f>'I-Project Contingency'!$I$11</f>
        <v>12</v>
      </c>
      <c r="AN113" s="349">
        <f t="shared" si="52"/>
        <v>0</v>
      </c>
      <c r="AO113" s="350">
        <f t="shared" si="53"/>
        <v>0</v>
      </c>
      <c r="AP113" s="672" t="str">
        <f t="shared" si="54"/>
        <v/>
      </c>
      <c r="AQ113" s="672" t="str">
        <f t="shared" si="55"/>
        <v/>
      </c>
      <c r="AR113" s="526" t="str">
        <f t="shared" si="57"/>
        <v/>
      </c>
      <c r="AS113" s="526" t="str">
        <f t="shared" si="56"/>
        <v/>
      </c>
      <c r="AT113" s="8"/>
      <c r="AU113" s="353">
        <f>'I-Project Contingency'!$O$4-AE113</f>
        <v>0</v>
      </c>
      <c r="AV113" s="354">
        <v>1687645.9248406207</v>
      </c>
      <c r="AW113" s="354">
        <v>3291004.7254658043</v>
      </c>
      <c r="AX113" s="354">
        <v>4159167.8232088853</v>
      </c>
      <c r="AY113" s="354">
        <f>'I-Project Contingency'!$E$66-AV113</f>
        <v>0</v>
      </c>
      <c r="AZ113" s="354">
        <f>'I-Project Contingency'!$E$69-AW113</f>
        <v>0</v>
      </c>
      <c r="BA113" s="354">
        <f>'I-Project Contingency'!$E$70-AX113</f>
        <v>0</v>
      </c>
      <c r="BB113" s="355">
        <f>'I-Project Contingency'!$O$5-AG113</f>
        <v>0</v>
      </c>
      <c r="BC113" s="356">
        <v>2.9615115956254372</v>
      </c>
      <c r="BD113" s="356">
        <v>6.001919642116226</v>
      </c>
      <c r="BE113" s="357">
        <v>7.5913096572662919</v>
      </c>
      <c r="BF113" s="356">
        <f>'I-Project Contingency'!$E$81-BC113</f>
        <v>0</v>
      </c>
      <c r="BG113" s="356">
        <f>'I-Project Contingency'!$E$84-BD113</f>
        <v>0</v>
      </c>
      <c r="BH113" s="356">
        <f>'I-Project Contingency'!$E$85-BE113</f>
        <v>0</v>
      </c>
      <c r="BI113" s="358">
        <f>IF(BK113="N/A","N/A",IF('D-Project Data'!$C$6=50%,ABS(BK113),IF('D-Project Data'!$C$6=80%,ABS(BL113),IF('D-Project Data'!$C$6=90%,ABS(BM113)))))</f>
        <v>0</v>
      </c>
      <c r="BJ113" s="359">
        <f>IF(BI113="N/A","N/A",RANK(BI113,$BI$18:$BI$116,0)+COUNTIF($BI$18:BI113,BI113)-1)</f>
        <v>96</v>
      </c>
      <c r="BK113" s="358">
        <f>IF(AY113/SUM(AY:AY)*'I-Project Contingency'!$F$66=0,0,AY113/SUM(AY:AY)*'I-Project Contingency'!$F$66)</f>
        <v>0</v>
      </c>
      <c r="BL113" s="358">
        <f>IF(AZ113/SUM(AZ:AZ)*'I-Project Contingency'!$F$69=0,0,AZ113/SUM(AZ:AZ)*'I-Project Contingency'!$F$69)</f>
        <v>0</v>
      </c>
      <c r="BM113" s="358">
        <f>IF(BA113/SUM(BA:BA)*'I-Project Contingency'!$F$70=0,0,BA113/SUM(BA:BA)*'I-Project Contingency'!$F$70)</f>
        <v>0</v>
      </c>
      <c r="BN113" s="357">
        <f>IF(BP113="N/A","N/A",IF('D-Project Data'!$C$6=50%,ABS(BP113),IF('D-Project Data'!$C$6=80%,ABS(BQ113),IF('D-Project Data'!$C$6=90%,ABS(BR113)))))</f>
        <v>0</v>
      </c>
      <c r="BO113" s="359">
        <f>IF(BN113="N/A","N/A",RANK(BN113,$BN$18:$BN$116,0)+COUNTIF($BN$18:BN113,BN113)-1)</f>
        <v>96</v>
      </c>
      <c r="BP113" s="357">
        <f>IF(BF113/SUM(BF:BF)*'I-Project Contingency'!$F$81=0,0,BF113/SUM(BF:BF)*'I-Project Contingency'!$F$81)</f>
        <v>0</v>
      </c>
      <c r="BQ113" s="357">
        <f>IF(BG113/SUM(BG:BG)*'I-Project Contingency'!$F$84=0,0,BG113/SUM(BG:BG)*'I-Project Contingency'!$F$84)</f>
        <v>0</v>
      </c>
      <c r="BR113" s="357">
        <f>IF(BH113/SUM(BH:BH)*'I-Project Contingency'!$F$85=0,0,BH113/SUM(BH:BH)*'I-Project Contingency'!$F$85)</f>
        <v>0</v>
      </c>
      <c r="BS113" s="359">
        <f t="shared" si="46"/>
        <v>96</v>
      </c>
      <c r="BT113" s="360" t="str">
        <f t="shared" si="47"/>
        <v xml:space="preserve">96 -  </v>
      </c>
      <c r="BU113" s="354">
        <f t="shared" si="48"/>
        <v>0</v>
      </c>
      <c r="BV113" s="354">
        <f t="shared" si="49"/>
        <v>0</v>
      </c>
      <c r="BW113" s="356">
        <f t="shared" si="50"/>
        <v>0</v>
      </c>
      <c r="BX113" s="356">
        <f t="shared" si="51"/>
        <v>0</v>
      </c>
    </row>
    <row r="114" spans="1:76" ht="29" x14ac:dyDescent="0.35">
      <c r="A114" s="163">
        <f>A113+1</f>
        <v>97</v>
      </c>
      <c r="B114" s="758" t="s">
        <v>728</v>
      </c>
      <c r="C114" s="760" t="s">
        <v>659</v>
      </c>
      <c r="D114" s="760" t="s">
        <v>659</v>
      </c>
      <c r="E114" s="760" t="s">
        <v>659</v>
      </c>
      <c r="F114" s="759" t="s">
        <v>728</v>
      </c>
      <c r="G114" s="759" t="s">
        <v>728</v>
      </c>
      <c r="H114" s="157" t="str">
        <f>IFERROR(IF('H-Risk Register-Model'!F114="Certain","Relook at Basis of Estimate",INDEX('G-Assumptions'!$F$8:$J$11,MATCH(F114,'G-Assumptions'!$D$8:$D$11,0),MATCH(G114,'G-Assumptions'!$F$6:$J$6,0))),"Unrated")</f>
        <v>Unrated</v>
      </c>
      <c r="I114" s="759" t="s">
        <v>728</v>
      </c>
      <c r="J114" s="157" t="str">
        <f>IFERROR(IF('H-Risk Register-Model'!F114="Certain","Relook at Basis of Estimate",INDEX('G-Assumptions'!$F$8:$J$11,MATCH(F114,'G-Assumptions'!$D$8:$D$11,0),MATCH(I114,'G-Assumptions'!$F$6:$J$6,0))),"Unrated")</f>
        <v>Unrated</v>
      </c>
      <c r="K114" s="759" t="s">
        <v>728</v>
      </c>
      <c r="L114" s="759" t="s">
        <v>728</v>
      </c>
      <c r="M114" s="759"/>
      <c r="N114" s="763" t="s">
        <v>728</v>
      </c>
      <c r="O114" s="763" t="s">
        <v>728</v>
      </c>
      <c r="P114" s="764"/>
      <c r="Q114" s="764"/>
      <c r="R114" s="764"/>
      <c r="S114" s="765"/>
      <c r="T114" s="765"/>
      <c r="U114" s="765"/>
      <c r="V114" s="766"/>
      <c r="W114" s="764"/>
      <c r="X114" s="764"/>
      <c r="Y114" s="767">
        <v>1</v>
      </c>
      <c r="Z114" s="770">
        <v>1</v>
      </c>
      <c r="AA114" s="166">
        <f t="shared" si="40"/>
        <v>0</v>
      </c>
      <c r="AB114" s="166">
        <f t="shared" si="41"/>
        <v>0</v>
      </c>
      <c r="AC114" s="166">
        <f t="shared" si="42"/>
        <v>0</v>
      </c>
      <c r="AD114" s="166"/>
      <c r="AE114" s="164">
        <f t="shared" si="43"/>
        <v>0</v>
      </c>
      <c r="AF114" s="167"/>
      <c r="AG114" s="165">
        <f t="shared" si="44"/>
        <v>0</v>
      </c>
      <c r="AH114" s="760"/>
      <c r="AI114" s="760"/>
      <c r="AJ114" s="8"/>
      <c r="AK114" s="524" t="str">
        <f t="shared" si="45"/>
        <v>No</v>
      </c>
      <c r="AL114" s="525">
        <f>'I-Project Contingency'!$I$4</f>
        <v>7250000</v>
      </c>
      <c r="AM114" s="350">
        <f>'I-Project Contingency'!$I$11</f>
        <v>12</v>
      </c>
      <c r="AN114" s="349">
        <f t="shared" si="52"/>
        <v>0</v>
      </c>
      <c r="AO114" s="350">
        <f t="shared" si="53"/>
        <v>0</v>
      </c>
      <c r="AP114" s="672" t="str">
        <f t="shared" si="54"/>
        <v/>
      </c>
      <c r="AQ114" s="672" t="str">
        <f t="shared" si="55"/>
        <v/>
      </c>
      <c r="AR114" s="526" t="str">
        <f t="shared" si="57"/>
        <v/>
      </c>
      <c r="AS114" s="526" t="str">
        <f t="shared" si="56"/>
        <v/>
      </c>
      <c r="AT114" s="8"/>
      <c r="AU114" s="353">
        <f>'I-Project Contingency'!$O$4-AE114</f>
        <v>0</v>
      </c>
      <c r="AV114" s="354">
        <v>1687645.9248406207</v>
      </c>
      <c r="AW114" s="354">
        <v>3291004.7254658043</v>
      </c>
      <c r="AX114" s="354">
        <v>4159167.8232088853</v>
      </c>
      <c r="AY114" s="354">
        <f>'I-Project Contingency'!$E$66-AV114</f>
        <v>0</v>
      </c>
      <c r="AZ114" s="354">
        <f>'I-Project Contingency'!$E$69-AW114</f>
        <v>0</v>
      </c>
      <c r="BA114" s="354">
        <f>'I-Project Contingency'!$E$70-AX114</f>
        <v>0</v>
      </c>
      <c r="BB114" s="355">
        <f>'I-Project Contingency'!$O$5-AG114</f>
        <v>0</v>
      </c>
      <c r="BC114" s="356">
        <v>2.9615115956254372</v>
      </c>
      <c r="BD114" s="356">
        <v>6.001919642116226</v>
      </c>
      <c r="BE114" s="357">
        <v>7.5913096572662919</v>
      </c>
      <c r="BF114" s="356">
        <f>'I-Project Contingency'!$E$81-BC114</f>
        <v>0</v>
      </c>
      <c r="BG114" s="356">
        <f>'I-Project Contingency'!$E$84-BD114</f>
        <v>0</v>
      </c>
      <c r="BH114" s="356">
        <f>'I-Project Contingency'!$E$85-BE114</f>
        <v>0</v>
      </c>
      <c r="BI114" s="358">
        <f>IF(BK114="N/A","N/A",IF('D-Project Data'!$C$6=50%,ABS(BK114),IF('D-Project Data'!$C$6=80%,ABS(BL114),IF('D-Project Data'!$C$6=90%,ABS(BM114)))))</f>
        <v>0</v>
      </c>
      <c r="BJ114" s="359">
        <f>IF(BI114="N/A","N/A",RANK(BI114,$BI$18:$BI$116,0)+COUNTIF($BI$18:BI114,BI114)-1)</f>
        <v>97</v>
      </c>
      <c r="BK114" s="358">
        <f>IF(AY114/SUM(AY:AY)*'I-Project Contingency'!$F$66=0,0,AY114/SUM(AY:AY)*'I-Project Contingency'!$F$66)</f>
        <v>0</v>
      </c>
      <c r="BL114" s="358">
        <f>IF(AZ114/SUM(AZ:AZ)*'I-Project Contingency'!$F$69=0,0,AZ114/SUM(AZ:AZ)*'I-Project Contingency'!$F$69)</f>
        <v>0</v>
      </c>
      <c r="BM114" s="358">
        <f>IF(BA114/SUM(BA:BA)*'I-Project Contingency'!$F$70=0,0,BA114/SUM(BA:BA)*'I-Project Contingency'!$F$70)</f>
        <v>0</v>
      </c>
      <c r="BN114" s="357">
        <f>IF(BP114="N/A","N/A",IF('D-Project Data'!$C$6=50%,ABS(BP114),IF('D-Project Data'!$C$6=80%,ABS(BQ114),IF('D-Project Data'!$C$6=90%,ABS(BR114)))))</f>
        <v>0</v>
      </c>
      <c r="BO114" s="359">
        <f>IF(BN114="N/A","N/A",RANK(BN114,$BN$18:$BN$116,0)+COUNTIF($BN$18:BN114,BN114)-1)</f>
        <v>97</v>
      </c>
      <c r="BP114" s="357">
        <f>IF(BF114/SUM(BF:BF)*'I-Project Contingency'!$F$81=0,0,BF114/SUM(BF:BF)*'I-Project Contingency'!$F$81)</f>
        <v>0</v>
      </c>
      <c r="BQ114" s="357">
        <f>IF(BG114/SUM(BG:BG)*'I-Project Contingency'!$F$84=0,0,BG114/SUM(BG:BG)*'I-Project Contingency'!$F$84)</f>
        <v>0</v>
      </c>
      <c r="BR114" s="357">
        <f>IF(BH114/SUM(BH:BH)*'I-Project Contingency'!$F$85=0,0,BH114/SUM(BH:BH)*'I-Project Contingency'!$F$85)</f>
        <v>0</v>
      </c>
      <c r="BS114" s="359">
        <f t="shared" si="46"/>
        <v>97</v>
      </c>
      <c r="BT114" s="360" t="str">
        <f t="shared" si="47"/>
        <v xml:space="preserve">97 -  </v>
      </c>
      <c r="BU114" s="354">
        <f t="shared" si="48"/>
        <v>0</v>
      </c>
      <c r="BV114" s="354">
        <f t="shared" si="49"/>
        <v>0</v>
      </c>
      <c r="BW114" s="356">
        <f t="shared" si="50"/>
        <v>0</v>
      </c>
      <c r="BX114" s="356">
        <f t="shared" si="51"/>
        <v>0</v>
      </c>
    </row>
    <row r="115" spans="1:76" ht="29" x14ac:dyDescent="0.35">
      <c r="A115" s="163">
        <f>A114+1</f>
        <v>98</v>
      </c>
      <c r="B115" s="758" t="s">
        <v>728</v>
      </c>
      <c r="C115" s="760" t="s">
        <v>659</v>
      </c>
      <c r="D115" s="760" t="s">
        <v>659</v>
      </c>
      <c r="E115" s="760" t="s">
        <v>659</v>
      </c>
      <c r="F115" s="759" t="s">
        <v>728</v>
      </c>
      <c r="G115" s="759" t="s">
        <v>728</v>
      </c>
      <c r="H115" s="157" t="str">
        <f>IFERROR(IF('H-Risk Register-Model'!F115="Certain","Relook at Basis of Estimate",INDEX('G-Assumptions'!$F$8:$J$11,MATCH(F115,'G-Assumptions'!$D$8:$D$11,0),MATCH(G115,'G-Assumptions'!$F$6:$J$6,0))),"Unrated")</f>
        <v>Unrated</v>
      </c>
      <c r="I115" s="759" t="s">
        <v>728</v>
      </c>
      <c r="J115" s="157" t="str">
        <f>IFERROR(IF('H-Risk Register-Model'!F115="Certain","Relook at Basis of Estimate",INDEX('G-Assumptions'!$F$8:$J$11,MATCH(F115,'G-Assumptions'!$D$8:$D$11,0),MATCH(I115,'G-Assumptions'!$F$6:$J$6,0))),"Unrated")</f>
        <v>Unrated</v>
      </c>
      <c r="K115" s="759" t="s">
        <v>728</v>
      </c>
      <c r="L115" s="759" t="s">
        <v>728</v>
      </c>
      <c r="M115" s="759"/>
      <c r="N115" s="763" t="s">
        <v>728</v>
      </c>
      <c r="O115" s="763" t="s">
        <v>728</v>
      </c>
      <c r="P115" s="764"/>
      <c r="Q115" s="764"/>
      <c r="R115" s="764"/>
      <c r="S115" s="765"/>
      <c r="T115" s="765"/>
      <c r="U115" s="765"/>
      <c r="V115" s="766"/>
      <c r="W115" s="764"/>
      <c r="X115" s="764"/>
      <c r="Y115" s="767">
        <v>1</v>
      </c>
      <c r="Z115" s="770">
        <v>1</v>
      </c>
      <c r="AA115" s="166">
        <f t="shared" ref="AA115" si="58">P115+V115</f>
        <v>0</v>
      </c>
      <c r="AB115" s="166">
        <f t="shared" ref="AB115" si="59">Q115+W115</f>
        <v>0</v>
      </c>
      <c r="AC115" s="166">
        <f t="shared" ref="AC115" si="60">R115+X115</f>
        <v>0</v>
      </c>
      <c r="AD115" s="166"/>
      <c r="AE115" s="164">
        <f t="shared" ref="AE115" si="61">AD115*Z115</f>
        <v>0</v>
      </c>
      <c r="AF115" s="167"/>
      <c r="AG115" s="165">
        <f t="shared" ref="AG115" si="62">AF115*Z115</f>
        <v>0</v>
      </c>
      <c r="AH115" s="760"/>
      <c r="AI115" s="760"/>
      <c r="AJ115" s="8"/>
      <c r="AK115" s="524" t="str">
        <f t="shared" ref="AK115" si="63">IF(OR(H115="Medium",H115="High",J115="Medium",J115="High"),"Yes","No")</f>
        <v>No</v>
      </c>
      <c r="AL115" s="525">
        <f>'I-Project Contingency'!$I$4</f>
        <v>7250000</v>
      </c>
      <c r="AM115" s="350">
        <f>'I-Project Contingency'!$I$11</f>
        <v>12</v>
      </c>
      <c r="AN115" s="349">
        <f t="shared" ref="AN115" si="64">IF(B115="","",MAX(ABS(AA115),ABS(AB115),ABS(AC115)))</f>
        <v>0</v>
      </c>
      <c r="AO115" s="350">
        <f t="shared" ref="AO115" si="65">IF(B115="","",MAX(ABS(S115),ABS(T115),ABS(U115)))</f>
        <v>0</v>
      </c>
      <c r="AP115" s="672" t="str">
        <f t="shared" si="54"/>
        <v/>
      </c>
      <c r="AQ115" s="672" t="str">
        <f t="shared" si="55"/>
        <v/>
      </c>
      <c r="AR115" s="526" t="str">
        <f t="shared" si="57"/>
        <v/>
      </c>
      <c r="AS115" s="526" t="str">
        <f t="shared" si="56"/>
        <v/>
      </c>
      <c r="AT115" s="8"/>
      <c r="AU115" s="353">
        <f>'I-Project Contingency'!$O$4-AE115</f>
        <v>0</v>
      </c>
      <c r="AV115" s="354">
        <v>1687645.9248406207</v>
      </c>
      <c r="AW115" s="354">
        <v>3291004.7254658043</v>
      </c>
      <c r="AX115" s="354">
        <v>4159167.8232088853</v>
      </c>
      <c r="AY115" s="354">
        <f>'I-Project Contingency'!$E$66-AV115</f>
        <v>0</v>
      </c>
      <c r="AZ115" s="354">
        <f>'I-Project Contingency'!$E$69-AW115</f>
        <v>0</v>
      </c>
      <c r="BA115" s="354">
        <f>'I-Project Contingency'!$E$70-AX115</f>
        <v>0</v>
      </c>
      <c r="BB115" s="355">
        <f>'I-Project Contingency'!$O$5-AG115</f>
        <v>0</v>
      </c>
      <c r="BC115" s="356">
        <v>2.9615115956254372</v>
      </c>
      <c r="BD115" s="356">
        <v>6.001919642116226</v>
      </c>
      <c r="BE115" s="357">
        <v>7.5913096572662919</v>
      </c>
      <c r="BF115" s="356">
        <f>'I-Project Contingency'!$E$81-BC115</f>
        <v>0</v>
      </c>
      <c r="BG115" s="356">
        <f>'I-Project Contingency'!$E$84-BD115</f>
        <v>0</v>
      </c>
      <c r="BH115" s="356">
        <f>'I-Project Contingency'!$E$85-BE115</f>
        <v>0</v>
      </c>
      <c r="BI115" s="358">
        <f>IF(BK115="N/A","N/A",IF('D-Project Data'!$C$6=50%,ABS(BK115),IF('D-Project Data'!$C$6=80%,ABS(BL115),IF('D-Project Data'!$C$6=90%,ABS(BM115)))))</f>
        <v>0</v>
      </c>
      <c r="BJ115" s="359">
        <f>IF(BI115="N/A","N/A",RANK(BI115,$BI$18:$BI$116,0)+COUNTIF($BI$18:BI115,BI115)-1)</f>
        <v>98</v>
      </c>
      <c r="BK115" s="358">
        <f>IF(AY115/SUM(AY:AY)*'I-Project Contingency'!$F$66=0,0,AY115/SUM(AY:AY)*'I-Project Contingency'!$F$66)</f>
        <v>0</v>
      </c>
      <c r="BL115" s="358">
        <f>IF(AZ115/SUM(AZ:AZ)*'I-Project Contingency'!$F$69=0,0,AZ115/SUM(AZ:AZ)*'I-Project Contingency'!$F$69)</f>
        <v>0</v>
      </c>
      <c r="BM115" s="358">
        <f>IF(BA115/SUM(BA:BA)*'I-Project Contingency'!$F$70=0,0,BA115/SUM(BA:BA)*'I-Project Contingency'!$F$70)</f>
        <v>0</v>
      </c>
      <c r="BN115" s="357">
        <f>IF(BP115="N/A","N/A",IF('D-Project Data'!$C$6=50%,ABS(BP115),IF('D-Project Data'!$C$6=80%,ABS(BQ115),IF('D-Project Data'!$C$6=90%,ABS(BR115)))))</f>
        <v>0</v>
      </c>
      <c r="BO115" s="359">
        <f>IF(BN115="N/A","N/A",RANK(BN115,$BN$18:$BN$116,0)+COUNTIF($BN$18:BN115,BN115)-1)</f>
        <v>98</v>
      </c>
      <c r="BP115" s="357">
        <f>IF(BF115/SUM(BF:BF)*'I-Project Contingency'!$F$81=0,0,BF115/SUM(BF:BF)*'I-Project Contingency'!$F$81)</f>
        <v>0</v>
      </c>
      <c r="BQ115" s="357">
        <f>IF(BG115/SUM(BG:BG)*'I-Project Contingency'!$F$84=0,0,BG115/SUM(BG:BG)*'I-Project Contingency'!$F$84)</f>
        <v>0</v>
      </c>
      <c r="BR115" s="357">
        <f>IF(BH115/SUM(BH:BH)*'I-Project Contingency'!$F$85=0,0,BH115/SUM(BH:BH)*'I-Project Contingency'!$F$85)</f>
        <v>0</v>
      </c>
      <c r="BS115" s="359">
        <f t="shared" ref="BS115" si="66">A115</f>
        <v>98</v>
      </c>
      <c r="BT115" s="360" t="str">
        <f t="shared" ref="BT115" si="67">A115&amp;" - "&amp;C115</f>
        <v xml:space="preserve">98 -  </v>
      </c>
      <c r="BU115" s="354">
        <f t="shared" ref="BU115" si="68">AA115</f>
        <v>0</v>
      </c>
      <c r="BV115" s="354">
        <f t="shared" ref="BV115" si="69">AC115</f>
        <v>0</v>
      </c>
      <c r="BW115" s="356">
        <f t="shared" ref="BW115" si="70">IFERROR(S115,0)</f>
        <v>0</v>
      </c>
      <c r="BX115" s="356">
        <f t="shared" ref="BX115" si="71">IFERROR(U115,0)</f>
        <v>0</v>
      </c>
    </row>
    <row r="116" spans="1:76" ht="29" x14ac:dyDescent="0.35">
      <c r="A116" s="163">
        <f>A115+1</f>
        <v>99</v>
      </c>
      <c r="B116" s="758" t="s">
        <v>728</v>
      </c>
      <c r="C116" s="760" t="s">
        <v>659</v>
      </c>
      <c r="D116" s="760" t="s">
        <v>659</v>
      </c>
      <c r="E116" s="760" t="s">
        <v>659</v>
      </c>
      <c r="F116" s="759" t="s">
        <v>728</v>
      </c>
      <c r="G116" s="759" t="s">
        <v>728</v>
      </c>
      <c r="H116" s="157" t="str">
        <f>IFERROR(IF('H-Risk Register-Model'!F116="Certain","Relook at Basis of Estimate",INDEX('G-Assumptions'!$F$8:$J$11,MATCH(F116,'G-Assumptions'!$D$8:$D$11,0),MATCH(G116,'G-Assumptions'!$F$6:$J$6,0))),"Unrated")</f>
        <v>Unrated</v>
      </c>
      <c r="I116" s="759" t="s">
        <v>728</v>
      </c>
      <c r="J116" s="157" t="str">
        <f>IFERROR(IF('H-Risk Register-Model'!F116="Certain","Relook at Basis of Estimate",INDEX('G-Assumptions'!$F$8:$J$11,MATCH(F116,'G-Assumptions'!$D$8:$D$11,0),MATCH(I116,'G-Assumptions'!$F$6:$J$6,0))),"Unrated")</f>
        <v>Unrated</v>
      </c>
      <c r="K116" s="759" t="s">
        <v>728</v>
      </c>
      <c r="L116" s="759" t="s">
        <v>728</v>
      </c>
      <c r="M116" s="759"/>
      <c r="N116" s="763" t="s">
        <v>728</v>
      </c>
      <c r="O116" s="763" t="s">
        <v>728</v>
      </c>
      <c r="P116" s="764"/>
      <c r="Q116" s="764"/>
      <c r="R116" s="764"/>
      <c r="S116" s="765"/>
      <c r="T116" s="765"/>
      <c r="U116" s="765"/>
      <c r="V116" s="766"/>
      <c r="W116" s="764"/>
      <c r="X116" s="764"/>
      <c r="Y116" s="767">
        <v>1</v>
      </c>
      <c r="Z116" s="770">
        <v>1</v>
      </c>
      <c r="AA116" s="166">
        <f t="shared" si="40"/>
        <v>0</v>
      </c>
      <c r="AB116" s="166">
        <f t="shared" si="41"/>
        <v>0</v>
      </c>
      <c r="AC116" s="166">
        <f t="shared" si="42"/>
        <v>0</v>
      </c>
      <c r="AD116" s="166"/>
      <c r="AE116" s="164">
        <f t="shared" si="43"/>
        <v>0</v>
      </c>
      <c r="AF116" s="167"/>
      <c r="AG116" s="165">
        <f t="shared" si="44"/>
        <v>0</v>
      </c>
      <c r="AH116" s="760"/>
      <c r="AI116" s="760"/>
      <c r="AJ116" s="8"/>
      <c r="AK116" s="524" t="str">
        <f t="shared" si="45"/>
        <v>No</v>
      </c>
      <c r="AL116" s="525">
        <f>'I-Project Contingency'!$I$4</f>
        <v>7250000</v>
      </c>
      <c r="AM116" s="350">
        <f>'I-Project Contingency'!$I$11</f>
        <v>12</v>
      </c>
      <c r="AN116" s="349">
        <f t="shared" si="52"/>
        <v>0</v>
      </c>
      <c r="AO116" s="350">
        <f t="shared" si="53"/>
        <v>0</v>
      </c>
      <c r="AP116" s="672" t="str">
        <f t="shared" si="54"/>
        <v/>
      </c>
      <c r="AQ116" s="672" t="str">
        <f t="shared" si="55"/>
        <v/>
      </c>
      <c r="AR116" s="526" t="str">
        <f t="shared" si="57"/>
        <v/>
      </c>
      <c r="AS116" s="526" t="str">
        <f t="shared" si="56"/>
        <v/>
      </c>
      <c r="AT116" s="8"/>
      <c r="AU116" s="353">
        <f>'I-Project Contingency'!$O$4-AE116</f>
        <v>0</v>
      </c>
      <c r="AV116" s="354">
        <v>1687645.9248406207</v>
      </c>
      <c r="AW116" s="354">
        <v>3291004.7254658043</v>
      </c>
      <c r="AX116" s="354">
        <v>4159167.8232088853</v>
      </c>
      <c r="AY116" s="354">
        <f>'I-Project Contingency'!$E$66-AV116</f>
        <v>0</v>
      </c>
      <c r="AZ116" s="354">
        <f>'I-Project Contingency'!$E$69-AW116</f>
        <v>0</v>
      </c>
      <c r="BA116" s="354">
        <f>'I-Project Contingency'!$E$70-AX116</f>
        <v>0</v>
      </c>
      <c r="BB116" s="355">
        <f>'I-Project Contingency'!$O$5-AG116</f>
        <v>0</v>
      </c>
      <c r="BC116" s="356">
        <v>2.9615115956254372</v>
      </c>
      <c r="BD116" s="356">
        <v>6.001919642116226</v>
      </c>
      <c r="BE116" s="357">
        <v>7.5913096572662919</v>
      </c>
      <c r="BF116" s="356">
        <f>'I-Project Contingency'!$E$81-BC116</f>
        <v>0</v>
      </c>
      <c r="BG116" s="356">
        <f>'I-Project Contingency'!$E$84-BD116</f>
        <v>0</v>
      </c>
      <c r="BH116" s="356">
        <f>'I-Project Contingency'!$E$85-BE116</f>
        <v>0</v>
      </c>
      <c r="BI116" s="358">
        <f>IF(BK116="N/A","N/A",IF('D-Project Data'!$C$6=50%,ABS(BK116),IF('D-Project Data'!$C$6=80%,ABS(BL116),IF('D-Project Data'!$C$6=90%,ABS(BM116)))))</f>
        <v>0</v>
      </c>
      <c r="BJ116" s="359">
        <f>IF(BI116="N/A","N/A",RANK(BI116,$BI$18:$BI$116,0)+COUNTIF($BI$18:BI116,BI116)-1)</f>
        <v>99</v>
      </c>
      <c r="BK116" s="358">
        <f>IF(AY116/SUM(AY:AY)*'I-Project Contingency'!$F$66=0,0,AY116/SUM(AY:AY)*'I-Project Contingency'!$F$66)</f>
        <v>0</v>
      </c>
      <c r="BL116" s="358">
        <f>IF(AZ116/SUM(AZ:AZ)*'I-Project Contingency'!$F$69=0,0,AZ116/SUM(AZ:AZ)*'I-Project Contingency'!$F$69)</f>
        <v>0</v>
      </c>
      <c r="BM116" s="358">
        <f>IF(BA116/SUM(BA:BA)*'I-Project Contingency'!$F$70=0,0,BA116/SUM(BA:BA)*'I-Project Contingency'!$F$70)</f>
        <v>0</v>
      </c>
      <c r="BN116" s="357">
        <f>IF(BP116="N/A","N/A",IF('D-Project Data'!$C$6=50%,ABS(BP116),IF('D-Project Data'!$C$6=80%,ABS(BQ116),IF('D-Project Data'!$C$6=90%,ABS(BR116)))))</f>
        <v>0</v>
      </c>
      <c r="BO116" s="359">
        <f>IF(BN116="N/A","N/A",RANK(BN116,$BN$18:$BN$116,0)+COUNTIF($BN$18:BN116,BN116)-1)</f>
        <v>99</v>
      </c>
      <c r="BP116" s="357">
        <f>IF(BF116/SUM(BF:BF)*'I-Project Contingency'!$F$81=0,0,BF116/SUM(BF:BF)*'I-Project Contingency'!$F$81)</f>
        <v>0</v>
      </c>
      <c r="BQ116" s="357">
        <f>IF(BG116/SUM(BG:BG)*'I-Project Contingency'!$F$84=0,0,BG116/SUM(BG:BG)*'I-Project Contingency'!$F$84)</f>
        <v>0</v>
      </c>
      <c r="BR116" s="357">
        <f>IF(BH116/SUM(BH:BH)*'I-Project Contingency'!$F$85=0,0,BH116/SUM(BH:BH)*'I-Project Contingency'!$F$85)</f>
        <v>0</v>
      </c>
      <c r="BS116" s="359">
        <f t="shared" si="46"/>
        <v>99</v>
      </c>
      <c r="BT116" s="360" t="str">
        <f t="shared" si="47"/>
        <v xml:space="preserve">99 -  </v>
      </c>
      <c r="BU116" s="354">
        <f t="shared" si="48"/>
        <v>0</v>
      </c>
      <c r="BV116" s="354">
        <f t="shared" si="49"/>
        <v>0</v>
      </c>
      <c r="BW116" s="356">
        <f t="shared" si="50"/>
        <v>0</v>
      </c>
      <c r="BX116" s="356">
        <f t="shared" si="51"/>
        <v>0</v>
      </c>
    </row>
    <row r="117" spans="1:76" x14ac:dyDescent="0.35">
      <c r="A117"/>
      <c r="B117"/>
      <c r="C117"/>
      <c r="D117"/>
      <c r="E117"/>
      <c r="F117"/>
      <c r="G117"/>
      <c r="H117"/>
      <c r="I117"/>
      <c r="J117"/>
      <c r="K117"/>
      <c r="L117"/>
      <c r="M117"/>
      <c r="N117"/>
      <c r="O117"/>
      <c r="P117" s="168"/>
      <c r="Q117" s="168"/>
      <c r="R117" s="168"/>
      <c r="S117" s="169"/>
      <c r="T117" s="169"/>
      <c r="U117" s="169"/>
      <c r="V117" s="168"/>
      <c r="W117" s="168"/>
      <c r="X117" s="168"/>
      <c r="Y117" s="170"/>
      <c r="Z117" s="171"/>
      <c r="AA117" s="171"/>
      <c r="AB117" s="171"/>
      <c r="AC117" s="171"/>
      <c r="AD117" s="171"/>
      <c r="AE117" s="168"/>
      <c r="AF117" s="170"/>
      <c r="AG117" s="172"/>
      <c r="AH117"/>
      <c r="AI117"/>
    </row>
    <row r="118" spans="1:76" x14ac:dyDescent="0.35">
      <c r="A118"/>
      <c r="B118"/>
      <c r="C118"/>
      <c r="D118"/>
      <c r="E118"/>
      <c r="F118"/>
      <c r="G118"/>
      <c r="H118"/>
      <c r="I118"/>
      <c r="J118"/>
      <c r="K118"/>
      <c r="L118"/>
      <c r="M118"/>
      <c r="N118"/>
      <c r="O118"/>
      <c r="P118" s="168"/>
      <c r="Q118" s="168"/>
      <c r="R118" s="168"/>
      <c r="S118" s="169"/>
      <c r="T118" s="169"/>
      <c r="U118" s="169"/>
      <c r="V118" s="168"/>
      <c r="W118" s="168"/>
      <c r="X118" s="168"/>
      <c r="Y118" s="170"/>
      <c r="Z118" s="171"/>
      <c r="AA118" s="171"/>
      <c r="AB118" s="171"/>
      <c r="AC118" s="171"/>
      <c r="AD118" s="171"/>
      <c r="AE118" s="168"/>
      <c r="AF118" s="170"/>
      <c r="AG118" s="172"/>
      <c r="AH118"/>
      <c r="AI118"/>
    </row>
    <row r="119" spans="1:76" x14ac:dyDescent="0.35">
      <c r="A119"/>
      <c r="B119"/>
      <c r="C119"/>
      <c r="D119"/>
      <c r="E119"/>
      <c r="F119"/>
      <c r="G119"/>
      <c r="H119"/>
      <c r="I119"/>
      <c r="J119"/>
      <c r="K119"/>
      <c r="L119"/>
      <c r="M119"/>
      <c r="N119"/>
      <c r="O119"/>
      <c r="P119" s="168"/>
      <c r="Q119" s="168"/>
      <c r="R119" s="168"/>
      <c r="S119" s="169"/>
      <c r="T119" s="169"/>
      <c r="U119" s="169"/>
      <c r="V119" s="168"/>
      <c r="W119" s="168"/>
      <c r="X119" s="168"/>
      <c r="Y119" s="170"/>
      <c r="Z119" s="171"/>
      <c r="AA119" s="171"/>
      <c r="AB119" s="171"/>
      <c r="AC119" s="171"/>
      <c r="AD119" s="171"/>
      <c r="AE119" s="168"/>
      <c r="AF119" s="170"/>
      <c r="AG119" s="172"/>
      <c r="AH119"/>
      <c r="AI119"/>
    </row>
    <row r="120" spans="1:76" x14ac:dyDescent="0.35">
      <c r="A120"/>
      <c r="B120"/>
      <c r="C120"/>
      <c r="D120"/>
      <c r="E120"/>
      <c r="F120"/>
      <c r="G120"/>
      <c r="H120"/>
      <c r="I120"/>
      <c r="J120"/>
      <c r="K120"/>
      <c r="L120"/>
      <c r="M120"/>
      <c r="N120"/>
      <c r="O120"/>
      <c r="P120" s="168"/>
      <c r="Q120" s="168"/>
      <c r="R120" s="168"/>
      <c r="S120" s="169"/>
      <c r="T120" s="169"/>
      <c r="U120" s="169"/>
      <c r="V120" s="168"/>
      <c r="W120" s="168"/>
      <c r="X120" s="168"/>
      <c r="Y120" s="170"/>
      <c r="Z120" s="171"/>
      <c r="AA120" s="171"/>
      <c r="AB120" s="171"/>
      <c r="AC120" s="171"/>
      <c r="AD120" s="171"/>
      <c r="AE120" s="168"/>
      <c r="AF120" s="170"/>
      <c r="AG120" s="172"/>
      <c r="AH120"/>
      <c r="AI120"/>
    </row>
    <row r="121" spans="1:76" x14ac:dyDescent="0.35">
      <c r="A121"/>
      <c r="B121"/>
      <c r="C121"/>
      <c r="D121"/>
      <c r="E121"/>
      <c r="F121"/>
      <c r="G121"/>
      <c r="H121"/>
      <c r="I121"/>
      <c r="J121"/>
      <c r="K121"/>
      <c r="L121"/>
      <c r="M121"/>
      <c r="N121"/>
      <c r="O121"/>
      <c r="P121" s="168"/>
      <c r="Q121" s="168"/>
      <c r="R121" s="168"/>
      <c r="S121" s="169"/>
      <c r="T121" s="169"/>
      <c r="U121" s="169"/>
      <c r="V121" s="168"/>
      <c r="W121" s="168"/>
      <c r="X121" s="168"/>
      <c r="Y121" s="170"/>
      <c r="Z121" s="171"/>
      <c r="AA121" s="171"/>
      <c r="AB121" s="171"/>
      <c r="AC121" s="171"/>
      <c r="AD121" s="171"/>
      <c r="AE121" s="168"/>
      <c r="AF121" s="170"/>
      <c r="AG121" s="172"/>
      <c r="AH121"/>
      <c r="AI121"/>
    </row>
    <row r="122" spans="1:76" x14ac:dyDescent="0.35">
      <c r="A122"/>
      <c r="B122"/>
      <c r="C122"/>
      <c r="D122"/>
      <c r="E122"/>
      <c r="F122"/>
      <c r="G122"/>
      <c r="H122"/>
      <c r="I122"/>
      <c r="J122"/>
      <c r="K122"/>
      <c r="L122"/>
      <c r="M122"/>
      <c r="N122"/>
      <c r="O122"/>
      <c r="P122" s="168"/>
      <c r="Q122" s="168"/>
      <c r="R122" s="168"/>
      <c r="S122" s="169"/>
      <c r="T122" s="169"/>
      <c r="U122" s="169"/>
      <c r="V122" s="168"/>
      <c r="W122" s="168"/>
      <c r="X122" s="168"/>
      <c r="Y122" s="170"/>
      <c r="Z122" s="171"/>
      <c r="AA122" s="171"/>
      <c r="AB122" s="171"/>
      <c r="AC122" s="171"/>
      <c r="AD122" s="171"/>
      <c r="AE122" s="168"/>
      <c r="AF122" s="170"/>
      <c r="AG122" s="172"/>
      <c r="AH122"/>
      <c r="AI122"/>
    </row>
    <row r="123" spans="1:76" x14ac:dyDescent="0.35">
      <c r="A123"/>
      <c r="B123"/>
      <c r="C123"/>
      <c r="D123"/>
      <c r="E123"/>
      <c r="F123"/>
      <c r="G123"/>
      <c r="H123"/>
      <c r="I123"/>
      <c r="J123"/>
      <c r="K123"/>
      <c r="L123"/>
      <c r="M123"/>
      <c r="N123"/>
      <c r="O123"/>
      <c r="P123" s="168"/>
      <c r="Q123" s="168"/>
      <c r="R123" s="168"/>
      <c r="S123" s="169"/>
      <c r="T123" s="169"/>
      <c r="U123" s="169"/>
      <c r="V123" s="168"/>
      <c r="W123" s="168"/>
      <c r="X123" s="168"/>
      <c r="Y123" s="170"/>
      <c r="Z123" s="171"/>
      <c r="AA123" s="171"/>
      <c r="AB123" s="171"/>
      <c r="AC123" s="171"/>
      <c r="AD123" s="171"/>
      <c r="AE123" s="168"/>
      <c r="AF123" s="170"/>
      <c r="AG123" s="172"/>
      <c r="AH123"/>
      <c r="AI123"/>
    </row>
    <row r="124" spans="1:76" x14ac:dyDescent="0.35">
      <c r="A124"/>
      <c r="B124"/>
      <c r="C124"/>
      <c r="D124"/>
      <c r="E124"/>
      <c r="F124"/>
      <c r="G124"/>
      <c r="H124"/>
      <c r="I124"/>
      <c r="J124"/>
      <c r="K124"/>
      <c r="L124"/>
      <c r="M124"/>
      <c r="N124"/>
      <c r="O124"/>
      <c r="P124" s="168"/>
      <c r="Q124" s="168"/>
      <c r="R124" s="168"/>
      <c r="S124" s="169"/>
      <c r="T124" s="169"/>
      <c r="U124" s="169"/>
      <c r="V124" s="168"/>
      <c r="W124" s="168"/>
      <c r="X124" s="168"/>
      <c r="Y124" s="170"/>
      <c r="Z124" s="171"/>
      <c r="AA124" s="171"/>
      <c r="AB124" s="171"/>
      <c r="AC124" s="171"/>
      <c r="AD124" s="171"/>
      <c r="AE124" s="168"/>
      <c r="AF124" s="170"/>
      <c r="AG124" s="172"/>
      <c r="AH124"/>
      <c r="AI124"/>
    </row>
    <row r="125" spans="1:76" x14ac:dyDescent="0.35">
      <c r="A125"/>
      <c r="B125"/>
      <c r="C125"/>
      <c r="D125"/>
      <c r="E125"/>
      <c r="F125"/>
      <c r="G125"/>
      <c r="H125"/>
      <c r="I125"/>
      <c r="J125"/>
      <c r="K125"/>
      <c r="L125"/>
      <c r="M125"/>
      <c r="N125"/>
      <c r="O125"/>
      <c r="P125" s="168"/>
      <c r="Q125" s="168"/>
      <c r="R125" s="168"/>
      <c r="S125" s="169"/>
      <c r="T125" s="169"/>
      <c r="U125" s="169"/>
      <c r="V125" s="168"/>
      <c r="W125" s="168"/>
      <c r="X125" s="168"/>
      <c r="Y125" s="170"/>
      <c r="Z125" s="171"/>
      <c r="AA125" s="171"/>
      <c r="AB125" s="171"/>
      <c r="AC125" s="171"/>
      <c r="AD125" s="171"/>
      <c r="AE125" s="168"/>
      <c r="AF125" s="170"/>
      <c r="AG125" s="172"/>
      <c r="AH125"/>
      <c r="AI125"/>
    </row>
    <row r="126" spans="1:76" x14ac:dyDescent="0.35">
      <c r="A126"/>
      <c r="B126"/>
      <c r="C126"/>
      <c r="D126"/>
      <c r="E126"/>
      <c r="F126"/>
      <c r="G126"/>
      <c r="H126"/>
      <c r="I126"/>
      <c r="J126"/>
      <c r="K126"/>
      <c r="L126"/>
      <c r="M126"/>
      <c r="N126"/>
      <c r="O126"/>
      <c r="P126" s="168"/>
      <c r="Q126" s="168"/>
      <c r="R126" s="168"/>
      <c r="S126" s="169"/>
      <c r="T126" s="169"/>
      <c r="U126" s="169"/>
      <c r="V126" s="168"/>
      <c r="W126" s="168"/>
      <c r="X126" s="168"/>
      <c r="Y126" s="170"/>
      <c r="Z126" s="171"/>
      <c r="AA126" s="171"/>
      <c r="AB126" s="171"/>
      <c r="AC126" s="171"/>
      <c r="AD126" s="171"/>
      <c r="AE126" s="168"/>
      <c r="AF126" s="170"/>
      <c r="AG126" s="172"/>
      <c r="AH126"/>
      <c r="AI126"/>
    </row>
    <row r="127" spans="1:76" x14ac:dyDescent="0.35">
      <c r="A127"/>
      <c r="B127"/>
      <c r="C127"/>
      <c r="D127"/>
      <c r="E127"/>
      <c r="F127"/>
      <c r="G127"/>
      <c r="H127"/>
      <c r="I127"/>
      <c r="J127"/>
      <c r="K127"/>
      <c r="L127"/>
      <c r="M127"/>
      <c r="N127"/>
      <c r="O127"/>
      <c r="P127" s="168"/>
      <c r="Q127" s="168"/>
      <c r="R127" s="168"/>
      <c r="S127" s="169"/>
      <c r="T127" s="169"/>
      <c r="U127" s="169"/>
      <c r="V127" s="168"/>
      <c r="W127" s="168"/>
      <c r="X127" s="168"/>
      <c r="Y127" s="170"/>
      <c r="Z127" s="171"/>
      <c r="AA127" s="171"/>
      <c r="AB127" s="171"/>
      <c r="AC127" s="171"/>
      <c r="AD127" s="171"/>
      <c r="AE127" s="168"/>
      <c r="AF127" s="170"/>
      <c r="AG127" s="172"/>
      <c r="AH127"/>
      <c r="AI127"/>
    </row>
    <row r="128" spans="1:76" x14ac:dyDescent="0.35">
      <c r="A128"/>
      <c r="B128"/>
      <c r="C128"/>
      <c r="D128"/>
      <c r="E128"/>
      <c r="F128"/>
      <c r="G128"/>
      <c r="H128"/>
      <c r="I128"/>
      <c r="J128"/>
      <c r="K128"/>
      <c r="L128"/>
      <c r="M128"/>
      <c r="N128"/>
      <c r="O128"/>
      <c r="P128" s="168"/>
      <c r="Q128" s="168"/>
      <c r="R128" s="168"/>
      <c r="S128" s="169"/>
      <c r="T128" s="169"/>
      <c r="U128" s="169"/>
      <c r="V128" s="168"/>
      <c r="W128" s="168"/>
      <c r="X128" s="168"/>
      <c r="Y128" s="170"/>
      <c r="Z128" s="171"/>
      <c r="AA128" s="171"/>
      <c r="AB128" s="171"/>
      <c r="AC128" s="171"/>
      <c r="AD128" s="171"/>
      <c r="AE128" s="168"/>
      <c r="AF128" s="170"/>
      <c r="AG128" s="172"/>
      <c r="AH128"/>
      <c r="AI128"/>
    </row>
    <row r="129" spans="1:35" x14ac:dyDescent="0.35">
      <c r="A129"/>
      <c r="B129"/>
      <c r="C129"/>
      <c r="D129"/>
      <c r="E129"/>
      <c r="F129"/>
      <c r="G129"/>
      <c r="H129"/>
      <c r="I129"/>
      <c r="J129"/>
      <c r="K129"/>
      <c r="L129"/>
      <c r="M129"/>
      <c r="N129"/>
      <c r="O129"/>
      <c r="P129" s="168"/>
      <c r="Q129" s="168"/>
      <c r="R129" s="168"/>
      <c r="S129" s="169"/>
      <c r="T129" s="169"/>
      <c r="U129" s="169"/>
      <c r="V129" s="168"/>
      <c r="W129" s="168"/>
      <c r="X129" s="168"/>
      <c r="Y129" s="170"/>
      <c r="Z129" s="171"/>
      <c r="AA129" s="171"/>
      <c r="AB129" s="171"/>
      <c r="AC129" s="171"/>
      <c r="AD129" s="171"/>
      <c r="AE129" s="168"/>
      <c r="AF129" s="170"/>
      <c r="AG129" s="172"/>
      <c r="AH129"/>
      <c r="AI129"/>
    </row>
    <row r="130" spans="1:35" x14ac:dyDescent="0.35">
      <c r="A130"/>
      <c r="B130"/>
      <c r="C130"/>
      <c r="D130"/>
      <c r="E130"/>
      <c r="F130"/>
      <c r="G130"/>
      <c r="H130"/>
      <c r="I130"/>
      <c r="J130"/>
      <c r="K130"/>
      <c r="L130"/>
      <c r="M130"/>
      <c r="N130"/>
      <c r="O130"/>
      <c r="P130" s="168"/>
      <c r="Q130" s="168"/>
      <c r="R130" s="168"/>
      <c r="S130" s="169"/>
      <c r="T130" s="169"/>
      <c r="U130" s="169"/>
      <c r="V130" s="168"/>
      <c r="W130" s="168"/>
      <c r="X130" s="168"/>
      <c r="Y130" s="170"/>
      <c r="Z130" s="171"/>
      <c r="AA130" s="171"/>
      <c r="AB130" s="171"/>
      <c r="AC130" s="171"/>
      <c r="AD130" s="171"/>
      <c r="AE130" s="168"/>
      <c r="AF130" s="170"/>
      <c r="AG130" s="172"/>
      <c r="AH130"/>
      <c r="AI130"/>
    </row>
    <row r="131" spans="1:35" x14ac:dyDescent="0.35">
      <c r="A131"/>
      <c r="B131"/>
      <c r="C131"/>
      <c r="D131"/>
      <c r="E131"/>
      <c r="F131"/>
      <c r="G131"/>
      <c r="H131"/>
      <c r="I131"/>
      <c r="J131"/>
      <c r="K131"/>
      <c r="L131"/>
      <c r="M131"/>
      <c r="N131"/>
      <c r="O131"/>
      <c r="P131" s="168"/>
      <c r="Q131" s="168"/>
      <c r="R131" s="168"/>
      <c r="S131" s="169"/>
      <c r="T131" s="169"/>
      <c r="U131" s="169"/>
      <c r="V131" s="168"/>
      <c r="W131" s="168"/>
      <c r="X131" s="168"/>
      <c r="Y131" s="170"/>
      <c r="Z131" s="171"/>
      <c r="AA131" s="171"/>
      <c r="AB131" s="171"/>
      <c r="AC131" s="171"/>
      <c r="AD131" s="171"/>
      <c r="AE131" s="168"/>
      <c r="AF131" s="170"/>
      <c r="AG131" s="172"/>
      <c r="AH131"/>
      <c r="AI131"/>
    </row>
    <row r="132" spans="1:35" x14ac:dyDescent="0.35">
      <c r="A132"/>
      <c r="B132"/>
      <c r="C132"/>
      <c r="D132"/>
      <c r="E132"/>
      <c r="F132"/>
      <c r="G132"/>
      <c r="H132"/>
      <c r="I132"/>
      <c r="J132"/>
      <c r="K132"/>
      <c r="L132"/>
      <c r="M132"/>
      <c r="N132"/>
      <c r="O132"/>
      <c r="P132" s="168"/>
      <c r="Q132" s="168"/>
      <c r="R132" s="168"/>
      <c r="S132" s="169"/>
      <c r="T132" s="169"/>
      <c r="U132" s="169"/>
      <c r="V132" s="168"/>
      <c r="W132" s="168"/>
      <c r="X132" s="168"/>
      <c r="Y132" s="170"/>
      <c r="Z132" s="171"/>
      <c r="AA132" s="171"/>
      <c r="AB132" s="171"/>
      <c r="AC132" s="171"/>
      <c r="AD132" s="171"/>
      <c r="AE132" s="168"/>
      <c r="AF132" s="170"/>
      <c r="AG132" s="172"/>
      <c r="AH132"/>
      <c r="AI132"/>
    </row>
    <row r="133" spans="1:35" x14ac:dyDescent="0.35">
      <c r="A133"/>
      <c r="B133"/>
      <c r="C133"/>
      <c r="D133"/>
      <c r="E133"/>
      <c r="F133"/>
      <c r="G133"/>
      <c r="H133"/>
      <c r="I133"/>
      <c r="J133"/>
      <c r="K133"/>
      <c r="L133"/>
      <c r="M133"/>
      <c r="N133"/>
      <c r="O133"/>
      <c r="P133" s="168"/>
      <c r="Q133" s="168"/>
      <c r="R133" s="168"/>
      <c r="S133" s="169"/>
      <c r="T133" s="169"/>
      <c r="U133" s="169"/>
      <c r="V133" s="168"/>
      <c r="W133" s="168"/>
      <c r="X133" s="168"/>
      <c r="Y133" s="170"/>
      <c r="Z133" s="171"/>
      <c r="AA133" s="171"/>
      <c r="AB133" s="171"/>
      <c r="AC133" s="171"/>
      <c r="AD133" s="171"/>
      <c r="AE133" s="168"/>
      <c r="AF133" s="170"/>
      <c r="AG133" s="172"/>
      <c r="AH133"/>
      <c r="AI133"/>
    </row>
    <row r="134" spans="1:35" x14ac:dyDescent="0.35">
      <c r="A134"/>
      <c r="B134"/>
      <c r="C134"/>
      <c r="D134"/>
      <c r="E134"/>
      <c r="F134"/>
      <c r="G134"/>
      <c r="H134"/>
      <c r="I134"/>
      <c r="J134"/>
      <c r="K134"/>
      <c r="L134"/>
      <c r="M134"/>
      <c r="N134"/>
      <c r="O134"/>
      <c r="P134" s="168"/>
      <c r="Q134" s="168"/>
      <c r="R134" s="168"/>
      <c r="S134" s="169"/>
      <c r="T134" s="169"/>
      <c r="U134" s="169"/>
      <c r="V134" s="168"/>
      <c r="W134" s="168"/>
      <c r="X134" s="168"/>
      <c r="Y134" s="170"/>
      <c r="Z134" s="171"/>
      <c r="AA134" s="171"/>
      <c r="AB134" s="171"/>
      <c r="AC134" s="171"/>
      <c r="AD134" s="171"/>
      <c r="AE134" s="168"/>
      <c r="AF134" s="170"/>
      <c r="AG134" s="172"/>
      <c r="AH134"/>
      <c r="AI134"/>
    </row>
    <row r="135" spans="1:35" x14ac:dyDescent="0.35">
      <c r="A135"/>
      <c r="B135"/>
      <c r="C135"/>
      <c r="D135"/>
      <c r="E135"/>
      <c r="F135"/>
      <c r="G135"/>
      <c r="H135"/>
      <c r="I135"/>
      <c r="J135"/>
      <c r="K135"/>
      <c r="L135"/>
      <c r="M135"/>
      <c r="N135"/>
      <c r="O135"/>
      <c r="P135" s="168"/>
      <c r="Q135" s="168"/>
      <c r="R135" s="168"/>
      <c r="S135" s="169"/>
      <c r="T135" s="169"/>
      <c r="U135" s="169"/>
      <c r="V135" s="168"/>
      <c r="W135" s="168"/>
      <c r="X135" s="168"/>
      <c r="Y135" s="170"/>
      <c r="Z135" s="171"/>
      <c r="AA135" s="171"/>
      <c r="AB135" s="171"/>
      <c r="AC135" s="171"/>
      <c r="AD135" s="171"/>
      <c r="AE135" s="168"/>
      <c r="AF135" s="170"/>
      <c r="AG135" s="172"/>
      <c r="AH135"/>
      <c r="AI135"/>
    </row>
    <row r="136" spans="1:35" x14ac:dyDescent="0.35">
      <c r="A136"/>
      <c r="B136"/>
      <c r="C136"/>
      <c r="D136"/>
      <c r="E136"/>
      <c r="F136"/>
      <c r="G136"/>
      <c r="H136"/>
      <c r="I136"/>
      <c r="J136"/>
      <c r="K136"/>
      <c r="L136"/>
      <c r="M136"/>
      <c r="N136"/>
      <c r="O136"/>
      <c r="P136" s="168"/>
      <c r="Q136" s="168"/>
      <c r="R136" s="168"/>
      <c r="S136" s="169"/>
      <c r="T136" s="169"/>
      <c r="U136" s="169"/>
      <c r="V136" s="168"/>
      <c r="W136" s="168"/>
      <c r="X136" s="168"/>
      <c r="Y136" s="170"/>
      <c r="Z136" s="171"/>
      <c r="AA136" s="171"/>
      <c r="AB136" s="171"/>
      <c r="AC136" s="171"/>
      <c r="AD136" s="171"/>
      <c r="AE136" s="168"/>
      <c r="AF136" s="170"/>
      <c r="AG136" s="172"/>
      <c r="AH136"/>
      <c r="AI136"/>
    </row>
    <row r="137" spans="1:35" x14ac:dyDescent="0.35">
      <c r="A137"/>
      <c r="B137"/>
      <c r="C137"/>
      <c r="D137"/>
      <c r="E137"/>
      <c r="F137"/>
      <c r="G137"/>
      <c r="H137"/>
      <c r="I137"/>
      <c r="J137"/>
      <c r="K137"/>
      <c r="L137"/>
      <c r="M137"/>
      <c r="N137"/>
      <c r="O137"/>
      <c r="P137" s="168"/>
      <c r="Q137" s="168"/>
      <c r="R137" s="168"/>
      <c r="S137" s="169"/>
      <c r="T137" s="169"/>
      <c r="U137" s="169"/>
      <c r="V137" s="168"/>
      <c r="W137" s="168"/>
      <c r="X137" s="168"/>
      <c r="Y137" s="170"/>
      <c r="Z137" s="171"/>
      <c r="AA137" s="171"/>
      <c r="AB137" s="171"/>
      <c r="AC137" s="171"/>
      <c r="AD137" s="171"/>
      <c r="AE137" s="168"/>
      <c r="AF137" s="170"/>
      <c r="AG137" s="172"/>
      <c r="AH137"/>
      <c r="AI137"/>
    </row>
    <row r="138" spans="1:35" x14ac:dyDescent="0.35">
      <c r="A138"/>
      <c r="B138"/>
      <c r="C138"/>
      <c r="D138"/>
      <c r="E138"/>
      <c r="F138"/>
      <c r="G138"/>
      <c r="H138"/>
      <c r="I138"/>
      <c r="J138"/>
      <c r="K138"/>
      <c r="L138"/>
      <c r="M138"/>
      <c r="N138"/>
      <c r="O138"/>
      <c r="P138" s="168"/>
      <c r="Q138" s="168"/>
      <c r="R138" s="168"/>
      <c r="S138" s="169"/>
      <c r="T138" s="169"/>
      <c r="U138" s="169"/>
      <c r="V138" s="168"/>
      <c r="W138" s="168"/>
      <c r="X138" s="168"/>
      <c r="Y138" s="170"/>
      <c r="Z138" s="171"/>
      <c r="AA138" s="171"/>
      <c r="AB138" s="171"/>
      <c r="AC138" s="171"/>
      <c r="AD138" s="171"/>
      <c r="AE138" s="168"/>
      <c r="AF138" s="170"/>
      <c r="AG138" s="172"/>
      <c r="AH138"/>
      <c r="AI138"/>
    </row>
    <row r="139" spans="1:35" x14ac:dyDescent="0.35">
      <c r="A139"/>
      <c r="B139"/>
      <c r="C139"/>
      <c r="D139"/>
      <c r="E139"/>
      <c r="F139"/>
      <c r="G139"/>
      <c r="H139"/>
      <c r="I139"/>
      <c r="J139"/>
      <c r="K139"/>
      <c r="L139"/>
      <c r="M139"/>
      <c r="N139"/>
      <c r="O139"/>
      <c r="P139" s="168"/>
      <c r="Q139" s="168"/>
      <c r="R139" s="168"/>
      <c r="S139" s="169"/>
      <c r="T139" s="169"/>
      <c r="U139" s="169"/>
      <c r="V139" s="168"/>
      <c r="W139" s="168"/>
      <c r="X139" s="168"/>
      <c r="Y139" s="170"/>
      <c r="Z139" s="171"/>
      <c r="AA139" s="171"/>
      <c r="AB139" s="171"/>
      <c r="AC139" s="171"/>
      <c r="AD139" s="171"/>
      <c r="AE139" s="168"/>
      <c r="AF139" s="170"/>
      <c r="AG139" s="172"/>
      <c r="AH139"/>
      <c r="AI139"/>
    </row>
    <row r="140" spans="1:35" x14ac:dyDescent="0.35">
      <c r="A140"/>
      <c r="B140"/>
      <c r="C140"/>
      <c r="D140"/>
      <c r="E140"/>
      <c r="F140"/>
      <c r="G140"/>
      <c r="H140"/>
      <c r="I140"/>
      <c r="J140"/>
      <c r="K140"/>
      <c r="L140"/>
      <c r="M140"/>
      <c r="N140"/>
      <c r="O140"/>
      <c r="P140" s="168"/>
      <c r="Q140" s="168"/>
      <c r="R140" s="168"/>
      <c r="S140" s="169"/>
      <c r="T140" s="169"/>
      <c r="U140" s="169"/>
      <c r="V140" s="168"/>
      <c r="W140" s="168"/>
      <c r="X140" s="168"/>
      <c r="Y140" s="170"/>
      <c r="Z140" s="171"/>
      <c r="AA140" s="171"/>
      <c r="AB140" s="171"/>
      <c r="AC140" s="171"/>
      <c r="AD140" s="171"/>
      <c r="AE140" s="168"/>
      <c r="AF140" s="170"/>
      <c r="AG140" s="172"/>
      <c r="AH140"/>
      <c r="AI140"/>
    </row>
    <row r="141" spans="1:35" x14ac:dyDescent="0.35">
      <c r="A141"/>
      <c r="B141"/>
      <c r="C141"/>
      <c r="D141"/>
      <c r="E141"/>
      <c r="F141"/>
      <c r="G141"/>
      <c r="H141"/>
      <c r="I141"/>
      <c r="J141"/>
      <c r="K141"/>
      <c r="L141"/>
      <c r="M141"/>
      <c r="N141"/>
      <c r="O141"/>
      <c r="P141" s="168"/>
      <c r="Q141" s="168"/>
      <c r="R141" s="168"/>
      <c r="S141" s="169"/>
      <c r="T141" s="169"/>
      <c r="U141" s="169"/>
      <c r="V141" s="168"/>
      <c r="W141" s="168"/>
      <c r="X141" s="168"/>
      <c r="Y141" s="170"/>
      <c r="Z141" s="171"/>
      <c r="AA141" s="171"/>
      <c r="AB141" s="171"/>
      <c r="AC141" s="171"/>
      <c r="AD141" s="171"/>
      <c r="AE141" s="168"/>
      <c r="AF141" s="170"/>
      <c r="AG141" s="172"/>
      <c r="AH141"/>
      <c r="AI141"/>
    </row>
    <row r="142" spans="1:35" x14ac:dyDescent="0.35">
      <c r="A142"/>
      <c r="B142"/>
      <c r="C142"/>
      <c r="D142"/>
      <c r="E142"/>
      <c r="F142"/>
      <c r="G142"/>
      <c r="H142"/>
      <c r="I142"/>
      <c r="J142"/>
      <c r="K142"/>
      <c r="L142"/>
      <c r="M142"/>
      <c r="N142"/>
      <c r="O142"/>
      <c r="P142" s="168"/>
      <c r="Q142" s="168"/>
      <c r="R142" s="168"/>
      <c r="S142" s="169"/>
      <c r="T142" s="169"/>
      <c r="U142" s="169"/>
      <c r="V142" s="168"/>
      <c r="W142" s="168"/>
      <c r="X142" s="168"/>
      <c r="Y142" s="170"/>
      <c r="Z142" s="171"/>
      <c r="AA142" s="171"/>
      <c r="AB142" s="171"/>
      <c r="AC142" s="171"/>
      <c r="AD142" s="171"/>
      <c r="AE142" s="168"/>
      <c r="AF142" s="170"/>
      <c r="AG142" s="172"/>
      <c r="AH142"/>
      <c r="AI142"/>
    </row>
    <row r="143" spans="1:35" x14ac:dyDescent="0.35">
      <c r="A143"/>
      <c r="B143"/>
      <c r="C143"/>
      <c r="D143"/>
      <c r="E143"/>
      <c r="F143"/>
      <c r="G143"/>
      <c r="H143"/>
      <c r="I143"/>
      <c r="J143"/>
      <c r="K143"/>
      <c r="L143"/>
      <c r="M143"/>
      <c r="N143"/>
      <c r="O143"/>
      <c r="P143" s="168"/>
      <c r="Q143" s="168"/>
      <c r="R143" s="168"/>
      <c r="S143" s="169"/>
      <c r="T143" s="169"/>
      <c r="U143" s="169"/>
      <c r="V143" s="168"/>
      <c r="W143" s="168"/>
      <c r="X143" s="168"/>
      <c r="Y143" s="170"/>
      <c r="Z143" s="171"/>
      <c r="AA143" s="171"/>
      <c r="AB143" s="171"/>
      <c r="AC143" s="171"/>
      <c r="AD143" s="171"/>
      <c r="AE143" s="168"/>
      <c r="AF143" s="170"/>
      <c r="AG143" s="172"/>
      <c r="AH143"/>
      <c r="AI143"/>
    </row>
    <row r="144" spans="1:35" x14ac:dyDescent="0.35">
      <c r="A144"/>
      <c r="B144"/>
      <c r="C144"/>
      <c r="D144"/>
      <c r="E144"/>
      <c r="F144"/>
      <c r="G144"/>
      <c r="H144"/>
      <c r="I144"/>
      <c r="J144"/>
      <c r="K144"/>
      <c r="L144"/>
      <c r="M144"/>
      <c r="N144"/>
      <c r="O144"/>
      <c r="P144" s="168"/>
      <c r="Q144" s="168"/>
      <c r="R144" s="168"/>
      <c r="S144" s="169"/>
      <c r="T144" s="169"/>
      <c r="U144" s="169"/>
      <c r="V144" s="168"/>
      <c r="W144" s="168"/>
      <c r="X144" s="168"/>
      <c r="Y144" s="170"/>
      <c r="Z144" s="171"/>
      <c r="AA144" s="171"/>
      <c r="AB144" s="171"/>
      <c r="AC144" s="171"/>
      <c r="AD144" s="171"/>
      <c r="AE144" s="168"/>
      <c r="AF144" s="170"/>
      <c r="AG144" s="172"/>
      <c r="AH144"/>
      <c r="AI144"/>
    </row>
    <row r="145" spans="1:35" x14ac:dyDescent="0.35">
      <c r="A145"/>
      <c r="B145"/>
      <c r="C145"/>
      <c r="D145"/>
      <c r="E145"/>
      <c r="F145"/>
      <c r="G145"/>
      <c r="H145"/>
      <c r="I145"/>
      <c r="J145"/>
      <c r="K145"/>
      <c r="L145"/>
      <c r="M145"/>
      <c r="N145"/>
      <c r="O145"/>
      <c r="P145" s="168"/>
      <c r="Q145" s="168"/>
      <c r="R145" s="168"/>
      <c r="S145" s="169"/>
      <c r="T145" s="169"/>
      <c r="U145" s="169"/>
      <c r="V145" s="168"/>
      <c r="W145" s="168"/>
      <c r="X145" s="168"/>
      <c r="Y145" s="170"/>
      <c r="Z145" s="171"/>
      <c r="AA145" s="171"/>
      <c r="AB145" s="171"/>
      <c r="AC145" s="171"/>
      <c r="AD145" s="171"/>
      <c r="AE145" s="168"/>
      <c r="AF145" s="170"/>
      <c r="AG145" s="172"/>
      <c r="AH145"/>
      <c r="AI145"/>
    </row>
    <row r="146" spans="1:35" x14ac:dyDescent="0.35">
      <c r="A146"/>
      <c r="B146"/>
      <c r="C146"/>
      <c r="D146"/>
      <c r="E146"/>
      <c r="F146"/>
      <c r="G146"/>
      <c r="H146"/>
      <c r="I146"/>
      <c r="J146"/>
      <c r="K146"/>
      <c r="L146"/>
      <c r="M146"/>
      <c r="N146"/>
      <c r="O146"/>
      <c r="P146" s="168"/>
      <c r="Q146" s="168"/>
      <c r="R146" s="168"/>
      <c r="S146" s="169"/>
      <c r="T146" s="169"/>
      <c r="U146" s="169"/>
      <c r="V146" s="168"/>
      <c r="W146" s="168"/>
      <c r="X146" s="168"/>
      <c r="Y146" s="170"/>
      <c r="Z146" s="171"/>
      <c r="AA146" s="171"/>
      <c r="AB146" s="171"/>
      <c r="AC146" s="171"/>
      <c r="AD146" s="171"/>
      <c r="AE146" s="168"/>
      <c r="AF146" s="170"/>
      <c r="AG146" s="172"/>
      <c r="AH146"/>
      <c r="AI146"/>
    </row>
    <row r="147" spans="1:35" x14ac:dyDescent="0.35">
      <c r="A147"/>
      <c r="B147"/>
      <c r="C147"/>
      <c r="D147"/>
      <c r="E147"/>
      <c r="F147"/>
      <c r="G147"/>
      <c r="H147"/>
      <c r="I147"/>
      <c r="J147"/>
      <c r="K147"/>
      <c r="L147"/>
      <c r="M147"/>
      <c r="N147"/>
      <c r="O147"/>
      <c r="P147" s="168"/>
      <c r="Q147" s="168"/>
      <c r="R147" s="168"/>
      <c r="S147" s="169"/>
      <c r="T147" s="169"/>
      <c r="U147" s="169"/>
      <c r="V147" s="168"/>
      <c r="W147" s="168"/>
      <c r="X147" s="168"/>
      <c r="Y147" s="170"/>
      <c r="Z147" s="171"/>
      <c r="AA147" s="171"/>
      <c r="AB147" s="171"/>
      <c r="AC147" s="171"/>
      <c r="AD147" s="171"/>
      <c r="AE147" s="168"/>
      <c r="AF147" s="170"/>
      <c r="AG147" s="172"/>
      <c r="AH147"/>
      <c r="AI147"/>
    </row>
    <row r="148" spans="1:35" x14ac:dyDescent="0.35">
      <c r="A148"/>
      <c r="B148"/>
      <c r="C148"/>
      <c r="D148"/>
      <c r="E148"/>
      <c r="F148"/>
      <c r="G148"/>
      <c r="H148"/>
      <c r="I148"/>
      <c r="J148"/>
      <c r="K148"/>
      <c r="L148"/>
      <c r="M148"/>
      <c r="N148"/>
      <c r="O148"/>
      <c r="P148" s="168"/>
      <c r="Q148" s="168"/>
      <c r="R148" s="168"/>
      <c r="S148" s="169"/>
      <c r="T148" s="169"/>
      <c r="U148" s="169"/>
      <c r="V148" s="168"/>
      <c r="W148" s="168"/>
      <c r="X148" s="168"/>
      <c r="Y148" s="170"/>
      <c r="Z148" s="171"/>
      <c r="AA148" s="171"/>
      <c r="AB148" s="171"/>
      <c r="AC148" s="171"/>
      <c r="AD148" s="171"/>
      <c r="AE148" s="168"/>
      <c r="AF148" s="170"/>
      <c r="AG148" s="172"/>
      <c r="AH148"/>
      <c r="AI148"/>
    </row>
    <row r="149" spans="1:35" x14ac:dyDescent="0.35">
      <c r="A149"/>
      <c r="B149"/>
      <c r="C149"/>
      <c r="D149"/>
      <c r="E149"/>
      <c r="F149"/>
      <c r="G149"/>
      <c r="H149"/>
      <c r="I149"/>
      <c r="J149"/>
      <c r="K149"/>
      <c r="L149"/>
      <c r="M149"/>
      <c r="N149"/>
      <c r="O149"/>
      <c r="P149" s="168"/>
      <c r="Q149" s="168"/>
      <c r="R149" s="168"/>
      <c r="S149" s="169"/>
      <c r="T149" s="169"/>
      <c r="U149" s="169"/>
      <c r="V149" s="168"/>
      <c r="W149" s="168"/>
      <c r="X149" s="168"/>
      <c r="Y149" s="170"/>
      <c r="Z149" s="171"/>
      <c r="AA149" s="171"/>
      <c r="AB149" s="171"/>
      <c r="AC149" s="171"/>
      <c r="AD149" s="171"/>
      <c r="AE149" s="168"/>
      <c r="AF149" s="170"/>
      <c r="AG149" s="172"/>
      <c r="AH149"/>
      <c r="AI149"/>
    </row>
    <row r="150" spans="1:35" x14ac:dyDescent="0.35">
      <c r="A150"/>
      <c r="B150"/>
      <c r="C150"/>
      <c r="D150"/>
      <c r="E150"/>
      <c r="F150"/>
      <c r="G150"/>
      <c r="H150"/>
      <c r="I150"/>
      <c r="J150"/>
      <c r="K150"/>
      <c r="L150"/>
      <c r="M150"/>
      <c r="N150"/>
      <c r="O150"/>
      <c r="P150" s="168"/>
      <c r="Q150" s="168"/>
      <c r="R150" s="168"/>
      <c r="S150" s="169"/>
      <c r="T150" s="169"/>
      <c r="U150" s="169"/>
      <c r="V150" s="168"/>
      <c r="W150" s="168"/>
      <c r="X150" s="168"/>
      <c r="Y150" s="170"/>
      <c r="Z150" s="171"/>
      <c r="AA150" s="171"/>
      <c r="AB150" s="171"/>
      <c r="AC150" s="171"/>
      <c r="AD150" s="171"/>
      <c r="AE150" s="168"/>
      <c r="AF150" s="170"/>
      <c r="AG150" s="172"/>
      <c r="AH150"/>
      <c r="AI150"/>
    </row>
    <row r="151" spans="1:35" x14ac:dyDescent="0.35">
      <c r="A151"/>
      <c r="B151"/>
      <c r="C151"/>
      <c r="D151"/>
      <c r="E151"/>
      <c r="F151"/>
      <c r="G151"/>
      <c r="H151"/>
      <c r="I151"/>
      <c r="J151"/>
      <c r="K151"/>
      <c r="L151"/>
      <c r="M151"/>
      <c r="N151"/>
      <c r="O151"/>
      <c r="P151" s="168"/>
      <c r="Q151" s="168"/>
      <c r="R151" s="168"/>
      <c r="S151" s="169"/>
      <c r="T151" s="169"/>
      <c r="U151" s="169"/>
      <c r="V151" s="168"/>
      <c r="W151" s="168"/>
      <c r="X151" s="168"/>
      <c r="Y151" s="170"/>
      <c r="Z151" s="171"/>
      <c r="AA151" s="171"/>
      <c r="AB151" s="171"/>
      <c r="AC151" s="171"/>
      <c r="AD151" s="171"/>
      <c r="AE151" s="168"/>
      <c r="AF151" s="170"/>
      <c r="AG151" s="172"/>
      <c r="AH151"/>
      <c r="AI151"/>
    </row>
    <row r="152" spans="1:35" x14ac:dyDescent="0.35">
      <c r="A152"/>
      <c r="B152"/>
      <c r="C152"/>
      <c r="D152"/>
      <c r="E152"/>
      <c r="F152"/>
      <c r="G152"/>
      <c r="H152"/>
      <c r="I152"/>
      <c r="J152"/>
      <c r="K152"/>
      <c r="L152"/>
      <c r="M152"/>
      <c r="N152"/>
      <c r="O152"/>
      <c r="P152" s="168"/>
      <c r="Q152" s="168"/>
      <c r="R152" s="168"/>
      <c r="S152" s="169"/>
      <c r="T152" s="169"/>
      <c r="U152" s="169"/>
      <c r="V152" s="168"/>
      <c r="W152" s="168"/>
      <c r="X152" s="168"/>
      <c r="Y152" s="170"/>
      <c r="Z152" s="171"/>
      <c r="AA152" s="171"/>
      <c r="AB152" s="171"/>
      <c r="AC152" s="171"/>
      <c r="AD152" s="171"/>
      <c r="AE152" s="168"/>
      <c r="AF152" s="170"/>
      <c r="AG152" s="172"/>
      <c r="AH152"/>
      <c r="AI152"/>
    </row>
    <row r="153" spans="1:35" x14ac:dyDescent="0.35">
      <c r="A153"/>
      <c r="B153"/>
      <c r="C153"/>
      <c r="D153"/>
      <c r="E153"/>
      <c r="F153"/>
      <c r="G153"/>
      <c r="H153"/>
      <c r="I153"/>
      <c r="J153"/>
      <c r="K153"/>
      <c r="L153"/>
      <c r="M153"/>
      <c r="N153"/>
      <c r="O153"/>
      <c r="P153" s="168"/>
      <c r="Q153" s="168"/>
      <c r="R153" s="168"/>
      <c r="S153" s="169"/>
      <c r="T153" s="169"/>
      <c r="U153" s="169"/>
      <c r="V153" s="168"/>
      <c r="W153" s="168"/>
      <c r="X153" s="168"/>
      <c r="Y153" s="170"/>
      <c r="Z153" s="171"/>
      <c r="AA153" s="171"/>
      <c r="AB153" s="171"/>
      <c r="AC153" s="171"/>
      <c r="AD153" s="171"/>
      <c r="AE153" s="168"/>
      <c r="AF153" s="170"/>
      <c r="AG153" s="172"/>
      <c r="AH153"/>
      <c r="AI153"/>
    </row>
    <row r="154" spans="1:35" x14ac:dyDescent="0.35">
      <c r="A154"/>
      <c r="B154"/>
      <c r="C154"/>
      <c r="D154"/>
      <c r="E154"/>
      <c r="F154"/>
      <c r="G154"/>
      <c r="H154"/>
      <c r="I154"/>
      <c r="J154"/>
      <c r="K154"/>
      <c r="L154"/>
      <c r="M154"/>
      <c r="N154"/>
      <c r="O154"/>
      <c r="P154" s="168"/>
      <c r="Q154" s="168"/>
      <c r="R154" s="168"/>
      <c r="S154" s="169"/>
      <c r="T154" s="169"/>
      <c r="U154" s="169"/>
      <c r="V154" s="168"/>
      <c r="W154" s="168"/>
      <c r="X154" s="168"/>
      <c r="Y154" s="170"/>
      <c r="Z154" s="171"/>
      <c r="AA154" s="171"/>
      <c r="AB154" s="171"/>
      <c r="AC154" s="171"/>
      <c r="AD154" s="171"/>
      <c r="AE154" s="168"/>
      <c r="AF154" s="170"/>
      <c r="AG154" s="172"/>
      <c r="AH154"/>
      <c r="AI154"/>
    </row>
    <row r="155" spans="1:35" x14ac:dyDescent="0.35">
      <c r="A155"/>
      <c r="B155"/>
      <c r="C155"/>
      <c r="D155"/>
      <c r="E155"/>
      <c r="F155"/>
      <c r="G155"/>
      <c r="H155"/>
      <c r="I155"/>
      <c r="J155"/>
      <c r="K155"/>
      <c r="L155"/>
      <c r="M155"/>
      <c r="N155"/>
      <c r="O155"/>
      <c r="P155" s="168"/>
      <c r="Q155" s="168"/>
      <c r="R155" s="168"/>
      <c r="S155" s="169"/>
      <c r="T155" s="169"/>
      <c r="U155" s="169"/>
      <c r="V155" s="168"/>
      <c r="W155" s="168"/>
      <c r="X155" s="168"/>
      <c r="Y155" s="170"/>
      <c r="Z155" s="171"/>
      <c r="AA155" s="171"/>
      <c r="AB155" s="171"/>
      <c r="AC155" s="171"/>
      <c r="AD155" s="171"/>
      <c r="AE155" s="168"/>
      <c r="AF155" s="170"/>
      <c r="AG155" s="172"/>
      <c r="AH155"/>
      <c r="AI155"/>
    </row>
    <row r="156" spans="1:35" x14ac:dyDescent="0.35">
      <c r="A156"/>
      <c r="B156"/>
      <c r="C156"/>
      <c r="D156"/>
      <c r="E156"/>
      <c r="F156"/>
      <c r="G156"/>
      <c r="H156"/>
      <c r="I156"/>
      <c r="J156"/>
      <c r="K156"/>
      <c r="L156"/>
      <c r="M156"/>
      <c r="N156"/>
      <c r="O156"/>
      <c r="P156" s="168"/>
      <c r="Q156" s="168"/>
      <c r="R156" s="168"/>
      <c r="S156" s="169"/>
      <c r="T156" s="169"/>
      <c r="U156" s="169"/>
      <c r="V156" s="168"/>
      <c r="W156" s="168"/>
      <c r="X156" s="168"/>
      <c r="Y156" s="170"/>
      <c r="Z156" s="171"/>
      <c r="AA156" s="171"/>
      <c r="AB156" s="171"/>
      <c r="AC156" s="171"/>
      <c r="AD156" s="171"/>
      <c r="AE156" s="168"/>
      <c r="AF156" s="170"/>
      <c r="AG156" s="172"/>
      <c r="AH156"/>
      <c r="AI156"/>
    </row>
    <row r="157" spans="1:35" x14ac:dyDescent="0.35">
      <c r="A157"/>
      <c r="B157"/>
      <c r="C157"/>
      <c r="D157"/>
      <c r="E157"/>
      <c r="F157"/>
      <c r="G157"/>
      <c r="H157"/>
      <c r="I157"/>
      <c r="J157"/>
      <c r="K157"/>
      <c r="L157"/>
      <c r="M157"/>
      <c r="N157"/>
      <c r="O157"/>
      <c r="P157" s="168"/>
      <c r="Q157" s="168"/>
      <c r="R157" s="168"/>
      <c r="S157" s="169"/>
      <c r="T157" s="169"/>
      <c r="U157" s="169"/>
      <c r="V157" s="168"/>
      <c r="W157" s="168"/>
      <c r="X157" s="168"/>
      <c r="Y157" s="170"/>
      <c r="Z157" s="171"/>
      <c r="AA157" s="171"/>
      <c r="AB157" s="171"/>
      <c r="AC157" s="171"/>
      <c r="AD157" s="171"/>
      <c r="AE157" s="168"/>
      <c r="AF157" s="170"/>
      <c r="AG157" s="172"/>
      <c r="AH157"/>
      <c r="AI157"/>
    </row>
    <row r="158" spans="1:35" x14ac:dyDescent="0.35">
      <c r="A158"/>
      <c r="B158"/>
      <c r="C158"/>
      <c r="D158"/>
      <c r="E158"/>
      <c r="F158"/>
      <c r="G158"/>
      <c r="H158"/>
      <c r="I158"/>
      <c r="J158"/>
      <c r="K158"/>
      <c r="L158"/>
      <c r="M158"/>
      <c r="N158"/>
      <c r="O158"/>
      <c r="P158" s="168"/>
      <c r="Q158" s="168"/>
      <c r="R158" s="168"/>
      <c r="S158" s="169"/>
      <c r="T158" s="169"/>
      <c r="U158" s="169"/>
      <c r="V158" s="168"/>
      <c r="W158" s="168"/>
      <c r="X158" s="168"/>
      <c r="Y158" s="170"/>
      <c r="Z158" s="171"/>
      <c r="AA158" s="171"/>
      <c r="AB158" s="171"/>
      <c r="AC158" s="171"/>
      <c r="AD158" s="171"/>
      <c r="AE158" s="168"/>
      <c r="AF158" s="170"/>
      <c r="AG158" s="172"/>
      <c r="AH158"/>
      <c r="AI158"/>
    </row>
    <row r="159" spans="1:35" x14ac:dyDescent="0.35">
      <c r="A159"/>
      <c r="B159"/>
      <c r="C159"/>
      <c r="D159"/>
      <c r="E159"/>
      <c r="F159"/>
      <c r="G159"/>
      <c r="H159"/>
      <c r="I159"/>
      <c r="J159"/>
      <c r="K159"/>
      <c r="L159"/>
      <c r="M159"/>
      <c r="N159"/>
      <c r="O159"/>
      <c r="P159" s="168"/>
      <c r="Q159" s="168"/>
      <c r="R159" s="168"/>
      <c r="S159" s="169"/>
      <c r="T159" s="169"/>
      <c r="U159" s="169"/>
      <c r="V159" s="168"/>
      <c r="W159" s="168"/>
      <c r="X159" s="168"/>
      <c r="Y159" s="170"/>
      <c r="Z159" s="171"/>
      <c r="AA159" s="171"/>
      <c r="AB159" s="171"/>
      <c r="AC159" s="171"/>
      <c r="AD159" s="171"/>
      <c r="AE159" s="168"/>
      <c r="AF159" s="170"/>
      <c r="AG159" s="172"/>
      <c r="AH159"/>
      <c r="AI159"/>
    </row>
    <row r="160" spans="1:35" x14ac:dyDescent="0.35">
      <c r="A160"/>
      <c r="B160"/>
      <c r="C160"/>
      <c r="D160"/>
      <c r="E160"/>
      <c r="F160"/>
      <c r="G160"/>
      <c r="H160"/>
      <c r="I160"/>
      <c r="J160"/>
      <c r="K160"/>
      <c r="L160"/>
      <c r="M160"/>
      <c r="N160"/>
      <c r="O160"/>
      <c r="P160" s="168"/>
      <c r="Q160" s="168"/>
      <c r="R160" s="168"/>
      <c r="S160" s="169"/>
      <c r="T160" s="169"/>
      <c r="U160" s="169"/>
      <c r="V160" s="168"/>
      <c r="W160" s="168"/>
      <c r="X160" s="168"/>
      <c r="Y160" s="170"/>
      <c r="Z160" s="171"/>
      <c r="AA160" s="171"/>
      <c r="AB160" s="171"/>
      <c r="AC160" s="171"/>
      <c r="AD160" s="171"/>
      <c r="AE160" s="168"/>
      <c r="AF160" s="170"/>
      <c r="AG160" s="172"/>
      <c r="AH160"/>
      <c r="AI160"/>
    </row>
    <row r="161" spans="1:35" x14ac:dyDescent="0.35">
      <c r="A161"/>
      <c r="B161"/>
      <c r="C161"/>
      <c r="D161"/>
      <c r="E161"/>
      <c r="F161"/>
      <c r="G161"/>
      <c r="H161"/>
      <c r="I161"/>
      <c r="J161"/>
      <c r="K161"/>
      <c r="L161"/>
      <c r="M161"/>
      <c r="N161"/>
      <c r="O161"/>
      <c r="P161" s="168"/>
      <c r="Q161" s="168"/>
      <c r="R161" s="168"/>
      <c r="S161" s="169"/>
      <c r="T161" s="169"/>
      <c r="U161" s="169"/>
      <c r="V161" s="168"/>
      <c r="W161" s="168"/>
      <c r="X161" s="168"/>
      <c r="Y161" s="170"/>
      <c r="Z161" s="171"/>
      <c r="AA161" s="171"/>
      <c r="AB161" s="171"/>
      <c r="AC161" s="171"/>
      <c r="AD161" s="171"/>
      <c r="AE161" s="168"/>
      <c r="AF161" s="170"/>
      <c r="AG161" s="172"/>
      <c r="AH161"/>
      <c r="AI161"/>
    </row>
    <row r="162" spans="1:35" x14ac:dyDescent="0.35">
      <c r="A162"/>
      <c r="B162"/>
      <c r="C162"/>
      <c r="D162"/>
      <c r="E162"/>
      <c r="F162"/>
      <c r="G162"/>
      <c r="H162"/>
      <c r="I162"/>
      <c r="J162"/>
      <c r="K162"/>
      <c r="L162"/>
      <c r="M162"/>
      <c r="N162"/>
      <c r="O162"/>
      <c r="P162" s="168"/>
      <c r="Q162" s="168"/>
      <c r="R162" s="168"/>
      <c r="S162" s="169"/>
      <c r="T162" s="169"/>
      <c r="U162" s="169"/>
      <c r="V162" s="168"/>
      <c r="W162" s="168"/>
      <c r="X162" s="168"/>
      <c r="Y162" s="170"/>
      <c r="Z162" s="171"/>
      <c r="AA162" s="171"/>
      <c r="AB162" s="171"/>
      <c r="AC162" s="171"/>
      <c r="AD162" s="171"/>
      <c r="AE162" s="168"/>
      <c r="AF162" s="170"/>
      <c r="AG162" s="172"/>
      <c r="AH162"/>
      <c r="AI162"/>
    </row>
    <row r="163" spans="1:35" x14ac:dyDescent="0.35">
      <c r="A163"/>
      <c r="B163"/>
      <c r="C163"/>
      <c r="D163"/>
      <c r="E163"/>
      <c r="F163"/>
      <c r="G163"/>
      <c r="H163"/>
      <c r="I163"/>
      <c r="J163"/>
      <c r="K163"/>
      <c r="L163"/>
      <c r="M163"/>
      <c r="N163"/>
      <c r="O163"/>
      <c r="P163" s="168"/>
      <c r="Q163" s="168"/>
      <c r="R163" s="168"/>
      <c r="S163" s="169"/>
      <c r="T163" s="169"/>
      <c r="U163" s="169"/>
      <c r="V163" s="168"/>
      <c r="W163" s="168"/>
      <c r="X163" s="168"/>
      <c r="Y163" s="170"/>
      <c r="Z163" s="171"/>
      <c r="AA163" s="171"/>
      <c r="AB163" s="171"/>
      <c r="AC163" s="171"/>
      <c r="AD163" s="171"/>
      <c r="AE163" s="168"/>
      <c r="AF163" s="170"/>
      <c r="AG163" s="172"/>
      <c r="AH163"/>
      <c r="AI163"/>
    </row>
    <row r="164" spans="1:35" x14ac:dyDescent="0.35">
      <c r="A164"/>
      <c r="B164"/>
      <c r="C164"/>
      <c r="D164"/>
      <c r="E164"/>
      <c r="F164"/>
      <c r="G164"/>
      <c r="H164"/>
      <c r="I164"/>
      <c r="J164"/>
      <c r="K164"/>
      <c r="L164"/>
      <c r="M164"/>
      <c r="N164"/>
      <c r="O164"/>
      <c r="P164" s="168"/>
      <c r="Q164" s="168"/>
      <c r="R164" s="168"/>
      <c r="S164" s="169"/>
      <c r="T164" s="169"/>
      <c r="U164" s="169"/>
      <c r="V164" s="168"/>
      <c r="W164" s="168"/>
      <c r="X164" s="168"/>
      <c r="Y164" s="170"/>
      <c r="Z164" s="171"/>
      <c r="AA164" s="171"/>
      <c r="AB164" s="171"/>
      <c r="AC164" s="171"/>
      <c r="AD164" s="171"/>
      <c r="AE164" s="168"/>
      <c r="AF164" s="170"/>
      <c r="AG164" s="172"/>
      <c r="AH164"/>
      <c r="AI164"/>
    </row>
    <row r="165" spans="1:35" x14ac:dyDescent="0.35">
      <c r="A165"/>
      <c r="B165"/>
      <c r="C165"/>
      <c r="D165"/>
      <c r="E165"/>
      <c r="F165"/>
      <c r="G165"/>
      <c r="H165"/>
      <c r="I165"/>
      <c r="J165"/>
      <c r="K165"/>
      <c r="L165"/>
      <c r="M165"/>
      <c r="N165"/>
      <c r="O165"/>
      <c r="P165" s="168"/>
      <c r="Q165" s="168"/>
      <c r="R165" s="168"/>
      <c r="S165" s="169"/>
      <c r="T165" s="169"/>
      <c r="U165" s="169"/>
      <c r="V165" s="168"/>
      <c r="W165" s="168"/>
      <c r="X165" s="168"/>
      <c r="Y165" s="170"/>
      <c r="Z165" s="171"/>
      <c r="AA165" s="171"/>
      <c r="AB165" s="171"/>
      <c r="AC165" s="171"/>
      <c r="AD165" s="171"/>
      <c r="AE165" s="168"/>
      <c r="AF165" s="170"/>
      <c r="AG165" s="172"/>
      <c r="AH165"/>
      <c r="AI165"/>
    </row>
    <row r="166" spans="1:35" x14ac:dyDescent="0.35">
      <c r="A166"/>
      <c r="B166"/>
      <c r="C166"/>
      <c r="D166"/>
      <c r="E166"/>
      <c r="F166"/>
      <c r="G166"/>
      <c r="H166"/>
      <c r="I166"/>
      <c r="J166"/>
      <c r="K166"/>
      <c r="L166"/>
      <c r="M166"/>
      <c r="N166"/>
      <c r="O166"/>
      <c r="P166" s="168"/>
      <c r="Q166" s="168"/>
      <c r="R166" s="168"/>
      <c r="S166" s="169"/>
      <c r="T166" s="169"/>
      <c r="U166" s="169"/>
      <c r="V166" s="168"/>
      <c r="W166" s="168"/>
      <c r="X166" s="168"/>
      <c r="Y166" s="170"/>
      <c r="Z166" s="171"/>
      <c r="AA166" s="171"/>
      <c r="AB166" s="171"/>
      <c r="AC166" s="171"/>
      <c r="AD166" s="171"/>
      <c r="AE166" s="168"/>
      <c r="AF166" s="170"/>
      <c r="AG166" s="172"/>
      <c r="AH166"/>
      <c r="AI166"/>
    </row>
    <row r="167" spans="1:35" x14ac:dyDescent="0.35">
      <c r="A167"/>
      <c r="B167"/>
      <c r="C167"/>
      <c r="D167"/>
      <c r="E167"/>
      <c r="F167"/>
      <c r="G167"/>
      <c r="H167"/>
      <c r="I167"/>
      <c r="J167"/>
      <c r="K167"/>
      <c r="L167"/>
      <c r="M167"/>
      <c r="N167"/>
      <c r="O167"/>
      <c r="P167" s="168"/>
      <c r="Q167" s="168"/>
      <c r="R167" s="168"/>
      <c r="S167" s="169"/>
      <c r="T167" s="169"/>
      <c r="U167" s="169"/>
      <c r="V167" s="168"/>
      <c r="W167" s="168"/>
      <c r="X167" s="168"/>
      <c r="Y167" s="170"/>
      <c r="Z167" s="171"/>
      <c r="AA167" s="171"/>
      <c r="AB167" s="171"/>
      <c r="AC167" s="171"/>
      <c r="AD167" s="171"/>
      <c r="AE167" s="168"/>
      <c r="AF167" s="170"/>
      <c r="AG167" s="172"/>
      <c r="AH167"/>
      <c r="AI167"/>
    </row>
    <row r="168" spans="1:35" x14ac:dyDescent="0.35">
      <c r="A168"/>
      <c r="B168"/>
      <c r="C168"/>
      <c r="D168"/>
      <c r="E168"/>
      <c r="F168"/>
      <c r="G168"/>
      <c r="H168"/>
      <c r="I168"/>
      <c r="J168"/>
      <c r="K168"/>
      <c r="L168"/>
      <c r="M168"/>
      <c r="N168"/>
      <c r="O168"/>
      <c r="P168" s="168"/>
      <c r="Q168" s="168"/>
      <c r="R168" s="168"/>
      <c r="S168" s="169"/>
      <c r="T168" s="169"/>
      <c r="U168" s="169"/>
      <c r="V168" s="168"/>
      <c r="W168" s="168"/>
      <c r="X168" s="168"/>
      <c r="Y168" s="170"/>
      <c r="Z168" s="171"/>
      <c r="AA168" s="171"/>
      <c r="AB168" s="171"/>
      <c r="AC168" s="171"/>
      <c r="AD168" s="171"/>
      <c r="AE168" s="168"/>
      <c r="AF168" s="170"/>
      <c r="AG168" s="172"/>
      <c r="AH168"/>
      <c r="AI168"/>
    </row>
    <row r="169" spans="1:35" x14ac:dyDescent="0.35">
      <c r="A169"/>
      <c r="B169"/>
      <c r="C169"/>
      <c r="D169"/>
      <c r="E169"/>
      <c r="F169"/>
      <c r="G169"/>
      <c r="H169"/>
      <c r="I169"/>
      <c r="J169"/>
      <c r="K169"/>
      <c r="L169"/>
      <c r="M169"/>
      <c r="N169"/>
      <c r="O169"/>
      <c r="P169" s="168"/>
      <c r="Q169" s="168"/>
      <c r="R169" s="168"/>
      <c r="S169" s="169"/>
      <c r="T169" s="169"/>
      <c r="U169" s="169"/>
      <c r="V169" s="168"/>
      <c r="W169" s="168"/>
      <c r="X169" s="168"/>
      <c r="Y169" s="170"/>
      <c r="Z169" s="171"/>
      <c r="AA169" s="171"/>
      <c r="AB169" s="171"/>
      <c r="AC169" s="171"/>
      <c r="AD169" s="171"/>
      <c r="AE169" s="168"/>
      <c r="AF169" s="170"/>
      <c r="AG169" s="172"/>
      <c r="AH169"/>
      <c r="AI169"/>
    </row>
    <row r="170" spans="1:35" x14ac:dyDescent="0.35">
      <c r="A170"/>
      <c r="B170"/>
      <c r="C170"/>
      <c r="D170"/>
      <c r="E170"/>
      <c r="F170"/>
      <c r="G170"/>
      <c r="H170"/>
      <c r="I170"/>
      <c r="J170"/>
      <c r="K170"/>
      <c r="L170"/>
      <c r="M170"/>
      <c r="N170"/>
      <c r="O170"/>
      <c r="P170" s="168"/>
      <c r="Q170" s="168"/>
      <c r="R170" s="168"/>
      <c r="S170" s="169"/>
      <c r="T170" s="169"/>
      <c r="U170" s="169"/>
      <c r="V170" s="168"/>
      <c r="W170" s="168"/>
      <c r="X170" s="168"/>
      <c r="Y170" s="170"/>
      <c r="Z170" s="171"/>
      <c r="AA170" s="171"/>
      <c r="AB170" s="171"/>
      <c r="AC170" s="171"/>
      <c r="AD170" s="171"/>
      <c r="AE170" s="168"/>
      <c r="AF170" s="170"/>
      <c r="AG170" s="172"/>
      <c r="AH170"/>
      <c r="AI170"/>
    </row>
    <row r="171" spans="1:35" x14ac:dyDescent="0.35">
      <c r="A171"/>
      <c r="B171"/>
      <c r="C171"/>
      <c r="D171"/>
      <c r="E171"/>
      <c r="F171"/>
      <c r="G171"/>
      <c r="H171"/>
      <c r="I171"/>
      <c r="J171"/>
      <c r="K171"/>
      <c r="L171"/>
      <c r="M171"/>
      <c r="N171"/>
      <c r="O171"/>
      <c r="P171" s="168"/>
      <c r="Q171" s="168"/>
      <c r="R171" s="168"/>
      <c r="S171" s="169"/>
      <c r="T171" s="169"/>
      <c r="U171" s="169"/>
      <c r="V171" s="168"/>
      <c r="W171" s="168"/>
      <c r="X171" s="168"/>
      <c r="Y171" s="170"/>
      <c r="Z171" s="171"/>
      <c r="AA171" s="171"/>
      <c r="AB171" s="171"/>
      <c r="AC171" s="171"/>
      <c r="AD171" s="171"/>
      <c r="AE171" s="168"/>
      <c r="AF171" s="170"/>
      <c r="AG171" s="172"/>
      <c r="AH171"/>
      <c r="AI171"/>
    </row>
    <row r="172" spans="1:35" x14ac:dyDescent="0.35">
      <c r="A172"/>
      <c r="B172"/>
      <c r="C172"/>
      <c r="D172"/>
      <c r="E172"/>
      <c r="F172"/>
      <c r="G172"/>
      <c r="H172"/>
      <c r="I172"/>
      <c r="J172"/>
      <c r="K172"/>
      <c r="L172"/>
      <c r="M172"/>
      <c r="N172"/>
      <c r="O172"/>
      <c r="P172" s="168"/>
      <c r="Q172" s="168"/>
      <c r="R172" s="168"/>
      <c r="S172" s="169"/>
      <c r="T172" s="169"/>
      <c r="U172" s="169"/>
      <c r="V172" s="168"/>
      <c r="W172" s="168"/>
      <c r="X172" s="168"/>
      <c r="Y172" s="170"/>
      <c r="Z172" s="171"/>
      <c r="AA172" s="171"/>
      <c r="AB172" s="171"/>
      <c r="AC172" s="171"/>
      <c r="AD172" s="171"/>
      <c r="AE172" s="168"/>
      <c r="AF172" s="170"/>
      <c r="AG172" s="172"/>
      <c r="AH172"/>
      <c r="AI172"/>
    </row>
    <row r="173" spans="1:35" x14ac:dyDescent="0.35">
      <c r="A173"/>
      <c r="B173"/>
      <c r="C173"/>
      <c r="D173"/>
      <c r="E173"/>
      <c r="F173"/>
      <c r="G173"/>
      <c r="H173"/>
      <c r="I173"/>
      <c r="J173"/>
      <c r="K173"/>
      <c r="L173"/>
      <c r="M173"/>
      <c r="N173"/>
      <c r="O173"/>
      <c r="P173" s="168"/>
      <c r="Q173" s="168"/>
      <c r="R173" s="168"/>
      <c r="S173" s="169"/>
      <c r="T173" s="169"/>
      <c r="U173" s="169"/>
      <c r="V173" s="168"/>
      <c r="W173" s="168"/>
      <c r="X173" s="168"/>
      <c r="Y173" s="170"/>
      <c r="Z173" s="171"/>
      <c r="AA173" s="171"/>
      <c r="AB173" s="171"/>
      <c r="AC173" s="171"/>
      <c r="AD173" s="171"/>
      <c r="AE173" s="168"/>
      <c r="AF173" s="170"/>
      <c r="AG173" s="172"/>
      <c r="AH173"/>
      <c r="AI173"/>
    </row>
    <row r="174" spans="1:35" x14ac:dyDescent="0.35">
      <c r="A174"/>
      <c r="B174"/>
      <c r="C174"/>
      <c r="D174"/>
      <c r="E174"/>
      <c r="F174"/>
      <c r="G174"/>
      <c r="H174"/>
      <c r="I174"/>
      <c r="J174"/>
      <c r="K174"/>
      <c r="L174"/>
      <c r="M174"/>
      <c r="N174"/>
      <c r="O174"/>
      <c r="P174" s="168"/>
      <c r="Q174" s="168"/>
      <c r="R174" s="168"/>
      <c r="S174" s="169"/>
      <c r="T174" s="169"/>
      <c r="U174" s="169"/>
      <c r="V174" s="168"/>
      <c r="W174" s="168"/>
      <c r="X174" s="168"/>
      <c r="Y174" s="170"/>
      <c r="Z174" s="171"/>
      <c r="AA174" s="171"/>
      <c r="AB174" s="171"/>
      <c r="AC174" s="171"/>
      <c r="AD174" s="171"/>
      <c r="AE174" s="168"/>
      <c r="AF174" s="170"/>
      <c r="AG174" s="172"/>
      <c r="AH174"/>
      <c r="AI174"/>
    </row>
    <row r="175" spans="1:35" x14ac:dyDescent="0.35">
      <c r="A175"/>
      <c r="B175"/>
      <c r="C175"/>
      <c r="D175"/>
      <c r="E175"/>
      <c r="F175"/>
      <c r="G175"/>
      <c r="H175"/>
      <c r="I175"/>
      <c r="J175"/>
      <c r="K175"/>
      <c r="L175"/>
      <c r="M175"/>
      <c r="N175"/>
      <c r="O175"/>
      <c r="P175" s="168"/>
      <c r="Q175" s="168"/>
      <c r="R175" s="168"/>
      <c r="S175" s="169"/>
      <c r="T175" s="169"/>
      <c r="U175" s="169"/>
      <c r="V175" s="168"/>
      <c r="W175" s="168"/>
      <c r="X175" s="168"/>
      <c r="Y175" s="170"/>
      <c r="Z175" s="171"/>
      <c r="AA175" s="171"/>
      <c r="AB175" s="171"/>
      <c r="AC175" s="171"/>
      <c r="AD175" s="171"/>
      <c r="AE175" s="168"/>
      <c r="AF175" s="170"/>
      <c r="AG175" s="172"/>
      <c r="AH175"/>
      <c r="AI175"/>
    </row>
    <row r="176" spans="1:35" x14ac:dyDescent="0.35">
      <c r="A176"/>
      <c r="B176"/>
      <c r="C176"/>
      <c r="D176"/>
      <c r="E176"/>
      <c r="F176"/>
      <c r="G176"/>
      <c r="H176"/>
      <c r="I176"/>
      <c r="J176"/>
      <c r="K176"/>
      <c r="L176"/>
      <c r="M176"/>
      <c r="N176"/>
      <c r="O176"/>
      <c r="P176" s="168"/>
      <c r="Q176" s="168"/>
      <c r="R176" s="168"/>
      <c r="S176" s="169"/>
      <c r="T176" s="169"/>
      <c r="U176" s="169"/>
      <c r="V176" s="168"/>
      <c r="W176" s="168"/>
      <c r="X176" s="168"/>
      <c r="Y176" s="170"/>
      <c r="Z176" s="171"/>
      <c r="AA176" s="171"/>
      <c r="AB176" s="171"/>
      <c r="AC176" s="171"/>
      <c r="AD176" s="171"/>
      <c r="AE176" s="168"/>
      <c r="AF176" s="170"/>
      <c r="AG176" s="172"/>
      <c r="AH176"/>
      <c r="AI176"/>
    </row>
    <row r="177" spans="1:35" x14ac:dyDescent="0.35">
      <c r="A177"/>
      <c r="B177"/>
      <c r="C177"/>
      <c r="D177"/>
      <c r="E177"/>
      <c r="F177"/>
      <c r="G177"/>
      <c r="H177"/>
      <c r="I177"/>
      <c r="J177"/>
      <c r="K177"/>
      <c r="L177"/>
      <c r="M177"/>
      <c r="N177"/>
      <c r="O177"/>
      <c r="P177" s="168"/>
      <c r="Q177" s="168"/>
      <c r="R177" s="168"/>
      <c r="S177" s="169"/>
      <c r="T177" s="169"/>
      <c r="U177" s="169"/>
      <c r="V177" s="168"/>
      <c r="W177" s="168"/>
      <c r="X177" s="168"/>
      <c r="Y177" s="170"/>
      <c r="Z177" s="171"/>
      <c r="AA177" s="171"/>
      <c r="AB177" s="171"/>
      <c r="AC177" s="171"/>
      <c r="AD177" s="171"/>
      <c r="AE177" s="168"/>
      <c r="AF177" s="170"/>
      <c r="AG177" s="172"/>
      <c r="AH177"/>
      <c r="AI177"/>
    </row>
    <row r="178" spans="1:35" x14ac:dyDescent="0.35">
      <c r="A178"/>
      <c r="B178"/>
      <c r="C178"/>
      <c r="D178"/>
      <c r="E178"/>
      <c r="F178"/>
      <c r="G178"/>
      <c r="H178"/>
      <c r="I178"/>
      <c r="J178"/>
      <c r="K178"/>
      <c r="L178"/>
      <c r="M178"/>
      <c r="N178"/>
      <c r="O178"/>
      <c r="P178" s="168"/>
      <c r="Q178" s="168"/>
      <c r="R178" s="168"/>
      <c r="S178" s="169"/>
      <c r="T178" s="169"/>
      <c r="U178" s="169"/>
      <c r="V178" s="168"/>
      <c r="W178" s="168"/>
      <c r="X178" s="168"/>
      <c r="Y178" s="170"/>
      <c r="Z178" s="171"/>
      <c r="AA178" s="171"/>
      <c r="AB178" s="171"/>
      <c r="AC178" s="171"/>
      <c r="AD178" s="171"/>
      <c r="AE178" s="168"/>
      <c r="AF178" s="170"/>
      <c r="AG178" s="172"/>
      <c r="AH178"/>
      <c r="AI178"/>
    </row>
    <row r="179" spans="1:35" x14ac:dyDescent="0.35">
      <c r="A179"/>
      <c r="B179"/>
      <c r="C179"/>
      <c r="D179"/>
      <c r="E179"/>
      <c r="F179"/>
      <c r="G179"/>
      <c r="H179"/>
      <c r="I179"/>
      <c r="J179"/>
      <c r="K179"/>
      <c r="L179"/>
      <c r="M179"/>
      <c r="N179"/>
      <c r="O179"/>
      <c r="P179" s="168"/>
      <c r="Q179" s="168"/>
      <c r="R179" s="168"/>
      <c r="S179" s="169"/>
      <c r="T179" s="169"/>
      <c r="U179" s="169"/>
      <c r="V179" s="168"/>
      <c r="W179" s="168"/>
      <c r="X179" s="168"/>
      <c r="Y179" s="170"/>
      <c r="Z179" s="171"/>
      <c r="AA179" s="171"/>
      <c r="AB179" s="171"/>
      <c r="AC179" s="171"/>
      <c r="AD179" s="171"/>
      <c r="AE179" s="168"/>
      <c r="AF179" s="170"/>
      <c r="AG179" s="172"/>
      <c r="AH179"/>
      <c r="AI179"/>
    </row>
    <row r="180" spans="1:35" x14ac:dyDescent="0.35">
      <c r="A180"/>
      <c r="B180"/>
      <c r="C180"/>
      <c r="D180"/>
      <c r="E180"/>
      <c r="F180"/>
      <c r="G180"/>
      <c r="H180"/>
      <c r="I180"/>
      <c r="J180"/>
      <c r="K180"/>
      <c r="L180"/>
      <c r="M180"/>
      <c r="N180"/>
      <c r="O180"/>
      <c r="P180" s="168"/>
      <c r="Q180" s="168"/>
      <c r="R180" s="168"/>
      <c r="S180" s="169"/>
      <c r="T180" s="169"/>
      <c r="U180" s="169"/>
      <c r="V180" s="168"/>
      <c r="W180" s="168"/>
      <c r="X180" s="168"/>
      <c r="Y180" s="170"/>
      <c r="Z180" s="171"/>
      <c r="AA180" s="171"/>
      <c r="AB180" s="171"/>
      <c r="AC180" s="171"/>
      <c r="AD180" s="171"/>
      <c r="AE180" s="168"/>
      <c r="AF180" s="170"/>
      <c r="AG180" s="172"/>
      <c r="AH180"/>
      <c r="AI180"/>
    </row>
    <row r="181" spans="1:35" x14ac:dyDescent="0.35">
      <c r="A181"/>
      <c r="B181"/>
      <c r="C181"/>
      <c r="D181"/>
      <c r="E181"/>
      <c r="F181"/>
      <c r="G181"/>
      <c r="H181"/>
      <c r="I181"/>
      <c r="J181"/>
      <c r="K181"/>
      <c r="L181"/>
      <c r="M181"/>
      <c r="N181"/>
      <c r="O181"/>
      <c r="P181" s="168"/>
      <c r="Q181" s="168"/>
      <c r="R181" s="168"/>
      <c r="S181" s="169"/>
      <c r="T181" s="169"/>
      <c r="U181" s="169"/>
      <c r="V181" s="168"/>
      <c r="W181" s="168"/>
      <c r="X181" s="168"/>
      <c r="Y181" s="170"/>
      <c r="Z181" s="171"/>
      <c r="AA181" s="171"/>
      <c r="AB181" s="171"/>
      <c r="AC181" s="171"/>
      <c r="AD181" s="171"/>
      <c r="AE181" s="168"/>
      <c r="AF181" s="170"/>
      <c r="AG181" s="172"/>
      <c r="AH181"/>
      <c r="AI181"/>
    </row>
    <row r="182" spans="1:35" x14ac:dyDescent="0.35">
      <c r="A182"/>
      <c r="B182"/>
      <c r="C182"/>
      <c r="D182"/>
      <c r="E182"/>
      <c r="F182"/>
      <c r="G182"/>
      <c r="H182"/>
      <c r="I182"/>
      <c r="J182"/>
      <c r="K182"/>
      <c r="L182"/>
      <c r="M182"/>
      <c r="N182"/>
      <c r="O182"/>
      <c r="P182" s="168"/>
      <c r="Q182" s="168"/>
      <c r="R182" s="168"/>
      <c r="S182" s="169"/>
      <c r="T182" s="169"/>
      <c r="U182" s="169"/>
      <c r="V182" s="168"/>
      <c r="W182" s="168"/>
      <c r="X182" s="168"/>
      <c r="Y182" s="170"/>
      <c r="Z182" s="171"/>
      <c r="AA182" s="171"/>
      <c r="AB182" s="171"/>
      <c r="AC182" s="171"/>
      <c r="AD182" s="171"/>
      <c r="AE182" s="168"/>
      <c r="AF182" s="170"/>
      <c r="AG182" s="172"/>
      <c r="AH182"/>
      <c r="AI182"/>
    </row>
    <row r="183" spans="1:35" x14ac:dyDescent="0.35">
      <c r="A183"/>
      <c r="B183"/>
      <c r="C183"/>
      <c r="D183"/>
      <c r="E183"/>
      <c r="F183"/>
      <c r="G183"/>
      <c r="H183"/>
      <c r="I183"/>
      <c r="J183"/>
      <c r="K183"/>
      <c r="L183"/>
      <c r="M183"/>
      <c r="N183"/>
      <c r="O183"/>
      <c r="P183" s="168"/>
      <c r="Q183" s="168"/>
      <c r="R183" s="168"/>
      <c r="S183" s="169"/>
      <c r="T183" s="169"/>
      <c r="U183" s="169"/>
      <c r="V183" s="168"/>
      <c r="W183" s="168"/>
      <c r="X183" s="168"/>
      <c r="Y183" s="170"/>
      <c r="Z183" s="171"/>
      <c r="AA183" s="171"/>
      <c r="AB183" s="171"/>
      <c r="AC183" s="171"/>
      <c r="AD183" s="171"/>
      <c r="AE183" s="168"/>
      <c r="AF183" s="170"/>
      <c r="AG183" s="172"/>
      <c r="AH183"/>
      <c r="AI183"/>
    </row>
    <row r="184" spans="1:35" x14ac:dyDescent="0.35">
      <c r="A184"/>
      <c r="B184"/>
      <c r="C184"/>
      <c r="D184"/>
      <c r="E184"/>
      <c r="F184"/>
      <c r="G184"/>
      <c r="H184"/>
      <c r="I184"/>
      <c r="J184"/>
      <c r="K184"/>
      <c r="L184"/>
      <c r="M184"/>
      <c r="N184"/>
      <c r="O184"/>
      <c r="P184" s="168"/>
      <c r="Q184" s="168"/>
      <c r="R184" s="168"/>
      <c r="S184" s="169"/>
      <c r="T184" s="169"/>
      <c r="U184" s="169"/>
      <c r="V184" s="168"/>
      <c r="W184" s="168"/>
      <c r="X184" s="168"/>
      <c r="Y184" s="170"/>
      <c r="Z184" s="171"/>
      <c r="AA184" s="171"/>
      <c r="AB184" s="171"/>
      <c r="AC184" s="171"/>
      <c r="AD184" s="171"/>
      <c r="AE184" s="168"/>
      <c r="AF184" s="170"/>
      <c r="AG184" s="172"/>
      <c r="AH184"/>
      <c r="AI184"/>
    </row>
    <row r="185" spans="1:35" x14ac:dyDescent="0.35">
      <c r="A185"/>
      <c r="B185"/>
      <c r="C185"/>
      <c r="D185"/>
      <c r="E185"/>
      <c r="F185"/>
      <c r="G185"/>
      <c r="H185"/>
      <c r="I185"/>
      <c r="J185"/>
      <c r="K185"/>
      <c r="L185"/>
      <c r="M185"/>
      <c r="N185"/>
      <c r="O185"/>
      <c r="P185" s="168"/>
      <c r="Q185" s="168"/>
      <c r="R185" s="168"/>
      <c r="S185" s="169"/>
      <c r="T185" s="169"/>
      <c r="U185" s="169"/>
      <c r="V185" s="168"/>
      <c r="W185" s="168"/>
      <c r="X185" s="168"/>
      <c r="Y185" s="170"/>
      <c r="Z185" s="171"/>
      <c r="AA185" s="171"/>
      <c r="AB185" s="171"/>
      <c r="AC185" s="171"/>
      <c r="AD185" s="171"/>
      <c r="AE185" s="168"/>
      <c r="AF185" s="170"/>
      <c r="AG185" s="172"/>
      <c r="AH185"/>
      <c r="AI185"/>
    </row>
    <row r="186" spans="1:35" x14ac:dyDescent="0.35">
      <c r="A186"/>
      <c r="B186"/>
      <c r="C186"/>
      <c r="D186"/>
      <c r="E186"/>
      <c r="F186"/>
      <c r="G186"/>
      <c r="H186"/>
      <c r="I186"/>
      <c r="J186"/>
      <c r="K186"/>
      <c r="L186"/>
      <c r="M186"/>
      <c r="N186"/>
      <c r="O186"/>
      <c r="P186" s="168"/>
      <c r="Q186" s="168"/>
      <c r="R186" s="168"/>
      <c r="S186" s="169"/>
      <c r="T186" s="169"/>
      <c r="U186" s="169"/>
      <c r="V186" s="168"/>
      <c r="W186" s="168"/>
      <c r="X186" s="168"/>
      <c r="Y186" s="170"/>
      <c r="Z186" s="171"/>
      <c r="AA186" s="171"/>
      <c r="AB186" s="171"/>
      <c r="AC186" s="171"/>
      <c r="AD186" s="171"/>
      <c r="AE186" s="168"/>
      <c r="AF186" s="170"/>
      <c r="AG186" s="172"/>
      <c r="AH186"/>
      <c r="AI186"/>
    </row>
    <row r="187" spans="1:35" x14ac:dyDescent="0.35">
      <c r="A187"/>
      <c r="B187"/>
      <c r="C187"/>
      <c r="D187"/>
      <c r="E187"/>
      <c r="F187"/>
      <c r="G187"/>
      <c r="H187"/>
      <c r="I187"/>
      <c r="J187"/>
      <c r="K187"/>
      <c r="L187"/>
      <c r="M187"/>
      <c r="N187"/>
      <c r="O187"/>
      <c r="P187" s="168"/>
      <c r="Q187" s="168"/>
      <c r="R187" s="168"/>
      <c r="S187" s="169"/>
      <c r="T187" s="169"/>
      <c r="U187" s="169"/>
      <c r="V187" s="168"/>
      <c r="W187" s="168"/>
      <c r="X187" s="168"/>
      <c r="Y187" s="170"/>
      <c r="Z187" s="171"/>
      <c r="AA187" s="171"/>
      <c r="AB187" s="171"/>
      <c r="AC187" s="171"/>
      <c r="AD187" s="171"/>
      <c r="AE187" s="168"/>
      <c r="AF187" s="170"/>
      <c r="AG187" s="172"/>
      <c r="AH187"/>
      <c r="AI187"/>
    </row>
    <row r="188" spans="1:35" x14ac:dyDescent="0.35">
      <c r="A188"/>
      <c r="B188"/>
      <c r="C188"/>
      <c r="D188"/>
      <c r="E188"/>
      <c r="F188"/>
      <c r="G188"/>
      <c r="H188"/>
      <c r="I188"/>
      <c r="J188"/>
      <c r="K188"/>
      <c r="L188"/>
      <c r="M188"/>
      <c r="N188"/>
      <c r="O188"/>
      <c r="P188" s="168"/>
      <c r="Q188" s="168"/>
      <c r="R188" s="168"/>
      <c r="S188" s="169"/>
      <c r="T188" s="169"/>
      <c r="U188" s="169"/>
      <c r="V188" s="168"/>
      <c r="W188" s="168"/>
      <c r="X188" s="168"/>
      <c r="Y188" s="170"/>
      <c r="Z188" s="171"/>
      <c r="AA188" s="171"/>
      <c r="AB188" s="171"/>
      <c r="AC188" s="171"/>
      <c r="AD188" s="171"/>
      <c r="AE188" s="168"/>
      <c r="AF188" s="170"/>
      <c r="AG188" s="172"/>
      <c r="AH188"/>
      <c r="AI188"/>
    </row>
    <row r="189" spans="1:35" x14ac:dyDescent="0.35">
      <c r="A189"/>
      <c r="B189"/>
      <c r="C189"/>
      <c r="D189"/>
      <c r="E189"/>
      <c r="F189"/>
      <c r="G189"/>
      <c r="H189"/>
      <c r="I189"/>
      <c r="J189"/>
      <c r="K189"/>
      <c r="L189"/>
      <c r="M189"/>
      <c r="N189"/>
      <c r="O189"/>
      <c r="P189" s="168"/>
      <c r="Q189" s="168"/>
      <c r="R189" s="168"/>
      <c r="S189" s="169"/>
      <c r="T189" s="169"/>
      <c r="U189" s="169"/>
      <c r="V189" s="168"/>
      <c r="W189" s="168"/>
      <c r="X189" s="168"/>
      <c r="Y189" s="170"/>
      <c r="Z189" s="171"/>
      <c r="AA189" s="171"/>
      <c r="AB189" s="171"/>
      <c r="AC189" s="171"/>
      <c r="AD189" s="171"/>
      <c r="AE189" s="168"/>
      <c r="AF189" s="170"/>
      <c r="AG189" s="172"/>
      <c r="AH189"/>
      <c r="AI189"/>
    </row>
    <row r="190" spans="1:35" x14ac:dyDescent="0.35">
      <c r="A190"/>
      <c r="B190"/>
      <c r="C190"/>
      <c r="D190"/>
      <c r="E190"/>
      <c r="F190"/>
      <c r="G190"/>
      <c r="H190"/>
      <c r="I190"/>
      <c r="J190"/>
      <c r="K190"/>
      <c r="L190"/>
      <c r="M190"/>
      <c r="N190"/>
      <c r="O190"/>
      <c r="P190" s="168"/>
      <c r="Q190" s="168"/>
      <c r="R190" s="168"/>
      <c r="S190" s="169"/>
      <c r="T190" s="169"/>
      <c r="U190" s="169"/>
      <c r="V190" s="168"/>
      <c r="W190" s="168"/>
      <c r="X190" s="168"/>
      <c r="Y190" s="170"/>
      <c r="Z190" s="171"/>
      <c r="AA190" s="171"/>
      <c r="AB190" s="171"/>
      <c r="AC190" s="171"/>
      <c r="AD190" s="171"/>
      <c r="AE190" s="168"/>
      <c r="AF190" s="170"/>
      <c r="AG190" s="172"/>
      <c r="AH190"/>
      <c r="AI190"/>
    </row>
    <row r="191" spans="1:35" x14ac:dyDescent="0.35">
      <c r="A191"/>
      <c r="B191"/>
      <c r="C191"/>
      <c r="D191"/>
      <c r="E191"/>
      <c r="F191"/>
      <c r="G191"/>
      <c r="H191"/>
      <c r="I191"/>
      <c r="J191"/>
      <c r="K191"/>
      <c r="L191"/>
      <c r="M191"/>
      <c r="N191"/>
      <c r="O191"/>
      <c r="P191" s="168"/>
      <c r="Q191" s="168"/>
      <c r="R191" s="168"/>
      <c r="S191" s="169"/>
      <c r="T191" s="169"/>
      <c r="U191" s="169"/>
      <c r="V191" s="168"/>
      <c r="W191" s="168"/>
      <c r="X191" s="168"/>
      <c r="Y191" s="170"/>
      <c r="Z191" s="171"/>
      <c r="AA191" s="171"/>
      <c r="AB191" s="171"/>
      <c r="AC191" s="171"/>
      <c r="AD191" s="171"/>
      <c r="AE191" s="168"/>
      <c r="AF191" s="170"/>
      <c r="AG191" s="172"/>
      <c r="AH191"/>
      <c r="AI191"/>
    </row>
    <row r="192" spans="1:35" x14ac:dyDescent="0.35">
      <c r="A192"/>
      <c r="B192"/>
      <c r="C192"/>
      <c r="D192"/>
      <c r="E192"/>
      <c r="F192"/>
      <c r="G192"/>
      <c r="H192"/>
      <c r="I192"/>
      <c r="J192"/>
      <c r="K192"/>
      <c r="L192"/>
      <c r="M192"/>
      <c r="N192"/>
      <c r="O192"/>
      <c r="P192" s="168"/>
      <c r="Q192" s="168"/>
      <c r="R192" s="168"/>
      <c r="S192" s="169"/>
      <c r="T192" s="169"/>
      <c r="U192" s="169"/>
      <c r="V192" s="168"/>
      <c r="W192" s="168"/>
      <c r="X192" s="168"/>
      <c r="Y192" s="170"/>
      <c r="Z192" s="171"/>
      <c r="AA192" s="171"/>
      <c r="AB192" s="171"/>
      <c r="AC192" s="171"/>
      <c r="AD192" s="171"/>
      <c r="AE192" s="168"/>
      <c r="AF192" s="170"/>
      <c r="AG192" s="172"/>
      <c r="AH192"/>
      <c r="AI192"/>
    </row>
    <row r="193" spans="1:35" x14ac:dyDescent="0.35">
      <c r="A193"/>
      <c r="B193"/>
      <c r="C193"/>
      <c r="D193"/>
      <c r="E193"/>
      <c r="F193"/>
      <c r="G193"/>
      <c r="H193"/>
      <c r="I193"/>
      <c r="J193"/>
      <c r="K193"/>
      <c r="L193"/>
      <c r="M193"/>
      <c r="N193"/>
      <c r="O193"/>
      <c r="P193" s="168"/>
      <c r="Q193" s="168"/>
      <c r="R193" s="168"/>
      <c r="S193" s="169"/>
      <c r="T193" s="169"/>
      <c r="U193" s="169"/>
      <c r="V193" s="168"/>
      <c r="W193" s="168"/>
      <c r="X193" s="168"/>
      <c r="Y193" s="170"/>
      <c r="Z193" s="171"/>
      <c r="AA193" s="171"/>
      <c r="AB193" s="171"/>
      <c r="AC193" s="171"/>
      <c r="AD193" s="171"/>
      <c r="AE193" s="168"/>
      <c r="AF193" s="170"/>
      <c r="AG193" s="172"/>
      <c r="AH193"/>
      <c r="AI193"/>
    </row>
    <row r="194" spans="1:35" x14ac:dyDescent="0.35">
      <c r="A194"/>
      <c r="B194"/>
      <c r="C194"/>
      <c r="D194"/>
      <c r="E194"/>
      <c r="F194"/>
      <c r="G194"/>
      <c r="H194"/>
      <c r="I194"/>
      <c r="J194"/>
      <c r="K194"/>
      <c r="L194"/>
      <c r="M194"/>
      <c r="N194"/>
      <c r="O194"/>
      <c r="P194" s="168"/>
      <c r="Q194" s="168"/>
      <c r="R194" s="168"/>
      <c r="S194" s="169"/>
      <c r="T194" s="169"/>
      <c r="U194" s="169"/>
      <c r="V194" s="168"/>
      <c r="W194" s="168"/>
      <c r="X194" s="168"/>
      <c r="Y194" s="170"/>
      <c r="Z194" s="171"/>
      <c r="AA194" s="171"/>
      <c r="AB194" s="171"/>
      <c r="AC194" s="171"/>
      <c r="AD194" s="171"/>
      <c r="AE194" s="168"/>
      <c r="AF194" s="170"/>
      <c r="AG194" s="172"/>
      <c r="AH194"/>
      <c r="AI194"/>
    </row>
    <row r="195" spans="1:35" x14ac:dyDescent="0.35">
      <c r="A195"/>
      <c r="B195"/>
      <c r="C195"/>
      <c r="D195"/>
      <c r="E195"/>
      <c r="F195"/>
      <c r="G195"/>
      <c r="H195"/>
      <c r="I195"/>
      <c r="J195"/>
      <c r="K195"/>
      <c r="L195"/>
      <c r="M195"/>
      <c r="N195"/>
      <c r="O195"/>
      <c r="P195" s="168"/>
      <c r="Q195" s="168"/>
      <c r="R195" s="168"/>
      <c r="S195" s="169"/>
      <c r="T195" s="169"/>
      <c r="U195" s="169"/>
      <c r="V195" s="168"/>
      <c r="W195" s="168"/>
      <c r="X195" s="168"/>
      <c r="Y195" s="170"/>
      <c r="Z195" s="171"/>
      <c r="AA195" s="171"/>
      <c r="AB195" s="171"/>
      <c r="AC195" s="171"/>
      <c r="AD195" s="171"/>
      <c r="AE195" s="168"/>
      <c r="AF195" s="170"/>
      <c r="AG195" s="172"/>
      <c r="AH195"/>
      <c r="AI195"/>
    </row>
    <row r="196" spans="1:35" x14ac:dyDescent="0.35">
      <c r="A196"/>
      <c r="B196"/>
      <c r="C196"/>
      <c r="D196"/>
      <c r="E196"/>
      <c r="F196"/>
      <c r="G196"/>
      <c r="H196"/>
      <c r="I196"/>
      <c r="J196"/>
      <c r="K196"/>
      <c r="L196"/>
      <c r="M196"/>
      <c r="N196"/>
      <c r="O196"/>
      <c r="P196" s="168"/>
      <c r="Q196" s="168"/>
      <c r="R196" s="168"/>
      <c r="S196" s="169"/>
      <c r="T196" s="169"/>
      <c r="U196" s="169"/>
      <c r="V196" s="168"/>
      <c r="W196" s="168"/>
      <c r="X196" s="168"/>
      <c r="Y196" s="170"/>
      <c r="Z196" s="171"/>
      <c r="AA196" s="171"/>
      <c r="AB196" s="171"/>
      <c r="AC196" s="171"/>
      <c r="AD196" s="171"/>
      <c r="AE196" s="168"/>
      <c r="AF196" s="170"/>
      <c r="AG196" s="172"/>
      <c r="AH196"/>
      <c r="AI196"/>
    </row>
    <row r="197" spans="1:35" x14ac:dyDescent="0.35">
      <c r="A197"/>
      <c r="B197"/>
      <c r="C197"/>
      <c r="D197"/>
      <c r="E197"/>
      <c r="F197"/>
      <c r="G197"/>
      <c r="H197"/>
      <c r="I197"/>
      <c r="J197"/>
      <c r="K197"/>
      <c r="L197"/>
      <c r="M197"/>
      <c r="N197"/>
      <c r="O197"/>
      <c r="P197" s="168"/>
      <c r="Q197" s="168"/>
      <c r="R197" s="168"/>
      <c r="S197" s="169"/>
      <c r="T197" s="169"/>
      <c r="U197" s="169"/>
      <c r="V197" s="168"/>
      <c r="W197" s="168"/>
      <c r="X197" s="168"/>
      <c r="Y197" s="170"/>
      <c r="Z197" s="171"/>
      <c r="AA197" s="171"/>
      <c r="AB197" s="171"/>
      <c r="AC197" s="171"/>
      <c r="AD197" s="171"/>
      <c r="AE197" s="168"/>
      <c r="AF197" s="170"/>
      <c r="AG197" s="172"/>
      <c r="AH197"/>
      <c r="AI197"/>
    </row>
    <row r="198" spans="1:35" x14ac:dyDescent="0.35">
      <c r="A198"/>
      <c r="B198"/>
      <c r="C198"/>
      <c r="D198"/>
      <c r="E198"/>
      <c r="F198"/>
      <c r="G198"/>
      <c r="H198"/>
      <c r="I198"/>
      <c r="J198"/>
      <c r="K198"/>
      <c r="L198"/>
      <c r="M198"/>
      <c r="N198"/>
      <c r="O198"/>
      <c r="P198" s="168"/>
      <c r="Q198" s="168"/>
      <c r="R198" s="168"/>
      <c r="S198" s="169"/>
      <c r="T198" s="169"/>
      <c r="U198" s="169"/>
      <c r="V198" s="168"/>
      <c r="W198" s="168"/>
      <c r="X198" s="168"/>
      <c r="Y198" s="170"/>
      <c r="Z198" s="171"/>
      <c r="AA198" s="171"/>
      <c r="AB198" s="171"/>
      <c r="AC198" s="171"/>
      <c r="AD198" s="171"/>
      <c r="AE198" s="168"/>
      <c r="AF198" s="170"/>
      <c r="AG198" s="172"/>
      <c r="AH198"/>
      <c r="AI198"/>
    </row>
    <row r="199" spans="1:35" x14ac:dyDescent="0.35">
      <c r="A199"/>
      <c r="B199"/>
      <c r="C199"/>
      <c r="D199"/>
      <c r="E199"/>
      <c r="F199"/>
      <c r="G199"/>
      <c r="H199"/>
      <c r="I199"/>
      <c r="J199"/>
      <c r="K199"/>
      <c r="L199"/>
      <c r="M199"/>
      <c r="N199"/>
      <c r="O199"/>
      <c r="P199" s="168"/>
      <c r="Q199" s="168"/>
      <c r="R199" s="168"/>
      <c r="S199" s="169"/>
      <c r="T199" s="169"/>
      <c r="U199" s="169"/>
      <c r="V199" s="168"/>
      <c r="W199" s="168"/>
      <c r="X199" s="168"/>
      <c r="Y199" s="170"/>
      <c r="Z199" s="171"/>
      <c r="AA199" s="171"/>
      <c r="AB199" s="171"/>
      <c r="AC199" s="171"/>
      <c r="AD199" s="171"/>
      <c r="AE199" s="168"/>
      <c r="AF199" s="170"/>
      <c r="AG199" s="172"/>
      <c r="AH199"/>
      <c r="AI199"/>
    </row>
    <row r="200" spans="1:35" x14ac:dyDescent="0.35">
      <c r="A200"/>
      <c r="B200"/>
      <c r="C200"/>
      <c r="D200"/>
      <c r="E200"/>
      <c r="F200"/>
      <c r="G200"/>
      <c r="H200"/>
      <c r="I200"/>
      <c r="J200"/>
      <c r="K200"/>
      <c r="L200"/>
      <c r="M200"/>
      <c r="N200"/>
      <c r="O200"/>
      <c r="P200" s="168"/>
      <c r="Q200" s="168"/>
      <c r="R200" s="168"/>
      <c r="S200" s="169"/>
      <c r="T200" s="169"/>
      <c r="U200" s="169"/>
      <c r="V200" s="168"/>
      <c r="W200" s="168"/>
      <c r="X200" s="168"/>
      <c r="Y200" s="170"/>
      <c r="Z200" s="171"/>
      <c r="AA200" s="171"/>
      <c r="AB200" s="171"/>
      <c r="AC200" s="171"/>
      <c r="AD200" s="171"/>
      <c r="AE200" s="168"/>
      <c r="AF200" s="170"/>
      <c r="AG200" s="172"/>
      <c r="AH200"/>
      <c r="AI200"/>
    </row>
    <row r="201" spans="1:35" x14ac:dyDescent="0.35">
      <c r="A201"/>
      <c r="B201"/>
      <c r="C201"/>
      <c r="D201"/>
      <c r="E201"/>
      <c r="F201"/>
      <c r="G201"/>
      <c r="H201"/>
      <c r="I201"/>
      <c r="J201"/>
      <c r="K201"/>
      <c r="L201"/>
      <c r="M201"/>
      <c r="N201"/>
      <c r="O201"/>
      <c r="P201" s="168"/>
      <c r="Q201" s="168"/>
      <c r="R201" s="168"/>
      <c r="S201" s="169"/>
      <c r="T201" s="169"/>
      <c r="U201" s="169"/>
      <c r="V201" s="168"/>
      <c r="W201" s="168"/>
      <c r="X201" s="168"/>
      <c r="Y201" s="170"/>
      <c r="Z201" s="171"/>
      <c r="AA201" s="171"/>
      <c r="AB201" s="171"/>
      <c r="AC201" s="171"/>
      <c r="AD201" s="171"/>
      <c r="AE201" s="168"/>
      <c r="AF201" s="170"/>
      <c r="AG201" s="172"/>
      <c r="AH201"/>
      <c r="AI201"/>
    </row>
    <row r="202" spans="1:35" x14ac:dyDescent="0.35">
      <c r="A202"/>
      <c r="B202"/>
      <c r="C202"/>
      <c r="D202"/>
      <c r="E202"/>
      <c r="F202"/>
      <c r="G202"/>
      <c r="H202"/>
      <c r="I202"/>
      <c r="J202"/>
      <c r="K202"/>
      <c r="L202"/>
      <c r="M202"/>
      <c r="N202"/>
      <c r="O202"/>
      <c r="P202" s="168"/>
      <c r="Q202" s="168"/>
      <c r="R202" s="168"/>
      <c r="S202" s="169"/>
      <c r="T202" s="169"/>
      <c r="U202" s="169"/>
      <c r="V202" s="168"/>
      <c r="W202" s="168"/>
      <c r="X202" s="168"/>
      <c r="Y202" s="170"/>
      <c r="Z202" s="171"/>
      <c r="AA202" s="171"/>
      <c r="AB202" s="171"/>
      <c r="AC202" s="171"/>
      <c r="AD202" s="171"/>
      <c r="AE202" s="168"/>
      <c r="AF202" s="170"/>
      <c r="AG202" s="172"/>
      <c r="AH202"/>
      <c r="AI202"/>
    </row>
    <row r="203" spans="1:35" x14ac:dyDescent="0.35">
      <c r="A203"/>
      <c r="B203"/>
      <c r="C203"/>
      <c r="D203"/>
      <c r="E203"/>
      <c r="F203"/>
      <c r="G203"/>
      <c r="H203"/>
      <c r="I203"/>
      <c r="J203"/>
      <c r="K203"/>
      <c r="L203"/>
      <c r="M203"/>
      <c r="N203"/>
      <c r="O203"/>
      <c r="P203" s="168"/>
      <c r="Q203" s="168"/>
      <c r="R203" s="168"/>
      <c r="S203" s="169"/>
      <c r="T203" s="169"/>
      <c r="U203" s="169"/>
      <c r="V203" s="168"/>
      <c r="W203" s="168"/>
      <c r="X203" s="168"/>
      <c r="Y203" s="170"/>
      <c r="Z203" s="171"/>
      <c r="AA203" s="171"/>
      <c r="AB203" s="171"/>
      <c r="AC203" s="171"/>
      <c r="AD203" s="171"/>
      <c r="AE203" s="168"/>
      <c r="AF203" s="170"/>
      <c r="AG203" s="172"/>
      <c r="AH203"/>
      <c r="AI203"/>
    </row>
    <row r="204" spans="1:35" x14ac:dyDescent="0.35">
      <c r="A204"/>
      <c r="B204"/>
      <c r="C204"/>
      <c r="D204"/>
      <c r="E204"/>
      <c r="F204"/>
      <c r="G204"/>
      <c r="H204"/>
      <c r="I204"/>
      <c r="J204"/>
      <c r="K204"/>
      <c r="L204"/>
      <c r="M204"/>
      <c r="N204"/>
      <c r="O204"/>
      <c r="P204" s="168"/>
      <c r="Q204" s="168"/>
      <c r="R204" s="168"/>
      <c r="S204" s="169"/>
      <c r="T204" s="169"/>
      <c r="U204" s="169"/>
      <c r="V204" s="168"/>
      <c r="W204" s="168"/>
      <c r="X204" s="168"/>
      <c r="Y204" s="170"/>
      <c r="Z204" s="171"/>
      <c r="AA204" s="171"/>
      <c r="AB204" s="171"/>
      <c r="AC204" s="171"/>
      <c r="AD204" s="171"/>
      <c r="AE204" s="168"/>
      <c r="AF204" s="170"/>
      <c r="AG204" s="172"/>
      <c r="AH204"/>
      <c r="AI204"/>
    </row>
    <row r="205" spans="1:35" x14ac:dyDescent="0.35">
      <c r="A205"/>
      <c r="B205"/>
      <c r="C205"/>
      <c r="D205"/>
      <c r="E205"/>
      <c r="F205"/>
      <c r="G205"/>
      <c r="H205"/>
      <c r="I205"/>
      <c r="J205"/>
      <c r="K205"/>
      <c r="L205"/>
      <c r="M205"/>
      <c r="N205"/>
      <c r="O205"/>
      <c r="P205" s="168"/>
      <c r="Q205" s="168"/>
      <c r="R205" s="168"/>
      <c r="S205" s="169"/>
      <c r="T205" s="169"/>
      <c r="U205" s="169"/>
      <c r="V205" s="168"/>
      <c r="W205" s="168"/>
      <c r="X205" s="168"/>
      <c r="Y205" s="170"/>
      <c r="Z205" s="171"/>
      <c r="AA205" s="171"/>
      <c r="AB205" s="171"/>
      <c r="AC205" s="171"/>
      <c r="AD205" s="171"/>
      <c r="AE205" s="168"/>
      <c r="AF205" s="170"/>
      <c r="AG205" s="172"/>
      <c r="AH205"/>
      <c r="AI205"/>
    </row>
    <row r="206" spans="1:35" x14ac:dyDescent="0.35">
      <c r="A206"/>
      <c r="B206"/>
      <c r="C206"/>
      <c r="D206"/>
      <c r="E206"/>
      <c r="F206"/>
      <c r="G206"/>
      <c r="H206"/>
      <c r="I206"/>
      <c r="J206"/>
      <c r="K206"/>
      <c r="L206"/>
      <c r="M206"/>
      <c r="N206"/>
      <c r="O206"/>
      <c r="P206" s="168"/>
      <c r="Q206" s="168"/>
      <c r="R206" s="168"/>
      <c r="S206" s="169"/>
      <c r="T206" s="169"/>
      <c r="U206" s="169"/>
      <c r="V206" s="168"/>
      <c r="W206" s="168"/>
      <c r="X206" s="168"/>
      <c r="Y206" s="170"/>
      <c r="Z206" s="171"/>
      <c r="AA206" s="171"/>
      <c r="AB206" s="171"/>
      <c r="AC206" s="171"/>
      <c r="AD206" s="171"/>
      <c r="AE206" s="168"/>
      <c r="AF206" s="170"/>
      <c r="AG206" s="172"/>
      <c r="AH206"/>
      <c r="AI206"/>
    </row>
    <row r="207" spans="1:35" x14ac:dyDescent="0.35">
      <c r="A207"/>
      <c r="B207"/>
      <c r="C207"/>
      <c r="D207"/>
      <c r="E207"/>
      <c r="F207"/>
      <c r="G207"/>
      <c r="H207"/>
      <c r="I207"/>
      <c r="J207"/>
      <c r="K207"/>
      <c r="L207"/>
      <c r="M207"/>
      <c r="N207"/>
      <c r="O207"/>
      <c r="P207" s="168"/>
      <c r="Q207" s="168"/>
      <c r="R207" s="168"/>
      <c r="S207" s="169"/>
      <c r="T207" s="169"/>
      <c r="U207" s="169"/>
      <c r="V207" s="168"/>
      <c r="W207" s="168"/>
      <c r="X207" s="168"/>
      <c r="Y207" s="170"/>
      <c r="Z207" s="171"/>
      <c r="AA207" s="171"/>
      <c r="AB207" s="171"/>
      <c r="AC207" s="171"/>
      <c r="AD207" s="171"/>
      <c r="AE207" s="168"/>
      <c r="AF207" s="170"/>
      <c r="AG207" s="172"/>
      <c r="AH207"/>
      <c r="AI207"/>
    </row>
    <row r="208" spans="1:35" x14ac:dyDescent="0.35">
      <c r="A208"/>
      <c r="B208"/>
      <c r="C208"/>
      <c r="D208"/>
      <c r="E208"/>
      <c r="F208"/>
      <c r="G208"/>
      <c r="H208"/>
      <c r="I208"/>
      <c r="J208"/>
      <c r="K208"/>
      <c r="L208"/>
      <c r="M208"/>
      <c r="N208"/>
      <c r="O208"/>
      <c r="P208" s="168"/>
      <c r="Q208" s="168"/>
      <c r="R208" s="168"/>
      <c r="S208" s="169"/>
      <c r="T208" s="169"/>
      <c r="U208" s="169"/>
      <c r="V208" s="168"/>
      <c r="W208" s="168"/>
      <c r="X208" s="168"/>
      <c r="Y208" s="170"/>
      <c r="Z208" s="171"/>
      <c r="AA208" s="171"/>
      <c r="AB208" s="171"/>
      <c r="AC208" s="171"/>
      <c r="AD208" s="171"/>
      <c r="AE208" s="168"/>
      <c r="AF208" s="170"/>
      <c r="AG208" s="172"/>
      <c r="AH208"/>
      <c r="AI208"/>
    </row>
    <row r="209" spans="1:35" x14ac:dyDescent="0.35">
      <c r="A209"/>
      <c r="B209"/>
      <c r="C209"/>
      <c r="D209"/>
      <c r="E209"/>
      <c r="F209"/>
      <c r="G209"/>
      <c r="H209"/>
      <c r="I209"/>
      <c r="J209"/>
      <c r="K209"/>
      <c r="L209"/>
      <c r="M209"/>
      <c r="N209"/>
      <c r="O209"/>
      <c r="P209" s="168"/>
      <c r="Q209" s="168"/>
      <c r="R209" s="168"/>
      <c r="S209" s="169"/>
      <c r="T209" s="169"/>
      <c r="U209" s="169"/>
      <c r="V209" s="168"/>
      <c r="W209" s="168"/>
      <c r="X209" s="168"/>
      <c r="Y209" s="170"/>
      <c r="Z209" s="171"/>
      <c r="AA209" s="171"/>
      <c r="AB209" s="171"/>
      <c r="AC209" s="171"/>
      <c r="AD209" s="171"/>
      <c r="AE209" s="168"/>
      <c r="AF209" s="170"/>
      <c r="AG209" s="172"/>
      <c r="AH209"/>
      <c r="AI209"/>
    </row>
    <row r="210" spans="1:35" x14ac:dyDescent="0.35">
      <c r="A210"/>
      <c r="B210"/>
      <c r="C210"/>
      <c r="D210"/>
      <c r="E210"/>
      <c r="F210"/>
      <c r="G210"/>
      <c r="H210"/>
      <c r="I210"/>
      <c r="J210"/>
      <c r="K210"/>
      <c r="L210"/>
      <c r="M210"/>
      <c r="N210"/>
      <c r="O210"/>
      <c r="P210" s="168"/>
      <c r="Q210" s="168"/>
      <c r="R210" s="168"/>
      <c r="S210" s="169"/>
      <c r="T210" s="169"/>
      <c r="U210" s="169"/>
      <c r="V210" s="168"/>
      <c r="W210" s="168"/>
      <c r="X210" s="168"/>
      <c r="Y210" s="170"/>
      <c r="Z210" s="171"/>
      <c r="AA210" s="171"/>
      <c r="AB210" s="171"/>
      <c r="AC210" s="171"/>
      <c r="AD210" s="171"/>
      <c r="AE210" s="168"/>
      <c r="AF210" s="170"/>
      <c r="AG210" s="172"/>
      <c r="AH210"/>
      <c r="AI210"/>
    </row>
    <row r="211" spans="1:35" x14ac:dyDescent="0.35">
      <c r="A211"/>
      <c r="B211"/>
      <c r="C211"/>
      <c r="D211"/>
      <c r="E211"/>
      <c r="F211"/>
      <c r="G211"/>
      <c r="H211"/>
      <c r="I211"/>
      <c r="J211"/>
      <c r="K211"/>
      <c r="L211"/>
      <c r="M211"/>
      <c r="N211"/>
      <c r="O211"/>
      <c r="P211" s="168"/>
      <c r="Q211" s="168"/>
      <c r="R211" s="168"/>
      <c r="S211" s="169"/>
      <c r="T211" s="169"/>
      <c r="U211" s="169"/>
      <c r="V211" s="168"/>
      <c r="W211" s="168"/>
      <c r="X211" s="168"/>
      <c r="Y211" s="170"/>
      <c r="Z211" s="171"/>
      <c r="AA211" s="171"/>
      <c r="AB211" s="171"/>
      <c r="AC211" s="171"/>
      <c r="AD211" s="171"/>
      <c r="AE211" s="168"/>
      <c r="AF211" s="170"/>
      <c r="AG211" s="172"/>
      <c r="AH211"/>
      <c r="AI211"/>
    </row>
    <row r="212" spans="1:35" x14ac:dyDescent="0.35">
      <c r="A212"/>
      <c r="B212"/>
      <c r="C212"/>
      <c r="D212"/>
      <c r="E212"/>
      <c r="F212"/>
      <c r="G212"/>
      <c r="H212"/>
      <c r="I212"/>
      <c r="J212"/>
      <c r="K212"/>
      <c r="L212"/>
      <c r="M212"/>
      <c r="N212"/>
      <c r="O212"/>
      <c r="P212" s="168"/>
      <c r="Q212" s="168"/>
      <c r="R212" s="168"/>
      <c r="S212" s="169"/>
      <c r="T212" s="169"/>
      <c r="U212" s="169"/>
      <c r="V212" s="168"/>
      <c r="W212" s="168"/>
      <c r="X212" s="168"/>
      <c r="Y212" s="170"/>
      <c r="Z212" s="171"/>
      <c r="AA212" s="171"/>
      <c r="AB212" s="171"/>
      <c r="AC212" s="171"/>
      <c r="AD212" s="171"/>
      <c r="AE212" s="168"/>
      <c r="AF212" s="170"/>
      <c r="AG212" s="172"/>
      <c r="AH212"/>
      <c r="AI212"/>
    </row>
    <row r="213" spans="1:35" x14ac:dyDescent="0.35">
      <c r="A213"/>
      <c r="B213"/>
      <c r="C213"/>
      <c r="D213"/>
      <c r="E213"/>
      <c r="F213"/>
      <c r="G213"/>
      <c r="H213"/>
      <c r="I213"/>
      <c r="J213"/>
      <c r="K213"/>
      <c r="L213"/>
      <c r="M213"/>
      <c r="N213"/>
      <c r="O213"/>
      <c r="P213" s="168"/>
      <c r="Q213" s="168"/>
      <c r="R213" s="168"/>
      <c r="S213" s="169"/>
      <c r="T213" s="169"/>
      <c r="U213" s="169"/>
      <c r="V213" s="168"/>
      <c r="W213" s="168"/>
      <c r="X213" s="168"/>
      <c r="Y213" s="170"/>
      <c r="Z213" s="171"/>
      <c r="AA213" s="171"/>
      <c r="AB213" s="171"/>
      <c r="AC213" s="171"/>
      <c r="AD213" s="171"/>
      <c r="AE213" s="168"/>
      <c r="AF213" s="170"/>
      <c r="AG213" s="172"/>
      <c r="AH213"/>
      <c r="AI213"/>
    </row>
    <row r="214" spans="1:35" x14ac:dyDescent="0.35">
      <c r="A214"/>
      <c r="B214"/>
      <c r="C214"/>
      <c r="D214"/>
      <c r="E214"/>
      <c r="F214"/>
      <c r="G214"/>
      <c r="H214"/>
      <c r="I214"/>
      <c r="J214"/>
      <c r="K214"/>
      <c r="L214"/>
      <c r="M214"/>
      <c r="N214"/>
      <c r="O214"/>
      <c r="P214" s="168"/>
      <c r="Q214" s="168"/>
      <c r="R214" s="168"/>
      <c r="S214" s="169"/>
      <c r="T214" s="169"/>
      <c r="U214" s="169"/>
      <c r="V214" s="168"/>
      <c r="W214" s="168"/>
      <c r="X214" s="168"/>
      <c r="Y214" s="170"/>
      <c r="Z214" s="171"/>
      <c r="AA214" s="171"/>
      <c r="AB214" s="171"/>
      <c r="AC214" s="171"/>
      <c r="AD214" s="171"/>
      <c r="AE214" s="168"/>
      <c r="AF214" s="170"/>
      <c r="AG214" s="172"/>
      <c r="AH214"/>
      <c r="AI214"/>
    </row>
    <row r="215" spans="1:35" x14ac:dyDescent="0.35">
      <c r="A215"/>
      <c r="B215"/>
      <c r="C215"/>
      <c r="D215"/>
      <c r="E215"/>
      <c r="F215"/>
      <c r="G215"/>
      <c r="H215"/>
      <c r="I215"/>
      <c r="J215"/>
      <c r="K215"/>
      <c r="L215"/>
      <c r="M215"/>
      <c r="N215"/>
      <c r="O215"/>
      <c r="P215" s="168"/>
      <c r="Q215" s="168"/>
      <c r="R215" s="168"/>
      <c r="S215" s="169"/>
      <c r="T215" s="169"/>
      <c r="U215" s="169"/>
      <c r="V215" s="168"/>
      <c r="W215" s="168"/>
      <c r="X215" s="168"/>
      <c r="Y215" s="170"/>
      <c r="Z215" s="171"/>
      <c r="AA215" s="171"/>
      <c r="AB215" s="171"/>
      <c r="AC215" s="171"/>
      <c r="AD215" s="171"/>
      <c r="AE215" s="168"/>
      <c r="AF215" s="170"/>
      <c r="AG215" s="172"/>
      <c r="AH215"/>
      <c r="AI215"/>
    </row>
    <row r="216" spans="1:35" x14ac:dyDescent="0.35">
      <c r="A216"/>
      <c r="B216"/>
      <c r="C216"/>
      <c r="D216"/>
      <c r="E216"/>
      <c r="F216"/>
      <c r="G216"/>
      <c r="H216"/>
      <c r="I216"/>
      <c r="J216"/>
      <c r="K216"/>
      <c r="L216"/>
      <c r="M216"/>
      <c r="N216"/>
      <c r="O216"/>
      <c r="P216" s="168"/>
      <c r="Q216" s="168"/>
      <c r="R216" s="168"/>
      <c r="S216" s="169"/>
      <c r="T216" s="169"/>
      <c r="U216" s="169"/>
      <c r="V216" s="168"/>
      <c r="W216" s="168"/>
      <c r="X216" s="168"/>
      <c r="Y216" s="170"/>
      <c r="Z216" s="171"/>
      <c r="AA216" s="171"/>
      <c r="AB216" s="171"/>
      <c r="AC216" s="171"/>
      <c r="AD216" s="171"/>
      <c r="AE216" s="168"/>
      <c r="AF216" s="170"/>
      <c r="AG216" s="172"/>
      <c r="AH216"/>
      <c r="AI216"/>
    </row>
    <row r="217" spans="1:35" x14ac:dyDescent="0.35">
      <c r="A217"/>
      <c r="B217"/>
      <c r="C217"/>
      <c r="D217"/>
      <c r="E217"/>
      <c r="F217"/>
      <c r="G217"/>
      <c r="H217"/>
      <c r="I217"/>
      <c r="J217"/>
      <c r="K217"/>
      <c r="L217"/>
      <c r="M217"/>
      <c r="N217"/>
      <c r="O217"/>
      <c r="P217" s="168"/>
      <c r="Q217" s="168"/>
      <c r="R217" s="168"/>
      <c r="S217" s="169"/>
      <c r="T217" s="169"/>
      <c r="U217" s="169"/>
      <c r="V217" s="168"/>
      <c r="W217" s="168"/>
      <c r="X217" s="168"/>
      <c r="Y217" s="170"/>
      <c r="Z217" s="171"/>
      <c r="AA217" s="171"/>
      <c r="AB217" s="171"/>
      <c r="AC217" s="171"/>
      <c r="AD217" s="171"/>
      <c r="AE217" s="168"/>
      <c r="AF217" s="170"/>
      <c r="AG217" s="172"/>
      <c r="AH217"/>
      <c r="AI217"/>
    </row>
    <row r="218" spans="1:35" x14ac:dyDescent="0.35">
      <c r="A218"/>
      <c r="B218"/>
      <c r="C218"/>
      <c r="D218"/>
      <c r="E218"/>
      <c r="F218"/>
      <c r="G218"/>
      <c r="H218"/>
      <c r="I218"/>
      <c r="J218"/>
      <c r="K218"/>
      <c r="L218"/>
      <c r="M218"/>
      <c r="N218"/>
      <c r="O218"/>
      <c r="P218" s="168"/>
      <c r="Q218" s="168"/>
      <c r="R218" s="168"/>
      <c r="S218" s="169"/>
      <c r="T218" s="169"/>
      <c r="U218" s="169"/>
      <c r="V218" s="168"/>
      <c r="W218" s="168"/>
      <c r="X218" s="168"/>
      <c r="Y218" s="170"/>
      <c r="Z218" s="171"/>
      <c r="AA218" s="171"/>
      <c r="AB218" s="171"/>
      <c r="AC218" s="171"/>
      <c r="AD218" s="171"/>
      <c r="AE218" s="168"/>
      <c r="AF218" s="170"/>
      <c r="AG218" s="172"/>
      <c r="AH218"/>
      <c r="AI218"/>
    </row>
    <row r="219" spans="1:35" x14ac:dyDescent="0.35">
      <c r="A219"/>
      <c r="B219"/>
      <c r="C219"/>
      <c r="D219"/>
      <c r="E219"/>
      <c r="F219"/>
      <c r="G219"/>
      <c r="H219"/>
      <c r="I219"/>
      <c r="J219"/>
      <c r="K219"/>
      <c r="L219"/>
      <c r="M219"/>
      <c r="N219"/>
      <c r="O219"/>
      <c r="P219" s="168"/>
      <c r="Q219" s="168"/>
      <c r="R219" s="168"/>
      <c r="S219" s="169"/>
      <c r="T219" s="169"/>
      <c r="U219" s="169"/>
      <c r="V219" s="168"/>
      <c r="W219" s="168"/>
      <c r="X219" s="168"/>
      <c r="Y219" s="170"/>
      <c r="Z219" s="171"/>
      <c r="AA219" s="171"/>
      <c r="AB219" s="171"/>
      <c r="AC219" s="171"/>
      <c r="AD219" s="171"/>
      <c r="AE219" s="168"/>
      <c r="AF219" s="170"/>
      <c r="AG219" s="172"/>
      <c r="AH219"/>
      <c r="AI219"/>
    </row>
    <row r="220" spans="1:35" x14ac:dyDescent="0.35">
      <c r="A220"/>
      <c r="B220"/>
      <c r="C220"/>
      <c r="D220"/>
      <c r="E220"/>
      <c r="F220"/>
      <c r="G220"/>
      <c r="H220"/>
      <c r="I220"/>
      <c r="J220"/>
      <c r="K220"/>
      <c r="L220"/>
      <c r="M220"/>
      <c r="N220"/>
      <c r="O220"/>
      <c r="P220" s="168"/>
      <c r="Q220" s="168"/>
      <c r="R220" s="168"/>
      <c r="S220" s="169"/>
      <c r="T220" s="169"/>
      <c r="U220" s="169"/>
      <c r="V220" s="168"/>
      <c r="W220" s="168"/>
      <c r="X220" s="168"/>
      <c r="Y220" s="170"/>
      <c r="Z220" s="171"/>
      <c r="AA220" s="171"/>
      <c r="AB220" s="171"/>
      <c r="AC220" s="171"/>
      <c r="AD220" s="171"/>
      <c r="AE220" s="168"/>
      <c r="AF220" s="170"/>
      <c r="AG220" s="172"/>
      <c r="AH220"/>
      <c r="AI220"/>
    </row>
    <row r="221" spans="1:35" x14ac:dyDescent="0.35">
      <c r="A221"/>
      <c r="B221"/>
      <c r="C221"/>
      <c r="D221"/>
      <c r="E221"/>
      <c r="F221"/>
      <c r="G221"/>
      <c r="H221"/>
      <c r="I221"/>
      <c r="J221"/>
      <c r="K221"/>
      <c r="L221"/>
      <c r="M221"/>
      <c r="N221"/>
      <c r="O221"/>
      <c r="P221" s="168"/>
      <c r="Q221" s="168"/>
      <c r="R221" s="168"/>
      <c r="S221" s="169"/>
      <c r="T221" s="169"/>
      <c r="U221" s="169"/>
      <c r="V221" s="168"/>
      <c r="W221" s="168"/>
      <c r="X221" s="168"/>
      <c r="Y221" s="170"/>
      <c r="Z221" s="171"/>
      <c r="AA221" s="171"/>
      <c r="AB221" s="171"/>
      <c r="AC221" s="171"/>
      <c r="AD221" s="171"/>
      <c r="AE221" s="168"/>
      <c r="AF221" s="170"/>
      <c r="AG221" s="172"/>
      <c r="AH221"/>
      <c r="AI221"/>
    </row>
    <row r="222" spans="1:35" x14ac:dyDescent="0.35">
      <c r="A222"/>
      <c r="B222"/>
      <c r="C222"/>
      <c r="D222"/>
      <c r="E222"/>
      <c r="F222"/>
      <c r="G222"/>
      <c r="H222"/>
      <c r="I222"/>
      <c r="J222"/>
      <c r="K222"/>
      <c r="L222"/>
      <c r="M222"/>
      <c r="N222"/>
      <c r="O222"/>
      <c r="P222" s="168"/>
      <c r="Q222" s="168"/>
      <c r="R222" s="168"/>
      <c r="S222" s="169"/>
      <c r="T222" s="169"/>
      <c r="U222" s="169"/>
      <c r="V222" s="168"/>
      <c r="W222" s="168"/>
      <c r="X222" s="168"/>
      <c r="Y222" s="170"/>
      <c r="Z222" s="171"/>
      <c r="AA222" s="171"/>
      <c r="AB222" s="171"/>
      <c r="AC222" s="171"/>
      <c r="AD222" s="171"/>
      <c r="AE222" s="168"/>
      <c r="AF222" s="170"/>
      <c r="AG222" s="172"/>
      <c r="AH222"/>
      <c r="AI222"/>
    </row>
    <row r="223" spans="1:35" x14ac:dyDescent="0.35">
      <c r="A223"/>
      <c r="B223"/>
      <c r="C223"/>
      <c r="D223"/>
      <c r="E223"/>
      <c r="F223"/>
      <c r="G223"/>
      <c r="H223"/>
      <c r="I223"/>
      <c r="J223"/>
      <c r="K223"/>
      <c r="L223"/>
      <c r="M223"/>
      <c r="N223"/>
      <c r="O223"/>
      <c r="P223" s="168"/>
      <c r="Q223" s="168"/>
      <c r="R223" s="168"/>
      <c r="S223" s="169"/>
      <c r="T223" s="169"/>
      <c r="U223" s="169"/>
      <c r="V223" s="168"/>
      <c r="W223" s="168"/>
      <c r="X223" s="168"/>
      <c r="Y223" s="170"/>
      <c r="Z223" s="171"/>
      <c r="AA223" s="171"/>
      <c r="AB223" s="171"/>
      <c r="AC223" s="171"/>
      <c r="AD223" s="171"/>
      <c r="AE223" s="168"/>
      <c r="AF223" s="170"/>
      <c r="AG223" s="172"/>
      <c r="AH223"/>
      <c r="AI223"/>
    </row>
    <row r="224" spans="1:35" x14ac:dyDescent="0.35">
      <c r="A224"/>
      <c r="B224"/>
      <c r="C224"/>
      <c r="D224"/>
      <c r="E224"/>
      <c r="F224"/>
      <c r="G224"/>
      <c r="H224"/>
      <c r="I224"/>
      <c r="J224"/>
      <c r="K224"/>
      <c r="L224"/>
      <c r="M224"/>
      <c r="N224"/>
      <c r="O224"/>
      <c r="P224" s="168"/>
      <c r="Q224" s="168"/>
      <c r="R224" s="168"/>
      <c r="S224" s="169"/>
      <c r="T224" s="169"/>
      <c r="U224" s="169"/>
      <c r="V224" s="168"/>
      <c r="W224" s="168"/>
      <c r="X224" s="168"/>
      <c r="Y224" s="170"/>
      <c r="Z224" s="171"/>
      <c r="AA224" s="171"/>
      <c r="AB224" s="171"/>
      <c r="AC224" s="171"/>
      <c r="AD224" s="171"/>
      <c r="AE224" s="168"/>
      <c r="AF224" s="170"/>
      <c r="AG224" s="172"/>
      <c r="AH224"/>
      <c r="AI224"/>
    </row>
    <row r="225" spans="1:35" x14ac:dyDescent="0.35">
      <c r="A225"/>
      <c r="B225"/>
      <c r="C225"/>
      <c r="D225"/>
      <c r="E225"/>
      <c r="F225"/>
      <c r="G225"/>
      <c r="H225"/>
      <c r="I225"/>
      <c r="J225"/>
      <c r="K225"/>
      <c r="L225"/>
      <c r="M225"/>
      <c r="N225"/>
      <c r="O225"/>
      <c r="P225" s="168"/>
      <c r="Q225" s="168"/>
      <c r="R225" s="168"/>
      <c r="S225" s="169"/>
      <c r="T225" s="169"/>
      <c r="U225" s="169"/>
      <c r="V225" s="168"/>
      <c r="W225" s="168"/>
      <c r="X225" s="168"/>
      <c r="Y225" s="170"/>
      <c r="Z225" s="171"/>
      <c r="AA225" s="171"/>
      <c r="AB225" s="171"/>
      <c r="AC225" s="171"/>
      <c r="AD225" s="171"/>
      <c r="AE225" s="168"/>
      <c r="AF225" s="170"/>
      <c r="AG225" s="172"/>
      <c r="AH225"/>
      <c r="AI225"/>
    </row>
    <row r="226" spans="1:35" x14ac:dyDescent="0.35">
      <c r="A226"/>
      <c r="B226"/>
      <c r="C226"/>
      <c r="D226"/>
      <c r="E226"/>
      <c r="F226"/>
      <c r="G226"/>
      <c r="H226"/>
      <c r="I226"/>
      <c r="J226"/>
      <c r="K226"/>
      <c r="L226"/>
      <c r="M226"/>
      <c r="N226"/>
      <c r="O226"/>
      <c r="P226" s="168"/>
      <c r="Q226" s="168"/>
      <c r="R226" s="168"/>
      <c r="S226" s="169"/>
      <c r="T226" s="169"/>
      <c r="U226" s="169"/>
      <c r="V226" s="168"/>
      <c r="W226" s="168"/>
      <c r="X226" s="168"/>
      <c r="Y226" s="170"/>
      <c r="Z226" s="171"/>
      <c r="AA226" s="171"/>
      <c r="AB226" s="171"/>
      <c r="AC226" s="171"/>
      <c r="AD226" s="171"/>
      <c r="AE226" s="168"/>
      <c r="AF226" s="170"/>
      <c r="AG226" s="172"/>
      <c r="AH226"/>
      <c r="AI226"/>
    </row>
    <row r="227" spans="1:35" x14ac:dyDescent="0.35">
      <c r="A227"/>
      <c r="B227"/>
      <c r="C227"/>
      <c r="D227"/>
      <c r="E227"/>
      <c r="F227"/>
      <c r="G227"/>
      <c r="H227"/>
      <c r="I227"/>
      <c r="J227"/>
      <c r="K227"/>
      <c r="L227"/>
      <c r="M227"/>
      <c r="N227"/>
      <c r="O227"/>
      <c r="P227" s="168"/>
      <c r="Q227" s="168"/>
      <c r="R227" s="168"/>
      <c r="S227" s="169"/>
      <c r="T227" s="169"/>
      <c r="U227" s="169"/>
      <c r="V227" s="168"/>
      <c r="W227" s="168"/>
      <c r="X227" s="168"/>
      <c r="Y227" s="170"/>
      <c r="Z227" s="171"/>
      <c r="AA227" s="171"/>
      <c r="AB227" s="171"/>
      <c r="AC227" s="171"/>
      <c r="AD227" s="171"/>
      <c r="AE227" s="168"/>
      <c r="AF227" s="170"/>
      <c r="AG227" s="172"/>
      <c r="AH227"/>
      <c r="AI227"/>
    </row>
    <row r="228" spans="1:35" x14ac:dyDescent="0.35">
      <c r="A228"/>
      <c r="B228"/>
      <c r="C228"/>
      <c r="D228"/>
      <c r="E228"/>
      <c r="F228"/>
      <c r="G228"/>
      <c r="H228"/>
      <c r="I228"/>
      <c r="J228"/>
      <c r="K228"/>
      <c r="L228"/>
      <c r="M228"/>
      <c r="N228"/>
      <c r="O228"/>
      <c r="P228" s="168"/>
      <c r="Q228" s="168"/>
      <c r="R228" s="168"/>
      <c r="S228" s="169"/>
      <c r="T228" s="169"/>
      <c r="U228" s="169"/>
      <c r="V228" s="168"/>
      <c r="W228" s="168"/>
      <c r="X228" s="168"/>
      <c r="Y228" s="170"/>
      <c r="Z228" s="171"/>
      <c r="AA228" s="171"/>
      <c r="AB228" s="171"/>
      <c r="AC228" s="171"/>
      <c r="AD228" s="171"/>
      <c r="AE228" s="168"/>
      <c r="AF228" s="170"/>
      <c r="AG228" s="172"/>
      <c r="AH228"/>
      <c r="AI228"/>
    </row>
    <row r="229" spans="1:35" x14ac:dyDescent="0.35">
      <c r="A229"/>
      <c r="B229"/>
      <c r="C229"/>
      <c r="D229"/>
      <c r="E229"/>
      <c r="F229"/>
      <c r="G229"/>
      <c r="H229"/>
      <c r="I229"/>
      <c r="J229"/>
      <c r="K229"/>
      <c r="L229"/>
      <c r="M229"/>
      <c r="N229"/>
      <c r="O229"/>
      <c r="P229" s="168"/>
      <c r="Q229" s="168"/>
      <c r="R229" s="168"/>
      <c r="S229" s="169"/>
      <c r="T229" s="169"/>
      <c r="U229" s="169"/>
      <c r="V229" s="168"/>
      <c r="W229" s="168"/>
      <c r="X229" s="168"/>
      <c r="Y229" s="170"/>
      <c r="Z229" s="171"/>
      <c r="AA229" s="171"/>
      <c r="AB229" s="171"/>
      <c r="AC229" s="171"/>
      <c r="AD229" s="171"/>
      <c r="AE229" s="168"/>
      <c r="AF229" s="170"/>
      <c r="AG229" s="172"/>
      <c r="AH229"/>
      <c r="AI229"/>
    </row>
    <row r="230" spans="1:35" x14ac:dyDescent="0.35">
      <c r="A230"/>
      <c r="B230"/>
      <c r="C230"/>
      <c r="D230"/>
      <c r="E230"/>
      <c r="F230"/>
      <c r="G230"/>
      <c r="H230"/>
      <c r="I230"/>
      <c r="J230"/>
      <c r="K230"/>
      <c r="L230"/>
      <c r="M230"/>
      <c r="N230"/>
      <c r="O230"/>
      <c r="P230" s="168"/>
      <c r="Q230" s="168"/>
      <c r="R230" s="168"/>
      <c r="S230" s="169"/>
      <c r="T230" s="169"/>
      <c r="U230" s="169"/>
      <c r="V230" s="168"/>
      <c r="W230" s="168"/>
      <c r="X230" s="168"/>
      <c r="Y230" s="170"/>
      <c r="Z230" s="171"/>
      <c r="AA230" s="171"/>
      <c r="AB230" s="171"/>
      <c r="AC230" s="171"/>
      <c r="AD230" s="171"/>
      <c r="AE230" s="168"/>
      <c r="AF230" s="170"/>
      <c r="AG230" s="172"/>
      <c r="AH230"/>
      <c r="AI230"/>
    </row>
    <row r="231" spans="1:35" x14ac:dyDescent="0.35">
      <c r="A231"/>
      <c r="B231"/>
      <c r="C231"/>
      <c r="D231"/>
      <c r="E231"/>
      <c r="F231"/>
      <c r="G231"/>
      <c r="H231"/>
      <c r="I231"/>
      <c r="J231"/>
      <c r="K231"/>
      <c r="L231"/>
      <c r="M231"/>
      <c r="N231"/>
      <c r="O231"/>
      <c r="P231" s="168"/>
      <c r="Q231" s="168"/>
      <c r="R231" s="168"/>
      <c r="S231" s="169"/>
      <c r="T231" s="169"/>
      <c r="U231" s="169"/>
      <c r="V231" s="168"/>
      <c r="W231" s="168"/>
      <c r="X231" s="168"/>
      <c r="Y231" s="170"/>
      <c r="Z231" s="171"/>
      <c r="AA231" s="171"/>
      <c r="AB231" s="171"/>
      <c r="AC231" s="171"/>
      <c r="AD231" s="171"/>
      <c r="AE231" s="168"/>
      <c r="AF231" s="170"/>
      <c r="AG231" s="172"/>
      <c r="AH231"/>
      <c r="AI231"/>
    </row>
    <row r="232" spans="1:35" x14ac:dyDescent="0.35">
      <c r="A232"/>
      <c r="B232"/>
      <c r="C232"/>
      <c r="D232"/>
      <c r="E232"/>
      <c r="F232"/>
      <c r="G232"/>
      <c r="H232"/>
      <c r="I232"/>
      <c r="J232"/>
      <c r="K232"/>
      <c r="L232"/>
      <c r="M232"/>
      <c r="N232"/>
      <c r="O232"/>
      <c r="P232" s="168"/>
      <c r="Q232" s="168"/>
      <c r="R232" s="168"/>
      <c r="S232" s="169"/>
      <c r="T232" s="169"/>
      <c r="U232" s="169"/>
      <c r="V232" s="168"/>
      <c r="W232" s="168"/>
      <c r="X232" s="168"/>
      <c r="Y232" s="170"/>
      <c r="Z232" s="171"/>
      <c r="AA232" s="171"/>
      <c r="AB232" s="171"/>
      <c r="AC232" s="171"/>
      <c r="AD232" s="171"/>
      <c r="AE232" s="168"/>
      <c r="AF232" s="170"/>
      <c r="AG232" s="172"/>
      <c r="AH232"/>
      <c r="AI232"/>
    </row>
    <row r="233" spans="1:35" x14ac:dyDescent="0.35">
      <c r="A233"/>
      <c r="B233"/>
      <c r="C233"/>
      <c r="D233"/>
      <c r="E233"/>
      <c r="F233"/>
      <c r="G233"/>
      <c r="H233"/>
      <c r="I233"/>
      <c r="J233"/>
      <c r="K233"/>
      <c r="L233"/>
      <c r="M233"/>
      <c r="N233"/>
      <c r="O233"/>
      <c r="P233" s="168"/>
      <c r="Q233" s="168"/>
      <c r="R233" s="168"/>
      <c r="S233" s="169"/>
      <c r="T233" s="169"/>
      <c r="U233" s="169"/>
      <c r="V233" s="168"/>
      <c r="W233" s="168"/>
      <c r="X233" s="168"/>
      <c r="Y233" s="170"/>
      <c r="Z233" s="171"/>
      <c r="AA233" s="171"/>
      <c r="AB233" s="171"/>
      <c r="AC233" s="171"/>
      <c r="AD233" s="171"/>
      <c r="AE233" s="168"/>
      <c r="AF233" s="170"/>
      <c r="AG233" s="172"/>
      <c r="AH233"/>
      <c r="AI233"/>
    </row>
    <row r="234" spans="1:35" x14ac:dyDescent="0.35">
      <c r="A234"/>
      <c r="B234"/>
      <c r="C234"/>
      <c r="D234"/>
      <c r="E234"/>
      <c r="F234"/>
      <c r="G234"/>
      <c r="H234"/>
      <c r="I234"/>
      <c r="J234"/>
      <c r="K234"/>
      <c r="L234"/>
      <c r="M234"/>
      <c r="N234"/>
      <c r="O234"/>
      <c r="P234" s="168"/>
      <c r="Q234" s="168"/>
      <c r="R234" s="168"/>
      <c r="S234" s="169"/>
      <c r="T234" s="169"/>
      <c r="U234" s="169"/>
      <c r="V234" s="168"/>
      <c r="W234" s="168"/>
      <c r="X234" s="168"/>
      <c r="Y234" s="170"/>
      <c r="Z234" s="171"/>
      <c r="AA234" s="171"/>
      <c r="AB234" s="171"/>
      <c r="AC234" s="171"/>
      <c r="AD234" s="171"/>
      <c r="AE234" s="168"/>
      <c r="AF234" s="170"/>
      <c r="AG234" s="172"/>
      <c r="AH234"/>
      <c r="AI234"/>
    </row>
    <row r="235" spans="1:35" x14ac:dyDescent="0.35">
      <c r="A235"/>
      <c r="B235"/>
      <c r="C235"/>
      <c r="D235"/>
      <c r="E235"/>
      <c r="F235"/>
      <c r="G235"/>
      <c r="H235"/>
      <c r="I235"/>
      <c r="J235"/>
      <c r="K235"/>
      <c r="L235"/>
      <c r="M235"/>
      <c r="N235"/>
      <c r="O235"/>
      <c r="P235" s="168"/>
      <c r="Q235" s="168"/>
      <c r="R235" s="168"/>
      <c r="S235" s="169"/>
      <c r="T235" s="169"/>
      <c r="U235" s="169"/>
      <c r="V235" s="168"/>
      <c r="W235" s="168"/>
      <c r="X235" s="168"/>
      <c r="Y235" s="170"/>
      <c r="Z235" s="171"/>
      <c r="AA235" s="171"/>
      <c r="AB235" s="171"/>
      <c r="AC235" s="171"/>
      <c r="AD235" s="171"/>
      <c r="AE235" s="168"/>
      <c r="AF235" s="170"/>
      <c r="AG235" s="172"/>
      <c r="AH235"/>
      <c r="AI235"/>
    </row>
    <row r="236" spans="1:35" x14ac:dyDescent="0.35">
      <c r="A236"/>
      <c r="B236"/>
      <c r="C236"/>
      <c r="D236"/>
      <c r="E236"/>
      <c r="F236"/>
      <c r="G236"/>
      <c r="H236"/>
      <c r="I236"/>
      <c r="J236"/>
      <c r="K236"/>
      <c r="L236"/>
      <c r="M236"/>
      <c r="N236"/>
      <c r="O236"/>
      <c r="P236" s="168"/>
      <c r="Q236" s="168"/>
      <c r="R236" s="168"/>
      <c r="S236" s="169"/>
      <c r="T236" s="169"/>
      <c r="U236" s="169"/>
      <c r="V236" s="168"/>
      <c r="W236" s="168"/>
      <c r="X236" s="168"/>
      <c r="Y236" s="170"/>
      <c r="Z236" s="171"/>
      <c r="AA236" s="171"/>
      <c r="AB236" s="171"/>
      <c r="AC236" s="171"/>
      <c r="AD236" s="171"/>
      <c r="AE236" s="168"/>
      <c r="AF236" s="170"/>
      <c r="AG236" s="172"/>
      <c r="AH236"/>
      <c r="AI236"/>
    </row>
    <row r="237" spans="1:35" x14ac:dyDescent="0.35">
      <c r="A237"/>
      <c r="B237"/>
      <c r="C237"/>
      <c r="D237"/>
      <c r="E237"/>
      <c r="F237"/>
      <c r="G237"/>
      <c r="H237"/>
      <c r="I237"/>
      <c r="J237"/>
      <c r="K237"/>
      <c r="L237"/>
      <c r="M237"/>
      <c r="N237"/>
      <c r="O237"/>
      <c r="P237" s="168"/>
      <c r="Q237" s="168"/>
      <c r="R237" s="168"/>
      <c r="S237" s="169"/>
      <c r="T237" s="169"/>
      <c r="U237" s="169"/>
      <c r="V237" s="168"/>
      <c r="W237" s="168"/>
      <c r="X237" s="168"/>
      <c r="Y237" s="170"/>
      <c r="Z237" s="171"/>
      <c r="AA237" s="171"/>
      <c r="AB237" s="171"/>
      <c r="AC237" s="171"/>
      <c r="AD237" s="171"/>
      <c r="AE237" s="168"/>
      <c r="AF237" s="170"/>
      <c r="AG237" s="172"/>
      <c r="AH237"/>
      <c r="AI237"/>
    </row>
    <row r="238" spans="1:35" x14ac:dyDescent="0.35">
      <c r="A238"/>
      <c r="B238"/>
      <c r="C238"/>
      <c r="D238"/>
      <c r="E238"/>
      <c r="F238"/>
      <c r="G238"/>
      <c r="H238"/>
      <c r="I238"/>
      <c r="J238"/>
      <c r="K238"/>
      <c r="L238"/>
      <c r="M238"/>
      <c r="N238"/>
      <c r="O238"/>
      <c r="P238" s="168"/>
      <c r="Q238" s="168"/>
      <c r="R238" s="168"/>
      <c r="S238" s="169"/>
      <c r="T238" s="169"/>
      <c r="U238" s="169"/>
      <c r="V238" s="168"/>
      <c r="W238" s="168"/>
      <c r="X238" s="168"/>
      <c r="Y238" s="170"/>
      <c r="Z238" s="171"/>
      <c r="AA238" s="171"/>
      <c r="AB238" s="171"/>
      <c r="AC238" s="171"/>
      <c r="AD238" s="171"/>
      <c r="AE238" s="168"/>
      <c r="AF238" s="170"/>
      <c r="AG238" s="172"/>
      <c r="AH238"/>
      <c r="AI238"/>
    </row>
    <row r="239" spans="1:35" x14ac:dyDescent="0.35">
      <c r="A239"/>
      <c r="B239"/>
      <c r="C239"/>
      <c r="D239"/>
      <c r="E239"/>
      <c r="F239"/>
      <c r="G239"/>
      <c r="H239"/>
      <c r="I239"/>
      <c r="J239"/>
      <c r="K239"/>
      <c r="L239"/>
      <c r="M239"/>
      <c r="N239"/>
      <c r="O239"/>
      <c r="P239" s="168"/>
      <c r="Q239" s="168"/>
      <c r="R239" s="168"/>
      <c r="S239" s="169"/>
      <c r="T239" s="169"/>
      <c r="U239" s="169"/>
      <c r="V239" s="168"/>
      <c r="W239" s="168"/>
      <c r="X239" s="168"/>
      <c r="Y239" s="170"/>
      <c r="Z239" s="171"/>
      <c r="AA239" s="171"/>
      <c r="AB239" s="171"/>
      <c r="AC239" s="171"/>
      <c r="AD239" s="171"/>
      <c r="AE239" s="168"/>
      <c r="AF239" s="170"/>
      <c r="AG239" s="172"/>
      <c r="AH239"/>
      <c r="AI239"/>
    </row>
    <row r="240" spans="1:35" x14ac:dyDescent="0.35">
      <c r="A240"/>
      <c r="B240"/>
      <c r="C240"/>
      <c r="D240"/>
      <c r="E240"/>
      <c r="F240"/>
      <c r="G240"/>
      <c r="H240"/>
      <c r="I240"/>
      <c r="J240"/>
      <c r="K240"/>
      <c r="L240"/>
      <c r="M240"/>
      <c r="N240"/>
      <c r="O240"/>
      <c r="P240" s="168"/>
      <c r="Q240" s="168"/>
      <c r="R240" s="168"/>
      <c r="S240" s="169"/>
      <c r="T240" s="169"/>
      <c r="U240" s="169"/>
      <c r="V240" s="168"/>
      <c r="W240" s="168"/>
      <c r="X240" s="168"/>
      <c r="Y240" s="170"/>
      <c r="Z240" s="171"/>
      <c r="AA240" s="171"/>
      <c r="AB240" s="171"/>
      <c r="AC240" s="171"/>
      <c r="AD240" s="171"/>
      <c r="AE240" s="168"/>
      <c r="AF240" s="170"/>
      <c r="AG240" s="172"/>
      <c r="AH240"/>
      <c r="AI240"/>
    </row>
    <row r="241" spans="1:35" x14ac:dyDescent="0.35">
      <c r="A241"/>
      <c r="B241"/>
      <c r="C241"/>
      <c r="D241"/>
      <c r="E241"/>
      <c r="F241"/>
      <c r="G241"/>
      <c r="H241"/>
      <c r="I241"/>
      <c r="J241"/>
      <c r="K241"/>
      <c r="L241"/>
      <c r="M241"/>
      <c r="N241"/>
      <c r="O241"/>
      <c r="P241" s="168"/>
      <c r="Q241" s="168"/>
      <c r="R241" s="168"/>
      <c r="S241" s="169"/>
      <c r="T241" s="169"/>
      <c r="U241" s="169"/>
      <c r="V241" s="168"/>
      <c r="W241" s="168"/>
      <c r="X241" s="168"/>
      <c r="Y241" s="170"/>
      <c r="Z241" s="171"/>
      <c r="AA241" s="171"/>
      <c r="AB241" s="171"/>
      <c r="AC241" s="171"/>
      <c r="AD241" s="171"/>
      <c r="AE241" s="168"/>
      <c r="AF241" s="170"/>
      <c r="AG241" s="172"/>
      <c r="AH241"/>
      <c r="AI241"/>
    </row>
    <row r="242" spans="1:35" x14ac:dyDescent="0.35">
      <c r="A242"/>
      <c r="B242"/>
      <c r="C242"/>
      <c r="D242"/>
      <c r="E242"/>
      <c r="F242"/>
      <c r="G242"/>
      <c r="H242"/>
      <c r="I242"/>
      <c r="J242"/>
      <c r="K242"/>
      <c r="L242"/>
      <c r="M242"/>
      <c r="N242"/>
      <c r="O242"/>
      <c r="P242" s="168"/>
      <c r="Q242" s="168"/>
      <c r="R242" s="168"/>
      <c r="S242" s="169"/>
      <c r="T242" s="169"/>
      <c r="U242" s="169"/>
      <c r="V242" s="168"/>
      <c r="W242" s="168"/>
      <c r="X242" s="168"/>
      <c r="Y242" s="170"/>
      <c r="Z242" s="171"/>
      <c r="AA242" s="171"/>
      <c r="AB242" s="171"/>
      <c r="AC242" s="171"/>
      <c r="AD242" s="171"/>
      <c r="AE242" s="168"/>
      <c r="AF242" s="170"/>
      <c r="AG242" s="172"/>
      <c r="AH242"/>
      <c r="AI242"/>
    </row>
    <row r="243" spans="1:35" x14ac:dyDescent="0.35">
      <c r="A243"/>
      <c r="B243"/>
      <c r="C243"/>
      <c r="D243"/>
      <c r="E243"/>
      <c r="F243"/>
      <c r="G243"/>
      <c r="H243"/>
      <c r="I243"/>
      <c r="J243"/>
      <c r="K243"/>
      <c r="L243"/>
      <c r="M243"/>
      <c r="N243"/>
      <c r="O243"/>
      <c r="P243" s="168"/>
      <c r="Q243" s="168"/>
      <c r="R243" s="168"/>
      <c r="S243" s="169"/>
      <c r="T243" s="169"/>
      <c r="U243" s="169"/>
      <c r="V243" s="168"/>
      <c r="W243" s="168"/>
      <c r="X243" s="168"/>
      <c r="Y243" s="170"/>
      <c r="Z243" s="171"/>
      <c r="AA243" s="171"/>
      <c r="AB243" s="171"/>
      <c r="AC243" s="171"/>
      <c r="AD243" s="171"/>
      <c r="AE243" s="168"/>
      <c r="AF243" s="170"/>
      <c r="AG243" s="172"/>
      <c r="AH243"/>
      <c r="AI243"/>
    </row>
    <row r="244" spans="1:35" x14ac:dyDescent="0.35">
      <c r="A244"/>
      <c r="B244"/>
      <c r="C244"/>
      <c r="D244"/>
      <c r="E244"/>
      <c r="F244"/>
      <c r="G244"/>
      <c r="H244"/>
      <c r="I244"/>
      <c r="J244"/>
      <c r="K244"/>
      <c r="L244"/>
      <c r="M244"/>
      <c r="N244"/>
      <c r="O244"/>
      <c r="P244" s="168"/>
      <c r="Q244" s="168"/>
      <c r="R244" s="168"/>
      <c r="S244" s="169"/>
      <c r="T244" s="169"/>
      <c r="U244" s="169"/>
      <c r="V244" s="168"/>
      <c r="W244" s="168"/>
      <c r="X244" s="168"/>
      <c r="Y244" s="170"/>
      <c r="Z244" s="171"/>
      <c r="AA244" s="171"/>
      <c r="AB244" s="171"/>
      <c r="AC244" s="171"/>
      <c r="AD244" s="171"/>
      <c r="AE244" s="168"/>
      <c r="AF244" s="170"/>
      <c r="AG244" s="172"/>
      <c r="AH244"/>
      <c r="AI244"/>
    </row>
    <row r="245" spans="1:35" x14ac:dyDescent="0.35">
      <c r="A245"/>
      <c r="B245"/>
      <c r="C245"/>
      <c r="D245"/>
      <c r="E245"/>
      <c r="F245"/>
      <c r="G245"/>
      <c r="H245"/>
      <c r="I245"/>
      <c r="J245"/>
      <c r="K245"/>
      <c r="L245"/>
      <c r="M245"/>
      <c r="N245"/>
      <c r="O245"/>
      <c r="P245" s="168"/>
      <c r="Q245" s="168"/>
      <c r="R245" s="168"/>
      <c r="S245" s="169"/>
      <c r="T245" s="169"/>
      <c r="U245" s="169"/>
      <c r="V245" s="168"/>
      <c r="W245" s="168"/>
      <c r="X245" s="168"/>
      <c r="Y245" s="170"/>
      <c r="Z245" s="171"/>
      <c r="AA245" s="171"/>
      <c r="AB245" s="171"/>
      <c r="AC245" s="171"/>
      <c r="AD245" s="171"/>
      <c r="AE245" s="168"/>
      <c r="AF245" s="170"/>
      <c r="AG245" s="172"/>
      <c r="AH245"/>
      <c r="AI245"/>
    </row>
    <row r="246" spans="1:35" x14ac:dyDescent="0.35">
      <c r="A246"/>
      <c r="B246"/>
      <c r="C246"/>
      <c r="D246"/>
      <c r="E246"/>
      <c r="F246"/>
      <c r="G246"/>
      <c r="H246"/>
      <c r="I246"/>
      <c r="J246"/>
      <c r="K246"/>
      <c r="L246"/>
      <c r="M246"/>
      <c r="N246"/>
      <c r="O246"/>
      <c r="P246" s="168"/>
      <c r="Q246" s="168"/>
      <c r="R246" s="168"/>
      <c r="S246" s="169"/>
      <c r="T246" s="169"/>
      <c r="U246" s="169"/>
      <c r="V246" s="168"/>
      <c r="W246" s="168"/>
      <c r="X246" s="168"/>
      <c r="Y246" s="170"/>
      <c r="Z246" s="171"/>
      <c r="AA246" s="171"/>
      <c r="AB246" s="171"/>
      <c r="AC246" s="171"/>
      <c r="AD246" s="171"/>
      <c r="AE246" s="168"/>
      <c r="AF246" s="170"/>
      <c r="AG246" s="172"/>
      <c r="AH246"/>
      <c r="AI246"/>
    </row>
    <row r="247" spans="1:35" x14ac:dyDescent="0.35">
      <c r="A247"/>
      <c r="B247"/>
      <c r="C247"/>
      <c r="D247"/>
      <c r="E247"/>
      <c r="F247"/>
      <c r="G247"/>
      <c r="H247"/>
      <c r="I247"/>
      <c r="J247"/>
      <c r="K247"/>
      <c r="L247"/>
      <c r="M247"/>
      <c r="N247"/>
      <c r="O247"/>
      <c r="P247" s="168"/>
      <c r="Q247" s="168"/>
      <c r="R247" s="168"/>
      <c r="S247" s="169"/>
      <c r="T247" s="169"/>
      <c r="U247" s="169"/>
      <c r="V247" s="168"/>
      <c r="W247" s="168"/>
      <c r="X247" s="168"/>
      <c r="Y247" s="170"/>
      <c r="Z247" s="171"/>
      <c r="AA247" s="171"/>
      <c r="AB247" s="171"/>
      <c r="AC247" s="171"/>
      <c r="AD247" s="171"/>
      <c r="AE247" s="168"/>
      <c r="AF247" s="170"/>
      <c r="AG247" s="172"/>
      <c r="AH247"/>
      <c r="AI247"/>
    </row>
    <row r="248" spans="1:35" x14ac:dyDescent="0.35">
      <c r="A248"/>
      <c r="B248"/>
      <c r="C248"/>
      <c r="D248"/>
      <c r="E248"/>
      <c r="F248"/>
      <c r="G248"/>
      <c r="H248"/>
      <c r="I248"/>
      <c r="J248"/>
      <c r="K248"/>
      <c r="L248"/>
      <c r="M248"/>
      <c r="N248"/>
      <c r="O248"/>
      <c r="P248" s="168"/>
      <c r="Q248" s="168"/>
      <c r="R248" s="168"/>
      <c r="S248" s="169"/>
      <c r="T248" s="169"/>
      <c r="U248" s="169"/>
      <c r="V248" s="168"/>
      <c r="W248" s="168"/>
      <c r="X248" s="168"/>
      <c r="Y248" s="170"/>
      <c r="Z248" s="171"/>
      <c r="AA248" s="171"/>
      <c r="AB248" s="171"/>
      <c r="AC248" s="171"/>
      <c r="AD248" s="171"/>
      <c r="AE248" s="168"/>
      <c r="AF248" s="170"/>
      <c r="AG248" s="172"/>
      <c r="AH248"/>
      <c r="AI248"/>
    </row>
    <row r="249" spans="1:35" x14ac:dyDescent="0.35">
      <c r="A249"/>
      <c r="B249"/>
      <c r="C249"/>
      <c r="D249"/>
      <c r="E249"/>
      <c r="F249"/>
      <c r="G249"/>
      <c r="H249"/>
      <c r="I249"/>
      <c r="J249"/>
      <c r="K249"/>
      <c r="L249"/>
      <c r="M249"/>
      <c r="N249"/>
      <c r="O249"/>
      <c r="P249" s="168"/>
      <c r="Q249" s="168"/>
      <c r="R249" s="168"/>
      <c r="S249" s="169"/>
      <c r="T249" s="169"/>
      <c r="U249" s="169"/>
      <c r="V249" s="168"/>
      <c r="W249" s="168"/>
      <c r="X249" s="168"/>
      <c r="Y249" s="170"/>
      <c r="Z249" s="171"/>
      <c r="AA249" s="171"/>
      <c r="AB249" s="171"/>
      <c r="AC249" s="171"/>
      <c r="AD249" s="171"/>
      <c r="AE249" s="168"/>
      <c r="AF249" s="170"/>
      <c r="AG249" s="172"/>
      <c r="AH249"/>
      <c r="AI249"/>
    </row>
    <row r="250" spans="1:35" x14ac:dyDescent="0.35">
      <c r="A250"/>
      <c r="B250"/>
      <c r="C250"/>
      <c r="D250"/>
      <c r="E250"/>
      <c r="F250"/>
      <c r="G250"/>
      <c r="H250"/>
      <c r="I250"/>
      <c r="J250"/>
      <c r="K250"/>
      <c r="L250"/>
      <c r="M250"/>
      <c r="N250"/>
      <c r="O250"/>
      <c r="P250" s="168"/>
      <c r="Q250" s="168"/>
      <c r="R250" s="168"/>
      <c r="S250" s="169"/>
      <c r="T250" s="169"/>
      <c r="U250" s="169"/>
      <c r="V250" s="168"/>
      <c r="W250" s="168"/>
      <c r="X250" s="168"/>
      <c r="Y250" s="170"/>
      <c r="Z250" s="171"/>
      <c r="AA250" s="171"/>
      <c r="AB250" s="171"/>
      <c r="AC250" s="171"/>
      <c r="AD250" s="171"/>
      <c r="AE250" s="168"/>
      <c r="AF250" s="170"/>
      <c r="AG250" s="172"/>
      <c r="AH250"/>
      <c r="AI250"/>
    </row>
    <row r="251" spans="1:35" x14ac:dyDescent="0.35">
      <c r="A251"/>
      <c r="B251"/>
      <c r="C251"/>
      <c r="D251"/>
      <c r="E251"/>
      <c r="F251"/>
      <c r="G251"/>
      <c r="H251"/>
      <c r="I251"/>
      <c r="J251"/>
      <c r="K251"/>
      <c r="L251"/>
      <c r="M251"/>
      <c r="N251"/>
      <c r="O251"/>
      <c r="P251" s="168"/>
      <c r="Q251" s="168"/>
      <c r="R251" s="168"/>
      <c r="S251" s="169"/>
      <c r="T251" s="169"/>
      <c r="U251" s="169"/>
      <c r="V251" s="168"/>
      <c r="W251" s="168"/>
      <c r="X251" s="168"/>
      <c r="Y251" s="170"/>
      <c r="Z251" s="171"/>
      <c r="AA251" s="171"/>
      <c r="AB251" s="171"/>
      <c r="AC251" s="171"/>
      <c r="AD251" s="171"/>
      <c r="AE251" s="168"/>
      <c r="AF251" s="170"/>
      <c r="AG251" s="172"/>
      <c r="AH251"/>
      <c r="AI251"/>
    </row>
    <row r="252" spans="1:35" x14ac:dyDescent="0.35">
      <c r="A252"/>
      <c r="B252"/>
      <c r="C252"/>
      <c r="D252"/>
      <c r="E252"/>
      <c r="F252"/>
      <c r="G252"/>
      <c r="H252"/>
      <c r="I252"/>
      <c r="J252"/>
      <c r="K252"/>
      <c r="L252"/>
      <c r="M252"/>
      <c r="N252"/>
      <c r="O252"/>
      <c r="P252" s="168"/>
      <c r="Q252" s="168"/>
      <c r="R252" s="168"/>
      <c r="S252" s="169"/>
      <c r="T252" s="169"/>
      <c r="U252" s="169"/>
      <c r="V252" s="168"/>
      <c r="W252" s="168"/>
      <c r="X252" s="168"/>
      <c r="Y252" s="170"/>
      <c r="Z252" s="171"/>
      <c r="AA252" s="171"/>
      <c r="AB252" s="171"/>
      <c r="AC252" s="171"/>
      <c r="AD252" s="171"/>
      <c r="AE252" s="168"/>
      <c r="AF252" s="170"/>
      <c r="AG252" s="172"/>
      <c r="AH252"/>
      <c r="AI252"/>
    </row>
    <row r="253" spans="1:35" x14ac:dyDescent="0.35">
      <c r="A253"/>
      <c r="B253"/>
      <c r="C253"/>
      <c r="D253"/>
      <c r="E253"/>
      <c r="F253"/>
      <c r="G253"/>
      <c r="H253"/>
      <c r="I253"/>
      <c r="J253"/>
      <c r="K253"/>
      <c r="L253"/>
      <c r="M253"/>
      <c r="N253"/>
      <c r="O253"/>
      <c r="P253" s="168"/>
      <c r="Q253" s="168"/>
      <c r="R253" s="168"/>
      <c r="S253" s="169"/>
      <c r="T253" s="169"/>
      <c r="U253" s="169"/>
      <c r="V253" s="168"/>
      <c r="W253" s="168"/>
      <c r="X253" s="168"/>
      <c r="Y253" s="170"/>
      <c r="Z253" s="171"/>
      <c r="AA253" s="171"/>
      <c r="AB253" s="171"/>
      <c r="AC253" s="171"/>
      <c r="AD253" s="171"/>
      <c r="AE253" s="168"/>
      <c r="AF253" s="170"/>
      <c r="AG253" s="172"/>
      <c r="AH253"/>
      <c r="AI253"/>
    </row>
    <row r="254" spans="1:35" x14ac:dyDescent="0.35">
      <c r="A254"/>
      <c r="B254"/>
      <c r="C254"/>
      <c r="D254"/>
      <c r="E254"/>
      <c r="F254"/>
      <c r="G254"/>
      <c r="H254"/>
      <c r="I254"/>
      <c r="J254"/>
      <c r="K254"/>
      <c r="L254"/>
      <c r="M254"/>
      <c r="N254"/>
      <c r="O254"/>
      <c r="P254" s="168"/>
      <c r="Q254" s="168"/>
      <c r="R254" s="168"/>
      <c r="S254" s="169"/>
      <c r="T254" s="169"/>
      <c r="U254" s="169"/>
      <c r="V254" s="168"/>
      <c r="W254" s="168"/>
      <c r="X254" s="168"/>
      <c r="Y254" s="170"/>
      <c r="Z254" s="171"/>
      <c r="AA254" s="171"/>
      <c r="AB254" s="171"/>
      <c r="AC254" s="171"/>
      <c r="AD254" s="171"/>
      <c r="AE254" s="168"/>
      <c r="AF254" s="170"/>
      <c r="AG254" s="172"/>
      <c r="AH254"/>
      <c r="AI254"/>
    </row>
    <row r="255" spans="1:35" x14ac:dyDescent="0.35">
      <c r="A255"/>
      <c r="B255"/>
      <c r="C255"/>
      <c r="D255"/>
      <c r="E255"/>
      <c r="F255"/>
      <c r="G255"/>
      <c r="H255"/>
      <c r="I255"/>
      <c r="J255"/>
      <c r="K255"/>
      <c r="L255"/>
      <c r="M255"/>
      <c r="N255"/>
      <c r="O255"/>
      <c r="P255" s="168"/>
      <c r="Q255" s="168"/>
      <c r="R255" s="168"/>
      <c r="S255" s="169"/>
      <c r="T255" s="169"/>
      <c r="U255" s="169"/>
      <c r="V255" s="168"/>
      <c r="W255" s="168"/>
      <c r="X255" s="168"/>
      <c r="Y255" s="170"/>
      <c r="Z255" s="171"/>
      <c r="AA255" s="171"/>
      <c r="AB255" s="171"/>
      <c r="AC255" s="171"/>
      <c r="AD255" s="171"/>
      <c r="AE255" s="168"/>
      <c r="AF255" s="170"/>
      <c r="AG255" s="172"/>
      <c r="AH255"/>
      <c r="AI255"/>
    </row>
    <row r="256" spans="1:35" x14ac:dyDescent="0.35">
      <c r="A256"/>
      <c r="B256"/>
      <c r="C256"/>
      <c r="D256"/>
      <c r="E256"/>
      <c r="F256"/>
      <c r="G256"/>
      <c r="H256"/>
      <c r="I256"/>
      <c r="J256"/>
      <c r="K256"/>
      <c r="L256"/>
      <c r="M256"/>
      <c r="N256"/>
      <c r="O256"/>
      <c r="P256" s="168"/>
      <c r="Q256" s="168"/>
      <c r="R256" s="168"/>
      <c r="S256" s="169"/>
      <c r="T256" s="169"/>
      <c r="U256" s="169"/>
      <c r="V256" s="168"/>
      <c r="W256" s="168"/>
      <c r="X256" s="168"/>
      <c r="Y256" s="170"/>
      <c r="Z256" s="171"/>
      <c r="AA256" s="171"/>
      <c r="AB256" s="171"/>
      <c r="AC256" s="171"/>
      <c r="AD256" s="171"/>
      <c r="AE256" s="168"/>
      <c r="AF256" s="170"/>
      <c r="AG256" s="172"/>
      <c r="AH256"/>
      <c r="AI256"/>
    </row>
    <row r="257" spans="1:35" x14ac:dyDescent="0.35">
      <c r="A257"/>
      <c r="B257"/>
      <c r="C257"/>
      <c r="D257"/>
      <c r="E257"/>
      <c r="F257"/>
      <c r="G257"/>
      <c r="H257"/>
      <c r="I257"/>
      <c r="J257"/>
      <c r="K257"/>
      <c r="L257"/>
      <c r="M257"/>
      <c r="N257"/>
      <c r="O257"/>
      <c r="P257" s="168"/>
      <c r="Q257" s="168"/>
      <c r="R257" s="168"/>
      <c r="S257" s="169"/>
      <c r="T257" s="169"/>
      <c r="U257" s="169"/>
      <c r="V257" s="168"/>
      <c r="W257" s="168"/>
      <c r="X257" s="168"/>
      <c r="Y257" s="170"/>
      <c r="Z257" s="171"/>
      <c r="AA257" s="171"/>
      <c r="AB257" s="171"/>
      <c r="AC257" s="171"/>
      <c r="AD257" s="171"/>
      <c r="AE257" s="168"/>
      <c r="AF257" s="170"/>
      <c r="AG257" s="172"/>
      <c r="AH257"/>
      <c r="AI257"/>
    </row>
    <row r="258" spans="1:35" x14ac:dyDescent="0.35">
      <c r="A258"/>
      <c r="B258"/>
      <c r="C258"/>
      <c r="D258"/>
      <c r="E258"/>
      <c r="F258"/>
      <c r="G258"/>
      <c r="H258"/>
      <c r="I258"/>
      <c r="J258"/>
      <c r="K258"/>
      <c r="L258"/>
      <c r="M258"/>
      <c r="N258"/>
      <c r="O258"/>
      <c r="P258" s="168"/>
      <c r="Q258" s="168"/>
      <c r="R258" s="168"/>
      <c r="S258" s="169"/>
      <c r="T258" s="169"/>
      <c r="U258" s="169"/>
      <c r="V258" s="168"/>
      <c r="W258" s="168"/>
      <c r="X258" s="168"/>
      <c r="Y258" s="170"/>
      <c r="Z258" s="171"/>
      <c r="AA258" s="171"/>
      <c r="AB258" s="171"/>
      <c r="AC258" s="171"/>
      <c r="AD258" s="171"/>
      <c r="AE258" s="168"/>
      <c r="AF258" s="170"/>
      <c r="AG258" s="172"/>
      <c r="AH258"/>
      <c r="AI258"/>
    </row>
    <row r="259" spans="1:35" x14ac:dyDescent="0.35">
      <c r="A259"/>
      <c r="B259"/>
      <c r="C259"/>
      <c r="D259"/>
      <c r="E259"/>
      <c r="F259"/>
      <c r="G259"/>
      <c r="H259"/>
      <c r="I259"/>
      <c r="J259"/>
      <c r="K259"/>
      <c r="L259"/>
      <c r="M259"/>
      <c r="N259"/>
      <c r="O259"/>
      <c r="P259" s="168"/>
      <c r="Q259" s="168"/>
      <c r="R259" s="168"/>
      <c r="S259" s="169"/>
      <c r="T259" s="169"/>
      <c r="U259" s="169"/>
      <c r="V259" s="168"/>
      <c r="W259" s="168"/>
      <c r="X259" s="168"/>
      <c r="Y259" s="170"/>
      <c r="Z259" s="171"/>
      <c r="AA259" s="171"/>
      <c r="AB259" s="171"/>
      <c r="AC259" s="171"/>
      <c r="AD259" s="171"/>
      <c r="AE259" s="168"/>
      <c r="AF259" s="170"/>
      <c r="AG259" s="172"/>
      <c r="AH259"/>
      <c r="AI259"/>
    </row>
    <row r="260" spans="1:35" x14ac:dyDescent="0.35">
      <c r="A260"/>
      <c r="B260"/>
      <c r="C260"/>
      <c r="D260"/>
      <c r="E260"/>
      <c r="F260"/>
      <c r="G260"/>
      <c r="H260"/>
      <c r="I260"/>
      <c r="J260"/>
      <c r="K260"/>
      <c r="L260"/>
      <c r="M260"/>
      <c r="N260"/>
      <c r="O260"/>
      <c r="P260" s="168"/>
      <c r="Q260" s="168"/>
      <c r="R260" s="168"/>
      <c r="S260" s="169"/>
      <c r="T260" s="169"/>
      <c r="U260" s="169"/>
      <c r="V260" s="168"/>
      <c r="W260" s="168"/>
      <c r="X260" s="168"/>
      <c r="Y260" s="170"/>
      <c r="Z260" s="171"/>
      <c r="AA260" s="171"/>
      <c r="AB260" s="171"/>
      <c r="AC260" s="171"/>
      <c r="AD260" s="171"/>
      <c r="AE260" s="168"/>
      <c r="AF260" s="170"/>
      <c r="AG260" s="172"/>
      <c r="AH260"/>
      <c r="AI260"/>
    </row>
    <row r="261" spans="1:35" x14ac:dyDescent="0.35">
      <c r="A261"/>
      <c r="B261"/>
      <c r="C261"/>
      <c r="D261"/>
      <c r="E261"/>
      <c r="F261"/>
      <c r="G261"/>
      <c r="H261"/>
      <c r="I261"/>
      <c r="J261"/>
      <c r="K261"/>
      <c r="L261"/>
      <c r="M261"/>
      <c r="N261"/>
      <c r="O261"/>
      <c r="P261" s="168"/>
      <c r="Q261" s="168"/>
      <c r="R261" s="168"/>
      <c r="S261" s="169"/>
      <c r="T261" s="169"/>
      <c r="U261" s="169"/>
      <c r="V261" s="168"/>
      <c r="W261" s="168"/>
      <c r="X261" s="168"/>
      <c r="Y261" s="170"/>
      <c r="Z261" s="171"/>
      <c r="AA261" s="171"/>
      <c r="AB261" s="171"/>
      <c r="AC261" s="171"/>
      <c r="AD261" s="171"/>
      <c r="AE261" s="168"/>
      <c r="AF261" s="170"/>
      <c r="AG261" s="172"/>
      <c r="AH261"/>
      <c r="AI261"/>
    </row>
    <row r="262" spans="1:35" x14ac:dyDescent="0.35">
      <c r="A262"/>
      <c r="B262"/>
      <c r="C262"/>
      <c r="D262"/>
      <c r="E262"/>
      <c r="F262"/>
      <c r="G262"/>
      <c r="H262"/>
      <c r="I262"/>
      <c r="J262"/>
      <c r="K262"/>
      <c r="L262"/>
      <c r="M262"/>
      <c r="N262"/>
      <c r="O262"/>
      <c r="P262" s="168"/>
      <c r="Q262" s="168"/>
      <c r="R262" s="168"/>
      <c r="S262" s="169"/>
      <c r="T262" s="169"/>
      <c r="U262" s="169"/>
      <c r="V262" s="168"/>
      <c r="W262" s="168"/>
      <c r="X262" s="168"/>
      <c r="Y262" s="170"/>
      <c r="Z262" s="171"/>
      <c r="AA262" s="171"/>
      <c r="AB262" s="171"/>
      <c r="AC262" s="171"/>
      <c r="AD262" s="171"/>
      <c r="AE262" s="168"/>
      <c r="AF262" s="170"/>
      <c r="AG262" s="172"/>
      <c r="AH262"/>
      <c r="AI262"/>
    </row>
    <row r="263" spans="1:35" x14ac:dyDescent="0.35">
      <c r="A263"/>
      <c r="B263"/>
      <c r="C263"/>
      <c r="D263"/>
      <c r="E263"/>
      <c r="F263"/>
      <c r="G263"/>
      <c r="H263"/>
      <c r="I263"/>
      <c r="J263"/>
      <c r="K263"/>
      <c r="L263"/>
      <c r="M263"/>
      <c r="N263"/>
      <c r="O263"/>
      <c r="P263" s="168"/>
      <c r="Q263" s="168"/>
      <c r="R263" s="168"/>
      <c r="S263" s="169"/>
      <c r="T263" s="169"/>
      <c r="U263" s="169"/>
      <c r="V263" s="168"/>
      <c r="W263" s="168"/>
      <c r="X263" s="168"/>
      <c r="Y263" s="170"/>
      <c r="Z263" s="171"/>
      <c r="AA263" s="171"/>
      <c r="AB263" s="171"/>
      <c r="AC263" s="171"/>
      <c r="AD263" s="171"/>
      <c r="AE263" s="168"/>
      <c r="AF263" s="170"/>
      <c r="AG263" s="172"/>
      <c r="AH263"/>
      <c r="AI263"/>
    </row>
    <row r="264" spans="1:35" x14ac:dyDescent="0.35">
      <c r="A264"/>
      <c r="B264"/>
      <c r="C264"/>
      <c r="D264"/>
      <c r="E264"/>
      <c r="F264"/>
      <c r="G264"/>
      <c r="H264"/>
      <c r="I264"/>
      <c r="J264"/>
      <c r="K264"/>
      <c r="L264"/>
      <c r="M264"/>
      <c r="N264"/>
      <c r="O264"/>
      <c r="P264" s="168"/>
      <c r="Q264" s="168"/>
      <c r="R264" s="168"/>
      <c r="S264" s="169"/>
      <c r="T264" s="169"/>
      <c r="U264" s="169"/>
      <c r="V264" s="168"/>
      <c r="W264" s="168"/>
      <c r="X264" s="168"/>
      <c r="Y264" s="170"/>
      <c r="Z264" s="171"/>
      <c r="AA264" s="171"/>
      <c r="AB264" s="171"/>
      <c r="AC264" s="171"/>
      <c r="AD264" s="171"/>
      <c r="AE264" s="168"/>
      <c r="AF264" s="170"/>
      <c r="AG264" s="172"/>
      <c r="AH264"/>
      <c r="AI264"/>
    </row>
    <row r="265" spans="1:35" x14ac:dyDescent="0.35">
      <c r="A265"/>
      <c r="B265"/>
      <c r="C265"/>
      <c r="D265"/>
      <c r="E265"/>
      <c r="F265"/>
      <c r="G265"/>
      <c r="H265"/>
      <c r="I265"/>
      <c r="J265"/>
      <c r="K265"/>
      <c r="L265"/>
      <c r="M265"/>
      <c r="N265"/>
      <c r="O265"/>
      <c r="P265" s="168"/>
      <c r="Q265" s="168"/>
      <c r="R265" s="168"/>
      <c r="S265" s="169"/>
      <c r="T265" s="169"/>
      <c r="U265" s="169"/>
      <c r="V265" s="168"/>
      <c r="W265" s="168"/>
      <c r="X265" s="168"/>
      <c r="Y265" s="170"/>
      <c r="Z265" s="171"/>
      <c r="AA265" s="171"/>
      <c r="AB265" s="171"/>
      <c r="AC265" s="171"/>
      <c r="AD265" s="171"/>
      <c r="AE265" s="168"/>
      <c r="AF265" s="170"/>
      <c r="AG265" s="172"/>
      <c r="AH265"/>
      <c r="AI265"/>
    </row>
    <row r="266" spans="1:35" x14ac:dyDescent="0.35">
      <c r="A266"/>
      <c r="B266"/>
      <c r="C266"/>
      <c r="D266"/>
      <c r="E266"/>
      <c r="F266"/>
      <c r="G266"/>
      <c r="H266"/>
      <c r="I266"/>
      <c r="J266"/>
      <c r="K266"/>
      <c r="L266"/>
      <c r="M266"/>
      <c r="N266"/>
      <c r="O266"/>
      <c r="P266" s="168"/>
      <c r="Q266" s="168"/>
      <c r="R266" s="168"/>
      <c r="S266" s="169"/>
      <c r="T266" s="169"/>
      <c r="U266" s="169"/>
      <c r="V266" s="168"/>
      <c r="W266" s="168"/>
      <c r="X266" s="168"/>
      <c r="Y266" s="170"/>
      <c r="Z266" s="171"/>
      <c r="AA266" s="171"/>
      <c r="AB266" s="171"/>
      <c r="AC266" s="171"/>
      <c r="AD266" s="171"/>
      <c r="AE266" s="168"/>
      <c r="AF266" s="170"/>
      <c r="AG266" s="172"/>
      <c r="AH266"/>
      <c r="AI266"/>
    </row>
    <row r="267" spans="1:35" x14ac:dyDescent="0.35">
      <c r="A267"/>
      <c r="B267"/>
      <c r="C267"/>
      <c r="D267"/>
      <c r="E267"/>
      <c r="F267"/>
      <c r="G267"/>
      <c r="H267"/>
      <c r="I267"/>
      <c r="J267"/>
      <c r="K267"/>
      <c r="L267"/>
      <c r="M267"/>
      <c r="N267"/>
      <c r="O267"/>
      <c r="P267" s="168"/>
      <c r="Q267" s="168"/>
      <c r="R267" s="168"/>
      <c r="S267" s="169"/>
      <c r="T267" s="169"/>
      <c r="U267" s="169"/>
      <c r="V267" s="168"/>
      <c r="W267" s="168"/>
      <c r="X267" s="168"/>
      <c r="Y267" s="170"/>
      <c r="Z267" s="171"/>
      <c r="AA267" s="171"/>
      <c r="AB267" s="171"/>
      <c r="AC267" s="171"/>
      <c r="AD267" s="171"/>
      <c r="AE267" s="168"/>
      <c r="AF267" s="170"/>
      <c r="AG267" s="172"/>
      <c r="AH267"/>
      <c r="AI267"/>
    </row>
    <row r="268" spans="1:35" x14ac:dyDescent="0.35">
      <c r="A268"/>
      <c r="B268"/>
      <c r="C268"/>
      <c r="D268"/>
      <c r="E268"/>
      <c r="F268"/>
      <c r="G268"/>
      <c r="H268"/>
      <c r="I268"/>
      <c r="J268"/>
      <c r="K268"/>
      <c r="L268"/>
      <c r="M268"/>
      <c r="N268"/>
      <c r="O268"/>
      <c r="P268" s="168"/>
      <c r="Q268" s="168"/>
      <c r="R268" s="168"/>
      <c r="S268" s="169"/>
      <c r="T268" s="169"/>
      <c r="U268" s="169"/>
      <c r="V268" s="168"/>
      <c r="W268" s="168"/>
      <c r="X268" s="168"/>
      <c r="Y268" s="170"/>
      <c r="Z268" s="171"/>
      <c r="AA268" s="171"/>
      <c r="AB268" s="171"/>
      <c r="AC268" s="171"/>
      <c r="AD268" s="171"/>
      <c r="AE268" s="168"/>
      <c r="AF268" s="170"/>
      <c r="AG268" s="172"/>
      <c r="AH268"/>
      <c r="AI268"/>
    </row>
    <row r="269" spans="1:35" x14ac:dyDescent="0.35">
      <c r="A269"/>
      <c r="B269"/>
      <c r="C269"/>
      <c r="D269"/>
      <c r="E269"/>
      <c r="F269"/>
      <c r="G269"/>
      <c r="H269"/>
      <c r="I269"/>
      <c r="J269"/>
      <c r="K269"/>
      <c r="L269"/>
      <c r="M269"/>
      <c r="N269"/>
      <c r="O269"/>
      <c r="P269" s="168"/>
      <c r="Q269" s="168"/>
      <c r="R269" s="168"/>
      <c r="S269" s="169"/>
      <c r="T269" s="169"/>
      <c r="U269" s="169"/>
      <c r="V269" s="168"/>
      <c r="W269" s="168"/>
      <c r="X269" s="168"/>
      <c r="Y269" s="170"/>
      <c r="Z269" s="171"/>
      <c r="AA269" s="171"/>
      <c r="AB269" s="171"/>
      <c r="AC269" s="171"/>
      <c r="AD269" s="171"/>
      <c r="AE269" s="168"/>
      <c r="AF269" s="170"/>
      <c r="AG269" s="172"/>
      <c r="AH269"/>
      <c r="AI269"/>
    </row>
    <row r="270" spans="1:35" x14ac:dyDescent="0.35">
      <c r="A270"/>
      <c r="B270"/>
      <c r="C270"/>
      <c r="D270"/>
      <c r="E270"/>
      <c r="F270"/>
      <c r="G270"/>
      <c r="H270"/>
      <c r="I270"/>
      <c r="J270"/>
      <c r="K270"/>
      <c r="L270"/>
      <c r="M270"/>
      <c r="N270"/>
      <c r="O270"/>
      <c r="P270" s="168"/>
      <c r="Q270" s="168"/>
      <c r="R270" s="168"/>
      <c r="S270" s="169"/>
      <c r="T270" s="169"/>
      <c r="U270" s="169"/>
      <c r="V270" s="168"/>
      <c r="W270" s="168"/>
      <c r="X270" s="168"/>
      <c r="Y270" s="170"/>
      <c r="Z270" s="171"/>
      <c r="AA270" s="171"/>
      <c r="AB270" s="171"/>
      <c r="AC270" s="171"/>
      <c r="AD270" s="171"/>
      <c r="AE270" s="168"/>
      <c r="AF270" s="170"/>
      <c r="AG270" s="172"/>
      <c r="AH270"/>
      <c r="AI270"/>
    </row>
    <row r="271" spans="1:35" x14ac:dyDescent="0.35">
      <c r="A271"/>
      <c r="B271"/>
      <c r="C271"/>
      <c r="D271"/>
      <c r="E271"/>
      <c r="F271"/>
      <c r="G271"/>
      <c r="H271"/>
      <c r="I271"/>
      <c r="J271"/>
      <c r="K271"/>
      <c r="L271"/>
      <c r="M271"/>
      <c r="N271"/>
      <c r="O271"/>
      <c r="P271" s="168"/>
      <c r="Q271" s="168"/>
      <c r="R271" s="168"/>
      <c r="S271" s="169"/>
      <c r="T271" s="169"/>
      <c r="U271" s="169"/>
      <c r="V271" s="168"/>
      <c r="W271" s="168"/>
      <c r="X271" s="168"/>
      <c r="Y271" s="170"/>
      <c r="Z271" s="171"/>
      <c r="AA271" s="171"/>
      <c r="AB271" s="171"/>
      <c r="AC271" s="171"/>
      <c r="AD271" s="171"/>
      <c r="AE271" s="168"/>
      <c r="AF271" s="170"/>
      <c r="AG271" s="172"/>
      <c r="AH271"/>
      <c r="AI271"/>
    </row>
    <row r="272" spans="1:35" x14ac:dyDescent="0.35">
      <c r="A272"/>
      <c r="B272"/>
      <c r="C272"/>
      <c r="D272"/>
      <c r="E272"/>
      <c r="F272"/>
      <c r="G272"/>
      <c r="H272"/>
      <c r="I272"/>
      <c r="J272"/>
      <c r="K272"/>
      <c r="L272"/>
      <c r="M272"/>
      <c r="N272"/>
      <c r="O272"/>
      <c r="P272" s="168"/>
      <c r="Q272" s="168"/>
      <c r="R272" s="168"/>
      <c r="S272" s="169"/>
      <c r="T272" s="169"/>
      <c r="U272" s="169"/>
      <c r="V272" s="168"/>
      <c r="W272" s="168"/>
      <c r="X272" s="168"/>
      <c r="Y272" s="170"/>
      <c r="Z272" s="171"/>
      <c r="AA272" s="171"/>
      <c r="AB272" s="171"/>
      <c r="AC272" s="171"/>
      <c r="AD272" s="171"/>
      <c r="AE272" s="168"/>
      <c r="AF272" s="170"/>
      <c r="AG272" s="172"/>
      <c r="AH272"/>
      <c r="AI272"/>
    </row>
    <row r="273" spans="1:35" x14ac:dyDescent="0.35">
      <c r="A273"/>
      <c r="B273"/>
      <c r="C273"/>
      <c r="D273"/>
      <c r="E273"/>
      <c r="F273"/>
      <c r="G273"/>
      <c r="H273"/>
      <c r="I273"/>
      <c r="J273"/>
      <c r="K273"/>
      <c r="L273"/>
      <c r="M273"/>
      <c r="N273"/>
      <c r="O273"/>
      <c r="P273" s="168"/>
      <c r="Q273" s="168"/>
      <c r="R273" s="168"/>
      <c r="S273" s="169"/>
      <c r="T273" s="169"/>
      <c r="U273" s="169"/>
      <c r="V273" s="168"/>
      <c r="W273" s="168"/>
      <c r="X273" s="168"/>
      <c r="Y273" s="170"/>
      <c r="Z273" s="171"/>
      <c r="AA273" s="171"/>
      <c r="AB273" s="171"/>
      <c r="AC273" s="171"/>
      <c r="AD273" s="171"/>
      <c r="AE273" s="168"/>
      <c r="AF273" s="170"/>
      <c r="AG273" s="172"/>
      <c r="AH273"/>
      <c r="AI273"/>
    </row>
    <row r="274" spans="1:35" x14ac:dyDescent="0.35">
      <c r="A274"/>
      <c r="B274"/>
      <c r="C274"/>
      <c r="D274"/>
      <c r="E274"/>
      <c r="F274"/>
      <c r="G274"/>
      <c r="H274"/>
      <c r="I274"/>
      <c r="J274"/>
      <c r="K274"/>
      <c r="L274"/>
      <c r="M274"/>
      <c r="N274"/>
      <c r="O274"/>
      <c r="P274" s="168"/>
      <c r="Q274" s="168"/>
      <c r="R274" s="168"/>
      <c r="S274" s="169"/>
      <c r="T274" s="169"/>
      <c r="U274" s="169"/>
      <c r="V274" s="168"/>
      <c r="W274" s="168"/>
      <c r="X274" s="168"/>
      <c r="Y274" s="170"/>
      <c r="Z274" s="171"/>
      <c r="AA274" s="171"/>
      <c r="AB274" s="171"/>
      <c r="AC274" s="171"/>
      <c r="AD274" s="171"/>
      <c r="AE274" s="168"/>
      <c r="AF274" s="170"/>
      <c r="AG274" s="172"/>
      <c r="AH274"/>
      <c r="AI274"/>
    </row>
    <row r="275" spans="1:35" x14ac:dyDescent="0.35">
      <c r="A275"/>
      <c r="B275"/>
      <c r="C275"/>
      <c r="D275"/>
      <c r="E275"/>
      <c r="F275"/>
      <c r="G275"/>
      <c r="H275"/>
      <c r="I275"/>
      <c r="J275"/>
      <c r="K275"/>
      <c r="L275"/>
      <c r="M275"/>
      <c r="N275"/>
      <c r="O275"/>
      <c r="P275" s="168"/>
      <c r="Q275" s="168"/>
      <c r="R275" s="168"/>
      <c r="S275" s="169"/>
      <c r="T275" s="169"/>
      <c r="U275" s="169"/>
      <c r="V275" s="168"/>
      <c r="W275" s="168"/>
      <c r="X275" s="168"/>
      <c r="Y275" s="170"/>
      <c r="Z275" s="171"/>
      <c r="AA275" s="171"/>
      <c r="AB275" s="171"/>
      <c r="AC275" s="171"/>
      <c r="AD275" s="171"/>
      <c r="AE275" s="168"/>
      <c r="AF275" s="170"/>
      <c r="AG275" s="172"/>
      <c r="AH275"/>
      <c r="AI275"/>
    </row>
    <row r="276" spans="1:35" x14ac:dyDescent="0.35">
      <c r="A276"/>
      <c r="B276"/>
      <c r="C276"/>
      <c r="D276"/>
      <c r="E276"/>
      <c r="F276"/>
      <c r="G276"/>
      <c r="H276"/>
      <c r="I276"/>
      <c r="J276"/>
      <c r="K276"/>
      <c r="L276"/>
      <c r="M276"/>
      <c r="N276"/>
      <c r="O276"/>
      <c r="P276" s="168"/>
      <c r="Q276" s="168"/>
      <c r="R276" s="168"/>
      <c r="S276" s="169"/>
      <c r="T276" s="169"/>
      <c r="U276" s="169"/>
      <c r="V276" s="168"/>
      <c r="W276" s="168"/>
      <c r="X276" s="168"/>
      <c r="Y276" s="170"/>
      <c r="Z276" s="171"/>
      <c r="AA276" s="171"/>
      <c r="AB276" s="171"/>
      <c r="AC276" s="171"/>
      <c r="AD276" s="171"/>
      <c r="AE276" s="168"/>
      <c r="AF276" s="170"/>
      <c r="AG276" s="172"/>
      <c r="AH276"/>
      <c r="AI276"/>
    </row>
    <row r="277" spans="1:35" x14ac:dyDescent="0.35">
      <c r="A277"/>
      <c r="B277"/>
      <c r="C277"/>
      <c r="D277"/>
      <c r="E277"/>
      <c r="F277"/>
      <c r="G277"/>
      <c r="H277"/>
      <c r="I277"/>
      <c r="J277"/>
      <c r="K277"/>
      <c r="L277"/>
      <c r="M277"/>
      <c r="N277"/>
      <c r="O277"/>
      <c r="P277" s="168"/>
      <c r="Q277" s="168"/>
      <c r="R277" s="168"/>
      <c r="S277" s="169"/>
      <c r="T277" s="169"/>
      <c r="U277" s="169"/>
      <c r="V277" s="168"/>
      <c r="W277" s="168"/>
      <c r="X277" s="168"/>
      <c r="Y277" s="170"/>
      <c r="Z277" s="171"/>
      <c r="AA277" s="171"/>
      <c r="AB277" s="171"/>
      <c r="AC277" s="171"/>
      <c r="AD277" s="171"/>
      <c r="AE277" s="168"/>
      <c r="AF277" s="170"/>
      <c r="AG277" s="172"/>
      <c r="AH277"/>
      <c r="AI277"/>
    </row>
    <row r="278" spans="1:35" x14ac:dyDescent="0.35">
      <c r="A278"/>
      <c r="B278"/>
      <c r="C278"/>
      <c r="D278"/>
      <c r="E278"/>
      <c r="F278"/>
      <c r="G278"/>
      <c r="H278"/>
      <c r="I278"/>
      <c r="J278"/>
      <c r="K278"/>
      <c r="L278"/>
      <c r="M278"/>
      <c r="N278"/>
      <c r="O278"/>
      <c r="P278" s="168"/>
      <c r="Q278" s="168"/>
      <c r="R278" s="168"/>
      <c r="S278" s="169"/>
      <c r="T278" s="169"/>
      <c r="U278" s="169"/>
      <c r="V278" s="168"/>
      <c r="W278" s="168"/>
      <c r="X278" s="168"/>
      <c r="Y278" s="170"/>
      <c r="Z278" s="171"/>
      <c r="AA278" s="171"/>
      <c r="AB278" s="171"/>
      <c r="AC278" s="171"/>
      <c r="AD278" s="171"/>
      <c r="AE278" s="168"/>
      <c r="AF278" s="170"/>
      <c r="AG278" s="172"/>
      <c r="AH278"/>
      <c r="AI278"/>
    </row>
    <row r="279" spans="1:35" x14ac:dyDescent="0.35">
      <c r="A279"/>
      <c r="B279"/>
      <c r="C279"/>
      <c r="D279"/>
      <c r="E279"/>
      <c r="F279"/>
      <c r="G279"/>
      <c r="H279"/>
      <c r="I279"/>
      <c r="J279"/>
      <c r="K279"/>
      <c r="L279"/>
      <c r="M279"/>
      <c r="N279"/>
      <c r="O279"/>
      <c r="P279" s="168"/>
      <c r="Q279" s="168"/>
      <c r="R279" s="168"/>
      <c r="S279" s="169"/>
      <c r="T279" s="169"/>
      <c r="U279" s="169"/>
      <c r="V279" s="168"/>
      <c r="W279" s="168"/>
      <c r="X279" s="168"/>
      <c r="Y279" s="170"/>
      <c r="Z279" s="171"/>
      <c r="AA279" s="171"/>
      <c r="AB279" s="171"/>
      <c r="AC279" s="171"/>
      <c r="AD279" s="171"/>
      <c r="AE279" s="168"/>
      <c r="AF279" s="170"/>
      <c r="AG279" s="172"/>
      <c r="AH279"/>
      <c r="AI279"/>
    </row>
    <row r="280" spans="1:35" x14ac:dyDescent="0.35">
      <c r="A280"/>
      <c r="B280"/>
      <c r="C280"/>
      <c r="D280"/>
      <c r="E280"/>
      <c r="F280"/>
      <c r="G280"/>
      <c r="H280"/>
      <c r="I280"/>
      <c r="J280"/>
      <c r="K280"/>
      <c r="L280"/>
      <c r="M280"/>
      <c r="N280"/>
      <c r="O280"/>
      <c r="P280" s="168"/>
      <c r="Q280" s="168"/>
      <c r="R280" s="168"/>
      <c r="S280" s="169"/>
      <c r="T280" s="169"/>
      <c r="U280" s="169"/>
      <c r="V280" s="168"/>
      <c r="W280" s="168"/>
      <c r="X280" s="168"/>
      <c r="Y280" s="170"/>
      <c r="Z280" s="171"/>
      <c r="AA280" s="171"/>
      <c r="AB280" s="171"/>
      <c r="AC280" s="171"/>
      <c r="AD280" s="171"/>
      <c r="AE280" s="168"/>
      <c r="AF280" s="170"/>
      <c r="AG280" s="172"/>
      <c r="AH280"/>
      <c r="AI280"/>
    </row>
    <row r="281" spans="1:35" x14ac:dyDescent="0.35">
      <c r="A281"/>
      <c r="B281"/>
      <c r="C281"/>
      <c r="D281"/>
      <c r="E281"/>
      <c r="F281"/>
      <c r="G281"/>
      <c r="H281"/>
      <c r="I281"/>
      <c r="J281"/>
      <c r="K281"/>
      <c r="L281"/>
      <c r="M281"/>
      <c r="N281"/>
      <c r="O281"/>
      <c r="P281" s="168"/>
      <c r="Q281" s="168"/>
      <c r="R281" s="168"/>
      <c r="S281" s="169"/>
      <c r="T281" s="169"/>
      <c r="U281" s="169"/>
      <c r="V281" s="168"/>
      <c r="W281" s="168"/>
      <c r="X281" s="168"/>
      <c r="Y281" s="170"/>
      <c r="Z281" s="171"/>
      <c r="AA281" s="171"/>
      <c r="AB281" s="171"/>
      <c r="AC281" s="171"/>
      <c r="AD281" s="171"/>
      <c r="AE281" s="168"/>
      <c r="AF281" s="170"/>
      <c r="AG281" s="172"/>
      <c r="AH281"/>
      <c r="AI281"/>
    </row>
    <row r="282" spans="1:35" x14ac:dyDescent="0.35">
      <c r="A282"/>
      <c r="B282"/>
      <c r="C282"/>
      <c r="D282"/>
      <c r="E282"/>
      <c r="F282"/>
      <c r="G282"/>
      <c r="H282"/>
      <c r="I282"/>
      <c r="J282"/>
      <c r="K282"/>
      <c r="L282"/>
      <c r="M282"/>
      <c r="N282"/>
      <c r="O282"/>
      <c r="P282" s="168"/>
      <c r="Q282" s="168"/>
      <c r="R282" s="168"/>
      <c r="S282" s="169"/>
      <c r="T282" s="169"/>
      <c r="U282" s="169"/>
      <c r="V282" s="168"/>
      <c r="W282" s="168"/>
      <c r="X282" s="168"/>
      <c r="Y282" s="170"/>
      <c r="Z282" s="171"/>
      <c r="AA282" s="171"/>
      <c r="AB282" s="171"/>
      <c r="AC282" s="171"/>
      <c r="AD282" s="171"/>
      <c r="AE282" s="168"/>
      <c r="AF282" s="170"/>
      <c r="AG282" s="172"/>
      <c r="AH282"/>
      <c r="AI282"/>
    </row>
    <row r="283" spans="1:35" x14ac:dyDescent="0.35">
      <c r="A283"/>
      <c r="B283"/>
      <c r="C283"/>
      <c r="D283"/>
      <c r="E283"/>
      <c r="F283"/>
      <c r="G283"/>
      <c r="H283"/>
      <c r="I283"/>
      <c r="J283"/>
      <c r="K283"/>
      <c r="L283"/>
      <c r="M283"/>
      <c r="N283"/>
      <c r="O283"/>
      <c r="P283" s="168"/>
      <c r="Q283" s="168"/>
      <c r="R283" s="168"/>
      <c r="S283" s="169"/>
      <c r="T283" s="169"/>
      <c r="U283" s="169"/>
      <c r="V283" s="168"/>
      <c r="W283" s="168"/>
      <c r="X283" s="168"/>
      <c r="Y283" s="170"/>
      <c r="Z283" s="171"/>
      <c r="AA283" s="171"/>
      <c r="AB283" s="171"/>
      <c r="AC283" s="171"/>
      <c r="AD283" s="171"/>
      <c r="AE283" s="168"/>
      <c r="AF283" s="170"/>
      <c r="AG283" s="172"/>
      <c r="AH283"/>
      <c r="AI283"/>
    </row>
    <row r="284" spans="1:35" x14ac:dyDescent="0.35">
      <c r="A284"/>
      <c r="B284"/>
      <c r="C284"/>
      <c r="D284"/>
      <c r="E284"/>
      <c r="F284"/>
      <c r="G284"/>
      <c r="H284"/>
      <c r="I284"/>
      <c r="J284"/>
      <c r="K284"/>
      <c r="L284"/>
      <c r="M284"/>
      <c r="N284"/>
      <c r="O284"/>
      <c r="P284" s="168"/>
      <c r="Q284" s="168"/>
      <c r="R284" s="168"/>
      <c r="S284" s="169"/>
      <c r="T284" s="169"/>
      <c r="U284" s="169"/>
      <c r="V284" s="168"/>
      <c r="W284" s="168"/>
      <c r="X284" s="168"/>
      <c r="Y284" s="170"/>
      <c r="Z284" s="171"/>
      <c r="AA284" s="171"/>
      <c r="AB284" s="171"/>
      <c r="AC284" s="171"/>
      <c r="AD284" s="171"/>
      <c r="AE284" s="168"/>
      <c r="AF284" s="170"/>
      <c r="AG284" s="172"/>
      <c r="AH284"/>
      <c r="AI284"/>
    </row>
    <row r="285" spans="1:35" x14ac:dyDescent="0.35">
      <c r="A285"/>
      <c r="B285"/>
      <c r="C285"/>
      <c r="D285"/>
      <c r="E285"/>
      <c r="F285"/>
      <c r="G285"/>
      <c r="H285"/>
      <c r="I285"/>
      <c r="J285"/>
      <c r="K285"/>
      <c r="L285"/>
      <c r="M285"/>
      <c r="N285"/>
      <c r="O285"/>
      <c r="P285" s="168"/>
      <c r="Q285" s="168"/>
      <c r="R285" s="168"/>
      <c r="S285" s="169"/>
      <c r="T285" s="169"/>
      <c r="U285" s="169"/>
      <c r="V285" s="168"/>
      <c r="W285" s="168"/>
      <c r="X285" s="168"/>
      <c r="Y285" s="170"/>
      <c r="Z285" s="171"/>
      <c r="AA285" s="171"/>
      <c r="AB285" s="171"/>
      <c r="AC285" s="171"/>
      <c r="AD285" s="171"/>
      <c r="AE285" s="168"/>
      <c r="AF285" s="170"/>
      <c r="AG285" s="172"/>
      <c r="AH285"/>
      <c r="AI285"/>
    </row>
    <row r="286" spans="1:35" x14ac:dyDescent="0.35">
      <c r="A286"/>
      <c r="B286"/>
      <c r="C286"/>
      <c r="D286"/>
      <c r="E286"/>
      <c r="F286"/>
      <c r="G286"/>
      <c r="H286"/>
      <c r="I286"/>
      <c r="J286"/>
      <c r="K286"/>
      <c r="L286"/>
      <c r="M286"/>
      <c r="N286"/>
      <c r="O286"/>
      <c r="P286" s="168"/>
      <c r="Q286" s="168"/>
      <c r="R286" s="168"/>
      <c r="S286" s="169"/>
      <c r="T286" s="169"/>
      <c r="U286" s="169"/>
      <c r="V286" s="168"/>
      <c r="W286" s="168"/>
      <c r="X286" s="168"/>
      <c r="Y286" s="170"/>
      <c r="Z286" s="171"/>
      <c r="AA286" s="171"/>
      <c r="AB286" s="171"/>
      <c r="AC286" s="171"/>
      <c r="AD286" s="171"/>
      <c r="AE286" s="168"/>
      <c r="AF286" s="170"/>
      <c r="AG286" s="172"/>
      <c r="AH286"/>
      <c r="AI286"/>
    </row>
    <row r="287" spans="1:35" x14ac:dyDescent="0.35">
      <c r="A287"/>
      <c r="B287"/>
      <c r="C287"/>
      <c r="D287"/>
      <c r="E287"/>
      <c r="F287"/>
      <c r="G287"/>
      <c r="H287"/>
      <c r="I287"/>
      <c r="J287"/>
      <c r="K287"/>
      <c r="L287"/>
      <c r="M287"/>
      <c r="N287"/>
      <c r="O287"/>
      <c r="P287" s="168"/>
      <c r="Q287" s="168"/>
      <c r="R287" s="168"/>
      <c r="S287" s="169"/>
      <c r="T287" s="169"/>
      <c r="U287" s="169"/>
      <c r="V287" s="168"/>
      <c r="W287" s="168"/>
      <c r="X287" s="168"/>
      <c r="Y287" s="170"/>
      <c r="Z287" s="171"/>
      <c r="AA287" s="171"/>
      <c r="AB287" s="171"/>
      <c r="AC287" s="171"/>
      <c r="AD287" s="171"/>
      <c r="AE287" s="168"/>
      <c r="AF287" s="170"/>
      <c r="AG287" s="172"/>
      <c r="AH287"/>
      <c r="AI287"/>
    </row>
    <row r="288" spans="1:35" x14ac:dyDescent="0.35">
      <c r="A288"/>
      <c r="B288"/>
      <c r="C288"/>
      <c r="D288"/>
      <c r="E288"/>
      <c r="F288"/>
      <c r="G288"/>
      <c r="H288"/>
      <c r="I288"/>
      <c r="J288"/>
      <c r="K288"/>
      <c r="L288"/>
      <c r="M288"/>
      <c r="N288"/>
      <c r="O288"/>
      <c r="P288" s="168"/>
      <c r="Q288" s="168"/>
      <c r="R288" s="168"/>
      <c r="S288" s="169"/>
      <c r="T288" s="169"/>
      <c r="U288" s="169"/>
      <c r="V288" s="168"/>
      <c r="W288" s="168"/>
      <c r="X288" s="168"/>
      <c r="Y288" s="170"/>
      <c r="Z288" s="171"/>
      <c r="AA288" s="171"/>
      <c r="AB288" s="171"/>
      <c r="AC288" s="171"/>
      <c r="AD288" s="171"/>
      <c r="AE288" s="168"/>
      <c r="AF288" s="170"/>
      <c r="AG288" s="172"/>
      <c r="AH288"/>
      <c r="AI288"/>
    </row>
    <row r="289" spans="1:35" x14ac:dyDescent="0.35">
      <c r="A289"/>
      <c r="B289"/>
      <c r="C289"/>
      <c r="D289"/>
      <c r="E289"/>
      <c r="F289"/>
      <c r="G289"/>
      <c r="H289"/>
      <c r="I289"/>
      <c r="J289"/>
      <c r="K289"/>
      <c r="L289"/>
      <c r="M289"/>
      <c r="N289"/>
      <c r="O289"/>
      <c r="P289" s="168"/>
      <c r="Q289" s="168"/>
      <c r="R289" s="168"/>
      <c r="S289" s="169"/>
      <c r="T289" s="169"/>
      <c r="U289" s="169"/>
      <c r="V289" s="168"/>
      <c r="W289" s="168"/>
      <c r="X289" s="168"/>
      <c r="Y289" s="170"/>
      <c r="Z289" s="171"/>
      <c r="AA289" s="171"/>
      <c r="AB289" s="171"/>
      <c r="AC289" s="171"/>
      <c r="AD289" s="171"/>
      <c r="AE289" s="168"/>
      <c r="AF289" s="170"/>
      <c r="AG289" s="172"/>
      <c r="AH289"/>
      <c r="AI289"/>
    </row>
    <row r="290" spans="1:35" x14ac:dyDescent="0.35">
      <c r="A290"/>
      <c r="B290"/>
      <c r="C290"/>
      <c r="D290"/>
      <c r="E290"/>
      <c r="F290"/>
      <c r="G290"/>
      <c r="H290"/>
      <c r="I290"/>
      <c r="J290"/>
      <c r="K290"/>
      <c r="L290"/>
      <c r="M290"/>
      <c r="N290"/>
      <c r="O290"/>
      <c r="P290" s="168"/>
      <c r="Q290" s="168"/>
      <c r="R290" s="168"/>
      <c r="S290" s="169"/>
      <c r="T290" s="169"/>
      <c r="U290" s="169"/>
      <c r="V290" s="168"/>
      <c r="W290" s="168"/>
      <c r="X290" s="168"/>
      <c r="Y290" s="170"/>
      <c r="Z290" s="171"/>
      <c r="AA290" s="171"/>
      <c r="AB290" s="171"/>
      <c r="AC290" s="171"/>
      <c r="AD290" s="171"/>
      <c r="AE290" s="168"/>
      <c r="AF290" s="170"/>
      <c r="AG290" s="172"/>
      <c r="AH290"/>
      <c r="AI290"/>
    </row>
    <row r="291" spans="1:35" x14ac:dyDescent="0.35">
      <c r="A291"/>
      <c r="B291"/>
      <c r="C291"/>
      <c r="D291"/>
      <c r="E291"/>
      <c r="F291"/>
      <c r="G291"/>
      <c r="H291"/>
      <c r="I291"/>
      <c r="J291"/>
      <c r="K291"/>
      <c r="L291"/>
      <c r="M291"/>
      <c r="N291"/>
      <c r="O291"/>
      <c r="P291" s="168"/>
      <c r="Q291" s="168"/>
      <c r="R291" s="168"/>
      <c r="S291" s="169"/>
      <c r="T291" s="169"/>
      <c r="U291" s="169"/>
      <c r="V291" s="168"/>
      <c r="W291" s="168"/>
      <c r="X291" s="168"/>
      <c r="Y291" s="170"/>
      <c r="Z291" s="171"/>
      <c r="AA291" s="171"/>
      <c r="AB291" s="171"/>
      <c r="AC291" s="171"/>
      <c r="AD291" s="171"/>
      <c r="AE291" s="168"/>
      <c r="AF291" s="170"/>
      <c r="AG291" s="172"/>
      <c r="AH291"/>
      <c r="AI291"/>
    </row>
    <row r="292" spans="1:35" x14ac:dyDescent="0.35">
      <c r="A292"/>
      <c r="B292"/>
      <c r="C292"/>
      <c r="D292"/>
      <c r="E292"/>
      <c r="F292"/>
      <c r="G292"/>
      <c r="H292"/>
      <c r="I292"/>
      <c r="J292"/>
      <c r="K292"/>
      <c r="L292"/>
      <c r="M292"/>
      <c r="N292"/>
      <c r="O292"/>
      <c r="P292" s="168"/>
      <c r="Q292" s="168"/>
      <c r="R292" s="168"/>
      <c r="S292" s="169"/>
      <c r="T292" s="169"/>
      <c r="U292" s="169"/>
      <c r="V292" s="168"/>
      <c r="W292" s="168"/>
      <c r="X292" s="168"/>
      <c r="Y292" s="170"/>
      <c r="Z292" s="171"/>
      <c r="AA292" s="171"/>
      <c r="AB292" s="171"/>
      <c r="AC292" s="171"/>
      <c r="AD292" s="171"/>
      <c r="AE292" s="168"/>
      <c r="AF292" s="170"/>
      <c r="AG292" s="172"/>
      <c r="AH292"/>
      <c r="AI292"/>
    </row>
    <row r="293" spans="1:35" x14ac:dyDescent="0.35">
      <c r="A293"/>
      <c r="B293"/>
      <c r="C293"/>
      <c r="D293"/>
      <c r="E293"/>
      <c r="F293"/>
      <c r="G293"/>
      <c r="H293"/>
      <c r="I293"/>
      <c r="J293"/>
      <c r="K293"/>
      <c r="L293"/>
      <c r="M293"/>
      <c r="N293"/>
      <c r="O293"/>
      <c r="P293" s="168"/>
      <c r="Q293" s="168"/>
      <c r="R293" s="168"/>
      <c r="S293" s="169"/>
      <c r="T293" s="169"/>
      <c r="U293" s="169"/>
      <c r="V293" s="168"/>
      <c r="W293" s="168"/>
      <c r="X293" s="168"/>
      <c r="Y293" s="170"/>
      <c r="Z293" s="171"/>
      <c r="AA293" s="171"/>
      <c r="AB293" s="171"/>
      <c r="AC293" s="171"/>
      <c r="AD293" s="171"/>
      <c r="AE293" s="168"/>
      <c r="AF293" s="170"/>
      <c r="AG293" s="172"/>
      <c r="AH293"/>
      <c r="AI293"/>
    </row>
    <row r="294" spans="1:35" x14ac:dyDescent="0.35">
      <c r="A294"/>
      <c r="B294"/>
      <c r="C294"/>
      <c r="D294"/>
      <c r="E294"/>
      <c r="F294"/>
      <c r="G294"/>
      <c r="H294"/>
      <c r="I294"/>
      <c r="J294"/>
      <c r="K294"/>
      <c r="L294"/>
      <c r="M294"/>
      <c r="N294"/>
      <c r="O294"/>
      <c r="P294" s="168"/>
      <c r="Q294" s="168"/>
      <c r="R294" s="168"/>
      <c r="S294" s="169"/>
      <c r="T294" s="169"/>
      <c r="U294" s="169"/>
      <c r="V294" s="168"/>
      <c r="W294" s="168"/>
      <c r="X294" s="168"/>
      <c r="Y294" s="170"/>
      <c r="Z294" s="171"/>
      <c r="AA294" s="171"/>
      <c r="AB294" s="171"/>
      <c r="AC294" s="171"/>
      <c r="AD294" s="171"/>
      <c r="AE294" s="168"/>
      <c r="AF294" s="170"/>
      <c r="AG294" s="172"/>
      <c r="AH294"/>
      <c r="AI294"/>
    </row>
    <row r="295" spans="1:35" x14ac:dyDescent="0.35">
      <c r="A295"/>
      <c r="B295"/>
      <c r="C295"/>
      <c r="D295"/>
      <c r="E295"/>
      <c r="F295"/>
      <c r="G295"/>
      <c r="H295"/>
      <c r="I295"/>
      <c r="J295"/>
      <c r="K295"/>
      <c r="L295"/>
      <c r="M295"/>
      <c r="N295"/>
      <c r="O295"/>
      <c r="P295" s="168"/>
      <c r="Q295" s="168"/>
      <c r="R295" s="168"/>
      <c r="S295" s="169"/>
      <c r="T295" s="169"/>
      <c r="U295" s="169"/>
      <c r="V295" s="168"/>
      <c r="W295" s="168"/>
      <c r="X295" s="168"/>
      <c r="Y295" s="170"/>
      <c r="Z295" s="171"/>
      <c r="AA295" s="171"/>
      <c r="AB295" s="171"/>
      <c r="AC295" s="171"/>
      <c r="AD295" s="171"/>
      <c r="AE295" s="168"/>
      <c r="AF295" s="170"/>
      <c r="AG295" s="172"/>
      <c r="AH295"/>
      <c r="AI295"/>
    </row>
    <row r="296" spans="1:35" x14ac:dyDescent="0.35">
      <c r="A296"/>
      <c r="B296"/>
      <c r="C296"/>
      <c r="D296"/>
      <c r="E296"/>
      <c r="F296"/>
      <c r="G296"/>
      <c r="H296"/>
      <c r="I296"/>
      <c r="J296"/>
      <c r="K296"/>
      <c r="L296"/>
      <c r="M296"/>
      <c r="N296"/>
      <c r="O296"/>
      <c r="P296" s="168"/>
      <c r="Q296" s="168"/>
      <c r="R296" s="168"/>
      <c r="S296" s="169"/>
      <c r="T296" s="169"/>
      <c r="U296" s="169"/>
      <c r="V296" s="168"/>
      <c r="W296" s="168"/>
      <c r="X296" s="168"/>
      <c r="Y296" s="170"/>
      <c r="Z296" s="171"/>
      <c r="AA296" s="171"/>
      <c r="AB296" s="171"/>
      <c r="AC296" s="171"/>
      <c r="AD296" s="171"/>
      <c r="AE296" s="168"/>
      <c r="AF296" s="170"/>
      <c r="AG296" s="172"/>
      <c r="AH296"/>
      <c r="AI296"/>
    </row>
    <row r="297" spans="1:35" x14ac:dyDescent="0.35">
      <c r="A297"/>
      <c r="B297"/>
      <c r="C297"/>
      <c r="D297"/>
      <c r="E297"/>
      <c r="F297"/>
      <c r="G297"/>
      <c r="H297"/>
      <c r="I297"/>
      <c r="J297"/>
      <c r="K297"/>
      <c r="L297"/>
      <c r="M297"/>
      <c r="N297"/>
      <c r="O297"/>
      <c r="P297" s="168"/>
      <c r="Q297" s="168"/>
      <c r="R297" s="168"/>
      <c r="S297" s="169"/>
      <c r="T297" s="169"/>
      <c r="U297" s="169"/>
      <c r="V297" s="168"/>
      <c r="W297" s="168"/>
      <c r="X297" s="168"/>
      <c r="Y297" s="170"/>
      <c r="Z297" s="171"/>
      <c r="AA297" s="171"/>
      <c r="AB297" s="171"/>
      <c r="AC297" s="171"/>
      <c r="AD297" s="171"/>
      <c r="AE297" s="168"/>
      <c r="AF297" s="170"/>
      <c r="AG297" s="172"/>
      <c r="AH297"/>
      <c r="AI297"/>
    </row>
    <row r="298" spans="1:35" x14ac:dyDescent="0.35">
      <c r="A298"/>
      <c r="B298"/>
      <c r="C298"/>
      <c r="D298"/>
      <c r="E298"/>
      <c r="F298"/>
      <c r="G298"/>
      <c r="H298"/>
      <c r="I298"/>
      <c r="J298"/>
      <c r="K298"/>
      <c r="L298"/>
      <c r="M298"/>
      <c r="N298"/>
      <c r="O298"/>
      <c r="P298" s="168"/>
      <c r="Q298" s="168"/>
      <c r="R298" s="168"/>
      <c r="S298" s="169"/>
      <c r="T298" s="169"/>
      <c r="U298" s="169"/>
      <c r="V298" s="168"/>
      <c r="W298" s="168"/>
      <c r="X298" s="168"/>
      <c r="Y298" s="170"/>
      <c r="Z298" s="171"/>
      <c r="AA298" s="171"/>
      <c r="AB298" s="171"/>
      <c r="AC298" s="171"/>
      <c r="AD298" s="171"/>
      <c r="AE298" s="168"/>
      <c r="AF298" s="170"/>
      <c r="AG298" s="172"/>
      <c r="AH298"/>
      <c r="AI298"/>
    </row>
    <row r="299" spans="1:35" x14ac:dyDescent="0.35">
      <c r="A299"/>
      <c r="B299"/>
      <c r="C299"/>
      <c r="D299"/>
      <c r="E299"/>
      <c r="F299"/>
      <c r="G299"/>
      <c r="H299"/>
      <c r="I299"/>
      <c r="J299"/>
      <c r="K299"/>
      <c r="L299"/>
      <c r="M299"/>
      <c r="N299"/>
      <c r="O299"/>
      <c r="P299" s="168"/>
      <c r="Q299" s="168"/>
      <c r="R299" s="168"/>
      <c r="S299" s="169"/>
      <c r="T299" s="169"/>
      <c r="U299" s="169"/>
      <c r="V299" s="168"/>
      <c r="W299" s="168"/>
      <c r="X299" s="168"/>
      <c r="Y299" s="170"/>
      <c r="Z299" s="171"/>
      <c r="AA299" s="171"/>
      <c r="AB299" s="171"/>
      <c r="AC299" s="171"/>
      <c r="AD299" s="171"/>
      <c r="AE299" s="168"/>
      <c r="AF299" s="170"/>
      <c r="AG299" s="172"/>
      <c r="AH299"/>
      <c r="AI299"/>
    </row>
    <row r="300" spans="1:35" x14ac:dyDescent="0.35">
      <c r="A300"/>
      <c r="B300"/>
      <c r="C300"/>
      <c r="D300"/>
      <c r="E300"/>
      <c r="F300"/>
      <c r="G300"/>
      <c r="H300"/>
      <c r="I300"/>
      <c r="J300"/>
      <c r="K300"/>
      <c r="L300"/>
      <c r="M300"/>
      <c r="N300"/>
      <c r="O300"/>
      <c r="P300" s="168"/>
      <c r="Q300" s="168"/>
      <c r="R300" s="168"/>
      <c r="S300" s="169"/>
      <c r="T300" s="169"/>
      <c r="U300" s="169"/>
      <c r="V300" s="168"/>
      <c r="W300" s="168"/>
      <c r="X300" s="168"/>
      <c r="Y300" s="170"/>
      <c r="Z300" s="171"/>
      <c r="AA300" s="171"/>
      <c r="AB300" s="171"/>
      <c r="AC300" s="171"/>
      <c r="AD300" s="171"/>
      <c r="AE300" s="168"/>
      <c r="AF300" s="170"/>
      <c r="AG300" s="172"/>
      <c r="AH300"/>
      <c r="AI300"/>
    </row>
    <row r="301" spans="1:35" x14ac:dyDescent="0.35">
      <c r="A301"/>
      <c r="B301"/>
      <c r="C301"/>
      <c r="D301"/>
      <c r="E301"/>
      <c r="F301"/>
      <c r="G301"/>
      <c r="H301"/>
      <c r="I301"/>
      <c r="J301"/>
      <c r="K301"/>
      <c r="L301"/>
      <c r="M301"/>
      <c r="N301"/>
      <c r="O301"/>
      <c r="P301" s="168"/>
      <c r="Q301" s="168"/>
      <c r="R301" s="168"/>
      <c r="S301" s="169"/>
      <c r="T301" s="169"/>
      <c r="U301" s="169"/>
      <c r="V301" s="168"/>
      <c r="W301" s="168"/>
      <c r="X301" s="168"/>
      <c r="Y301" s="170"/>
      <c r="Z301" s="171"/>
      <c r="AA301" s="171"/>
      <c r="AB301" s="171"/>
      <c r="AC301" s="171"/>
      <c r="AD301" s="171"/>
      <c r="AE301" s="168"/>
      <c r="AF301" s="170"/>
      <c r="AG301" s="172"/>
      <c r="AH301"/>
      <c r="AI301"/>
    </row>
    <row r="302" spans="1:35" x14ac:dyDescent="0.35">
      <c r="A302"/>
      <c r="B302"/>
      <c r="C302"/>
      <c r="D302"/>
      <c r="E302"/>
      <c r="F302"/>
      <c r="G302"/>
      <c r="H302"/>
      <c r="I302"/>
      <c r="J302"/>
      <c r="K302"/>
      <c r="L302"/>
      <c r="M302"/>
      <c r="N302"/>
      <c r="O302"/>
      <c r="P302" s="168"/>
      <c r="Q302" s="168"/>
      <c r="R302" s="168"/>
      <c r="S302" s="169"/>
      <c r="T302" s="169"/>
      <c r="U302" s="169"/>
      <c r="V302" s="168"/>
      <c r="W302" s="168"/>
      <c r="X302" s="168"/>
      <c r="Y302" s="170"/>
      <c r="Z302" s="171"/>
      <c r="AA302" s="171"/>
      <c r="AB302" s="171"/>
      <c r="AC302" s="171"/>
      <c r="AD302" s="171"/>
      <c r="AE302" s="168"/>
      <c r="AF302" s="170"/>
      <c r="AG302" s="172"/>
      <c r="AH302"/>
      <c r="AI302"/>
    </row>
    <row r="303" spans="1:35" x14ac:dyDescent="0.35">
      <c r="A303"/>
      <c r="B303"/>
      <c r="C303"/>
      <c r="D303"/>
      <c r="E303"/>
      <c r="F303"/>
      <c r="G303"/>
      <c r="H303"/>
      <c r="I303"/>
      <c r="J303"/>
      <c r="K303"/>
      <c r="L303"/>
      <c r="M303"/>
      <c r="N303"/>
      <c r="O303"/>
      <c r="P303" s="168"/>
      <c r="Q303" s="168"/>
      <c r="R303" s="168"/>
      <c r="S303" s="169"/>
      <c r="T303" s="169"/>
      <c r="U303" s="169"/>
      <c r="V303" s="168"/>
      <c r="W303" s="168"/>
      <c r="X303" s="168"/>
      <c r="Y303" s="170"/>
      <c r="Z303" s="171"/>
      <c r="AA303" s="171"/>
      <c r="AB303" s="171"/>
      <c r="AC303" s="171"/>
      <c r="AD303" s="171"/>
      <c r="AE303" s="168"/>
      <c r="AF303" s="170"/>
      <c r="AG303" s="172"/>
      <c r="AH303"/>
      <c r="AI303"/>
    </row>
    <row r="304" spans="1:35" x14ac:dyDescent="0.35">
      <c r="A304"/>
      <c r="B304"/>
      <c r="C304"/>
      <c r="D304"/>
      <c r="E304"/>
      <c r="F304"/>
      <c r="G304"/>
      <c r="H304"/>
      <c r="I304"/>
      <c r="J304"/>
      <c r="K304"/>
      <c r="L304"/>
      <c r="M304"/>
      <c r="N304"/>
      <c r="O304"/>
      <c r="P304" s="168"/>
      <c r="Q304" s="168"/>
      <c r="R304" s="168"/>
      <c r="S304" s="169"/>
      <c r="T304" s="169"/>
      <c r="U304" s="169"/>
      <c r="V304" s="168"/>
      <c r="W304" s="168"/>
      <c r="X304" s="168"/>
      <c r="Y304" s="170"/>
      <c r="Z304" s="171"/>
      <c r="AA304" s="171"/>
      <c r="AB304" s="171"/>
      <c r="AC304" s="171"/>
      <c r="AD304" s="171"/>
      <c r="AE304" s="168"/>
      <c r="AF304" s="170"/>
      <c r="AG304" s="172"/>
      <c r="AH304"/>
      <c r="AI304"/>
    </row>
    <row r="305" spans="1:35" x14ac:dyDescent="0.35">
      <c r="A305"/>
      <c r="B305"/>
      <c r="C305"/>
      <c r="D305"/>
      <c r="E305"/>
      <c r="F305"/>
      <c r="G305"/>
      <c r="H305"/>
      <c r="I305"/>
      <c r="J305"/>
      <c r="K305"/>
      <c r="L305"/>
      <c r="M305"/>
      <c r="N305"/>
      <c r="O305"/>
      <c r="P305" s="168"/>
      <c r="Q305" s="168"/>
      <c r="R305" s="168"/>
      <c r="S305" s="169"/>
      <c r="T305" s="169"/>
      <c r="U305" s="169"/>
      <c r="V305" s="168"/>
      <c r="W305" s="168"/>
      <c r="X305" s="168"/>
      <c r="Y305" s="170"/>
      <c r="Z305" s="171"/>
      <c r="AA305" s="171"/>
      <c r="AB305" s="171"/>
      <c r="AC305" s="171"/>
      <c r="AD305" s="171"/>
      <c r="AE305" s="168"/>
      <c r="AF305" s="170"/>
      <c r="AG305" s="172"/>
      <c r="AH305"/>
      <c r="AI305"/>
    </row>
    <row r="306" spans="1:35" x14ac:dyDescent="0.35">
      <c r="A306"/>
      <c r="B306"/>
      <c r="C306"/>
      <c r="D306"/>
      <c r="E306"/>
      <c r="F306"/>
      <c r="G306"/>
      <c r="H306"/>
      <c r="I306"/>
      <c r="J306"/>
      <c r="K306"/>
      <c r="L306"/>
      <c r="M306"/>
      <c r="N306"/>
      <c r="O306"/>
      <c r="P306" s="168"/>
      <c r="Q306" s="168"/>
      <c r="R306" s="168"/>
      <c r="S306" s="169"/>
      <c r="T306" s="169"/>
      <c r="U306" s="169"/>
      <c r="V306" s="168"/>
      <c r="W306" s="168"/>
      <c r="X306" s="168"/>
      <c r="Y306" s="170"/>
      <c r="Z306" s="171"/>
      <c r="AA306" s="171"/>
      <c r="AB306" s="171"/>
      <c r="AC306" s="171"/>
      <c r="AD306" s="171"/>
      <c r="AE306" s="168"/>
      <c r="AF306" s="170"/>
      <c r="AG306" s="172"/>
      <c r="AH306"/>
      <c r="AI306"/>
    </row>
    <row r="307" spans="1:35" x14ac:dyDescent="0.35">
      <c r="A307"/>
      <c r="B307"/>
      <c r="C307"/>
      <c r="D307"/>
      <c r="E307"/>
      <c r="F307"/>
      <c r="G307"/>
      <c r="H307"/>
      <c r="I307"/>
      <c r="J307"/>
      <c r="K307"/>
      <c r="L307"/>
      <c r="M307"/>
      <c r="N307"/>
      <c r="O307"/>
      <c r="P307" s="168"/>
      <c r="Q307" s="168"/>
      <c r="R307" s="168"/>
      <c r="S307" s="169"/>
      <c r="T307" s="169"/>
      <c r="U307" s="169"/>
      <c r="V307" s="168"/>
      <c r="W307" s="168"/>
      <c r="X307" s="168"/>
      <c r="Y307" s="170"/>
      <c r="Z307" s="171"/>
      <c r="AA307" s="171"/>
      <c r="AB307" s="171"/>
      <c r="AC307" s="171"/>
      <c r="AD307" s="171"/>
      <c r="AE307" s="168"/>
      <c r="AF307" s="170"/>
      <c r="AG307" s="172"/>
      <c r="AH307"/>
      <c r="AI307"/>
    </row>
    <row r="308" spans="1:35" x14ac:dyDescent="0.35">
      <c r="A308"/>
      <c r="B308"/>
      <c r="C308"/>
      <c r="D308"/>
      <c r="E308"/>
      <c r="F308"/>
      <c r="G308"/>
      <c r="H308"/>
      <c r="I308"/>
      <c r="J308"/>
      <c r="K308"/>
      <c r="L308"/>
      <c r="M308"/>
      <c r="N308"/>
      <c r="O308"/>
      <c r="P308" s="168"/>
      <c r="Q308" s="168"/>
      <c r="R308" s="168"/>
      <c r="S308" s="169"/>
      <c r="T308" s="169"/>
      <c r="U308" s="169"/>
      <c r="V308" s="168"/>
      <c r="W308" s="168"/>
      <c r="X308" s="168"/>
      <c r="Y308" s="170"/>
      <c r="Z308" s="171"/>
      <c r="AA308" s="171"/>
      <c r="AB308" s="171"/>
      <c r="AC308" s="171"/>
      <c r="AD308" s="171"/>
      <c r="AE308" s="168"/>
      <c r="AF308" s="170"/>
      <c r="AG308" s="172"/>
      <c r="AH308"/>
      <c r="AI308"/>
    </row>
    <row r="309" spans="1:35" x14ac:dyDescent="0.35">
      <c r="A309"/>
      <c r="B309"/>
      <c r="C309"/>
      <c r="D309"/>
      <c r="E309"/>
      <c r="F309"/>
      <c r="G309"/>
      <c r="H309"/>
      <c r="I309"/>
      <c r="J309"/>
      <c r="K309"/>
      <c r="L309"/>
      <c r="M309"/>
      <c r="N309"/>
      <c r="O309"/>
      <c r="P309" s="168"/>
      <c r="Q309" s="168"/>
      <c r="R309" s="168"/>
      <c r="S309" s="169"/>
      <c r="T309" s="169"/>
      <c r="U309" s="169"/>
      <c r="V309" s="168"/>
      <c r="W309" s="168"/>
      <c r="X309" s="168"/>
      <c r="Y309" s="170"/>
      <c r="Z309" s="171"/>
      <c r="AA309" s="171"/>
      <c r="AB309" s="171"/>
      <c r="AC309" s="171"/>
      <c r="AD309" s="171"/>
      <c r="AE309" s="168"/>
      <c r="AF309" s="170"/>
      <c r="AG309" s="172"/>
      <c r="AH309"/>
      <c r="AI309"/>
    </row>
    <row r="310" spans="1:35" x14ac:dyDescent="0.35">
      <c r="A310"/>
      <c r="B310"/>
      <c r="C310"/>
      <c r="D310"/>
      <c r="E310"/>
      <c r="F310"/>
      <c r="G310"/>
      <c r="H310"/>
      <c r="I310"/>
      <c r="J310"/>
      <c r="K310"/>
      <c r="L310"/>
      <c r="M310"/>
      <c r="N310"/>
      <c r="O310"/>
      <c r="P310" s="168"/>
      <c r="Q310" s="168"/>
      <c r="R310" s="168"/>
      <c r="S310" s="169"/>
      <c r="T310" s="169"/>
      <c r="U310" s="169"/>
      <c r="V310" s="168"/>
      <c r="W310" s="168"/>
      <c r="X310" s="168"/>
      <c r="Y310" s="170"/>
      <c r="Z310" s="171"/>
      <c r="AA310" s="171"/>
      <c r="AB310" s="171"/>
      <c r="AC310" s="171"/>
      <c r="AD310" s="171"/>
      <c r="AE310" s="168"/>
      <c r="AF310" s="170"/>
      <c r="AG310" s="172"/>
      <c r="AH310"/>
      <c r="AI310"/>
    </row>
    <row r="311" spans="1:35" x14ac:dyDescent="0.35">
      <c r="A311"/>
      <c r="B311"/>
      <c r="C311"/>
      <c r="D311"/>
      <c r="E311"/>
      <c r="F311"/>
      <c r="G311"/>
      <c r="H311"/>
      <c r="I311"/>
      <c r="J311"/>
      <c r="K311"/>
      <c r="L311"/>
      <c r="M311"/>
      <c r="N311"/>
      <c r="O311"/>
      <c r="P311" s="168"/>
      <c r="Q311" s="168"/>
      <c r="R311" s="168"/>
      <c r="S311" s="169"/>
      <c r="T311" s="169"/>
      <c r="U311" s="169"/>
      <c r="V311" s="168"/>
      <c r="W311" s="168"/>
      <c r="X311" s="168"/>
      <c r="Y311" s="170"/>
      <c r="Z311" s="171"/>
      <c r="AA311" s="171"/>
      <c r="AB311" s="171"/>
      <c r="AC311" s="171"/>
      <c r="AD311" s="171"/>
      <c r="AE311" s="168"/>
      <c r="AF311" s="170"/>
      <c r="AG311" s="172"/>
      <c r="AH311"/>
      <c r="AI311"/>
    </row>
    <row r="312" spans="1:35" x14ac:dyDescent="0.35">
      <c r="A312"/>
      <c r="B312"/>
      <c r="C312"/>
      <c r="D312"/>
      <c r="E312"/>
      <c r="F312"/>
      <c r="G312"/>
      <c r="H312"/>
      <c r="I312"/>
      <c r="J312"/>
      <c r="K312"/>
      <c r="L312"/>
      <c r="M312"/>
      <c r="N312"/>
      <c r="O312"/>
      <c r="P312" s="168"/>
      <c r="Q312" s="168"/>
      <c r="R312" s="168"/>
      <c r="S312" s="169"/>
      <c r="T312" s="169"/>
      <c r="U312" s="169"/>
      <c r="V312" s="168"/>
      <c r="W312" s="168"/>
      <c r="X312" s="168"/>
      <c r="Y312" s="170"/>
      <c r="Z312" s="171"/>
      <c r="AA312" s="171"/>
      <c r="AB312" s="171"/>
      <c r="AC312" s="171"/>
      <c r="AD312" s="171"/>
      <c r="AE312" s="168"/>
      <c r="AF312" s="170"/>
      <c r="AG312" s="172"/>
      <c r="AH312"/>
      <c r="AI312"/>
    </row>
    <row r="313" spans="1:35" x14ac:dyDescent="0.35">
      <c r="A313"/>
      <c r="B313"/>
      <c r="C313"/>
      <c r="D313"/>
      <c r="E313"/>
      <c r="F313"/>
      <c r="G313"/>
      <c r="H313"/>
      <c r="I313"/>
      <c r="J313"/>
      <c r="K313"/>
      <c r="L313"/>
      <c r="M313"/>
      <c r="N313"/>
      <c r="O313"/>
      <c r="P313" s="168"/>
      <c r="Q313" s="168"/>
      <c r="R313" s="168"/>
      <c r="S313" s="169"/>
      <c r="T313" s="169"/>
      <c r="U313" s="169"/>
      <c r="V313" s="168"/>
      <c r="W313" s="168"/>
      <c r="X313" s="168"/>
      <c r="Y313" s="170"/>
      <c r="Z313" s="171"/>
      <c r="AA313" s="171"/>
      <c r="AB313" s="171"/>
      <c r="AC313" s="171"/>
      <c r="AD313" s="171"/>
      <c r="AE313" s="168"/>
      <c r="AF313" s="170"/>
      <c r="AG313" s="172"/>
      <c r="AH313"/>
      <c r="AI313"/>
    </row>
    <row r="314" spans="1:35" x14ac:dyDescent="0.35">
      <c r="A314"/>
      <c r="B314"/>
      <c r="C314"/>
      <c r="D314"/>
      <c r="E314"/>
      <c r="F314"/>
      <c r="G314"/>
      <c r="H314"/>
      <c r="I314"/>
      <c r="J314"/>
      <c r="K314"/>
      <c r="L314"/>
      <c r="M314"/>
      <c r="N314"/>
      <c r="O314"/>
      <c r="P314" s="168"/>
      <c r="Q314" s="168"/>
      <c r="R314" s="168"/>
      <c r="S314" s="169"/>
      <c r="T314" s="169"/>
      <c r="U314" s="169"/>
      <c r="V314" s="168"/>
      <c r="W314" s="168"/>
      <c r="X314" s="168"/>
      <c r="Y314" s="170"/>
      <c r="Z314" s="171"/>
      <c r="AA314" s="171"/>
      <c r="AB314" s="171"/>
      <c r="AC314" s="171"/>
      <c r="AD314" s="171"/>
      <c r="AE314" s="168"/>
      <c r="AF314" s="170"/>
      <c r="AG314" s="172"/>
      <c r="AH314"/>
      <c r="AI314"/>
    </row>
    <row r="315" spans="1:35" x14ac:dyDescent="0.35">
      <c r="A315"/>
      <c r="B315"/>
      <c r="C315"/>
      <c r="D315"/>
      <c r="E315"/>
      <c r="F315"/>
      <c r="G315"/>
      <c r="H315"/>
      <c r="I315"/>
      <c r="J315"/>
      <c r="K315"/>
      <c r="L315"/>
      <c r="M315"/>
      <c r="N315"/>
      <c r="O315"/>
      <c r="P315" s="168"/>
      <c r="Q315" s="168"/>
      <c r="R315" s="168"/>
      <c r="S315" s="169"/>
      <c r="T315" s="169"/>
      <c r="U315" s="169"/>
      <c r="V315" s="168"/>
      <c r="W315" s="168"/>
      <c r="X315" s="168"/>
      <c r="Y315" s="170"/>
      <c r="Z315" s="171"/>
      <c r="AA315" s="171"/>
      <c r="AB315" s="171"/>
      <c r="AC315" s="171"/>
      <c r="AD315" s="171"/>
      <c r="AE315" s="168"/>
      <c r="AF315" s="170"/>
      <c r="AG315" s="172"/>
      <c r="AH315"/>
      <c r="AI315"/>
    </row>
    <row r="316" spans="1:35" x14ac:dyDescent="0.35">
      <c r="A316"/>
      <c r="B316"/>
      <c r="C316"/>
      <c r="D316"/>
      <c r="E316"/>
      <c r="F316"/>
      <c r="G316"/>
      <c r="H316"/>
      <c r="I316"/>
      <c r="J316"/>
      <c r="K316"/>
      <c r="L316"/>
      <c r="M316"/>
      <c r="N316"/>
      <c r="O316"/>
      <c r="P316" s="168"/>
      <c r="Q316" s="168"/>
      <c r="R316" s="168"/>
      <c r="S316" s="169"/>
      <c r="T316" s="169"/>
      <c r="U316" s="169"/>
      <c r="V316" s="168"/>
      <c r="W316" s="168"/>
      <c r="X316" s="168"/>
      <c r="Y316" s="170"/>
      <c r="Z316" s="171"/>
      <c r="AA316" s="171"/>
      <c r="AB316" s="171"/>
      <c r="AC316" s="171"/>
      <c r="AD316" s="171"/>
      <c r="AE316" s="168"/>
      <c r="AF316" s="170"/>
      <c r="AG316" s="172"/>
      <c r="AH316"/>
      <c r="AI316"/>
    </row>
    <row r="317" spans="1:35" x14ac:dyDescent="0.35">
      <c r="A317"/>
      <c r="B317"/>
      <c r="C317"/>
      <c r="D317"/>
      <c r="E317"/>
      <c r="F317"/>
      <c r="G317"/>
      <c r="H317"/>
      <c r="I317"/>
      <c r="J317"/>
      <c r="K317"/>
      <c r="L317"/>
      <c r="M317"/>
      <c r="N317"/>
      <c r="O317"/>
      <c r="P317" s="168"/>
      <c r="Q317" s="168"/>
      <c r="R317" s="168"/>
      <c r="S317" s="169"/>
      <c r="T317" s="169"/>
      <c r="U317" s="169"/>
      <c r="V317" s="168"/>
      <c r="W317" s="168"/>
      <c r="X317" s="168"/>
      <c r="Y317" s="170"/>
      <c r="Z317" s="171"/>
      <c r="AA317" s="171"/>
      <c r="AB317" s="171"/>
      <c r="AC317" s="171"/>
      <c r="AD317" s="171"/>
      <c r="AE317" s="168"/>
      <c r="AF317" s="170"/>
      <c r="AG317" s="172"/>
      <c r="AH317"/>
      <c r="AI317"/>
    </row>
    <row r="318" spans="1:35" x14ac:dyDescent="0.35">
      <c r="A318"/>
      <c r="B318"/>
      <c r="C318"/>
      <c r="D318"/>
      <c r="E318"/>
      <c r="F318"/>
      <c r="G318"/>
      <c r="H318"/>
      <c r="I318"/>
      <c r="J318"/>
      <c r="K318"/>
      <c r="L318"/>
      <c r="M318"/>
      <c r="N318"/>
      <c r="O318"/>
      <c r="P318" s="168"/>
      <c r="Q318" s="168"/>
      <c r="R318" s="168"/>
      <c r="S318" s="169"/>
      <c r="T318" s="169"/>
      <c r="U318" s="169"/>
      <c r="V318" s="168"/>
      <c r="W318" s="168"/>
      <c r="X318" s="168"/>
      <c r="Y318" s="170"/>
      <c r="Z318" s="171"/>
      <c r="AA318" s="171"/>
      <c r="AB318" s="171"/>
      <c r="AC318" s="171"/>
      <c r="AD318" s="171"/>
      <c r="AE318" s="168"/>
      <c r="AF318" s="170"/>
      <c r="AG318" s="172"/>
      <c r="AH318"/>
      <c r="AI318"/>
    </row>
    <row r="319" spans="1:35" x14ac:dyDescent="0.35">
      <c r="A319"/>
      <c r="B319"/>
      <c r="C319"/>
      <c r="D319"/>
      <c r="E319"/>
      <c r="F319"/>
      <c r="G319"/>
      <c r="H319"/>
      <c r="I319"/>
      <c r="J319"/>
      <c r="K319"/>
      <c r="L319"/>
      <c r="M319"/>
      <c r="N319"/>
      <c r="O319"/>
      <c r="P319" s="168"/>
      <c r="Q319" s="168"/>
      <c r="R319" s="168"/>
      <c r="S319" s="169"/>
      <c r="T319" s="169"/>
      <c r="U319" s="169"/>
      <c r="V319" s="168"/>
      <c r="W319" s="168"/>
      <c r="X319" s="168"/>
      <c r="Y319" s="170"/>
      <c r="Z319" s="171"/>
      <c r="AA319" s="171"/>
      <c r="AB319" s="171"/>
      <c r="AC319" s="171"/>
      <c r="AD319" s="171"/>
      <c r="AE319" s="168"/>
      <c r="AF319" s="170"/>
      <c r="AG319" s="172"/>
      <c r="AH319"/>
      <c r="AI319"/>
    </row>
    <row r="320" spans="1:35" x14ac:dyDescent="0.35">
      <c r="A320"/>
      <c r="B320"/>
      <c r="C320"/>
      <c r="D320"/>
      <c r="E320"/>
      <c r="F320"/>
      <c r="G320"/>
      <c r="H320"/>
      <c r="I320"/>
      <c r="J320"/>
      <c r="K320"/>
      <c r="L320"/>
      <c r="M320"/>
      <c r="N320"/>
      <c r="O320"/>
      <c r="P320" s="168"/>
      <c r="Q320" s="168"/>
      <c r="R320" s="168"/>
      <c r="S320" s="169"/>
      <c r="T320" s="169"/>
      <c r="U320" s="169"/>
      <c r="V320" s="168"/>
      <c r="W320" s="168"/>
      <c r="X320" s="168"/>
      <c r="Y320" s="170"/>
      <c r="Z320" s="171"/>
      <c r="AA320" s="171"/>
      <c r="AB320" s="171"/>
      <c r="AC320" s="171"/>
      <c r="AD320" s="171"/>
      <c r="AE320" s="168"/>
      <c r="AF320" s="170"/>
      <c r="AG320" s="172"/>
      <c r="AH320"/>
      <c r="AI320"/>
    </row>
    <row r="321" spans="1:35" x14ac:dyDescent="0.35">
      <c r="A321"/>
      <c r="B321"/>
      <c r="C321"/>
      <c r="D321"/>
      <c r="E321"/>
      <c r="F321"/>
      <c r="G321"/>
      <c r="H321"/>
      <c r="I321"/>
      <c r="J321"/>
      <c r="K321"/>
      <c r="L321"/>
      <c r="M321"/>
      <c r="N321"/>
      <c r="O321"/>
      <c r="P321" s="168"/>
      <c r="Q321" s="168"/>
      <c r="R321" s="168"/>
      <c r="S321" s="169"/>
      <c r="T321" s="169"/>
      <c r="U321" s="169"/>
      <c r="V321" s="168"/>
      <c r="W321" s="168"/>
      <c r="X321" s="168"/>
      <c r="Y321" s="170"/>
      <c r="Z321" s="171"/>
      <c r="AA321" s="171"/>
      <c r="AB321" s="171"/>
      <c r="AC321" s="171"/>
      <c r="AD321" s="171"/>
      <c r="AE321" s="168"/>
      <c r="AF321" s="170"/>
      <c r="AG321" s="172"/>
      <c r="AH321"/>
      <c r="AI321"/>
    </row>
    <row r="322" spans="1:35" x14ac:dyDescent="0.35">
      <c r="A322"/>
      <c r="B322"/>
      <c r="C322"/>
      <c r="D322"/>
      <c r="E322"/>
      <c r="F322"/>
      <c r="G322"/>
      <c r="H322"/>
      <c r="I322"/>
      <c r="J322"/>
      <c r="K322"/>
      <c r="L322"/>
      <c r="M322"/>
      <c r="N322"/>
      <c r="O322"/>
      <c r="P322" s="168"/>
      <c r="Q322" s="168"/>
      <c r="R322" s="168"/>
      <c r="S322" s="169"/>
      <c r="T322" s="169"/>
      <c r="U322" s="169"/>
      <c r="V322" s="168"/>
      <c r="W322" s="168"/>
      <c r="X322" s="168"/>
      <c r="Y322" s="170"/>
      <c r="Z322" s="171"/>
      <c r="AA322" s="171"/>
      <c r="AB322" s="171"/>
      <c r="AC322" s="171"/>
      <c r="AD322" s="171"/>
      <c r="AE322" s="168"/>
      <c r="AF322" s="170"/>
      <c r="AG322" s="172"/>
      <c r="AH322"/>
      <c r="AI322"/>
    </row>
    <row r="323" spans="1:35" x14ac:dyDescent="0.35">
      <c r="A323"/>
      <c r="B323"/>
      <c r="C323"/>
      <c r="D323"/>
      <c r="E323"/>
      <c r="F323"/>
      <c r="G323"/>
      <c r="H323"/>
      <c r="I323"/>
      <c r="J323"/>
      <c r="K323"/>
      <c r="L323"/>
      <c r="M323"/>
      <c r="N323"/>
      <c r="O323"/>
      <c r="P323" s="168"/>
      <c r="Q323" s="168"/>
      <c r="R323" s="168"/>
      <c r="S323" s="169"/>
      <c r="T323" s="169"/>
      <c r="U323" s="169"/>
      <c r="V323" s="168"/>
      <c r="W323" s="168"/>
      <c r="X323" s="168"/>
      <c r="Y323" s="170"/>
      <c r="Z323" s="171"/>
      <c r="AA323" s="171"/>
      <c r="AB323" s="171"/>
      <c r="AC323" s="171"/>
      <c r="AD323" s="171"/>
      <c r="AE323" s="168"/>
      <c r="AF323" s="170"/>
      <c r="AG323" s="172"/>
      <c r="AH323"/>
      <c r="AI323"/>
    </row>
    <row r="324" spans="1:35" x14ac:dyDescent="0.35">
      <c r="A324"/>
      <c r="B324"/>
      <c r="C324"/>
      <c r="D324"/>
      <c r="E324"/>
      <c r="F324"/>
      <c r="G324"/>
      <c r="H324"/>
      <c r="I324"/>
      <c r="J324"/>
      <c r="K324"/>
      <c r="L324"/>
      <c r="M324"/>
      <c r="N324"/>
      <c r="O324"/>
      <c r="P324" s="168"/>
      <c r="Q324" s="168"/>
      <c r="R324" s="168"/>
      <c r="S324" s="169"/>
      <c r="T324" s="169"/>
      <c r="U324" s="169"/>
      <c r="V324" s="168"/>
      <c r="W324" s="168"/>
      <c r="X324" s="168"/>
      <c r="Y324" s="170"/>
      <c r="Z324" s="171"/>
      <c r="AA324" s="171"/>
      <c r="AB324" s="171"/>
      <c r="AC324" s="171"/>
      <c r="AD324" s="171"/>
      <c r="AE324" s="168"/>
      <c r="AF324" s="170"/>
      <c r="AG324" s="172"/>
      <c r="AH324"/>
      <c r="AI324"/>
    </row>
    <row r="325" spans="1:35" x14ac:dyDescent="0.35">
      <c r="A325"/>
      <c r="B325"/>
      <c r="C325"/>
      <c r="D325"/>
      <c r="E325"/>
      <c r="F325"/>
      <c r="G325"/>
      <c r="H325"/>
      <c r="I325"/>
      <c r="J325"/>
      <c r="K325"/>
      <c r="L325"/>
      <c r="M325"/>
      <c r="N325"/>
      <c r="O325"/>
      <c r="P325" s="168"/>
      <c r="Q325" s="168"/>
      <c r="R325" s="168"/>
      <c r="S325" s="169"/>
      <c r="T325" s="169"/>
      <c r="U325" s="169"/>
      <c r="V325" s="168"/>
      <c r="W325" s="168"/>
      <c r="X325" s="168"/>
      <c r="Y325" s="170"/>
      <c r="Z325" s="171"/>
      <c r="AA325" s="171"/>
      <c r="AB325" s="171"/>
      <c r="AC325" s="171"/>
      <c r="AD325" s="171"/>
      <c r="AE325" s="168"/>
      <c r="AF325" s="170"/>
      <c r="AG325" s="172"/>
      <c r="AH325"/>
      <c r="AI325"/>
    </row>
    <row r="326" spans="1:35" x14ac:dyDescent="0.35">
      <c r="A326"/>
      <c r="B326"/>
      <c r="C326"/>
      <c r="D326"/>
      <c r="E326"/>
      <c r="F326"/>
      <c r="G326"/>
      <c r="H326"/>
      <c r="I326"/>
      <c r="J326"/>
      <c r="K326"/>
      <c r="L326"/>
      <c r="M326"/>
      <c r="N326"/>
      <c r="O326"/>
      <c r="P326" s="168"/>
      <c r="Q326" s="168"/>
      <c r="R326" s="168"/>
      <c r="S326" s="169"/>
      <c r="T326" s="169"/>
      <c r="U326" s="169"/>
      <c r="V326" s="168"/>
      <c r="W326" s="168"/>
      <c r="X326" s="168"/>
      <c r="Y326" s="170"/>
      <c r="Z326" s="171"/>
      <c r="AA326" s="171"/>
      <c r="AB326" s="171"/>
      <c r="AC326" s="171"/>
      <c r="AD326" s="171"/>
      <c r="AE326" s="168"/>
      <c r="AF326" s="170"/>
      <c r="AG326" s="172"/>
      <c r="AH326"/>
      <c r="AI326"/>
    </row>
    <row r="327" spans="1:35" x14ac:dyDescent="0.35">
      <c r="A327"/>
      <c r="B327"/>
      <c r="C327"/>
      <c r="D327"/>
      <c r="E327"/>
      <c r="F327"/>
      <c r="G327"/>
      <c r="H327"/>
      <c r="I327"/>
      <c r="J327"/>
      <c r="K327"/>
      <c r="L327"/>
      <c r="M327"/>
      <c r="N327"/>
      <c r="O327"/>
      <c r="P327" s="168"/>
      <c r="Q327" s="168"/>
      <c r="R327" s="168"/>
      <c r="S327" s="169"/>
      <c r="T327" s="169"/>
      <c r="U327" s="169"/>
      <c r="V327" s="168"/>
      <c r="W327" s="168"/>
      <c r="X327" s="168"/>
      <c r="Y327" s="170"/>
      <c r="Z327" s="171"/>
      <c r="AA327" s="171"/>
      <c r="AB327" s="171"/>
      <c r="AC327" s="171"/>
      <c r="AD327" s="171"/>
      <c r="AE327" s="168"/>
      <c r="AF327" s="170"/>
      <c r="AG327" s="172"/>
      <c r="AH327"/>
      <c r="AI327"/>
    </row>
    <row r="328" spans="1:35" x14ac:dyDescent="0.35">
      <c r="A328"/>
      <c r="B328"/>
      <c r="C328"/>
      <c r="D328"/>
      <c r="E328"/>
      <c r="F328"/>
      <c r="G328"/>
      <c r="H328"/>
      <c r="I328"/>
      <c r="J328"/>
      <c r="K328"/>
      <c r="L328"/>
      <c r="M328"/>
      <c r="N328"/>
      <c r="O328"/>
      <c r="P328" s="168"/>
      <c r="Q328" s="168"/>
      <c r="R328" s="168"/>
      <c r="S328" s="169"/>
      <c r="T328" s="169"/>
      <c r="U328" s="169"/>
      <c r="V328" s="168"/>
      <c r="W328" s="168"/>
      <c r="X328" s="168"/>
      <c r="Y328" s="170"/>
      <c r="Z328" s="171"/>
      <c r="AA328" s="171"/>
      <c r="AB328" s="171"/>
      <c r="AC328" s="171"/>
      <c r="AD328" s="171"/>
      <c r="AE328" s="168"/>
      <c r="AF328" s="170"/>
      <c r="AG328" s="172"/>
      <c r="AH328"/>
      <c r="AI328"/>
    </row>
    <row r="329" spans="1:35" x14ac:dyDescent="0.35">
      <c r="A329"/>
      <c r="B329"/>
      <c r="C329"/>
      <c r="D329"/>
      <c r="E329"/>
      <c r="F329"/>
      <c r="G329"/>
      <c r="H329"/>
      <c r="I329"/>
      <c r="J329"/>
      <c r="K329"/>
      <c r="L329"/>
      <c r="M329"/>
      <c r="N329"/>
      <c r="O329"/>
      <c r="P329" s="168"/>
      <c r="Q329" s="168"/>
      <c r="R329" s="168"/>
      <c r="S329" s="169"/>
      <c r="T329" s="169"/>
      <c r="U329" s="169"/>
      <c r="V329" s="168"/>
      <c r="W329" s="168"/>
      <c r="X329" s="168"/>
      <c r="Y329" s="170"/>
      <c r="Z329" s="171"/>
      <c r="AA329" s="171"/>
      <c r="AB329" s="171"/>
      <c r="AC329" s="171"/>
      <c r="AD329" s="171"/>
      <c r="AE329" s="168"/>
      <c r="AF329" s="170"/>
      <c r="AG329" s="172"/>
      <c r="AH329"/>
      <c r="AI329"/>
    </row>
    <row r="330" spans="1:35" x14ac:dyDescent="0.35">
      <c r="A330"/>
      <c r="B330"/>
      <c r="C330"/>
      <c r="D330"/>
      <c r="E330"/>
      <c r="F330"/>
      <c r="G330"/>
      <c r="H330"/>
      <c r="I330"/>
      <c r="J330"/>
      <c r="K330"/>
      <c r="L330"/>
      <c r="M330"/>
      <c r="N330"/>
      <c r="O330"/>
      <c r="P330" s="168"/>
      <c r="Q330" s="168"/>
      <c r="R330" s="168"/>
      <c r="S330" s="169"/>
      <c r="T330" s="169"/>
      <c r="U330" s="169"/>
      <c r="V330" s="168"/>
      <c r="W330" s="168"/>
      <c r="X330" s="168"/>
      <c r="Y330" s="170"/>
      <c r="Z330" s="171"/>
      <c r="AA330" s="171"/>
      <c r="AB330" s="171"/>
      <c r="AC330" s="171"/>
      <c r="AD330" s="171"/>
      <c r="AE330" s="168"/>
      <c r="AF330" s="170"/>
      <c r="AG330" s="172"/>
      <c r="AH330"/>
      <c r="AI330"/>
    </row>
    <row r="331" spans="1:35" x14ac:dyDescent="0.35">
      <c r="A331"/>
      <c r="B331"/>
      <c r="C331"/>
      <c r="D331"/>
      <c r="E331"/>
      <c r="F331"/>
      <c r="G331"/>
      <c r="H331"/>
      <c r="I331"/>
      <c r="J331"/>
      <c r="K331"/>
      <c r="L331"/>
      <c r="M331"/>
      <c r="N331"/>
      <c r="O331"/>
      <c r="P331" s="168"/>
      <c r="Q331" s="168"/>
      <c r="R331" s="168"/>
      <c r="S331" s="169"/>
      <c r="T331" s="169"/>
      <c r="U331" s="169"/>
      <c r="V331" s="168"/>
      <c r="W331" s="168"/>
      <c r="X331" s="168"/>
      <c r="Y331" s="170"/>
      <c r="Z331" s="171"/>
      <c r="AA331" s="171"/>
      <c r="AB331" s="171"/>
      <c r="AC331" s="171"/>
      <c r="AD331" s="171"/>
      <c r="AE331" s="168"/>
      <c r="AF331" s="170"/>
      <c r="AG331" s="172"/>
      <c r="AH331"/>
      <c r="AI331"/>
    </row>
    <row r="332" spans="1:35" x14ac:dyDescent="0.35">
      <c r="A332"/>
      <c r="B332"/>
      <c r="C332"/>
      <c r="D332"/>
      <c r="E332"/>
      <c r="F332"/>
      <c r="G332"/>
      <c r="H332"/>
      <c r="I332"/>
      <c r="J332"/>
      <c r="K332"/>
      <c r="L332"/>
      <c r="M332"/>
      <c r="N332"/>
      <c r="O332"/>
      <c r="P332" s="168"/>
      <c r="Q332" s="168"/>
      <c r="R332" s="168"/>
      <c r="S332" s="169"/>
      <c r="T332" s="169"/>
      <c r="U332" s="169"/>
      <c r="V332" s="168"/>
      <c r="W332" s="168"/>
      <c r="X332" s="168"/>
      <c r="Y332" s="170"/>
      <c r="Z332" s="171"/>
      <c r="AA332" s="171"/>
      <c r="AB332" s="171"/>
      <c r="AC332" s="171"/>
      <c r="AD332" s="171"/>
      <c r="AE332" s="168"/>
      <c r="AF332" s="170"/>
      <c r="AG332" s="172"/>
      <c r="AH332"/>
      <c r="AI332"/>
    </row>
    <row r="333" spans="1:35" x14ac:dyDescent="0.35">
      <c r="A333"/>
      <c r="B333"/>
      <c r="C333"/>
      <c r="D333"/>
      <c r="E333"/>
      <c r="F333"/>
      <c r="G333"/>
      <c r="H333"/>
      <c r="I333"/>
      <c r="J333"/>
      <c r="K333"/>
      <c r="L333"/>
      <c r="M333"/>
      <c r="N333"/>
      <c r="O333"/>
      <c r="P333" s="168"/>
      <c r="Q333" s="168"/>
      <c r="R333" s="168"/>
      <c r="S333" s="169"/>
      <c r="T333" s="169"/>
      <c r="U333" s="169"/>
      <c r="V333" s="168"/>
      <c r="W333" s="168"/>
      <c r="X333" s="168"/>
      <c r="Y333" s="170"/>
      <c r="Z333" s="171"/>
      <c r="AA333" s="171"/>
      <c r="AB333" s="171"/>
      <c r="AC333" s="171"/>
      <c r="AD333" s="171"/>
      <c r="AE333" s="168"/>
      <c r="AF333" s="170"/>
      <c r="AG333" s="172"/>
      <c r="AH333"/>
      <c r="AI333"/>
    </row>
    <row r="334" spans="1:35" x14ac:dyDescent="0.35">
      <c r="A334"/>
      <c r="B334"/>
      <c r="C334"/>
      <c r="D334"/>
      <c r="E334"/>
      <c r="F334"/>
      <c r="G334"/>
      <c r="H334"/>
      <c r="I334"/>
      <c r="J334"/>
      <c r="K334"/>
      <c r="L334"/>
      <c r="M334"/>
      <c r="N334"/>
      <c r="O334"/>
      <c r="P334" s="168"/>
      <c r="Q334" s="168"/>
      <c r="R334" s="168"/>
      <c r="S334" s="169"/>
      <c r="T334" s="169"/>
      <c r="U334" s="169"/>
      <c r="V334" s="168"/>
      <c r="W334" s="168"/>
      <c r="X334" s="168"/>
      <c r="Y334" s="170"/>
      <c r="Z334" s="171"/>
      <c r="AA334" s="171"/>
      <c r="AB334" s="171"/>
      <c r="AC334" s="171"/>
      <c r="AD334" s="171"/>
      <c r="AE334" s="168"/>
      <c r="AF334" s="170"/>
      <c r="AG334" s="172"/>
      <c r="AH334"/>
      <c r="AI334"/>
    </row>
    <row r="335" spans="1:35" x14ac:dyDescent="0.35">
      <c r="A335"/>
      <c r="B335"/>
      <c r="C335"/>
      <c r="D335"/>
      <c r="E335"/>
      <c r="F335"/>
      <c r="G335"/>
      <c r="H335"/>
      <c r="I335"/>
      <c r="J335"/>
      <c r="K335"/>
      <c r="L335"/>
      <c r="M335"/>
      <c r="N335"/>
      <c r="O335"/>
      <c r="P335" s="168"/>
      <c r="Q335" s="168"/>
      <c r="R335" s="168"/>
      <c r="S335" s="169"/>
      <c r="T335" s="169"/>
      <c r="U335" s="169"/>
      <c r="V335" s="168"/>
      <c r="W335" s="168"/>
      <c r="X335" s="168"/>
      <c r="Y335" s="170"/>
      <c r="Z335" s="171"/>
      <c r="AA335" s="171"/>
      <c r="AB335" s="171"/>
      <c r="AC335" s="171"/>
      <c r="AD335" s="171"/>
      <c r="AE335" s="168"/>
      <c r="AF335" s="170"/>
      <c r="AG335" s="172"/>
      <c r="AH335"/>
      <c r="AI335"/>
    </row>
    <row r="336" spans="1:35" x14ac:dyDescent="0.35">
      <c r="A336"/>
      <c r="B336"/>
      <c r="C336"/>
      <c r="D336"/>
      <c r="E336"/>
      <c r="F336"/>
      <c r="G336"/>
      <c r="H336"/>
      <c r="I336"/>
      <c r="J336"/>
      <c r="K336"/>
      <c r="L336"/>
      <c r="M336"/>
      <c r="N336"/>
      <c r="O336"/>
      <c r="P336" s="168"/>
      <c r="Q336" s="168"/>
      <c r="R336" s="168"/>
      <c r="S336" s="169"/>
      <c r="T336" s="169"/>
      <c r="U336" s="169"/>
      <c r="V336" s="168"/>
      <c r="W336" s="168"/>
      <c r="X336" s="168"/>
      <c r="Y336" s="170"/>
      <c r="Z336" s="171"/>
      <c r="AA336" s="171"/>
      <c r="AB336" s="171"/>
      <c r="AC336" s="171"/>
      <c r="AD336" s="171"/>
      <c r="AE336" s="168"/>
      <c r="AF336" s="170"/>
      <c r="AG336" s="172"/>
      <c r="AH336"/>
      <c r="AI336"/>
    </row>
    <row r="337" spans="1:35" x14ac:dyDescent="0.35">
      <c r="A337"/>
      <c r="B337"/>
      <c r="C337"/>
      <c r="D337"/>
      <c r="E337"/>
      <c r="F337"/>
      <c r="G337"/>
      <c r="H337"/>
      <c r="I337"/>
      <c r="J337"/>
      <c r="K337"/>
      <c r="L337"/>
      <c r="M337"/>
      <c r="N337"/>
      <c r="O337"/>
      <c r="P337" s="168"/>
      <c r="Q337" s="168"/>
      <c r="R337" s="168"/>
      <c r="S337" s="169"/>
      <c r="T337" s="169"/>
      <c r="U337" s="169"/>
      <c r="V337" s="168"/>
      <c r="W337" s="168"/>
      <c r="X337" s="168"/>
      <c r="Y337" s="170"/>
      <c r="Z337" s="171"/>
      <c r="AA337" s="171"/>
      <c r="AB337" s="171"/>
      <c r="AC337" s="171"/>
      <c r="AD337" s="171"/>
      <c r="AE337" s="168"/>
      <c r="AF337" s="170"/>
      <c r="AG337" s="172"/>
      <c r="AH337"/>
      <c r="AI337"/>
    </row>
    <row r="338" spans="1:35" x14ac:dyDescent="0.35">
      <c r="A338"/>
      <c r="B338"/>
      <c r="C338"/>
      <c r="D338"/>
      <c r="E338"/>
      <c r="F338"/>
      <c r="G338"/>
      <c r="H338"/>
      <c r="I338"/>
      <c r="J338"/>
      <c r="K338"/>
      <c r="L338"/>
      <c r="M338"/>
      <c r="N338"/>
      <c r="O338"/>
      <c r="P338" s="168"/>
      <c r="Q338" s="168"/>
      <c r="R338" s="168"/>
      <c r="S338" s="169"/>
      <c r="T338" s="169"/>
      <c r="U338" s="169"/>
      <c r="V338" s="168"/>
      <c r="W338" s="168"/>
      <c r="X338" s="168"/>
      <c r="Y338" s="170"/>
      <c r="Z338" s="171"/>
      <c r="AA338" s="171"/>
      <c r="AB338" s="171"/>
      <c r="AC338" s="171"/>
      <c r="AD338" s="171"/>
      <c r="AE338" s="168"/>
      <c r="AF338" s="170"/>
      <c r="AG338" s="172"/>
      <c r="AH338"/>
      <c r="AI338"/>
    </row>
    <row r="339" spans="1:35" x14ac:dyDescent="0.35">
      <c r="A339"/>
      <c r="B339"/>
      <c r="C339"/>
      <c r="D339"/>
      <c r="E339"/>
      <c r="F339"/>
      <c r="G339"/>
      <c r="H339"/>
      <c r="I339"/>
      <c r="J339"/>
      <c r="K339"/>
      <c r="L339"/>
      <c r="M339"/>
      <c r="N339"/>
      <c r="O339"/>
      <c r="P339" s="168"/>
      <c r="Q339" s="168"/>
      <c r="R339" s="168"/>
      <c r="S339" s="169"/>
      <c r="T339" s="169"/>
      <c r="U339" s="169"/>
      <c r="V339" s="168"/>
      <c r="W339" s="168"/>
      <c r="X339" s="168"/>
      <c r="Y339" s="170"/>
      <c r="Z339" s="171"/>
      <c r="AA339" s="171"/>
      <c r="AB339" s="171"/>
      <c r="AC339" s="171"/>
      <c r="AD339" s="171"/>
      <c r="AE339" s="168"/>
      <c r="AF339" s="170"/>
      <c r="AG339" s="172"/>
      <c r="AH339"/>
      <c r="AI339"/>
    </row>
    <row r="340" spans="1:35" x14ac:dyDescent="0.35">
      <c r="A340"/>
      <c r="B340"/>
      <c r="C340"/>
      <c r="D340"/>
      <c r="E340"/>
      <c r="F340"/>
      <c r="G340"/>
      <c r="H340"/>
      <c r="I340"/>
      <c r="J340"/>
      <c r="K340"/>
      <c r="L340"/>
      <c r="M340"/>
      <c r="N340"/>
      <c r="O340"/>
      <c r="P340" s="168"/>
      <c r="Q340" s="168"/>
      <c r="R340" s="168"/>
      <c r="S340" s="169"/>
      <c r="T340" s="169"/>
      <c r="U340" s="169"/>
      <c r="V340" s="168"/>
      <c r="W340" s="168"/>
      <c r="X340" s="168"/>
      <c r="Y340" s="170"/>
      <c r="Z340" s="171"/>
      <c r="AA340" s="171"/>
      <c r="AB340" s="171"/>
      <c r="AC340" s="171"/>
      <c r="AD340" s="171"/>
      <c r="AE340" s="168"/>
      <c r="AF340" s="170"/>
      <c r="AG340" s="172"/>
      <c r="AH340"/>
      <c r="AI340"/>
    </row>
    <row r="341" spans="1:35" x14ac:dyDescent="0.35">
      <c r="A341"/>
      <c r="B341"/>
      <c r="C341"/>
      <c r="D341"/>
      <c r="E341"/>
      <c r="F341"/>
      <c r="G341"/>
      <c r="H341"/>
      <c r="I341"/>
      <c r="J341"/>
      <c r="K341"/>
      <c r="L341"/>
      <c r="M341"/>
      <c r="N341"/>
      <c r="O341"/>
      <c r="P341" s="168"/>
      <c r="Q341" s="168"/>
      <c r="R341" s="168"/>
      <c r="S341" s="169"/>
      <c r="T341" s="169"/>
      <c r="U341" s="169"/>
      <c r="V341" s="168"/>
      <c r="W341" s="168"/>
      <c r="X341" s="168"/>
      <c r="Y341" s="170"/>
      <c r="Z341" s="171"/>
      <c r="AA341" s="171"/>
      <c r="AB341" s="171"/>
      <c r="AC341" s="171"/>
      <c r="AD341" s="171"/>
      <c r="AE341" s="168"/>
      <c r="AF341" s="170"/>
      <c r="AG341" s="172"/>
      <c r="AH341"/>
      <c r="AI341"/>
    </row>
    <row r="342" spans="1:35" x14ac:dyDescent="0.35">
      <c r="A342"/>
      <c r="B342"/>
      <c r="C342"/>
      <c r="D342"/>
      <c r="E342"/>
      <c r="F342"/>
      <c r="G342"/>
      <c r="H342"/>
      <c r="I342"/>
      <c r="J342"/>
      <c r="K342"/>
      <c r="L342"/>
      <c r="M342"/>
      <c r="N342"/>
      <c r="O342"/>
      <c r="P342" s="168"/>
      <c r="Q342" s="168"/>
      <c r="R342" s="168"/>
      <c r="S342" s="169"/>
      <c r="T342" s="169"/>
      <c r="U342" s="169"/>
      <c r="V342" s="168"/>
      <c r="W342" s="168"/>
      <c r="X342" s="168"/>
      <c r="Y342" s="170"/>
      <c r="Z342" s="171"/>
      <c r="AA342" s="171"/>
      <c r="AB342" s="171"/>
      <c r="AC342" s="171"/>
      <c r="AD342" s="171"/>
      <c r="AE342" s="168"/>
      <c r="AF342" s="170"/>
      <c r="AG342" s="172"/>
      <c r="AH342"/>
      <c r="AI342"/>
    </row>
    <row r="343" spans="1:35" x14ac:dyDescent="0.35">
      <c r="A343"/>
      <c r="B343"/>
      <c r="C343"/>
      <c r="D343"/>
      <c r="E343"/>
      <c r="F343"/>
      <c r="G343"/>
      <c r="H343"/>
      <c r="I343"/>
      <c r="J343"/>
      <c r="K343"/>
      <c r="L343"/>
      <c r="M343"/>
      <c r="N343"/>
      <c r="O343"/>
      <c r="P343" s="168"/>
      <c r="Q343" s="168"/>
      <c r="R343" s="168"/>
      <c r="S343" s="169"/>
      <c r="T343" s="169"/>
      <c r="U343" s="169"/>
      <c r="V343" s="168"/>
      <c r="W343" s="168"/>
      <c r="X343" s="168"/>
      <c r="Y343" s="170"/>
      <c r="Z343" s="171"/>
      <c r="AA343" s="171"/>
      <c r="AB343" s="171"/>
      <c r="AC343" s="171"/>
      <c r="AD343" s="171"/>
      <c r="AE343" s="168"/>
      <c r="AF343" s="170"/>
      <c r="AG343" s="172"/>
      <c r="AH343"/>
      <c r="AI343"/>
    </row>
    <row r="344" spans="1:35" x14ac:dyDescent="0.35">
      <c r="A344"/>
      <c r="B344"/>
      <c r="C344"/>
      <c r="D344"/>
      <c r="E344"/>
      <c r="F344"/>
      <c r="G344"/>
      <c r="H344"/>
      <c r="I344"/>
      <c r="J344"/>
      <c r="K344"/>
      <c r="L344"/>
      <c r="M344"/>
      <c r="N344"/>
      <c r="O344"/>
      <c r="P344" s="168"/>
      <c r="Q344" s="168"/>
      <c r="R344" s="168"/>
      <c r="S344" s="169"/>
      <c r="T344" s="169"/>
      <c r="U344" s="169"/>
      <c r="V344" s="168"/>
      <c r="W344" s="168"/>
      <c r="X344" s="168"/>
      <c r="Y344" s="170"/>
      <c r="Z344" s="171"/>
      <c r="AA344" s="171"/>
      <c r="AB344" s="171"/>
      <c r="AC344" s="171"/>
      <c r="AD344" s="171"/>
      <c r="AE344" s="168"/>
      <c r="AF344" s="170"/>
      <c r="AG344" s="172"/>
      <c r="AH344"/>
      <c r="AI344"/>
    </row>
    <row r="345" spans="1:35" x14ac:dyDescent="0.35">
      <c r="A345"/>
      <c r="B345"/>
      <c r="C345"/>
      <c r="D345"/>
      <c r="E345"/>
      <c r="F345"/>
      <c r="G345"/>
      <c r="H345"/>
      <c r="I345"/>
      <c r="J345"/>
      <c r="K345"/>
      <c r="L345"/>
      <c r="M345"/>
      <c r="N345"/>
      <c r="O345"/>
      <c r="P345" s="168"/>
      <c r="Q345" s="168"/>
      <c r="R345" s="168"/>
      <c r="S345" s="169"/>
      <c r="T345" s="169"/>
      <c r="U345" s="169"/>
      <c r="V345" s="168"/>
      <c r="W345" s="168"/>
      <c r="X345" s="168"/>
      <c r="Y345" s="170"/>
      <c r="Z345" s="171"/>
      <c r="AA345" s="171"/>
      <c r="AB345" s="171"/>
      <c r="AC345" s="171"/>
      <c r="AD345" s="171"/>
      <c r="AE345" s="168"/>
      <c r="AF345" s="170"/>
      <c r="AG345" s="172"/>
      <c r="AH345"/>
      <c r="AI345"/>
    </row>
    <row r="346" spans="1:35" x14ac:dyDescent="0.35">
      <c r="A346"/>
      <c r="B346"/>
      <c r="C346"/>
      <c r="D346"/>
      <c r="E346"/>
      <c r="F346"/>
      <c r="G346"/>
      <c r="H346"/>
      <c r="I346"/>
      <c r="J346"/>
      <c r="K346"/>
      <c r="L346"/>
      <c r="M346"/>
      <c r="N346"/>
      <c r="O346"/>
      <c r="P346" s="168"/>
      <c r="Q346" s="168"/>
      <c r="R346" s="168"/>
      <c r="S346" s="169"/>
      <c r="T346" s="169"/>
      <c r="U346" s="169"/>
      <c r="V346" s="168"/>
      <c r="W346" s="168"/>
      <c r="X346" s="168"/>
      <c r="Y346" s="170"/>
      <c r="Z346" s="171"/>
      <c r="AA346" s="171"/>
      <c r="AB346" s="171"/>
      <c r="AC346" s="171"/>
      <c r="AD346" s="171"/>
      <c r="AE346" s="168"/>
      <c r="AF346" s="170"/>
      <c r="AG346" s="172"/>
      <c r="AH346"/>
      <c r="AI346"/>
    </row>
    <row r="347" spans="1:35" x14ac:dyDescent="0.35">
      <c r="A347"/>
      <c r="B347"/>
      <c r="C347"/>
      <c r="D347"/>
      <c r="E347"/>
      <c r="F347"/>
      <c r="G347"/>
      <c r="H347"/>
      <c r="I347"/>
      <c r="J347"/>
      <c r="K347"/>
      <c r="L347"/>
      <c r="M347"/>
      <c r="N347"/>
      <c r="O347"/>
      <c r="P347" s="168"/>
      <c r="Q347" s="168"/>
      <c r="R347" s="168"/>
      <c r="S347" s="169"/>
      <c r="T347" s="169"/>
      <c r="U347" s="169"/>
      <c r="V347" s="168"/>
      <c r="W347" s="168"/>
      <c r="X347" s="168"/>
      <c r="Y347" s="170"/>
      <c r="Z347" s="171"/>
      <c r="AA347" s="171"/>
      <c r="AB347" s="171"/>
      <c r="AC347" s="171"/>
      <c r="AD347" s="171"/>
      <c r="AE347" s="168"/>
      <c r="AF347" s="170"/>
      <c r="AG347" s="172"/>
      <c r="AH347"/>
      <c r="AI347"/>
    </row>
    <row r="348" spans="1:35" x14ac:dyDescent="0.35">
      <c r="A348"/>
      <c r="B348"/>
      <c r="C348"/>
      <c r="D348"/>
      <c r="E348"/>
      <c r="F348"/>
      <c r="G348"/>
      <c r="H348"/>
      <c r="I348"/>
      <c r="J348"/>
      <c r="K348"/>
      <c r="L348"/>
      <c r="M348"/>
      <c r="N348"/>
      <c r="O348"/>
      <c r="P348" s="168"/>
      <c r="Q348" s="168"/>
      <c r="R348" s="168"/>
      <c r="S348" s="169"/>
      <c r="T348" s="169"/>
      <c r="U348" s="169"/>
      <c r="V348" s="168"/>
      <c r="W348" s="168"/>
      <c r="X348" s="168"/>
      <c r="Y348" s="170"/>
      <c r="Z348" s="171"/>
      <c r="AA348" s="171"/>
      <c r="AB348" s="171"/>
      <c r="AC348" s="171"/>
      <c r="AD348" s="171"/>
      <c r="AE348" s="168"/>
      <c r="AF348" s="170"/>
      <c r="AG348" s="172"/>
      <c r="AH348"/>
      <c r="AI348"/>
    </row>
    <row r="349" spans="1:35" x14ac:dyDescent="0.35">
      <c r="A349"/>
      <c r="B349"/>
      <c r="C349"/>
      <c r="D349"/>
      <c r="E349"/>
      <c r="F349"/>
      <c r="G349"/>
      <c r="H349"/>
      <c r="I349"/>
      <c r="J349"/>
      <c r="K349"/>
      <c r="L349"/>
      <c r="M349"/>
      <c r="N349"/>
      <c r="O349"/>
      <c r="P349" s="168"/>
      <c r="Q349" s="168"/>
      <c r="R349" s="168"/>
      <c r="S349" s="169"/>
      <c r="T349" s="169"/>
      <c r="U349" s="169"/>
      <c r="V349" s="168"/>
      <c r="W349" s="168"/>
      <c r="X349" s="168"/>
      <c r="Y349" s="170"/>
      <c r="Z349" s="171"/>
      <c r="AA349" s="171"/>
      <c r="AB349" s="171"/>
      <c r="AC349" s="171"/>
      <c r="AD349" s="171"/>
      <c r="AE349" s="168"/>
      <c r="AF349" s="170"/>
      <c r="AG349" s="172"/>
      <c r="AH349"/>
      <c r="AI349"/>
    </row>
    <row r="350" spans="1:35" x14ac:dyDescent="0.35">
      <c r="A350"/>
      <c r="B350"/>
      <c r="C350"/>
      <c r="D350"/>
      <c r="E350"/>
      <c r="F350"/>
      <c r="G350"/>
      <c r="H350"/>
      <c r="I350"/>
      <c r="J350"/>
      <c r="K350"/>
      <c r="L350"/>
      <c r="M350"/>
      <c r="N350"/>
      <c r="O350"/>
      <c r="P350" s="168"/>
      <c r="Q350" s="168"/>
      <c r="R350" s="168"/>
      <c r="S350" s="169"/>
      <c r="T350" s="169"/>
      <c r="U350" s="169"/>
      <c r="V350" s="168"/>
      <c r="W350" s="168"/>
      <c r="X350" s="168"/>
      <c r="Y350" s="170"/>
      <c r="Z350" s="171"/>
      <c r="AA350" s="171"/>
      <c r="AB350" s="171"/>
      <c r="AC350" s="171"/>
      <c r="AD350" s="171"/>
      <c r="AE350" s="168"/>
      <c r="AF350" s="170"/>
      <c r="AG350" s="172"/>
      <c r="AH350"/>
      <c r="AI350"/>
    </row>
    <row r="351" spans="1:35" x14ac:dyDescent="0.35">
      <c r="A351"/>
      <c r="B351"/>
      <c r="C351"/>
      <c r="D351"/>
      <c r="E351"/>
      <c r="F351"/>
      <c r="G351"/>
      <c r="H351"/>
      <c r="I351"/>
      <c r="J351"/>
      <c r="K351"/>
      <c r="L351"/>
      <c r="M351"/>
      <c r="N351"/>
      <c r="O351"/>
      <c r="P351" s="168"/>
      <c r="Q351" s="168"/>
      <c r="R351" s="168"/>
      <c r="S351" s="169"/>
      <c r="T351" s="169"/>
      <c r="U351" s="169"/>
      <c r="V351" s="168"/>
      <c r="W351" s="168"/>
      <c r="X351" s="168"/>
      <c r="Y351" s="170"/>
      <c r="Z351" s="171"/>
      <c r="AA351" s="171"/>
      <c r="AB351" s="171"/>
      <c r="AC351" s="171"/>
      <c r="AD351" s="171"/>
      <c r="AE351" s="168"/>
      <c r="AF351" s="170"/>
      <c r="AG351" s="172"/>
      <c r="AH351"/>
      <c r="AI351"/>
    </row>
    <row r="352" spans="1:35" x14ac:dyDescent="0.35">
      <c r="A352"/>
      <c r="B352"/>
      <c r="C352"/>
      <c r="D352"/>
      <c r="E352"/>
      <c r="F352"/>
      <c r="G352"/>
      <c r="H352"/>
      <c r="I352"/>
      <c r="J352"/>
      <c r="K352"/>
      <c r="L352"/>
      <c r="M352"/>
      <c r="N352"/>
      <c r="O352"/>
      <c r="P352" s="168"/>
      <c r="Q352" s="168"/>
      <c r="R352" s="168"/>
      <c r="S352" s="169"/>
      <c r="T352" s="169"/>
      <c r="U352" s="169"/>
      <c r="V352" s="168"/>
      <c r="W352" s="168"/>
      <c r="X352" s="168"/>
      <c r="Y352" s="170"/>
      <c r="Z352" s="171"/>
      <c r="AA352" s="171"/>
      <c r="AB352" s="171"/>
      <c r="AC352" s="171"/>
      <c r="AD352" s="171"/>
      <c r="AE352" s="168"/>
      <c r="AF352" s="170"/>
      <c r="AG352" s="172"/>
      <c r="AH352"/>
      <c r="AI352"/>
    </row>
    <row r="353" spans="1:35" x14ac:dyDescent="0.35">
      <c r="A353"/>
      <c r="B353"/>
      <c r="C353"/>
      <c r="D353"/>
      <c r="E353"/>
      <c r="F353"/>
      <c r="G353"/>
      <c r="H353"/>
      <c r="I353"/>
      <c r="J353"/>
      <c r="K353"/>
      <c r="L353"/>
      <c r="M353"/>
      <c r="N353"/>
      <c r="O353"/>
      <c r="P353" s="168"/>
      <c r="Q353" s="168"/>
      <c r="R353" s="168"/>
      <c r="S353" s="169"/>
      <c r="T353" s="169"/>
      <c r="U353" s="169"/>
      <c r="V353" s="168"/>
      <c r="W353" s="168"/>
      <c r="X353" s="168"/>
      <c r="Y353" s="170"/>
      <c r="Z353" s="171"/>
      <c r="AA353" s="171"/>
      <c r="AB353" s="171"/>
      <c r="AC353" s="171"/>
      <c r="AD353" s="171"/>
      <c r="AE353" s="168"/>
      <c r="AF353" s="170"/>
      <c r="AG353" s="172"/>
      <c r="AH353"/>
      <c r="AI353"/>
    </row>
    <row r="354" spans="1:35" x14ac:dyDescent="0.35">
      <c r="A354"/>
      <c r="B354"/>
      <c r="C354"/>
      <c r="D354"/>
      <c r="E354"/>
      <c r="F354"/>
      <c r="G354"/>
      <c r="H354"/>
      <c r="I354"/>
      <c r="J354"/>
      <c r="K354"/>
      <c r="L354"/>
      <c r="M354"/>
      <c r="N354"/>
      <c r="O354"/>
      <c r="P354" s="168"/>
      <c r="Q354" s="168"/>
      <c r="R354" s="168"/>
      <c r="S354" s="169"/>
      <c r="T354" s="169"/>
      <c r="U354" s="169"/>
      <c r="V354" s="168"/>
      <c r="W354" s="168"/>
      <c r="X354" s="168"/>
      <c r="Y354" s="170"/>
      <c r="Z354" s="171"/>
      <c r="AA354" s="171"/>
      <c r="AB354" s="171"/>
      <c r="AC354" s="171"/>
      <c r="AD354" s="171"/>
      <c r="AE354" s="168"/>
      <c r="AF354" s="170"/>
      <c r="AG354" s="172"/>
      <c r="AH354"/>
      <c r="AI354"/>
    </row>
    <row r="355" spans="1:35" x14ac:dyDescent="0.35">
      <c r="A355"/>
      <c r="B355"/>
      <c r="C355"/>
      <c r="D355"/>
      <c r="E355"/>
      <c r="F355"/>
      <c r="G355"/>
      <c r="H355"/>
      <c r="I355"/>
      <c r="J355"/>
      <c r="K355"/>
      <c r="L355"/>
      <c r="M355"/>
      <c r="N355"/>
      <c r="O355"/>
      <c r="P355" s="168"/>
      <c r="Q355" s="168"/>
      <c r="R355" s="168"/>
      <c r="S355" s="169"/>
      <c r="T355" s="169"/>
      <c r="U355" s="169"/>
      <c r="V355" s="168"/>
      <c r="W355" s="168"/>
      <c r="X355" s="168"/>
      <c r="Y355" s="170"/>
      <c r="Z355" s="171"/>
      <c r="AA355" s="171"/>
      <c r="AB355" s="171"/>
      <c r="AC355" s="171"/>
      <c r="AD355" s="171"/>
      <c r="AE355" s="168"/>
      <c r="AF355" s="170"/>
      <c r="AG355" s="172"/>
      <c r="AH355"/>
      <c r="AI355"/>
    </row>
    <row r="356" spans="1:35" x14ac:dyDescent="0.35">
      <c r="A356"/>
      <c r="B356"/>
      <c r="C356"/>
      <c r="D356"/>
      <c r="E356"/>
      <c r="F356"/>
      <c r="G356"/>
      <c r="H356"/>
      <c r="I356"/>
      <c r="J356"/>
      <c r="K356"/>
      <c r="L356"/>
      <c r="M356"/>
      <c r="N356"/>
      <c r="O356"/>
      <c r="P356" s="168"/>
      <c r="Q356" s="168"/>
      <c r="R356" s="168"/>
      <c r="S356" s="169"/>
      <c r="T356" s="169"/>
      <c r="U356" s="169"/>
      <c r="V356" s="168"/>
      <c r="W356" s="168"/>
      <c r="X356" s="168"/>
      <c r="Y356" s="170"/>
      <c r="Z356" s="171"/>
      <c r="AA356" s="171"/>
      <c r="AB356" s="171"/>
      <c r="AC356" s="171"/>
      <c r="AD356" s="171"/>
      <c r="AE356" s="168"/>
      <c r="AF356" s="170"/>
      <c r="AG356" s="172"/>
      <c r="AH356"/>
      <c r="AI356"/>
    </row>
    <row r="357" spans="1:35" x14ac:dyDescent="0.35">
      <c r="A357"/>
      <c r="B357"/>
      <c r="C357"/>
      <c r="D357"/>
      <c r="E357"/>
      <c r="F357"/>
      <c r="G357"/>
      <c r="H357"/>
      <c r="I357"/>
      <c r="J357"/>
      <c r="K357"/>
      <c r="L357"/>
      <c r="M357"/>
      <c r="N357"/>
      <c r="O357"/>
      <c r="P357" s="168"/>
      <c r="Q357" s="168"/>
      <c r="R357" s="168"/>
      <c r="S357" s="169"/>
      <c r="T357" s="169"/>
      <c r="U357" s="169"/>
      <c r="V357" s="168"/>
      <c r="W357" s="168"/>
      <c r="X357" s="168"/>
      <c r="Y357" s="170"/>
      <c r="Z357" s="171"/>
      <c r="AA357" s="171"/>
      <c r="AB357" s="171"/>
      <c r="AC357" s="171"/>
      <c r="AD357" s="171"/>
      <c r="AE357" s="168"/>
      <c r="AF357" s="170"/>
      <c r="AG357" s="172"/>
      <c r="AH357"/>
      <c r="AI357"/>
    </row>
    <row r="358" spans="1:35" x14ac:dyDescent="0.35">
      <c r="A358"/>
      <c r="B358"/>
      <c r="C358"/>
      <c r="D358"/>
      <c r="E358"/>
      <c r="F358"/>
      <c r="G358"/>
      <c r="H358"/>
      <c r="I358"/>
      <c r="J358"/>
      <c r="K358"/>
      <c r="L358"/>
      <c r="M358"/>
      <c r="N358"/>
      <c r="O358"/>
      <c r="P358" s="168"/>
      <c r="Q358" s="168"/>
      <c r="R358" s="168"/>
      <c r="S358" s="169"/>
      <c r="T358" s="169"/>
      <c r="U358" s="169"/>
      <c r="V358" s="168"/>
      <c r="W358" s="168"/>
      <c r="X358" s="168"/>
      <c r="Y358" s="170"/>
      <c r="Z358" s="171"/>
      <c r="AA358" s="171"/>
      <c r="AB358" s="171"/>
      <c r="AC358" s="171"/>
      <c r="AD358" s="171"/>
      <c r="AE358" s="168"/>
      <c r="AF358" s="170"/>
      <c r="AG358" s="172"/>
      <c r="AH358"/>
      <c r="AI358"/>
    </row>
    <row r="359" spans="1:35" x14ac:dyDescent="0.35">
      <c r="A359"/>
      <c r="B359"/>
      <c r="C359"/>
      <c r="D359"/>
      <c r="E359"/>
      <c r="F359"/>
      <c r="G359"/>
      <c r="H359"/>
      <c r="I359"/>
      <c r="J359"/>
      <c r="K359"/>
      <c r="L359"/>
      <c r="M359"/>
      <c r="N359"/>
      <c r="O359"/>
      <c r="P359" s="168"/>
      <c r="Q359" s="168"/>
      <c r="R359" s="168"/>
      <c r="S359" s="169"/>
      <c r="T359" s="169"/>
      <c r="U359" s="169"/>
      <c r="V359" s="168"/>
      <c r="W359" s="168"/>
      <c r="X359" s="168"/>
      <c r="Y359" s="170"/>
      <c r="Z359" s="171"/>
      <c r="AA359" s="171"/>
      <c r="AB359" s="171"/>
      <c r="AC359" s="171"/>
      <c r="AD359" s="171"/>
      <c r="AE359" s="168"/>
      <c r="AF359" s="170"/>
      <c r="AG359" s="172"/>
      <c r="AH359"/>
      <c r="AI359"/>
    </row>
    <row r="360" spans="1:35" x14ac:dyDescent="0.35">
      <c r="A360"/>
      <c r="B360"/>
      <c r="C360"/>
      <c r="D360"/>
      <c r="E360"/>
      <c r="F360"/>
      <c r="G360"/>
      <c r="H360"/>
      <c r="I360"/>
      <c r="J360"/>
      <c r="K360"/>
      <c r="L360"/>
      <c r="M360"/>
      <c r="N360"/>
      <c r="O360"/>
      <c r="P360" s="168"/>
      <c r="Q360" s="168"/>
      <c r="R360" s="168"/>
      <c r="S360" s="169"/>
      <c r="T360" s="169"/>
      <c r="U360" s="169"/>
      <c r="V360" s="168"/>
      <c r="W360" s="168"/>
      <c r="X360" s="168"/>
      <c r="Y360" s="170"/>
      <c r="Z360" s="171"/>
      <c r="AA360" s="171"/>
      <c r="AB360" s="171"/>
      <c r="AC360" s="171"/>
      <c r="AD360" s="171"/>
      <c r="AE360" s="168"/>
      <c r="AF360" s="170"/>
      <c r="AG360" s="172"/>
      <c r="AH360"/>
      <c r="AI360"/>
    </row>
    <row r="361" spans="1:35" x14ac:dyDescent="0.35">
      <c r="A361"/>
      <c r="B361"/>
      <c r="C361"/>
      <c r="D361"/>
      <c r="E361"/>
      <c r="F361"/>
      <c r="G361"/>
      <c r="H361"/>
      <c r="I361"/>
      <c r="J361"/>
      <c r="K361"/>
      <c r="L361"/>
      <c r="M361"/>
      <c r="N361"/>
      <c r="O361"/>
      <c r="P361" s="168"/>
      <c r="Q361" s="168"/>
      <c r="R361" s="168"/>
      <c r="S361" s="169"/>
      <c r="T361" s="169"/>
      <c r="U361" s="169"/>
      <c r="V361" s="168"/>
      <c r="W361" s="168"/>
      <c r="X361" s="168"/>
      <c r="Y361" s="170"/>
      <c r="Z361" s="171"/>
      <c r="AA361" s="171"/>
      <c r="AB361" s="171"/>
      <c r="AC361" s="171"/>
      <c r="AD361" s="171"/>
      <c r="AE361" s="168"/>
      <c r="AF361" s="170"/>
      <c r="AG361" s="172"/>
      <c r="AH361"/>
      <c r="AI361"/>
    </row>
    <row r="362" spans="1:35" x14ac:dyDescent="0.35">
      <c r="A362"/>
      <c r="B362"/>
      <c r="C362"/>
      <c r="D362"/>
      <c r="E362"/>
      <c r="F362"/>
      <c r="G362"/>
      <c r="H362"/>
      <c r="I362"/>
      <c r="J362"/>
      <c r="K362"/>
      <c r="L362"/>
      <c r="M362"/>
      <c r="N362"/>
      <c r="O362"/>
      <c r="P362" s="168"/>
      <c r="Q362" s="168"/>
      <c r="R362" s="168"/>
      <c r="S362" s="169"/>
      <c r="T362" s="169"/>
      <c r="U362" s="169"/>
      <c r="V362" s="168"/>
      <c r="W362" s="168"/>
      <c r="X362" s="168"/>
      <c r="Y362" s="170"/>
      <c r="Z362" s="171"/>
      <c r="AA362" s="171"/>
      <c r="AB362" s="171"/>
      <c r="AC362" s="171"/>
      <c r="AD362" s="171"/>
      <c r="AE362" s="168"/>
      <c r="AF362" s="170"/>
      <c r="AG362" s="172"/>
      <c r="AH362"/>
      <c r="AI362"/>
    </row>
    <row r="363" spans="1:35" x14ac:dyDescent="0.35">
      <c r="A363"/>
      <c r="B363"/>
      <c r="C363"/>
      <c r="D363"/>
      <c r="E363"/>
      <c r="F363"/>
      <c r="G363"/>
      <c r="H363"/>
      <c r="I363"/>
      <c r="J363"/>
      <c r="K363"/>
      <c r="L363"/>
      <c r="M363"/>
      <c r="N363"/>
      <c r="O363"/>
      <c r="P363" s="168"/>
      <c r="Q363" s="168"/>
      <c r="R363" s="168"/>
      <c r="S363" s="169"/>
      <c r="T363" s="169"/>
      <c r="U363" s="169"/>
      <c r="V363" s="168"/>
      <c r="W363" s="168"/>
      <c r="X363" s="168"/>
      <c r="Y363" s="170"/>
      <c r="Z363" s="171"/>
      <c r="AA363" s="171"/>
      <c r="AB363" s="171"/>
      <c r="AC363" s="171"/>
      <c r="AD363" s="171"/>
      <c r="AE363" s="168"/>
      <c r="AF363" s="170"/>
      <c r="AG363" s="172"/>
      <c r="AH363"/>
      <c r="AI363"/>
    </row>
    <row r="364" spans="1:35" x14ac:dyDescent="0.35">
      <c r="A364"/>
      <c r="B364"/>
      <c r="C364"/>
      <c r="D364"/>
      <c r="E364"/>
      <c r="F364"/>
      <c r="G364"/>
      <c r="H364"/>
      <c r="I364"/>
      <c r="J364"/>
      <c r="K364"/>
      <c r="L364"/>
      <c r="M364"/>
      <c r="N364"/>
      <c r="O364"/>
      <c r="P364" s="168"/>
      <c r="Q364" s="168"/>
      <c r="R364" s="168"/>
      <c r="S364" s="169"/>
      <c r="T364" s="169"/>
      <c r="U364" s="169"/>
      <c r="V364" s="168"/>
      <c r="W364" s="168"/>
      <c r="X364" s="168"/>
      <c r="Y364" s="170"/>
      <c r="Z364" s="171"/>
      <c r="AA364" s="171"/>
      <c r="AB364" s="171"/>
      <c r="AC364" s="171"/>
      <c r="AD364" s="171"/>
      <c r="AE364" s="168"/>
      <c r="AF364" s="170"/>
      <c r="AG364" s="172"/>
      <c r="AH364"/>
      <c r="AI364"/>
    </row>
    <row r="365" spans="1:35" x14ac:dyDescent="0.35">
      <c r="A365"/>
      <c r="B365"/>
      <c r="C365"/>
      <c r="D365"/>
      <c r="E365"/>
      <c r="F365"/>
      <c r="G365"/>
      <c r="H365"/>
      <c r="I365"/>
      <c r="J365"/>
      <c r="K365"/>
      <c r="L365"/>
      <c r="M365"/>
      <c r="N365"/>
      <c r="O365"/>
      <c r="P365" s="168"/>
      <c r="Q365" s="168"/>
      <c r="R365" s="168"/>
      <c r="S365" s="169"/>
      <c r="T365" s="169"/>
      <c r="U365" s="169"/>
      <c r="V365" s="168"/>
      <c r="W365" s="168"/>
      <c r="X365" s="168"/>
      <c r="Y365" s="170"/>
      <c r="Z365" s="171"/>
      <c r="AA365" s="171"/>
      <c r="AB365" s="171"/>
      <c r="AC365" s="171"/>
      <c r="AD365" s="171"/>
      <c r="AE365" s="168"/>
      <c r="AF365" s="170"/>
      <c r="AG365" s="172"/>
      <c r="AH365"/>
      <c r="AI365"/>
    </row>
    <row r="366" spans="1:35" x14ac:dyDescent="0.35">
      <c r="A366"/>
      <c r="B366"/>
      <c r="C366"/>
      <c r="D366"/>
      <c r="E366"/>
      <c r="F366"/>
      <c r="G366"/>
      <c r="H366"/>
      <c r="I366"/>
      <c r="J366"/>
      <c r="K366"/>
      <c r="L366"/>
      <c r="M366"/>
      <c r="N366"/>
      <c r="O366"/>
      <c r="P366" s="168"/>
      <c r="Q366" s="168"/>
      <c r="R366" s="168"/>
      <c r="S366" s="169"/>
      <c r="T366" s="169"/>
      <c r="U366" s="169"/>
      <c r="V366" s="168"/>
      <c r="W366" s="168"/>
      <c r="X366" s="168"/>
      <c r="Y366" s="170"/>
      <c r="Z366" s="171"/>
      <c r="AA366" s="171"/>
      <c r="AB366" s="171"/>
      <c r="AC366" s="171"/>
      <c r="AD366" s="171"/>
      <c r="AE366" s="168"/>
      <c r="AF366" s="170"/>
      <c r="AG366" s="172"/>
      <c r="AH366"/>
      <c r="AI366"/>
    </row>
    <row r="367" spans="1:35" x14ac:dyDescent="0.35">
      <c r="A367"/>
      <c r="B367"/>
      <c r="C367"/>
      <c r="D367"/>
      <c r="E367"/>
      <c r="F367"/>
      <c r="G367"/>
      <c r="H367"/>
      <c r="I367"/>
      <c r="J367"/>
      <c r="K367"/>
      <c r="L367"/>
      <c r="M367"/>
      <c r="N367"/>
      <c r="O367"/>
      <c r="P367" s="168"/>
      <c r="Q367" s="168"/>
      <c r="R367" s="168"/>
      <c r="S367" s="169"/>
      <c r="T367" s="169"/>
      <c r="U367" s="169"/>
      <c r="V367" s="168"/>
      <c r="W367" s="168"/>
      <c r="X367" s="168"/>
      <c r="Y367" s="170"/>
      <c r="Z367" s="171"/>
      <c r="AA367" s="171"/>
      <c r="AB367" s="171"/>
      <c r="AC367" s="171"/>
      <c r="AD367" s="171"/>
      <c r="AE367" s="168"/>
      <c r="AF367" s="170"/>
      <c r="AG367" s="172"/>
      <c r="AH367"/>
      <c r="AI367"/>
    </row>
    <row r="368" spans="1:35" x14ac:dyDescent="0.35">
      <c r="A368"/>
      <c r="B368"/>
      <c r="C368"/>
      <c r="D368"/>
      <c r="E368"/>
      <c r="F368"/>
      <c r="G368"/>
      <c r="H368"/>
      <c r="I368"/>
      <c r="J368"/>
      <c r="K368"/>
      <c r="L368"/>
      <c r="M368"/>
      <c r="N368"/>
      <c r="O368"/>
      <c r="P368" s="168"/>
      <c r="Q368" s="168"/>
      <c r="R368" s="168"/>
      <c r="S368" s="169"/>
      <c r="T368" s="169"/>
      <c r="U368" s="169"/>
      <c r="V368" s="168"/>
      <c r="W368" s="168"/>
      <c r="X368" s="168"/>
      <c r="Y368" s="170"/>
      <c r="Z368" s="171"/>
      <c r="AA368" s="171"/>
      <c r="AB368" s="171"/>
      <c r="AC368" s="171"/>
      <c r="AD368" s="171"/>
      <c r="AE368" s="168"/>
      <c r="AF368" s="170"/>
      <c r="AG368" s="172"/>
      <c r="AH368"/>
      <c r="AI368"/>
    </row>
    <row r="369" spans="1:35" x14ac:dyDescent="0.35">
      <c r="A369"/>
      <c r="B369"/>
      <c r="C369"/>
      <c r="D369"/>
      <c r="E369"/>
      <c r="F369"/>
      <c r="G369"/>
      <c r="H369"/>
      <c r="I369"/>
      <c r="J369"/>
      <c r="K369"/>
      <c r="L369"/>
      <c r="M369"/>
      <c r="N369"/>
      <c r="O369"/>
      <c r="P369" s="168"/>
      <c r="Q369" s="168"/>
      <c r="R369" s="168"/>
      <c r="S369" s="169"/>
      <c r="T369" s="169"/>
      <c r="U369" s="169"/>
      <c r="V369" s="168"/>
      <c r="W369" s="168"/>
      <c r="X369" s="168"/>
      <c r="Y369" s="170"/>
      <c r="Z369" s="171"/>
      <c r="AA369" s="171"/>
      <c r="AB369" s="171"/>
      <c r="AC369" s="171"/>
      <c r="AD369" s="171"/>
      <c r="AE369" s="168"/>
      <c r="AF369" s="170"/>
      <c r="AG369" s="172"/>
      <c r="AH369"/>
      <c r="AI369"/>
    </row>
    <row r="370" spans="1:35" x14ac:dyDescent="0.35">
      <c r="A370"/>
      <c r="B370"/>
      <c r="C370"/>
      <c r="D370"/>
      <c r="E370"/>
      <c r="F370"/>
      <c r="G370"/>
      <c r="H370"/>
      <c r="I370"/>
      <c r="J370"/>
      <c r="K370"/>
      <c r="L370"/>
      <c r="M370"/>
      <c r="N370"/>
      <c r="O370"/>
      <c r="P370" s="168"/>
      <c r="Q370" s="168"/>
      <c r="R370" s="168"/>
      <c r="S370" s="169"/>
      <c r="T370" s="169"/>
      <c r="U370" s="169"/>
      <c r="V370" s="168"/>
      <c r="W370" s="168"/>
      <c r="X370" s="168"/>
      <c r="Y370" s="170"/>
      <c r="Z370" s="171"/>
      <c r="AA370" s="171"/>
      <c r="AB370" s="171"/>
      <c r="AC370" s="171"/>
      <c r="AD370" s="171"/>
      <c r="AE370" s="168"/>
      <c r="AF370" s="170"/>
      <c r="AG370" s="172"/>
      <c r="AH370"/>
      <c r="AI370"/>
    </row>
    <row r="371" spans="1:35" x14ac:dyDescent="0.35">
      <c r="A371"/>
      <c r="B371"/>
      <c r="C371"/>
      <c r="D371"/>
      <c r="E371"/>
      <c r="F371"/>
      <c r="G371"/>
      <c r="H371"/>
      <c r="I371"/>
      <c r="J371"/>
      <c r="K371"/>
      <c r="L371"/>
      <c r="M371"/>
      <c r="N371"/>
      <c r="O371"/>
      <c r="P371" s="168"/>
      <c r="Q371" s="168"/>
      <c r="R371" s="168"/>
      <c r="S371" s="169"/>
      <c r="T371" s="169"/>
      <c r="U371" s="169"/>
      <c r="V371" s="168"/>
      <c r="W371" s="168"/>
      <c r="X371" s="168"/>
      <c r="Y371" s="170"/>
      <c r="Z371" s="171"/>
      <c r="AA371" s="171"/>
      <c r="AB371" s="171"/>
      <c r="AC371" s="171"/>
      <c r="AD371" s="171"/>
      <c r="AE371" s="168"/>
      <c r="AF371" s="170"/>
      <c r="AG371" s="172"/>
      <c r="AH371"/>
      <c r="AI371"/>
    </row>
    <row r="372" spans="1:35" x14ac:dyDescent="0.35">
      <c r="A372"/>
      <c r="B372"/>
      <c r="C372"/>
      <c r="D372"/>
      <c r="E372"/>
      <c r="F372"/>
      <c r="G372"/>
      <c r="H372"/>
      <c r="I372"/>
      <c r="J372"/>
      <c r="K372"/>
      <c r="L372"/>
      <c r="M372"/>
      <c r="N372"/>
      <c r="O372"/>
      <c r="P372" s="168"/>
      <c r="Q372" s="168"/>
      <c r="R372" s="168"/>
      <c r="S372" s="169"/>
      <c r="T372" s="169"/>
      <c r="U372" s="169"/>
      <c r="V372" s="168"/>
      <c r="W372" s="168"/>
      <c r="X372" s="168"/>
      <c r="Y372" s="170"/>
      <c r="Z372" s="171"/>
      <c r="AA372" s="171"/>
      <c r="AB372" s="171"/>
      <c r="AC372" s="171"/>
      <c r="AD372" s="171"/>
      <c r="AE372" s="168"/>
      <c r="AF372" s="170"/>
      <c r="AG372" s="172"/>
      <c r="AH372"/>
      <c r="AI372"/>
    </row>
    <row r="373" spans="1:35" x14ac:dyDescent="0.35">
      <c r="A373"/>
      <c r="B373"/>
      <c r="C373"/>
      <c r="D373"/>
      <c r="E373"/>
      <c r="F373"/>
      <c r="G373"/>
      <c r="H373"/>
      <c r="I373"/>
      <c r="J373"/>
      <c r="K373"/>
      <c r="L373"/>
      <c r="M373"/>
      <c r="N373"/>
      <c r="O373"/>
      <c r="P373" s="168"/>
      <c r="Q373" s="168"/>
      <c r="R373" s="168"/>
      <c r="S373" s="169"/>
      <c r="T373" s="169"/>
      <c r="U373" s="169"/>
      <c r="V373" s="168"/>
      <c r="W373" s="168"/>
      <c r="X373" s="168"/>
      <c r="Y373" s="170"/>
      <c r="Z373" s="171"/>
      <c r="AA373" s="171"/>
      <c r="AB373" s="171"/>
      <c r="AC373" s="171"/>
      <c r="AD373" s="171"/>
      <c r="AE373" s="168"/>
      <c r="AF373" s="170"/>
      <c r="AG373" s="172"/>
      <c r="AH373"/>
      <c r="AI373"/>
    </row>
    <row r="374" spans="1:35" x14ac:dyDescent="0.35">
      <c r="A374"/>
      <c r="B374"/>
      <c r="C374"/>
      <c r="D374"/>
      <c r="E374"/>
      <c r="F374"/>
      <c r="G374"/>
      <c r="H374"/>
      <c r="I374"/>
      <c r="J374"/>
      <c r="K374"/>
      <c r="L374"/>
      <c r="M374"/>
      <c r="N374"/>
      <c r="O374"/>
      <c r="P374" s="168"/>
      <c r="Q374" s="168"/>
      <c r="R374" s="168"/>
      <c r="S374" s="169"/>
      <c r="T374" s="169"/>
      <c r="U374" s="169"/>
      <c r="V374" s="168"/>
      <c r="W374" s="168"/>
      <c r="X374" s="168"/>
      <c r="Y374" s="170"/>
      <c r="Z374" s="171"/>
      <c r="AA374" s="171"/>
      <c r="AB374" s="171"/>
      <c r="AC374" s="171"/>
      <c r="AD374" s="171"/>
      <c r="AE374" s="168"/>
      <c r="AF374" s="170"/>
      <c r="AG374" s="172"/>
      <c r="AH374"/>
      <c r="AI374"/>
    </row>
    <row r="375" spans="1:35" x14ac:dyDescent="0.35">
      <c r="A375"/>
      <c r="B375"/>
      <c r="C375"/>
      <c r="D375"/>
      <c r="E375"/>
      <c r="F375"/>
      <c r="G375"/>
      <c r="H375"/>
      <c r="I375"/>
      <c r="J375"/>
      <c r="K375"/>
      <c r="L375"/>
      <c r="M375"/>
      <c r="N375"/>
      <c r="O375"/>
      <c r="P375" s="168"/>
      <c r="Q375" s="168"/>
      <c r="R375" s="168"/>
      <c r="S375" s="169"/>
      <c r="T375" s="169"/>
      <c r="U375" s="169"/>
      <c r="V375" s="168"/>
      <c r="W375" s="168"/>
      <c r="X375" s="168"/>
      <c r="Y375" s="170"/>
      <c r="Z375" s="171"/>
      <c r="AA375" s="171"/>
      <c r="AB375" s="171"/>
      <c r="AC375" s="171"/>
      <c r="AD375" s="171"/>
      <c r="AE375" s="168"/>
      <c r="AF375" s="170"/>
      <c r="AG375" s="172"/>
      <c r="AH375"/>
      <c r="AI375"/>
    </row>
    <row r="376" spans="1:35" x14ac:dyDescent="0.35">
      <c r="A376"/>
      <c r="B376"/>
      <c r="C376"/>
      <c r="D376"/>
      <c r="E376"/>
      <c r="F376"/>
      <c r="G376"/>
      <c r="H376"/>
      <c r="I376"/>
      <c r="J376"/>
      <c r="K376"/>
      <c r="L376"/>
      <c r="M376"/>
      <c r="N376"/>
      <c r="O376"/>
      <c r="P376" s="168"/>
      <c r="Q376" s="168"/>
      <c r="R376" s="168"/>
      <c r="S376" s="169"/>
      <c r="T376" s="169"/>
      <c r="U376" s="169"/>
      <c r="V376" s="168"/>
      <c r="W376" s="168"/>
      <c r="X376" s="168"/>
      <c r="Y376" s="170"/>
      <c r="Z376" s="171"/>
      <c r="AA376" s="171"/>
      <c r="AB376" s="171"/>
      <c r="AC376" s="171"/>
      <c r="AD376" s="171"/>
      <c r="AE376" s="168"/>
      <c r="AF376" s="170"/>
      <c r="AG376" s="172"/>
      <c r="AH376"/>
      <c r="AI376"/>
    </row>
    <row r="377" spans="1:35" x14ac:dyDescent="0.35">
      <c r="A377"/>
      <c r="B377"/>
      <c r="C377"/>
      <c r="D377"/>
      <c r="E377"/>
      <c r="F377"/>
      <c r="G377"/>
      <c r="H377"/>
      <c r="I377"/>
      <c r="J377"/>
      <c r="K377"/>
      <c r="L377"/>
      <c r="M377"/>
      <c r="N377"/>
      <c r="O377"/>
      <c r="P377" s="168"/>
      <c r="Q377" s="168"/>
      <c r="R377" s="168"/>
      <c r="S377" s="169"/>
      <c r="T377" s="169"/>
      <c r="U377" s="169"/>
      <c r="V377" s="168"/>
      <c r="W377" s="168"/>
      <c r="X377" s="168"/>
      <c r="Y377" s="170"/>
      <c r="Z377" s="171"/>
      <c r="AA377" s="171"/>
      <c r="AB377" s="171"/>
      <c r="AC377" s="171"/>
      <c r="AD377" s="171"/>
      <c r="AE377" s="168"/>
      <c r="AF377" s="170"/>
      <c r="AG377" s="172"/>
      <c r="AH377"/>
      <c r="AI377"/>
    </row>
    <row r="378" spans="1:35" x14ac:dyDescent="0.35">
      <c r="A378"/>
      <c r="B378"/>
      <c r="C378"/>
      <c r="D378"/>
      <c r="E378"/>
      <c r="F378"/>
      <c r="G378"/>
      <c r="H378"/>
      <c r="I378"/>
      <c r="J378"/>
      <c r="K378"/>
      <c r="L378"/>
      <c r="M378"/>
      <c r="N378"/>
      <c r="O378"/>
      <c r="P378" s="168"/>
      <c r="Q378" s="168"/>
      <c r="R378" s="168"/>
      <c r="S378" s="169"/>
      <c r="T378" s="169"/>
      <c r="U378" s="169"/>
      <c r="V378" s="168"/>
      <c r="W378" s="168"/>
      <c r="X378" s="168"/>
      <c r="Y378" s="170"/>
      <c r="Z378" s="171"/>
      <c r="AA378" s="171"/>
      <c r="AB378" s="171"/>
      <c r="AC378" s="171"/>
      <c r="AD378" s="171"/>
      <c r="AE378" s="168"/>
      <c r="AF378" s="170"/>
      <c r="AG378" s="172"/>
      <c r="AH378"/>
      <c r="AI378"/>
    </row>
    <row r="379" spans="1:35" x14ac:dyDescent="0.35">
      <c r="A379"/>
      <c r="B379"/>
      <c r="C379"/>
      <c r="D379"/>
      <c r="E379"/>
      <c r="F379"/>
      <c r="G379"/>
      <c r="H379"/>
      <c r="I379"/>
      <c r="J379"/>
      <c r="K379"/>
      <c r="L379"/>
      <c r="M379"/>
      <c r="N379"/>
      <c r="O379"/>
      <c r="P379" s="168"/>
      <c r="Q379" s="168"/>
      <c r="R379" s="168"/>
      <c r="S379" s="169"/>
      <c r="T379" s="169"/>
      <c r="U379" s="169"/>
      <c r="V379" s="168"/>
      <c r="W379" s="168"/>
      <c r="X379" s="168"/>
      <c r="Y379" s="170"/>
      <c r="Z379" s="171"/>
      <c r="AA379" s="171"/>
      <c r="AB379" s="171"/>
      <c r="AC379" s="171"/>
      <c r="AD379" s="171"/>
      <c r="AE379" s="168"/>
      <c r="AF379" s="170"/>
      <c r="AG379" s="172"/>
      <c r="AH379"/>
      <c r="AI379"/>
    </row>
    <row r="380" spans="1:35" x14ac:dyDescent="0.35">
      <c r="A380"/>
      <c r="B380"/>
      <c r="C380"/>
      <c r="D380"/>
      <c r="E380"/>
      <c r="F380"/>
      <c r="G380"/>
      <c r="H380"/>
      <c r="I380"/>
      <c r="J380"/>
      <c r="K380"/>
      <c r="L380"/>
      <c r="M380"/>
      <c r="N380"/>
      <c r="O380"/>
      <c r="P380" s="168"/>
      <c r="Q380" s="168"/>
      <c r="R380" s="168"/>
      <c r="S380" s="169"/>
      <c r="T380" s="169"/>
      <c r="U380" s="169"/>
      <c r="V380" s="168"/>
      <c r="W380" s="168"/>
      <c r="X380" s="168"/>
      <c r="Y380" s="170"/>
      <c r="Z380" s="171"/>
      <c r="AA380" s="171"/>
      <c r="AB380" s="171"/>
      <c r="AC380" s="171"/>
      <c r="AD380" s="171"/>
      <c r="AE380" s="168"/>
      <c r="AF380" s="170"/>
      <c r="AG380" s="172"/>
      <c r="AH380"/>
      <c r="AI380"/>
    </row>
    <row r="381" spans="1:35" x14ac:dyDescent="0.35">
      <c r="A381"/>
      <c r="B381"/>
      <c r="C381"/>
      <c r="D381"/>
      <c r="E381"/>
      <c r="F381"/>
      <c r="G381"/>
      <c r="H381"/>
      <c r="I381"/>
      <c r="J381"/>
      <c r="K381"/>
      <c r="L381"/>
      <c r="M381"/>
      <c r="N381"/>
      <c r="O381"/>
      <c r="P381" s="168"/>
      <c r="Q381" s="168"/>
      <c r="R381" s="168"/>
      <c r="S381" s="169"/>
      <c r="T381" s="169"/>
      <c r="U381" s="169"/>
      <c r="V381" s="168"/>
      <c r="W381" s="168"/>
      <c r="X381" s="168"/>
      <c r="Y381" s="170"/>
      <c r="Z381" s="171"/>
      <c r="AA381" s="171"/>
      <c r="AB381" s="171"/>
      <c r="AC381" s="171"/>
      <c r="AD381" s="171"/>
      <c r="AE381" s="168"/>
      <c r="AF381" s="170"/>
      <c r="AG381" s="172"/>
      <c r="AH381"/>
      <c r="AI381"/>
    </row>
    <row r="382" spans="1:35" x14ac:dyDescent="0.35">
      <c r="A382"/>
      <c r="B382"/>
      <c r="C382"/>
      <c r="D382"/>
      <c r="E382"/>
      <c r="F382"/>
      <c r="G382"/>
      <c r="H382"/>
      <c r="I382"/>
      <c r="J382"/>
      <c r="K382"/>
      <c r="L382"/>
      <c r="M382"/>
      <c r="N382"/>
      <c r="O382"/>
      <c r="P382" s="168"/>
      <c r="Q382" s="168"/>
      <c r="R382" s="168"/>
      <c r="S382" s="169"/>
      <c r="T382" s="169"/>
      <c r="U382" s="169"/>
      <c r="V382" s="168"/>
      <c r="W382" s="168"/>
      <c r="X382" s="168"/>
      <c r="Y382" s="170"/>
      <c r="Z382" s="171"/>
      <c r="AA382" s="171"/>
      <c r="AB382" s="171"/>
      <c r="AC382" s="171"/>
      <c r="AD382" s="171"/>
      <c r="AE382" s="168"/>
      <c r="AF382" s="170"/>
      <c r="AG382" s="172"/>
      <c r="AH382"/>
      <c r="AI382"/>
    </row>
    <row r="383" spans="1:35" x14ac:dyDescent="0.35">
      <c r="A383"/>
      <c r="B383"/>
      <c r="C383"/>
      <c r="D383"/>
      <c r="E383"/>
      <c r="F383"/>
      <c r="G383"/>
      <c r="H383"/>
      <c r="I383"/>
      <c r="J383"/>
      <c r="K383"/>
      <c r="L383"/>
      <c r="M383"/>
      <c r="N383"/>
      <c r="O383"/>
      <c r="P383" s="168"/>
      <c r="Q383" s="168"/>
      <c r="R383" s="168"/>
      <c r="S383" s="169"/>
      <c r="T383" s="169"/>
      <c r="U383" s="169"/>
      <c r="V383" s="168"/>
      <c r="W383" s="168"/>
      <c r="X383" s="168"/>
      <c r="Y383" s="170"/>
      <c r="Z383" s="171"/>
      <c r="AA383" s="171"/>
      <c r="AB383" s="171"/>
      <c r="AC383" s="171"/>
      <c r="AD383" s="171"/>
      <c r="AE383" s="168"/>
      <c r="AF383" s="170"/>
      <c r="AG383" s="172"/>
      <c r="AH383"/>
      <c r="AI383"/>
    </row>
    <row r="384" spans="1:35" x14ac:dyDescent="0.35">
      <c r="A384"/>
      <c r="B384"/>
      <c r="C384"/>
      <c r="D384"/>
      <c r="E384"/>
      <c r="F384"/>
      <c r="G384"/>
      <c r="H384"/>
      <c r="I384"/>
      <c r="J384"/>
      <c r="K384"/>
      <c r="L384"/>
      <c r="M384"/>
      <c r="N384"/>
      <c r="O384"/>
      <c r="P384" s="168"/>
      <c r="Q384" s="168"/>
      <c r="R384" s="168"/>
      <c r="S384" s="169"/>
      <c r="T384" s="169"/>
      <c r="U384" s="169"/>
      <c r="V384" s="168"/>
      <c r="W384" s="168"/>
      <c r="X384" s="168"/>
      <c r="Y384" s="170"/>
      <c r="Z384" s="171"/>
      <c r="AA384" s="171"/>
      <c r="AB384" s="171"/>
      <c r="AC384" s="171"/>
      <c r="AD384" s="171"/>
      <c r="AE384" s="168"/>
      <c r="AF384" s="170"/>
      <c r="AG384" s="172"/>
      <c r="AH384"/>
      <c r="AI384"/>
    </row>
    <row r="385" spans="1:35" x14ac:dyDescent="0.35">
      <c r="A385"/>
      <c r="B385"/>
      <c r="C385"/>
      <c r="D385"/>
      <c r="E385"/>
      <c r="F385"/>
      <c r="G385"/>
      <c r="H385"/>
      <c r="I385"/>
      <c r="J385"/>
      <c r="K385"/>
      <c r="L385"/>
      <c r="M385"/>
      <c r="N385"/>
      <c r="O385"/>
      <c r="P385" s="168"/>
      <c r="Q385" s="168"/>
      <c r="R385" s="168"/>
      <c r="S385" s="169"/>
      <c r="T385" s="169"/>
      <c r="U385" s="169"/>
      <c r="V385" s="168"/>
      <c r="W385" s="168"/>
      <c r="X385" s="168"/>
      <c r="Y385" s="170"/>
      <c r="Z385" s="171"/>
      <c r="AA385" s="171"/>
      <c r="AB385" s="171"/>
      <c r="AC385" s="171"/>
      <c r="AD385" s="171"/>
      <c r="AE385" s="168"/>
      <c r="AF385" s="170"/>
      <c r="AG385" s="172"/>
      <c r="AH385"/>
      <c r="AI385"/>
    </row>
    <row r="386" spans="1:35" x14ac:dyDescent="0.35">
      <c r="A386"/>
      <c r="B386"/>
      <c r="C386"/>
      <c r="D386"/>
      <c r="E386"/>
      <c r="F386"/>
      <c r="G386"/>
      <c r="H386"/>
      <c r="I386"/>
      <c r="J386"/>
      <c r="K386"/>
      <c r="L386"/>
      <c r="M386"/>
      <c r="N386"/>
      <c r="O386"/>
      <c r="P386" s="168"/>
      <c r="Q386" s="168"/>
      <c r="R386" s="168"/>
      <c r="S386" s="169"/>
      <c r="T386" s="169"/>
      <c r="U386" s="169"/>
      <c r="V386" s="168"/>
      <c r="W386" s="168"/>
      <c r="X386" s="168"/>
      <c r="Y386" s="170"/>
      <c r="Z386" s="171"/>
      <c r="AA386" s="171"/>
      <c r="AB386" s="171"/>
      <c r="AC386" s="171"/>
      <c r="AD386" s="171"/>
      <c r="AE386" s="168"/>
      <c r="AF386" s="170"/>
      <c r="AG386" s="172"/>
      <c r="AH386"/>
      <c r="AI386"/>
    </row>
    <row r="387" spans="1:35" x14ac:dyDescent="0.35">
      <c r="A387"/>
      <c r="B387"/>
      <c r="C387"/>
      <c r="D387"/>
      <c r="E387"/>
      <c r="F387"/>
      <c r="G387"/>
      <c r="H387"/>
      <c r="I387"/>
      <c r="J387"/>
      <c r="K387"/>
      <c r="L387"/>
      <c r="M387"/>
      <c r="N387"/>
      <c r="O387"/>
      <c r="P387" s="168"/>
      <c r="Q387" s="168"/>
      <c r="R387" s="168"/>
      <c r="S387" s="169"/>
      <c r="T387" s="169"/>
      <c r="U387" s="169"/>
      <c r="V387" s="168"/>
      <c r="W387" s="168"/>
      <c r="X387" s="168"/>
      <c r="Y387" s="170"/>
      <c r="Z387" s="171"/>
      <c r="AA387" s="171"/>
      <c r="AB387" s="171"/>
      <c r="AC387" s="171"/>
      <c r="AD387" s="171"/>
      <c r="AE387" s="168"/>
      <c r="AF387" s="170"/>
      <c r="AG387" s="172"/>
      <c r="AH387"/>
      <c r="AI387"/>
    </row>
    <row r="388" spans="1:35" x14ac:dyDescent="0.35">
      <c r="A388"/>
      <c r="B388"/>
      <c r="C388"/>
      <c r="D388"/>
      <c r="E388"/>
      <c r="F388"/>
      <c r="G388"/>
      <c r="H388"/>
      <c r="I388"/>
      <c r="J388"/>
      <c r="K388"/>
      <c r="L388"/>
      <c r="M388"/>
      <c r="N388"/>
      <c r="O388"/>
      <c r="P388" s="168"/>
      <c r="Q388" s="168"/>
      <c r="R388" s="168"/>
      <c r="S388" s="169"/>
      <c r="T388" s="169"/>
      <c r="U388" s="169"/>
      <c r="V388" s="168"/>
      <c r="W388" s="168"/>
      <c r="X388" s="168"/>
      <c r="Y388" s="170"/>
      <c r="Z388" s="171"/>
      <c r="AA388" s="171"/>
      <c r="AB388" s="171"/>
      <c r="AC388" s="171"/>
      <c r="AD388" s="171"/>
      <c r="AE388" s="168"/>
      <c r="AF388" s="170"/>
      <c r="AG388" s="172"/>
      <c r="AH388"/>
      <c r="AI388"/>
    </row>
    <row r="389" spans="1:35" x14ac:dyDescent="0.35">
      <c r="A389"/>
      <c r="B389"/>
      <c r="C389"/>
      <c r="D389"/>
      <c r="E389"/>
      <c r="F389"/>
      <c r="G389"/>
      <c r="H389"/>
      <c r="I389"/>
      <c r="J389"/>
      <c r="K389"/>
      <c r="L389"/>
      <c r="M389"/>
      <c r="N389"/>
      <c r="O389"/>
      <c r="P389" s="168"/>
      <c r="Q389" s="168"/>
      <c r="R389" s="168"/>
      <c r="S389" s="169"/>
      <c r="T389" s="169"/>
      <c r="U389" s="169"/>
      <c r="V389" s="168"/>
      <c r="W389" s="168"/>
      <c r="X389" s="168"/>
      <c r="Y389" s="170"/>
      <c r="Z389" s="171"/>
      <c r="AA389" s="171"/>
      <c r="AB389" s="171"/>
      <c r="AC389" s="171"/>
      <c r="AD389" s="171"/>
      <c r="AE389" s="168"/>
      <c r="AF389" s="170"/>
      <c r="AG389" s="172"/>
      <c r="AH389"/>
      <c r="AI389"/>
    </row>
    <row r="390" spans="1:35" x14ac:dyDescent="0.35">
      <c r="A390"/>
      <c r="B390"/>
      <c r="C390"/>
      <c r="D390"/>
      <c r="E390"/>
      <c r="F390"/>
      <c r="G390"/>
      <c r="H390"/>
      <c r="I390"/>
      <c r="J390"/>
      <c r="K390"/>
      <c r="L390"/>
      <c r="M390"/>
      <c r="N390"/>
      <c r="O390"/>
      <c r="P390" s="168"/>
      <c r="Q390" s="168"/>
      <c r="R390" s="168"/>
      <c r="S390" s="169"/>
      <c r="T390" s="169"/>
      <c r="U390" s="169"/>
      <c r="V390" s="168"/>
      <c r="W390" s="168"/>
      <c r="X390" s="168"/>
      <c r="Y390" s="170"/>
      <c r="Z390" s="171"/>
      <c r="AA390" s="171"/>
      <c r="AB390" s="171"/>
      <c r="AC390" s="171"/>
      <c r="AD390" s="171"/>
      <c r="AE390" s="168"/>
      <c r="AF390" s="170"/>
      <c r="AG390" s="172"/>
      <c r="AH390"/>
      <c r="AI390"/>
    </row>
    <row r="391" spans="1:35" x14ac:dyDescent="0.35">
      <c r="A391"/>
      <c r="B391"/>
      <c r="C391"/>
      <c r="D391"/>
      <c r="E391"/>
      <c r="F391"/>
      <c r="G391"/>
      <c r="H391"/>
      <c r="I391"/>
      <c r="J391"/>
      <c r="K391"/>
      <c r="L391"/>
      <c r="M391"/>
      <c r="N391"/>
      <c r="O391"/>
      <c r="P391" s="168"/>
      <c r="Q391" s="168"/>
      <c r="R391" s="168"/>
      <c r="S391" s="169"/>
      <c r="T391" s="169"/>
      <c r="U391" s="169"/>
      <c r="V391" s="168"/>
      <c r="W391" s="168"/>
      <c r="X391" s="168"/>
      <c r="Y391" s="170"/>
      <c r="Z391" s="171"/>
      <c r="AA391" s="171"/>
      <c r="AB391" s="171"/>
      <c r="AC391" s="171"/>
      <c r="AD391" s="171"/>
      <c r="AE391" s="168"/>
      <c r="AF391" s="170"/>
      <c r="AG391" s="172"/>
      <c r="AH391"/>
      <c r="AI391"/>
    </row>
    <row r="392" spans="1:35" x14ac:dyDescent="0.35">
      <c r="A392"/>
      <c r="B392"/>
      <c r="C392"/>
      <c r="D392"/>
      <c r="E392"/>
      <c r="F392"/>
      <c r="G392"/>
      <c r="H392"/>
      <c r="I392"/>
      <c r="J392"/>
      <c r="K392"/>
      <c r="L392"/>
      <c r="M392"/>
      <c r="N392"/>
      <c r="O392"/>
      <c r="P392" s="168"/>
      <c r="Q392" s="168"/>
      <c r="R392" s="168"/>
      <c r="S392" s="169"/>
      <c r="T392" s="169"/>
      <c r="U392" s="169"/>
      <c r="V392" s="168"/>
      <c r="W392" s="168"/>
      <c r="X392" s="168"/>
      <c r="Y392" s="170"/>
      <c r="Z392" s="171"/>
      <c r="AA392" s="171"/>
      <c r="AB392" s="171"/>
      <c r="AC392" s="171"/>
      <c r="AD392" s="171"/>
      <c r="AE392" s="168"/>
      <c r="AF392" s="170"/>
      <c r="AG392" s="172"/>
      <c r="AH392"/>
      <c r="AI392"/>
    </row>
    <row r="393" spans="1:35" x14ac:dyDescent="0.35">
      <c r="A393"/>
      <c r="B393"/>
      <c r="C393"/>
      <c r="D393"/>
      <c r="E393"/>
      <c r="F393"/>
      <c r="G393"/>
      <c r="H393"/>
      <c r="I393"/>
      <c r="J393"/>
      <c r="K393"/>
      <c r="L393"/>
      <c r="M393"/>
      <c r="N393"/>
      <c r="O393"/>
      <c r="P393" s="168"/>
      <c r="Q393" s="168"/>
      <c r="R393" s="168"/>
      <c r="S393" s="169"/>
      <c r="T393" s="169"/>
      <c r="U393" s="169"/>
      <c r="V393" s="168"/>
      <c r="W393" s="168"/>
      <c r="X393" s="168"/>
      <c r="Y393" s="170"/>
      <c r="Z393" s="171"/>
      <c r="AA393" s="171"/>
      <c r="AB393" s="171"/>
      <c r="AC393" s="171"/>
      <c r="AD393" s="171"/>
      <c r="AE393" s="168"/>
      <c r="AF393" s="170"/>
      <c r="AG393" s="172"/>
      <c r="AH393"/>
      <c r="AI393"/>
    </row>
    <row r="394" spans="1:35" x14ac:dyDescent="0.35">
      <c r="A394"/>
      <c r="B394"/>
      <c r="C394"/>
      <c r="D394"/>
      <c r="E394"/>
      <c r="F394"/>
      <c r="G394"/>
      <c r="H394"/>
      <c r="I394"/>
      <c r="J394"/>
      <c r="K394"/>
      <c r="L394"/>
      <c r="M394"/>
      <c r="N394"/>
      <c r="O394"/>
      <c r="P394" s="168"/>
      <c r="Q394" s="168"/>
      <c r="R394" s="168"/>
      <c r="S394" s="169"/>
      <c r="T394" s="169"/>
      <c r="U394" s="169"/>
      <c r="V394" s="168"/>
      <c r="W394" s="168"/>
      <c r="X394" s="168"/>
      <c r="Y394" s="170"/>
      <c r="Z394" s="171"/>
      <c r="AA394" s="171"/>
      <c r="AB394" s="171"/>
      <c r="AC394" s="171"/>
      <c r="AD394" s="171"/>
      <c r="AE394" s="168"/>
      <c r="AF394" s="170"/>
      <c r="AG394" s="172"/>
      <c r="AH394"/>
      <c r="AI394"/>
    </row>
    <row r="395" spans="1:35" x14ac:dyDescent="0.35">
      <c r="A395"/>
      <c r="B395"/>
      <c r="C395"/>
      <c r="D395"/>
      <c r="E395"/>
      <c r="F395"/>
      <c r="G395"/>
      <c r="H395"/>
      <c r="I395"/>
      <c r="J395"/>
      <c r="K395"/>
      <c r="L395"/>
      <c r="M395"/>
      <c r="N395"/>
      <c r="O395"/>
      <c r="P395" s="168"/>
      <c r="Q395" s="168"/>
      <c r="R395" s="168"/>
      <c r="S395" s="169"/>
      <c r="T395" s="169"/>
      <c r="U395" s="169"/>
      <c r="V395" s="168"/>
      <c r="W395" s="168"/>
      <c r="X395" s="168"/>
      <c r="Y395" s="170"/>
      <c r="Z395" s="171"/>
      <c r="AA395" s="171"/>
      <c r="AB395" s="171"/>
      <c r="AC395" s="171"/>
      <c r="AD395" s="171"/>
      <c r="AE395" s="168"/>
      <c r="AF395" s="170"/>
      <c r="AG395" s="172"/>
      <c r="AH395"/>
      <c r="AI395"/>
    </row>
    <row r="396" spans="1:35" x14ac:dyDescent="0.35">
      <c r="A396"/>
      <c r="B396"/>
      <c r="C396"/>
      <c r="D396"/>
      <c r="E396"/>
      <c r="F396"/>
      <c r="G396"/>
      <c r="H396"/>
      <c r="I396"/>
      <c r="J396"/>
      <c r="K396"/>
      <c r="L396"/>
      <c r="M396"/>
      <c r="N396"/>
      <c r="O396"/>
      <c r="P396" s="168"/>
      <c r="Q396" s="168"/>
      <c r="R396" s="168"/>
      <c r="S396" s="169"/>
      <c r="T396" s="169"/>
      <c r="U396" s="169"/>
      <c r="V396" s="168"/>
      <c r="W396" s="168"/>
      <c r="X396" s="168"/>
      <c r="Y396" s="170"/>
      <c r="Z396" s="171"/>
      <c r="AA396" s="171"/>
      <c r="AB396" s="171"/>
      <c r="AC396" s="171"/>
      <c r="AD396" s="171"/>
      <c r="AE396" s="168"/>
      <c r="AF396" s="170"/>
      <c r="AG396" s="172"/>
      <c r="AH396"/>
      <c r="AI396"/>
    </row>
    <row r="397" spans="1:35" x14ac:dyDescent="0.35">
      <c r="A397"/>
      <c r="B397"/>
      <c r="C397"/>
      <c r="D397"/>
      <c r="E397"/>
      <c r="F397"/>
      <c r="G397"/>
      <c r="H397"/>
      <c r="I397"/>
      <c r="J397"/>
      <c r="K397"/>
      <c r="L397"/>
      <c r="M397"/>
      <c r="N397"/>
      <c r="O397"/>
      <c r="P397" s="168"/>
      <c r="Q397" s="168"/>
      <c r="R397" s="168"/>
      <c r="S397" s="169"/>
      <c r="T397" s="169"/>
      <c r="U397" s="169"/>
      <c r="V397" s="168"/>
      <c r="W397" s="168"/>
      <c r="X397" s="168"/>
      <c r="Y397" s="170"/>
      <c r="Z397" s="171"/>
      <c r="AA397" s="171"/>
      <c r="AB397" s="171"/>
      <c r="AC397" s="171"/>
      <c r="AD397" s="171"/>
      <c r="AE397" s="168"/>
      <c r="AF397" s="170"/>
      <c r="AG397" s="172"/>
      <c r="AH397"/>
      <c r="AI397"/>
    </row>
    <row r="398" spans="1:35" x14ac:dyDescent="0.35">
      <c r="A398"/>
      <c r="B398"/>
      <c r="C398"/>
      <c r="D398"/>
      <c r="E398"/>
      <c r="F398"/>
      <c r="G398"/>
      <c r="H398"/>
      <c r="I398"/>
      <c r="J398"/>
      <c r="K398"/>
      <c r="L398"/>
      <c r="M398"/>
      <c r="N398"/>
      <c r="O398"/>
      <c r="P398" s="168"/>
      <c r="Q398" s="168"/>
      <c r="R398" s="168"/>
      <c r="S398" s="169"/>
      <c r="T398" s="169"/>
      <c r="U398" s="169"/>
      <c r="V398" s="168"/>
      <c r="W398" s="168"/>
      <c r="X398" s="168"/>
      <c r="Y398" s="170"/>
      <c r="Z398" s="171"/>
      <c r="AA398" s="171"/>
      <c r="AB398" s="171"/>
      <c r="AC398" s="171"/>
      <c r="AD398" s="171"/>
      <c r="AE398" s="168"/>
      <c r="AF398" s="170"/>
      <c r="AG398" s="172"/>
      <c r="AH398"/>
      <c r="AI398"/>
    </row>
    <row r="399" spans="1:35" x14ac:dyDescent="0.35">
      <c r="A399"/>
      <c r="B399"/>
      <c r="C399"/>
      <c r="D399"/>
      <c r="E399"/>
      <c r="F399"/>
      <c r="G399"/>
      <c r="H399"/>
      <c r="I399"/>
      <c r="J399"/>
      <c r="K399"/>
      <c r="L399"/>
      <c r="M399"/>
      <c r="N399"/>
      <c r="O399"/>
      <c r="P399" s="168"/>
      <c r="Q399" s="168"/>
      <c r="R399" s="168"/>
      <c r="S399" s="169"/>
      <c r="T399" s="169"/>
      <c r="U399" s="169"/>
      <c r="V399" s="168"/>
      <c r="W399" s="168"/>
      <c r="X399" s="168"/>
      <c r="Y399" s="170"/>
      <c r="Z399" s="171"/>
      <c r="AA399" s="171"/>
      <c r="AB399" s="171"/>
      <c r="AC399" s="171"/>
      <c r="AD399" s="171"/>
      <c r="AE399" s="168"/>
      <c r="AF399" s="170"/>
      <c r="AG399" s="172"/>
      <c r="AH399"/>
      <c r="AI399"/>
    </row>
    <row r="400" spans="1:35" x14ac:dyDescent="0.35">
      <c r="A400"/>
      <c r="B400"/>
      <c r="C400"/>
      <c r="D400"/>
      <c r="E400"/>
      <c r="F400"/>
      <c r="G400"/>
      <c r="H400"/>
      <c r="I400"/>
      <c r="J400"/>
      <c r="K400"/>
      <c r="L400"/>
      <c r="M400"/>
      <c r="N400"/>
      <c r="O400"/>
      <c r="P400" s="168"/>
      <c r="Q400" s="168"/>
      <c r="R400" s="168"/>
      <c r="S400" s="169"/>
      <c r="T400" s="169"/>
      <c r="U400" s="169"/>
      <c r="V400" s="168"/>
      <c r="W400" s="168"/>
      <c r="X400" s="168"/>
      <c r="Y400" s="170"/>
      <c r="Z400" s="171"/>
      <c r="AA400" s="171"/>
      <c r="AB400" s="171"/>
      <c r="AC400" s="171"/>
      <c r="AD400" s="171"/>
      <c r="AE400" s="168"/>
      <c r="AF400" s="170"/>
      <c r="AG400" s="172"/>
      <c r="AH400"/>
      <c r="AI400"/>
    </row>
    <row r="401" spans="1:35" x14ac:dyDescent="0.35">
      <c r="A401"/>
      <c r="B401"/>
      <c r="C401"/>
      <c r="D401"/>
      <c r="E401"/>
      <c r="F401"/>
      <c r="G401"/>
      <c r="H401"/>
      <c r="I401"/>
      <c r="J401"/>
      <c r="K401"/>
      <c r="L401"/>
      <c r="M401"/>
      <c r="N401"/>
      <c r="O401"/>
      <c r="P401" s="168"/>
      <c r="Q401" s="168"/>
      <c r="R401" s="168"/>
      <c r="S401" s="169"/>
      <c r="T401" s="169"/>
      <c r="U401" s="169"/>
      <c r="V401" s="168"/>
      <c r="W401" s="168"/>
      <c r="X401" s="168"/>
      <c r="Y401" s="170"/>
      <c r="Z401" s="171"/>
      <c r="AA401" s="171"/>
      <c r="AB401" s="171"/>
      <c r="AC401" s="171"/>
      <c r="AD401" s="171"/>
      <c r="AE401" s="168"/>
      <c r="AF401" s="170"/>
      <c r="AG401" s="172"/>
      <c r="AH401"/>
      <c r="AI401"/>
    </row>
    <row r="402" spans="1:35" x14ac:dyDescent="0.35">
      <c r="A402"/>
      <c r="B402"/>
      <c r="C402"/>
      <c r="D402"/>
      <c r="E402"/>
      <c r="F402"/>
      <c r="G402"/>
      <c r="H402"/>
      <c r="I402"/>
      <c r="J402"/>
      <c r="K402"/>
      <c r="L402"/>
      <c r="M402"/>
      <c r="N402"/>
      <c r="O402"/>
      <c r="P402" s="168"/>
      <c r="Q402" s="168"/>
      <c r="R402" s="168"/>
      <c r="S402" s="169"/>
      <c r="T402" s="169"/>
      <c r="U402" s="169"/>
      <c r="V402" s="168"/>
      <c r="W402" s="168"/>
      <c r="X402" s="168"/>
      <c r="Y402" s="170"/>
      <c r="Z402" s="171"/>
      <c r="AA402" s="171"/>
      <c r="AB402" s="171"/>
      <c r="AC402" s="171"/>
      <c r="AD402" s="171"/>
      <c r="AE402" s="168"/>
      <c r="AF402" s="170"/>
      <c r="AG402" s="172"/>
      <c r="AH402"/>
      <c r="AI402"/>
    </row>
    <row r="403" spans="1:35" x14ac:dyDescent="0.35">
      <c r="A403"/>
      <c r="B403"/>
      <c r="C403"/>
      <c r="D403"/>
      <c r="E403"/>
      <c r="F403"/>
      <c r="G403"/>
      <c r="H403"/>
      <c r="I403"/>
      <c r="J403"/>
      <c r="K403"/>
      <c r="L403"/>
      <c r="M403"/>
      <c r="N403"/>
      <c r="O403"/>
      <c r="P403" s="168"/>
      <c r="Q403" s="168"/>
      <c r="R403" s="168"/>
      <c r="S403" s="169"/>
      <c r="T403" s="169"/>
      <c r="U403" s="169"/>
      <c r="V403" s="168"/>
      <c r="W403" s="168"/>
      <c r="X403" s="168"/>
      <c r="Y403" s="170"/>
      <c r="Z403" s="171"/>
      <c r="AA403" s="171"/>
      <c r="AB403" s="171"/>
      <c r="AC403" s="171"/>
      <c r="AD403" s="171"/>
      <c r="AE403" s="168"/>
      <c r="AF403" s="170"/>
      <c r="AG403" s="172"/>
      <c r="AH403"/>
      <c r="AI403"/>
    </row>
    <row r="404" spans="1:35" x14ac:dyDescent="0.35">
      <c r="A404"/>
      <c r="B404"/>
      <c r="C404"/>
      <c r="D404"/>
      <c r="E404"/>
      <c r="F404"/>
      <c r="G404"/>
      <c r="H404"/>
      <c r="I404"/>
      <c r="J404"/>
      <c r="K404"/>
      <c r="L404"/>
      <c r="M404"/>
      <c r="N404"/>
      <c r="O404"/>
      <c r="P404" s="168"/>
      <c r="Q404" s="168"/>
      <c r="R404" s="168"/>
      <c r="S404" s="169"/>
      <c r="T404" s="169"/>
      <c r="U404" s="169"/>
      <c r="V404" s="168"/>
      <c r="W404" s="168"/>
      <c r="X404" s="168"/>
      <c r="Y404" s="170"/>
      <c r="Z404" s="171"/>
      <c r="AA404" s="171"/>
      <c r="AB404" s="171"/>
      <c r="AC404" s="171"/>
      <c r="AD404" s="171"/>
      <c r="AE404" s="168"/>
      <c r="AF404" s="170"/>
      <c r="AG404" s="172"/>
      <c r="AH404"/>
      <c r="AI404"/>
    </row>
    <row r="405" spans="1:35" x14ac:dyDescent="0.35">
      <c r="A405"/>
      <c r="B405"/>
      <c r="C405"/>
      <c r="D405"/>
      <c r="E405"/>
      <c r="F405"/>
      <c r="G405"/>
      <c r="H405"/>
      <c r="I405"/>
      <c r="J405"/>
      <c r="K405"/>
      <c r="L405"/>
      <c r="M405"/>
      <c r="N405"/>
      <c r="O405"/>
      <c r="P405" s="168"/>
      <c r="Q405" s="168"/>
      <c r="R405" s="168"/>
      <c r="S405" s="169"/>
      <c r="T405" s="169"/>
      <c r="U405" s="169"/>
      <c r="V405" s="168"/>
      <c r="W405" s="168"/>
      <c r="X405" s="168"/>
      <c r="Y405" s="170"/>
      <c r="Z405" s="171"/>
      <c r="AA405" s="171"/>
      <c r="AB405" s="171"/>
      <c r="AC405" s="171"/>
      <c r="AD405" s="171"/>
      <c r="AE405" s="168"/>
      <c r="AF405" s="170"/>
      <c r="AG405" s="172"/>
      <c r="AH405"/>
      <c r="AI405"/>
    </row>
    <row r="406" spans="1:35" x14ac:dyDescent="0.35">
      <c r="A406"/>
      <c r="B406"/>
      <c r="C406"/>
      <c r="D406"/>
      <c r="E406"/>
      <c r="F406"/>
      <c r="G406"/>
      <c r="H406"/>
      <c r="I406"/>
      <c r="J406"/>
      <c r="K406"/>
      <c r="L406"/>
      <c r="M406"/>
      <c r="N406"/>
      <c r="O406"/>
      <c r="P406" s="168"/>
      <c r="Q406" s="168"/>
      <c r="R406" s="168"/>
      <c r="S406" s="169"/>
      <c r="T406" s="169"/>
      <c r="U406" s="169"/>
      <c r="V406" s="168"/>
      <c r="W406" s="168"/>
      <c r="X406" s="168"/>
      <c r="Y406" s="170"/>
      <c r="Z406" s="171"/>
      <c r="AA406" s="171"/>
      <c r="AB406" s="171"/>
      <c r="AC406" s="171"/>
      <c r="AD406" s="171"/>
      <c r="AE406" s="168"/>
      <c r="AF406" s="170"/>
      <c r="AG406" s="172"/>
      <c r="AH406"/>
      <c r="AI406"/>
    </row>
    <row r="407" spans="1:35" x14ac:dyDescent="0.35">
      <c r="A407"/>
      <c r="B407"/>
      <c r="C407"/>
      <c r="D407"/>
      <c r="E407"/>
      <c r="F407"/>
      <c r="G407"/>
      <c r="H407"/>
      <c r="I407"/>
      <c r="J407"/>
      <c r="K407"/>
      <c r="L407"/>
      <c r="M407"/>
      <c r="N407"/>
      <c r="O407"/>
      <c r="P407" s="168"/>
      <c r="Q407" s="168"/>
      <c r="R407" s="168"/>
      <c r="S407" s="169"/>
      <c r="T407" s="169"/>
      <c r="U407" s="169"/>
      <c r="V407" s="168"/>
      <c r="W407" s="168"/>
      <c r="X407" s="168"/>
      <c r="Y407" s="170"/>
      <c r="Z407" s="171"/>
      <c r="AA407" s="171"/>
      <c r="AB407" s="171"/>
      <c r="AC407" s="171"/>
      <c r="AD407" s="171"/>
      <c r="AE407" s="168"/>
      <c r="AF407" s="170"/>
      <c r="AG407" s="172"/>
      <c r="AH407"/>
      <c r="AI407"/>
    </row>
    <row r="408" spans="1:35" x14ac:dyDescent="0.35">
      <c r="A408"/>
      <c r="B408"/>
      <c r="C408"/>
      <c r="D408"/>
      <c r="E408"/>
      <c r="F408"/>
      <c r="G408"/>
      <c r="H408"/>
      <c r="I408"/>
      <c r="J408"/>
      <c r="K408"/>
      <c r="L408"/>
      <c r="M408"/>
      <c r="N408"/>
      <c r="O408"/>
      <c r="P408" s="168"/>
      <c r="Q408" s="168"/>
      <c r="R408" s="168"/>
      <c r="S408" s="169"/>
      <c r="T408" s="169"/>
      <c r="U408" s="169"/>
      <c r="V408" s="168"/>
      <c r="W408" s="168"/>
      <c r="X408" s="168"/>
      <c r="Y408" s="170"/>
      <c r="Z408" s="171"/>
      <c r="AA408" s="171"/>
      <c r="AB408" s="171"/>
      <c r="AC408" s="171"/>
      <c r="AD408" s="171"/>
      <c r="AE408" s="168"/>
      <c r="AF408" s="170"/>
      <c r="AG408" s="172"/>
      <c r="AH408"/>
      <c r="AI408"/>
    </row>
    <row r="409" spans="1:35" x14ac:dyDescent="0.35">
      <c r="A409"/>
      <c r="B409"/>
      <c r="C409"/>
      <c r="D409"/>
      <c r="E409"/>
      <c r="F409"/>
      <c r="G409"/>
      <c r="H409"/>
      <c r="I409"/>
      <c r="J409"/>
      <c r="K409"/>
      <c r="L409"/>
      <c r="M409"/>
      <c r="N409"/>
      <c r="O409"/>
      <c r="P409" s="168"/>
      <c r="Q409" s="168"/>
      <c r="R409" s="168"/>
      <c r="S409" s="169"/>
      <c r="T409" s="169"/>
      <c r="U409" s="169"/>
      <c r="V409" s="168"/>
      <c r="W409" s="168"/>
      <c r="X409" s="168"/>
      <c r="Y409" s="170"/>
      <c r="Z409" s="171"/>
      <c r="AA409" s="171"/>
      <c r="AB409" s="171"/>
      <c r="AC409" s="171"/>
      <c r="AD409" s="171"/>
      <c r="AE409" s="168"/>
      <c r="AF409" s="170"/>
      <c r="AG409" s="172"/>
      <c r="AH409"/>
      <c r="AI409"/>
    </row>
    <row r="410" spans="1:35" x14ac:dyDescent="0.35">
      <c r="A410"/>
      <c r="B410"/>
      <c r="C410"/>
      <c r="D410"/>
      <c r="E410"/>
      <c r="F410"/>
      <c r="G410"/>
      <c r="H410"/>
      <c r="I410"/>
      <c r="J410"/>
      <c r="K410"/>
      <c r="L410"/>
      <c r="M410"/>
      <c r="N410"/>
      <c r="O410"/>
      <c r="P410" s="168"/>
      <c r="Q410" s="168"/>
      <c r="R410" s="168"/>
      <c r="S410" s="169"/>
      <c r="T410" s="169"/>
      <c r="U410" s="169"/>
      <c r="V410" s="168"/>
      <c r="W410" s="168"/>
      <c r="X410" s="168"/>
      <c r="Y410" s="170"/>
      <c r="Z410" s="171"/>
      <c r="AA410" s="171"/>
      <c r="AB410" s="171"/>
      <c r="AC410" s="171"/>
      <c r="AD410" s="171"/>
      <c r="AE410" s="168"/>
      <c r="AF410" s="170"/>
      <c r="AG410" s="172"/>
      <c r="AH410"/>
      <c r="AI410"/>
    </row>
    <row r="411" spans="1:35" x14ac:dyDescent="0.35">
      <c r="A411"/>
      <c r="B411"/>
      <c r="C411"/>
      <c r="D411"/>
      <c r="E411"/>
      <c r="F411"/>
      <c r="G411"/>
      <c r="H411"/>
      <c r="I411"/>
      <c r="J411"/>
      <c r="K411"/>
      <c r="L411"/>
      <c r="M411"/>
      <c r="N411"/>
      <c r="O411"/>
      <c r="P411" s="168"/>
      <c r="Q411" s="168"/>
      <c r="R411" s="168"/>
      <c r="S411" s="169"/>
      <c r="T411" s="169"/>
      <c r="U411" s="169"/>
      <c r="V411" s="168"/>
      <c r="W411" s="168"/>
      <c r="X411" s="168"/>
      <c r="Y411" s="170"/>
      <c r="Z411" s="171"/>
      <c r="AA411" s="171"/>
      <c r="AB411" s="171"/>
      <c r="AC411" s="171"/>
      <c r="AD411" s="171"/>
      <c r="AE411" s="168"/>
      <c r="AF411" s="170"/>
      <c r="AG411" s="172"/>
      <c r="AH411"/>
      <c r="AI411"/>
    </row>
    <row r="412" spans="1:35" x14ac:dyDescent="0.35">
      <c r="A412"/>
      <c r="B412"/>
      <c r="C412"/>
      <c r="D412"/>
      <c r="E412"/>
      <c r="F412"/>
      <c r="G412"/>
      <c r="H412"/>
      <c r="I412"/>
      <c r="J412"/>
      <c r="K412"/>
      <c r="L412"/>
      <c r="M412"/>
      <c r="N412"/>
      <c r="O412"/>
      <c r="P412" s="168"/>
      <c r="Q412" s="168"/>
      <c r="R412" s="168"/>
      <c r="S412" s="169"/>
      <c r="T412" s="169"/>
      <c r="U412" s="169"/>
      <c r="V412" s="168"/>
      <c r="W412" s="168"/>
      <c r="X412" s="168"/>
      <c r="Y412" s="170"/>
      <c r="Z412" s="171"/>
      <c r="AA412" s="171"/>
      <c r="AB412" s="171"/>
      <c r="AC412" s="171"/>
      <c r="AD412" s="171"/>
      <c r="AE412" s="168"/>
      <c r="AF412" s="170"/>
      <c r="AG412" s="172"/>
      <c r="AH412"/>
      <c r="AI412"/>
    </row>
    <row r="413" spans="1:35" x14ac:dyDescent="0.35">
      <c r="A413"/>
      <c r="B413"/>
      <c r="C413"/>
      <c r="D413"/>
      <c r="E413"/>
      <c r="F413"/>
      <c r="G413"/>
      <c r="H413"/>
      <c r="I413"/>
      <c r="J413"/>
      <c r="K413"/>
      <c r="L413"/>
      <c r="M413"/>
      <c r="N413"/>
      <c r="O413"/>
      <c r="P413" s="168"/>
      <c r="Q413" s="168"/>
      <c r="R413" s="168"/>
      <c r="S413" s="169"/>
      <c r="T413" s="169"/>
      <c r="U413" s="169"/>
      <c r="V413" s="168"/>
      <c r="W413" s="168"/>
      <c r="X413" s="168"/>
      <c r="Y413" s="170"/>
      <c r="Z413" s="171"/>
      <c r="AA413" s="171"/>
      <c r="AB413" s="171"/>
      <c r="AC413" s="171"/>
      <c r="AD413" s="171"/>
      <c r="AE413" s="168"/>
      <c r="AF413" s="170"/>
      <c r="AG413" s="172"/>
      <c r="AH413"/>
      <c r="AI413"/>
    </row>
    <row r="414" spans="1:35" x14ac:dyDescent="0.35">
      <c r="A414"/>
      <c r="B414"/>
      <c r="C414"/>
      <c r="D414"/>
      <c r="E414"/>
      <c r="F414"/>
      <c r="G414"/>
      <c r="H414"/>
      <c r="I414"/>
      <c r="J414"/>
      <c r="K414"/>
      <c r="L414"/>
      <c r="M414"/>
      <c r="N414"/>
      <c r="O414"/>
      <c r="P414" s="168"/>
      <c r="Q414" s="168"/>
      <c r="R414" s="168"/>
      <c r="S414" s="169"/>
      <c r="T414" s="169"/>
      <c r="U414" s="169"/>
      <c r="V414" s="168"/>
      <c r="W414" s="168"/>
      <c r="X414" s="168"/>
      <c r="Y414" s="170"/>
      <c r="Z414" s="171"/>
      <c r="AA414" s="171"/>
      <c r="AB414" s="171"/>
      <c r="AC414" s="171"/>
      <c r="AD414" s="171"/>
      <c r="AE414" s="168"/>
      <c r="AF414" s="170"/>
      <c r="AG414" s="172"/>
      <c r="AH414"/>
      <c r="AI414"/>
    </row>
    <row r="415" spans="1:35" x14ac:dyDescent="0.35">
      <c r="A415"/>
      <c r="B415"/>
      <c r="C415"/>
      <c r="D415"/>
      <c r="E415"/>
      <c r="F415"/>
      <c r="G415"/>
      <c r="H415"/>
      <c r="I415"/>
      <c r="J415"/>
      <c r="K415"/>
      <c r="L415"/>
      <c r="M415"/>
      <c r="N415"/>
      <c r="O415"/>
      <c r="P415" s="168"/>
      <c r="Q415" s="168"/>
      <c r="R415" s="168"/>
      <c r="S415" s="169"/>
      <c r="T415" s="169"/>
      <c r="U415" s="169"/>
      <c r="V415" s="168"/>
      <c r="W415" s="168"/>
      <c r="X415" s="168"/>
      <c r="Y415" s="170"/>
      <c r="Z415" s="171"/>
      <c r="AA415" s="171"/>
      <c r="AB415" s="171"/>
      <c r="AC415" s="171"/>
      <c r="AD415" s="171"/>
      <c r="AE415" s="168"/>
      <c r="AF415" s="170"/>
      <c r="AG415" s="172"/>
      <c r="AH415"/>
      <c r="AI415"/>
    </row>
    <row r="416" spans="1:35" x14ac:dyDescent="0.35">
      <c r="A416"/>
      <c r="B416"/>
      <c r="C416"/>
      <c r="D416"/>
      <c r="E416"/>
      <c r="F416"/>
      <c r="G416"/>
      <c r="H416"/>
      <c r="I416"/>
      <c r="J416"/>
      <c r="K416"/>
      <c r="L416"/>
      <c r="M416"/>
      <c r="N416"/>
      <c r="O416"/>
      <c r="P416" s="168"/>
      <c r="Q416" s="168"/>
      <c r="R416" s="168"/>
      <c r="S416" s="169"/>
      <c r="T416" s="169"/>
      <c r="U416" s="169"/>
      <c r="V416" s="168"/>
      <c r="W416" s="168"/>
      <c r="X416" s="168"/>
      <c r="Y416" s="170"/>
      <c r="Z416" s="171"/>
      <c r="AA416" s="171"/>
      <c r="AB416" s="171"/>
      <c r="AC416" s="171"/>
      <c r="AD416" s="171"/>
      <c r="AE416" s="168"/>
      <c r="AF416" s="170"/>
      <c r="AG416" s="172"/>
      <c r="AH416"/>
      <c r="AI416"/>
    </row>
    <row r="417" spans="1:35" x14ac:dyDescent="0.35">
      <c r="A417"/>
      <c r="B417"/>
      <c r="C417"/>
      <c r="D417"/>
      <c r="E417"/>
      <c r="F417"/>
      <c r="G417"/>
      <c r="H417"/>
      <c r="I417"/>
      <c r="J417"/>
      <c r="K417"/>
      <c r="L417"/>
      <c r="M417"/>
      <c r="N417"/>
      <c r="O417"/>
      <c r="P417" s="168"/>
      <c r="Q417" s="168"/>
      <c r="R417" s="168"/>
      <c r="S417" s="169"/>
      <c r="T417" s="169"/>
      <c r="U417" s="169"/>
      <c r="V417" s="168"/>
      <c r="W417" s="168"/>
      <c r="X417" s="168"/>
      <c r="Y417" s="170"/>
      <c r="Z417" s="171"/>
      <c r="AA417" s="171"/>
      <c r="AB417" s="171"/>
      <c r="AC417" s="171"/>
      <c r="AD417" s="171"/>
      <c r="AE417" s="168"/>
      <c r="AF417" s="170"/>
      <c r="AG417" s="172"/>
      <c r="AH417"/>
      <c r="AI417"/>
    </row>
    <row r="418" spans="1:35" x14ac:dyDescent="0.35">
      <c r="A418"/>
      <c r="B418"/>
      <c r="C418"/>
      <c r="D418"/>
      <c r="E418"/>
      <c r="F418"/>
      <c r="G418"/>
      <c r="H418"/>
      <c r="I418"/>
      <c r="J418"/>
      <c r="K418"/>
      <c r="L418"/>
      <c r="M418"/>
      <c r="N418"/>
      <c r="O418"/>
      <c r="P418" s="168"/>
      <c r="Q418" s="168"/>
      <c r="R418" s="168"/>
      <c r="S418" s="169"/>
      <c r="T418" s="169"/>
      <c r="U418" s="169"/>
      <c r="V418" s="168"/>
      <c r="W418" s="168"/>
      <c r="X418" s="168"/>
      <c r="Y418" s="170"/>
      <c r="Z418" s="171"/>
      <c r="AA418" s="171"/>
      <c r="AB418" s="171"/>
      <c r="AC418" s="171"/>
      <c r="AD418" s="171"/>
      <c r="AE418" s="168"/>
      <c r="AF418" s="170"/>
      <c r="AG418" s="172"/>
      <c r="AH418"/>
      <c r="AI418"/>
    </row>
    <row r="419" spans="1:35" x14ac:dyDescent="0.35">
      <c r="A419"/>
      <c r="B419"/>
      <c r="C419"/>
      <c r="D419"/>
      <c r="E419"/>
      <c r="F419"/>
      <c r="G419"/>
      <c r="H419"/>
      <c r="I419"/>
      <c r="J419"/>
      <c r="K419"/>
      <c r="L419"/>
      <c r="M419"/>
      <c r="N419"/>
      <c r="O419"/>
      <c r="P419" s="168"/>
      <c r="Q419" s="168"/>
      <c r="R419" s="168"/>
      <c r="S419" s="169"/>
      <c r="T419" s="169"/>
      <c r="U419" s="169"/>
      <c r="V419" s="168"/>
      <c r="W419" s="168"/>
      <c r="X419" s="168"/>
      <c r="Y419" s="170"/>
      <c r="Z419" s="171"/>
      <c r="AA419" s="171"/>
      <c r="AB419" s="171"/>
      <c r="AC419" s="171"/>
      <c r="AD419" s="171"/>
      <c r="AE419" s="168"/>
      <c r="AF419" s="170"/>
      <c r="AG419" s="172"/>
      <c r="AH419"/>
      <c r="AI419"/>
    </row>
    <row r="420" spans="1:35" x14ac:dyDescent="0.35">
      <c r="A420"/>
      <c r="B420"/>
      <c r="C420"/>
      <c r="D420"/>
      <c r="E420"/>
      <c r="F420"/>
      <c r="G420"/>
      <c r="H420"/>
      <c r="I420"/>
      <c r="J420"/>
      <c r="K420"/>
      <c r="L420"/>
      <c r="M420"/>
      <c r="N420"/>
      <c r="O420"/>
      <c r="P420" s="168"/>
      <c r="Q420" s="168"/>
      <c r="R420" s="168"/>
      <c r="S420" s="169"/>
      <c r="T420" s="169"/>
      <c r="U420" s="169"/>
      <c r="V420" s="168"/>
      <c r="W420" s="168"/>
      <c r="X420" s="168"/>
      <c r="Y420" s="170"/>
      <c r="Z420" s="171"/>
      <c r="AA420" s="171"/>
      <c r="AB420" s="171"/>
      <c r="AC420" s="171"/>
      <c r="AD420" s="171"/>
      <c r="AE420" s="168"/>
      <c r="AF420" s="170"/>
      <c r="AG420" s="172"/>
      <c r="AH420"/>
      <c r="AI420"/>
    </row>
    <row r="421" spans="1:35" x14ac:dyDescent="0.35">
      <c r="A421"/>
      <c r="B421"/>
      <c r="C421"/>
      <c r="D421"/>
      <c r="E421"/>
      <c r="F421"/>
      <c r="G421"/>
      <c r="H421"/>
      <c r="I421"/>
      <c r="J421"/>
      <c r="K421"/>
      <c r="L421"/>
      <c r="M421"/>
      <c r="N421"/>
      <c r="O421"/>
      <c r="P421" s="168"/>
      <c r="Q421" s="168"/>
      <c r="R421" s="168"/>
      <c r="S421" s="169"/>
      <c r="T421" s="169"/>
      <c r="U421" s="169"/>
      <c r="V421" s="168"/>
      <c r="W421" s="168"/>
      <c r="X421" s="168"/>
      <c r="Y421" s="170"/>
      <c r="Z421" s="171"/>
      <c r="AA421" s="171"/>
      <c r="AB421" s="171"/>
      <c r="AC421" s="171"/>
      <c r="AD421" s="171"/>
      <c r="AE421" s="168"/>
      <c r="AF421" s="170"/>
      <c r="AG421" s="172"/>
      <c r="AH421"/>
      <c r="AI421"/>
    </row>
    <row r="422" spans="1:35" x14ac:dyDescent="0.35">
      <c r="A422"/>
      <c r="B422"/>
      <c r="C422"/>
      <c r="D422"/>
      <c r="E422"/>
      <c r="F422"/>
      <c r="G422"/>
      <c r="H422"/>
      <c r="I422"/>
      <c r="J422"/>
      <c r="K422"/>
      <c r="L422"/>
      <c r="M422"/>
      <c r="N422"/>
      <c r="O422"/>
      <c r="P422" s="168"/>
      <c r="Q422" s="168"/>
      <c r="R422" s="168"/>
      <c r="S422" s="169"/>
      <c r="T422" s="169"/>
      <c r="U422" s="169"/>
      <c r="V422" s="168"/>
      <c r="W422" s="168"/>
      <c r="X422" s="168"/>
      <c r="Y422" s="170"/>
      <c r="Z422" s="171"/>
      <c r="AA422" s="171"/>
      <c r="AB422" s="171"/>
      <c r="AC422" s="171"/>
      <c r="AD422" s="171"/>
      <c r="AE422" s="168"/>
      <c r="AF422" s="170"/>
      <c r="AG422" s="172"/>
      <c r="AH422"/>
      <c r="AI422"/>
    </row>
    <row r="423" spans="1:35" x14ac:dyDescent="0.35">
      <c r="A423"/>
      <c r="B423"/>
      <c r="C423"/>
      <c r="D423"/>
      <c r="E423"/>
      <c r="F423"/>
      <c r="G423"/>
      <c r="H423"/>
      <c r="I423"/>
      <c r="J423"/>
      <c r="K423"/>
      <c r="L423"/>
      <c r="M423"/>
      <c r="N423"/>
      <c r="O423"/>
      <c r="P423" s="168"/>
      <c r="Q423" s="168"/>
      <c r="R423" s="168"/>
      <c r="S423" s="169"/>
      <c r="T423" s="169"/>
      <c r="U423" s="169"/>
      <c r="V423" s="168"/>
      <c r="W423" s="168"/>
      <c r="X423" s="168"/>
      <c r="Y423" s="170"/>
      <c r="Z423" s="171"/>
      <c r="AA423" s="171"/>
      <c r="AB423" s="171"/>
      <c r="AC423" s="171"/>
      <c r="AD423" s="171"/>
      <c r="AE423" s="168"/>
      <c r="AF423" s="170"/>
      <c r="AG423" s="172"/>
      <c r="AH423"/>
      <c r="AI423"/>
    </row>
    <row r="424" spans="1:35" x14ac:dyDescent="0.35">
      <c r="A424"/>
      <c r="B424"/>
      <c r="C424"/>
      <c r="D424"/>
      <c r="E424"/>
      <c r="F424"/>
      <c r="G424"/>
      <c r="H424"/>
      <c r="I424"/>
      <c r="J424"/>
      <c r="K424"/>
      <c r="L424"/>
      <c r="M424"/>
      <c r="N424"/>
      <c r="O424"/>
      <c r="P424" s="168"/>
      <c r="Q424" s="168"/>
      <c r="R424" s="168"/>
      <c r="S424" s="169"/>
      <c r="T424" s="169"/>
      <c r="U424" s="169"/>
      <c r="V424" s="168"/>
      <c r="W424" s="168"/>
      <c r="X424" s="168"/>
      <c r="Y424" s="170"/>
      <c r="Z424" s="171"/>
      <c r="AA424" s="171"/>
      <c r="AB424" s="171"/>
      <c r="AC424" s="171"/>
      <c r="AD424" s="171"/>
      <c r="AE424" s="168"/>
      <c r="AF424" s="170"/>
      <c r="AG424" s="172"/>
      <c r="AH424"/>
      <c r="AI424"/>
    </row>
    <row r="425" spans="1:35" x14ac:dyDescent="0.35">
      <c r="A425"/>
      <c r="B425"/>
      <c r="C425"/>
      <c r="D425"/>
      <c r="E425"/>
      <c r="F425"/>
      <c r="G425"/>
      <c r="H425"/>
      <c r="I425"/>
      <c r="J425"/>
      <c r="K425"/>
      <c r="L425"/>
      <c r="M425"/>
      <c r="N425"/>
      <c r="O425"/>
      <c r="P425" s="168"/>
      <c r="Q425" s="168"/>
      <c r="R425" s="168"/>
      <c r="S425" s="169"/>
      <c r="T425" s="169"/>
      <c r="U425" s="169"/>
      <c r="V425" s="168"/>
      <c r="W425" s="168"/>
      <c r="X425" s="168"/>
      <c r="Y425" s="170"/>
      <c r="Z425" s="171"/>
      <c r="AA425" s="171"/>
      <c r="AB425" s="171"/>
      <c r="AC425" s="171"/>
      <c r="AD425" s="171"/>
      <c r="AE425" s="168"/>
      <c r="AF425" s="170"/>
      <c r="AG425" s="172"/>
      <c r="AH425"/>
      <c r="AI425"/>
    </row>
    <row r="426" spans="1:35" x14ac:dyDescent="0.35">
      <c r="A426"/>
      <c r="B426"/>
      <c r="C426"/>
      <c r="D426"/>
      <c r="E426"/>
      <c r="F426"/>
      <c r="G426"/>
      <c r="H426"/>
      <c r="I426"/>
      <c r="J426"/>
      <c r="K426"/>
      <c r="L426"/>
      <c r="M426"/>
      <c r="N426"/>
      <c r="O426"/>
      <c r="P426" s="168"/>
      <c r="Q426" s="168"/>
      <c r="R426" s="168"/>
      <c r="S426" s="169"/>
      <c r="T426" s="169"/>
      <c r="U426" s="169"/>
      <c r="V426" s="168"/>
      <c r="W426" s="168"/>
      <c r="X426" s="168"/>
      <c r="Y426" s="170"/>
      <c r="Z426" s="171"/>
      <c r="AA426" s="171"/>
      <c r="AB426" s="171"/>
      <c r="AC426" s="171"/>
      <c r="AD426" s="171"/>
      <c r="AE426" s="168"/>
      <c r="AF426" s="170"/>
      <c r="AG426" s="172"/>
      <c r="AH426"/>
      <c r="AI426"/>
    </row>
    <row r="427" spans="1:35" x14ac:dyDescent="0.35">
      <c r="A427"/>
      <c r="B427"/>
      <c r="C427"/>
      <c r="D427"/>
      <c r="E427"/>
      <c r="F427"/>
      <c r="G427"/>
      <c r="H427"/>
      <c r="I427"/>
      <c r="J427"/>
      <c r="K427"/>
      <c r="L427"/>
      <c r="M427"/>
      <c r="N427"/>
      <c r="O427"/>
      <c r="P427" s="168"/>
      <c r="Q427" s="168"/>
      <c r="R427" s="168"/>
      <c r="S427" s="169"/>
      <c r="T427" s="169"/>
      <c r="U427" s="169"/>
      <c r="V427" s="168"/>
      <c r="W427" s="168"/>
      <c r="X427" s="168"/>
      <c r="Y427" s="170"/>
      <c r="Z427" s="171"/>
      <c r="AA427" s="171"/>
      <c r="AB427" s="171"/>
      <c r="AC427" s="171"/>
      <c r="AD427" s="171"/>
      <c r="AE427" s="168"/>
      <c r="AF427" s="170"/>
      <c r="AG427" s="172"/>
      <c r="AH427"/>
      <c r="AI427"/>
    </row>
    <row r="428" spans="1:35" x14ac:dyDescent="0.35">
      <c r="A428"/>
      <c r="B428"/>
      <c r="C428"/>
      <c r="D428"/>
      <c r="E428"/>
      <c r="F428"/>
      <c r="G428"/>
      <c r="H428"/>
      <c r="I428"/>
      <c r="J428"/>
      <c r="K428"/>
      <c r="L428"/>
      <c r="M428"/>
      <c r="N428"/>
      <c r="O428"/>
      <c r="P428" s="168"/>
      <c r="Q428" s="168"/>
      <c r="R428" s="168"/>
      <c r="S428" s="169"/>
      <c r="T428" s="169"/>
      <c r="U428" s="169"/>
      <c r="V428" s="168"/>
      <c r="W428" s="168"/>
      <c r="X428" s="168"/>
      <c r="Y428" s="170"/>
      <c r="Z428" s="171"/>
      <c r="AA428" s="171"/>
      <c r="AB428" s="171"/>
      <c r="AC428" s="171"/>
      <c r="AD428" s="171"/>
      <c r="AE428" s="168"/>
      <c r="AF428" s="170"/>
      <c r="AG428" s="172"/>
      <c r="AH428"/>
      <c r="AI428"/>
    </row>
    <row r="429" spans="1:35" x14ac:dyDescent="0.35">
      <c r="A429"/>
      <c r="B429"/>
      <c r="C429"/>
      <c r="D429"/>
      <c r="E429"/>
      <c r="F429"/>
      <c r="G429"/>
      <c r="H429"/>
      <c r="I429"/>
      <c r="J429"/>
      <c r="K429"/>
      <c r="L429"/>
      <c r="M429"/>
      <c r="N429"/>
      <c r="O429"/>
      <c r="P429" s="168"/>
      <c r="Q429" s="168"/>
      <c r="R429" s="168"/>
      <c r="S429" s="169"/>
      <c r="T429" s="169"/>
      <c r="U429" s="169"/>
      <c r="V429" s="168"/>
      <c r="W429" s="168"/>
      <c r="X429" s="168"/>
      <c r="Y429" s="170"/>
      <c r="Z429" s="171"/>
      <c r="AA429" s="171"/>
      <c r="AB429" s="171"/>
      <c r="AC429" s="171"/>
      <c r="AD429" s="171"/>
      <c r="AE429" s="168"/>
      <c r="AF429" s="170"/>
      <c r="AG429" s="172"/>
      <c r="AH429"/>
      <c r="AI429"/>
    </row>
    <row r="430" spans="1:35" x14ac:dyDescent="0.35">
      <c r="A430"/>
      <c r="B430"/>
      <c r="C430"/>
      <c r="D430"/>
      <c r="E430"/>
      <c r="F430"/>
      <c r="G430"/>
      <c r="H430"/>
      <c r="I430"/>
      <c r="J430"/>
      <c r="K430"/>
      <c r="L430"/>
      <c r="M430"/>
      <c r="N430"/>
      <c r="O430"/>
      <c r="P430" s="168"/>
      <c r="Q430" s="168"/>
      <c r="R430" s="168"/>
      <c r="S430" s="169"/>
      <c r="T430" s="169"/>
      <c r="U430" s="169"/>
      <c r="V430" s="168"/>
      <c r="W430" s="168"/>
      <c r="X430" s="168"/>
      <c r="Y430" s="170"/>
      <c r="Z430" s="171"/>
      <c r="AA430" s="171"/>
      <c r="AB430" s="171"/>
      <c r="AC430" s="171"/>
      <c r="AD430" s="171"/>
      <c r="AE430" s="168"/>
      <c r="AF430" s="170"/>
      <c r="AG430" s="172"/>
      <c r="AH430"/>
      <c r="AI430"/>
    </row>
    <row r="431" spans="1:35" x14ac:dyDescent="0.35">
      <c r="A431"/>
      <c r="B431"/>
      <c r="C431"/>
      <c r="D431"/>
      <c r="E431"/>
      <c r="F431"/>
      <c r="G431"/>
      <c r="H431"/>
      <c r="I431"/>
      <c r="J431"/>
      <c r="K431"/>
      <c r="L431"/>
      <c r="M431"/>
      <c r="N431"/>
      <c r="O431"/>
      <c r="P431" s="168"/>
      <c r="Q431" s="168"/>
      <c r="R431" s="168"/>
      <c r="S431" s="169"/>
      <c r="T431" s="169"/>
      <c r="U431" s="169"/>
      <c r="V431" s="168"/>
      <c r="W431" s="168"/>
      <c r="X431" s="168"/>
      <c r="Y431" s="170"/>
      <c r="Z431" s="171"/>
      <c r="AA431" s="171"/>
      <c r="AB431" s="171"/>
      <c r="AC431" s="171"/>
      <c r="AD431" s="171"/>
      <c r="AE431" s="168"/>
      <c r="AF431" s="170"/>
      <c r="AG431" s="172"/>
      <c r="AH431"/>
      <c r="AI431"/>
    </row>
    <row r="432" spans="1:35" x14ac:dyDescent="0.35">
      <c r="A432"/>
      <c r="B432"/>
      <c r="C432"/>
      <c r="D432"/>
      <c r="E432"/>
      <c r="F432"/>
      <c r="G432"/>
      <c r="H432"/>
      <c r="I432"/>
      <c r="J432"/>
      <c r="K432"/>
      <c r="L432"/>
      <c r="M432"/>
      <c r="N432"/>
      <c r="O432"/>
      <c r="P432" s="168"/>
      <c r="Q432" s="168"/>
      <c r="R432" s="168"/>
      <c r="S432" s="169"/>
      <c r="T432" s="169"/>
      <c r="U432" s="169"/>
      <c r="V432" s="168"/>
      <c r="W432" s="168"/>
      <c r="X432" s="168"/>
      <c r="Y432" s="170"/>
      <c r="Z432" s="171"/>
      <c r="AA432" s="171"/>
      <c r="AB432" s="171"/>
      <c r="AC432" s="171"/>
      <c r="AD432" s="171"/>
      <c r="AE432" s="168"/>
      <c r="AF432" s="170"/>
      <c r="AG432" s="172"/>
      <c r="AH432"/>
      <c r="AI432"/>
    </row>
    <row r="433" spans="1:35" x14ac:dyDescent="0.35">
      <c r="A433"/>
      <c r="B433"/>
      <c r="C433"/>
      <c r="D433"/>
      <c r="E433"/>
      <c r="F433"/>
      <c r="G433"/>
      <c r="H433"/>
      <c r="I433"/>
      <c r="J433"/>
      <c r="K433"/>
      <c r="L433"/>
      <c r="M433"/>
      <c r="N433"/>
      <c r="O433"/>
      <c r="P433" s="168"/>
      <c r="Q433" s="168"/>
      <c r="R433" s="168"/>
      <c r="S433" s="169"/>
      <c r="T433" s="169"/>
      <c r="U433" s="169"/>
      <c r="V433" s="168"/>
      <c r="W433" s="168"/>
      <c r="X433" s="168"/>
      <c r="Y433" s="170"/>
      <c r="Z433" s="171"/>
      <c r="AA433" s="171"/>
      <c r="AB433" s="171"/>
      <c r="AC433" s="171"/>
      <c r="AD433" s="171"/>
      <c r="AE433" s="168"/>
      <c r="AF433" s="170"/>
      <c r="AG433" s="172"/>
      <c r="AH433"/>
      <c r="AI433"/>
    </row>
    <row r="434" spans="1:35" x14ac:dyDescent="0.35">
      <c r="A434"/>
      <c r="B434"/>
      <c r="C434"/>
      <c r="D434"/>
      <c r="E434"/>
      <c r="F434"/>
      <c r="G434"/>
      <c r="H434"/>
      <c r="I434"/>
      <c r="J434"/>
      <c r="K434"/>
      <c r="L434"/>
      <c r="M434"/>
      <c r="N434"/>
      <c r="O434"/>
      <c r="P434" s="168"/>
      <c r="Q434" s="168"/>
      <c r="R434" s="168"/>
      <c r="S434" s="169"/>
      <c r="T434" s="169"/>
      <c r="U434" s="169"/>
      <c r="V434" s="168"/>
      <c r="W434" s="168"/>
      <c r="X434" s="168"/>
      <c r="Y434" s="170"/>
      <c r="Z434" s="171"/>
      <c r="AA434" s="171"/>
      <c r="AB434" s="171"/>
      <c r="AC434" s="171"/>
      <c r="AD434" s="171"/>
      <c r="AE434" s="168"/>
      <c r="AF434" s="170"/>
      <c r="AG434" s="172"/>
      <c r="AH434"/>
      <c r="AI434"/>
    </row>
    <row r="435" spans="1:35" x14ac:dyDescent="0.35">
      <c r="A435"/>
      <c r="B435"/>
      <c r="C435"/>
      <c r="D435"/>
      <c r="E435"/>
      <c r="F435"/>
      <c r="G435"/>
      <c r="H435"/>
      <c r="I435"/>
      <c r="J435"/>
      <c r="K435"/>
      <c r="L435"/>
      <c r="M435"/>
      <c r="N435"/>
      <c r="O435"/>
      <c r="P435" s="168"/>
      <c r="Q435" s="168"/>
      <c r="R435" s="168"/>
      <c r="S435" s="169"/>
      <c r="T435" s="169"/>
      <c r="U435" s="169"/>
      <c r="V435" s="168"/>
      <c r="W435" s="168"/>
      <c r="X435" s="168"/>
      <c r="Y435" s="170"/>
      <c r="Z435" s="171"/>
      <c r="AA435" s="171"/>
      <c r="AB435" s="171"/>
      <c r="AC435" s="171"/>
      <c r="AD435" s="171"/>
      <c r="AE435" s="168"/>
      <c r="AF435" s="170"/>
      <c r="AG435" s="172"/>
      <c r="AH435"/>
      <c r="AI435"/>
    </row>
    <row r="436" spans="1:35" x14ac:dyDescent="0.35">
      <c r="A436"/>
      <c r="B436"/>
      <c r="C436"/>
      <c r="D436"/>
      <c r="E436"/>
      <c r="F436"/>
      <c r="G436"/>
      <c r="H436"/>
      <c r="I436"/>
      <c r="J436"/>
      <c r="K436"/>
      <c r="L436"/>
      <c r="M436"/>
      <c r="N436"/>
      <c r="O436"/>
      <c r="P436" s="168"/>
      <c r="Q436" s="168"/>
      <c r="R436" s="168"/>
      <c r="S436" s="169"/>
      <c r="T436" s="169"/>
      <c r="U436" s="169"/>
      <c r="V436" s="168"/>
      <c r="W436" s="168"/>
      <c r="X436" s="168"/>
      <c r="Y436" s="170"/>
      <c r="Z436" s="171"/>
      <c r="AA436" s="171"/>
      <c r="AB436" s="171"/>
      <c r="AC436" s="171"/>
      <c r="AD436" s="171"/>
      <c r="AE436" s="168"/>
      <c r="AF436" s="170"/>
      <c r="AG436" s="172"/>
      <c r="AH436"/>
      <c r="AI436"/>
    </row>
    <row r="437" spans="1:35" x14ac:dyDescent="0.35">
      <c r="A437"/>
      <c r="B437"/>
      <c r="C437"/>
      <c r="D437"/>
      <c r="E437"/>
      <c r="F437"/>
      <c r="G437"/>
      <c r="H437"/>
      <c r="I437"/>
      <c r="J437"/>
      <c r="K437"/>
      <c r="L437"/>
      <c r="M437"/>
      <c r="N437"/>
      <c r="O437"/>
      <c r="P437" s="168"/>
      <c r="Q437" s="168"/>
      <c r="R437" s="168"/>
      <c r="S437" s="169"/>
      <c r="T437" s="169"/>
      <c r="U437" s="169"/>
      <c r="V437" s="168"/>
      <c r="W437" s="168"/>
      <c r="X437" s="168"/>
      <c r="Y437" s="170"/>
      <c r="Z437" s="171"/>
      <c r="AA437" s="171"/>
      <c r="AB437" s="171"/>
      <c r="AC437" s="171"/>
      <c r="AD437" s="171"/>
      <c r="AE437" s="168"/>
      <c r="AF437" s="170"/>
      <c r="AG437" s="172"/>
      <c r="AH437"/>
      <c r="AI437"/>
    </row>
    <row r="438" spans="1:35" x14ac:dyDescent="0.35">
      <c r="A438"/>
      <c r="B438"/>
      <c r="C438"/>
      <c r="D438"/>
      <c r="E438"/>
      <c r="F438"/>
      <c r="G438"/>
      <c r="H438"/>
      <c r="I438"/>
      <c r="J438"/>
      <c r="K438"/>
      <c r="L438"/>
      <c r="M438"/>
      <c r="N438"/>
      <c r="O438"/>
      <c r="P438" s="168"/>
      <c r="Q438" s="168"/>
      <c r="R438" s="168"/>
      <c r="S438" s="169"/>
      <c r="T438" s="169"/>
      <c r="U438" s="169"/>
      <c r="V438" s="168"/>
      <c r="W438" s="168"/>
      <c r="X438" s="168"/>
      <c r="Y438" s="170"/>
      <c r="Z438" s="171"/>
      <c r="AA438" s="171"/>
      <c r="AB438" s="171"/>
      <c r="AC438" s="171"/>
      <c r="AD438" s="171"/>
      <c r="AE438" s="168"/>
      <c r="AF438" s="170"/>
      <c r="AG438" s="172"/>
      <c r="AH438"/>
      <c r="AI438"/>
    </row>
    <row r="439" spans="1:35" x14ac:dyDescent="0.35">
      <c r="A439"/>
      <c r="B439"/>
      <c r="C439"/>
      <c r="D439"/>
      <c r="E439"/>
      <c r="F439"/>
      <c r="G439"/>
      <c r="H439"/>
      <c r="I439"/>
      <c r="J439"/>
      <c r="K439"/>
      <c r="L439"/>
      <c r="M439"/>
      <c r="N439"/>
      <c r="O439"/>
      <c r="P439" s="168"/>
      <c r="Q439" s="168"/>
      <c r="R439" s="168"/>
      <c r="S439" s="169"/>
      <c r="T439" s="169"/>
      <c r="U439" s="169"/>
      <c r="V439" s="168"/>
      <c r="W439" s="168"/>
      <c r="X439" s="168"/>
      <c r="Y439" s="170"/>
      <c r="Z439" s="171"/>
      <c r="AA439" s="171"/>
      <c r="AB439" s="171"/>
      <c r="AC439" s="171"/>
      <c r="AD439" s="171"/>
      <c r="AE439" s="168"/>
      <c r="AF439" s="170"/>
      <c r="AG439" s="172"/>
      <c r="AH439"/>
      <c r="AI439"/>
    </row>
    <row r="440" spans="1:35" x14ac:dyDescent="0.35">
      <c r="A440"/>
      <c r="B440"/>
      <c r="C440"/>
      <c r="D440"/>
      <c r="E440"/>
      <c r="F440"/>
      <c r="G440"/>
      <c r="H440"/>
      <c r="I440"/>
      <c r="J440"/>
      <c r="K440"/>
      <c r="L440"/>
      <c r="M440"/>
      <c r="N440"/>
      <c r="O440"/>
      <c r="P440" s="168"/>
      <c r="Q440" s="168"/>
      <c r="R440" s="168"/>
      <c r="S440" s="169"/>
      <c r="T440" s="169"/>
      <c r="U440" s="169"/>
      <c r="V440" s="168"/>
      <c r="W440" s="168"/>
      <c r="X440" s="168"/>
      <c r="Y440" s="170"/>
      <c r="Z440" s="171"/>
      <c r="AA440" s="171"/>
      <c r="AB440" s="171"/>
      <c r="AC440" s="171"/>
      <c r="AD440" s="171"/>
      <c r="AE440" s="168"/>
      <c r="AF440" s="170"/>
      <c r="AG440" s="172"/>
      <c r="AH440"/>
      <c r="AI440"/>
    </row>
    <row r="441" spans="1:35" x14ac:dyDescent="0.35">
      <c r="A441"/>
      <c r="B441"/>
      <c r="C441"/>
      <c r="D441"/>
      <c r="E441"/>
      <c r="F441"/>
      <c r="G441"/>
      <c r="H441"/>
      <c r="I441"/>
      <c r="J441"/>
      <c r="K441"/>
      <c r="L441"/>
      <c r="M441"/>
      <c r="N441"/>
      <c r="O441"/>
      <c r="P441" s="168"/>
      <c r="Q441" s="168"/>
      <c r="R441" s="168"/>
      <c r="S441" s="169"/>
      <c r="T441" s="169"/>
      <c r="U441" s="169"/>
      <c r="V441" s="168"/>
      <c r="W441" s="168"/>
      <c r="X441" s="168"/>
      <c r="Y441" s="170"/>
      <c r="Z441" s="171"/>
      <c r="AA441" s="171"/>
      <c r="AB441" s="171"/>
      <c r="AC441" s="171"/>
      <c r="AD441" s="171"/>
      <c r="AE441" s="168"/>
      <c r="AF441" s="170"/>
      <c r="AG441" s="172"/>
      <c r="AH441"/>
      <c r="AI441"/>
    </row>
    <row r="442" spans="1:35" x14ac:dyDescent="0.35">
      <c r="A442"/>
      <c r="B442"/>
      <c r="C442"/>
      <c r="D442"/>
      <c r="E442"/>
      <c r="F442"/>
      <c r="G442"/>
      <c r="H442"/>
      <c r="I442"/>
      <c r="J442"/>
      <c r="K442"/>
      <c r="L442"/>
      <c r="M442"/>
      <c r="N442"/>
      <c r="O442"/>
      <c r="P442" s="168"/>
      <c r="Q442" s="168"/>
      <c r="R442" s="168"/>
      <c r="S442" s="169"/>
      <c r="T442" s="169"/>
      <c r="U442" s="169"/>
      <c r="V442" s="168"/>
      <c r="W442" s="168"/>
      <c r="X442" s="168"/>
      <c r="Y442" s="170"/>
      <c r="Z442" s="171"/>
      <c r="AA442" s="171"/>
      <c r="AB442" s="171"/>
      <c r="AC442" s="171"/>
      <c r="AD442" s="171"/>
      <c r="AE442" s="168"/>
      <c r="AF442" s="170"/>
      <c r="AG442" s="172"/>
      <c r="AH442"/>
      <c r="AI442"/>
    </row>
    <row r="443" spans="1:35" x14ac:dyDescent="0.35">
      <c r="A443"/>
      <c r="B443"/>
      <c r="C443"/>
      <c r="D443"/>
      <c r="E443"/>
      <c r="F443"/>
      <c r="G443"/>
      <c r="H443"/>
      <c r="I443"/>
      <c r="J443"/>
      <c r="K443"/>
      <c r="L443"/>
      <c r="M443"/>
      <c r="N443"/>
      <c r="O443"/>
      <c r="P443" s="168"/>
      <c r="Q443" s="168"/>
      <c r="R443" s="168"/>
      <c r="S443" s="169"/>
      <c r="T443" s="169"/>
      <c r="U443" s="169"/>
      <c r="V443" s="168"/>
      <c r="W443" s="168"/>
      <c r="X443" s="168"/>
      <c r="Y443" s="170"/>
      <c r="Z443" s="171"/>
      <c r="AA443" s="171"/>
      <c r="AB443" s="171"/>
      <c r="AC443" s="171"/>
      <c r="AD443" s="171"/>
      <c r="AE443" s="168"/>
      <c r="AF443" s="170"/>
      <c r="AG443" s="172"/>
      <c r="AH443"/>
      <c r="AI443"/>
    </row>
    <row r="444" spans="1:35" x14ac:dyDescent="0.35">
      <c r="A444"/>
      <c r="B444"/>
      <c r="C444"/>
      <c r="D444"/>
      <c r="E444"/>
      <c r="F444"/>
      <c r="G444"/>
      <c r="H444"/>
      <c r="I444"/>
      <c r="J444"/>
      <c r="K444"/>
      <c r="L444"/>
      <c r="M444"/>
      <c r="N444"/>
      <c r="O444"/>
      <c r="P444" s="168"/>
      <c r="Q444" s="168"/>
      <c r="R444" s="168"/>
      <c r="S444" s="169"/>
      <c r="T444" s="169"/>
      <c r="U444" s="169"/>
      <c r="V444" s="168"/>
      <c r="W444" s="168"/>
      <c r="X444" s="168"/>
      <c r="Y444" s="170"/>
      <c r="Z444" s="171"/>
      <c r="AA444" s="171"/>
      <c r="AB444" s="171"/>
      <c r="AC444" s="171"/>
      <c r="AD444" s="171"/>
      <c r="AE444" s="168"/>
      <c r="AF444" s="170"/>
      <c r="AG444" s="172"/>
      <c r="AH444"/>
      <c r="AI444"/>
    </row>
    <row r="445" spans="1:35" x14ac:dyDescent="0.35">
      <c r="A445"/>
      <c r="B445"/>
      <c r="C445"/>
      <c r="D445"/>
      <c r="E445"/>
      <c r="F445"/>
      <c r="G445"/>
      <c r="H445"/>
      <c r="I445"/>
      <c r="J445"/>
      <c r="K445"/>
      <c r="L445"/>
      <c r="M445"/>
      <c r="N445"/>
      <c r="O445"/>
      <c r="P445" s="168"/>
      <c r="Q445" s="168"/>
      <c r="R445" s="168"/>
      <c r="S445" s="169"/>
      <c r="T445" s="169"/>
      <c r="U445" s="169"/>
      <c r="V445" s="168"/>
      <c r="W445" s="168"/>
      <c r="X445" s="168"/>
      <c r="Y445" s="170"/>
      <c r="Z445" s="171"/>
      <c r="AA445" s="171"/>
      <c r="AB445" s="171"/>
      <c r="AC445" s="171"/>
      <c r="AD445" s="171"/>
      <c r="AE445" s="168"/>
      <c r="AF445" s="170"/>
      <c r="AG445" s="172"/>
      <c r="AH445"/>
      <c r="AI445"/>
    </row>
    <row r="446" spans="1:35" x14ac:dyDescent="0.35">
      <c r="A446"/>
      <c r="B446"/>
      <c r="C446"/>
      <c r="D446"/>
      <c r="E446"/>
      <c r="F446"/>
      <c r="G446"/>
      <c r="H446"/>
      <c r="I446"/>
      <c r="J446"/>
      <c r="K446"/>
      <c r="L446"/>
      <c r="M446"/>
      <c r="N446"/>
      <c r="O446"/>
      <c r="P446" s="168"/>
      <c r="Q446" s="168"/>
      <c r="R446" s="168"/>
      <c r="S446" s="169"/>
      <c r="T446" s="169"/>
      <c r="U446" s="169"/>
      <c r="V446" s="168"/>
      <c r="W446" s="168"/>
      <c r="X446" s="168"/>
      <c r="Y446" s="170"/>
      <c r="Z446" s="171"/>
      <c r="AA446" s="171"/>
      <c r="AB446" s="171"/>
      <c r="AC446" s="171"/>
      <c r="AD446" s="171"/>
      <c r="AE446" s="168"/>
      <c r="AF446" s="170"/>
      <c r="AG446" s="172"/>
      <c r="AH446"/>
      <c r="AI446"/>
    </row>
    <row r="447" spans="1:35" x14ac:dyDescent="0.35">
      <c r="A447"/>
      <c r="B447"/>
      <c r="C447"/>
      <c r="D447"/>
      <c r="E447"/>
      <c r="F447"/>
      <c r="G447"/>
      <c r="H447"/>
      <c r="I447"/>
      <c r="J447"/>
      <c r="K447"/>
      <c r="L447"/>
      <c r="M447"/>
      <c r="N447"/>
      <c r="O447"/>
      <c r="P447" s="168"/>
      <c r="Q447" s="168"/>
      <c r="R447" s="168"/>
      <c r="S447" s="169"/>
      <c r="T447" s="169"/>
      <c r="U447" s="169"/>
      <c r="V447" s="168"/>
      <c r="W447" s="168"/>
      <c r="X447" s="168"/>
      <c r="Y447" s="170"/>
      <c r="Z447" s="171"/>
      <c r="AA447" s="171"/>
      <c r="AB447" s="171"/>
      <c r="AC447" s="171"/>
      <c r="AD447" s="171"/>
      <c r="AE447" s="168"/>
      <c r="AF447" s="170"/>
      <c r="AG447" s="172"/>
      <c r="AH447"/>
      <c r="AI447"/>
    </row>
    <row r="448" spans="1:35" x14ac:dyDescent="0.35">
      <c r="A448"/>
      <c r="B448"/>
      <c r="C448"/>
      <c r="D448"/>
      <c r="E448"/>
      <c r="F448"/>
      <c r="G448"/>
      <c r="H448"/>
      <c r="I448"/>
      <c r="J448"/>
      <c r="K448"/>
      <c r="L448"/>
      <c r="M448"/>
      <c r="N448"/>
      <c r="O448"/>
      <c r="P448" s="168"/>
      <c r="Q448" s="168"/>
      <c r="R448" s="168"/>
      <c r="S448" s="169"/>
      <c r="T448" s="169"/>
      <c r="U448" s="169"/>
      <c r="V448" s="168"/>
      <c r="W448" s="168"/>
      <c r="X448" s="168"/>
      <c r="Y448" s="170"/>
      <c r="Z448" s="171"/>
      <c r="AA448" s="171"/>
      <c r="AB448" s="171"/>
      <c r="AC448" s="171"/>
      <c r="AD448" s="171"/>
      <c r="AE448" s="168"/>
      <c r="AF448" s="170"/>
      <c r="AG448" s="172"/>
      <c r="AH448"/>
      <c r="AI448"/>
    </row>
    <row r="449" spans="1:35" x14ac:dyDescent="0.35">
      <c r="A449"/>
      <c r="B449"/>
      <c r="C449"/>
      <c r="D449"/>
      <c r="E449"/>
      <c r="F449"/>
      <c r="G449"/>
      <c r="H449"/>
      <c r="I449"/>
      <c r="J449"/>
      <c r="K449"/>
      <c r="L449"/>
      <c r="M449"/>
      <c r="N449"/>
      <c r="O449"/>
      <c r="P449" s="168"/>
      <c r="Q449" s="168"/>
      <c r="R449" s="168"/>
      <c r="S449" s="169"/>
      <c r="T449" s="169"/>
      <c r="U449" s="169"/>
      <c r="V449" s="168"/>
      <c r="W449" s="168"/>
      <c r="X449" s="168"/>
      <c r="Y449" s="170"/>
      <c r="Z449" s="171"/>
      <c r="AA449" s="171"/>
      <c r="AB449" s="171"/>
      <c r="AC449" s="171"/>
      <c r="AD449" s="171"/>
      <c r="AE449" s="168"/>
      <c r="AF449" s="170"/>
      <c r="AG449" s="172"/>
      <c r="AH449"/>
      <c r="AI449"/>
    </row>
    <row r="450" spans="1:35" x14ac:dyDescent="0.35">
      <c r="A450"/>
      <c r="B450"/>
      <c r="C450"/>
      <c r="D450"/>
      <c r="E450"/>
      <c r="F450"/>
      <c r="G450"/>
      <c r="H450"/>
      <c r="I450"/>
      <c r="J450"/>
      <c r="K450"/>
      <c r="L450"/>
      <c r="M450"/>
      <c r="N450"/>
      <c r="O450"/>
      <c r="P450" s="168"/>
      <c r="Q450" s="168"/>
      <c r="R450" s="168"/>
      <c r="S450" s="169"/>
      <c r="T450" s="169"/>
      <c r="U450" s="169"/>
      <c r="V450" s="168"/>
      <c r="W450" s="168"/>
      <c r="X450" s="168"/>
      <c r="Y450" s="170"/>
      <c r="Z450" s="171"/>
      <c r="AA450" s="171"/>
      <c r="AB450" s="171"/>
      <c r="AC450" s="171"/>
      <c r="AD450" s="171"/>
      <c r="AE450" s="168"/>
      <c r="AF450" s="170"/>
      <c r="AG450" s="172"/>
      <c r="AH450"/>
      <c r="AI450"/>
    </row>
    <row r="451" spans="1:35" x14ac:dyDescent="0.35">
      <c r="A451"/>
      <c r="B451"/>
      <c r="C451"/>
      <c r="D451"/>
      <c r="E451"/>
      <c r="F451"/>
      <c r="G451"/>
      <c r="H451"/>
      <c r="I451"/>
      <c r="J451"/>
      <c r="K451"/>
      <c r="L451"/>
      <c r="M451"/>
      <c r="N451"/>
      <c r="O451"/>
      <c r="P451" s="168"/>
      <c r="Q451" s="168"/>
      <c r="R451" s="168"/>
      <c r="S451" s="169"/>
      <c r="T451" s="169"/>
      <c r="U451" s="169"/>
      <c r="V451" s="168"/>
      <c r="W451" s="168"/>
      <c r="X451" s="168"/>
      <c r="Y451" s="170"/>
      <c r="Z451" s="171"/>
      <c r="AA451" s="171"/>
      <c r="AB451" s="171"/>
      <c r="AC451" s="171"/>
      <c r="AD451" s="171"/>
      <c r="AE451" s="168"/>
      <c r="AF451" s="170"/>
      <c r="AG451" s="172"/>
      <c r="AH451"/>
      <c r="AI451"/>
    </row>
    <row r="452" spans="1:35" x14ac:dyDescent="0.35">
      <c r="A452"/>
      <c r="B452"/>
      <c r="C452"/>
      <c r="D452"/>
      <c r="E452"/>
      <c r="F452"/>
      <c r="G452"/>
      <c r="H452"/>
      <c r="I452"/>
      <c r="J452"/>
      <c r="K452"/>
      <c r="L452"/>
      <c r="M452"/>
      <c r="N452"/>
      <c r="O452"/>
      <c r="P452" s="168"/>
      <c r="Q452" s="168"/>
      <c r="R452" s="168"/>
      <c r="S452" s="169"/>
      <c r="T452" s="169"/>
      <c r="U452" s="169"/>
      <c r="V452" s="168"/>
      <c r="W452" s="168"/>
      <c r="X452" s="168"/>
      <c r="Y452" s="170"/>
      <c r="Z452" s="171"/>
      <c r="AA452" s="171"/>
      <c r="AB452" s="171"/>
      <c r="AC452" s="171"/>
      <c r="AD452" s="171"/>
      <c r="AE452" s="168"/>
      <c r="AF452" s="170"/>
      <c r="AG452" s="172"/>
      <c r="AH452"/>
      <c r="AI452"/>
    </row>
    <row r="453" spans="1:35" x14ac:dyDescent="0.35">
      <c r="A453"/>
      <c r="B453"/>
      <c r="C453"/>
      <c r="D453"/>
      <c r="E453"/>
      <c r="F453"/>
      <c r="G453"/>
      <c r="H453"/>
      <c r="I453"/>
      <c r="J453"/>
      <c r="K453"/>
      <c r="L453"/>
      <c r="M453"/>
      <c r="N453"/>
      <c r="O453"/>
      <c r="P453" s="168"/>
      <c r="Q453" s="168"/>
      <c r="R453" s="168"/>
      <c r="S453" s="169"/>
      <c r="T453" s="169"/>
      <c r="U453" s="169"/>
      <c r="V453" s="168"/>
      <c r="W453" s="168"/>
      <c r="X453" s="168"/>
      <c r="Y453" s="170"/>
      <c r="Z453" s="171"/>
      <c r="AA453" s="171"/>
      <c r="AB453" s="171"/>
      <c r="AC453" s="171"/>
      <c r="AD453" s="171"/>
      <c r="AE453" s="168"/>
      <c r="AF453" s="170"/>
      <c r="AG453" s="172"/>
      <c r="AH453"/>
      <c r="AI453"/>
    </row>
    <row r="454" spans="1:35" x14ac:dyDescent="0.35">
      <c r="A454"/>
      <c r="B454"/>
      <c r="C454"/>
      <c r="D454"/>
      <c r="E454"/>
      <c r="F454"/>
      <c r="G454"/>
      <c r="H454"/>
      <c r="I454"/>
      <c r="J454"/>
      <c r="K454"/>
      <c r="L454"/>
      <c r="M454"/>
      <c r="N454"/>
      <c r="O454"/>
      <c r="P454" s="168"/>
      <c r="Q454" s="168"/>
      <c r="R454" s="168"/>
      <c r="S454" s="169"/>
      <c r="T454" s="169"/>
      <c r="U454" s="169"/>
      <c r="V454" s="168"/>
      <c r="W454" s="168"/>
      <c r="X454" s="168"/>
      <c r="Y454" s="170"/>
      <c r="Z454" s="171"/>
      <c r="AA454" s="171"/>
      <c r="AB454" s="171"/>
      <c r="AC454" s="171"/>
      <c r="AD454" s="171"/>
      <c r="AE454" s="168"/>
      <c r="AF454" s="170"/>
      <c r="AG454" s="172"/>
      <c r="AH454"/>
      <c r="AI454"/>
    </row>
    <row r="455" spans="1:35" x14ac:dyDescent="0.35">
      <c r="A455"/>
      <c r="B455"/>
      <c r="C455"/>
      <c r="D455"/>
      <c r="E455"/>
      <c r="F455"/>
      <c r="G455"/>
      <c r="H455"/>
      <c r="I455"/>
      <c r="J455"/>
      <c r="K455"/>
      <c r="L455"/>
      <c r="M455"/>
      <c r="N455"/>
      <c r="O455"/>
      <c r="P455" s="168"/>
      <c r="Q455" s="168"/>
      <c r="R455" s="168"/>
      <c r="S455" s="169"/>
      <c r="T455" s="169"/>
      <c r="U455" s="169"/>
      <c r="V455" s="168"/>
      <c r="W455" s="168"/>
      <c r="X455" s="168"/>
      <c r="Y455" s="170"/>
      <c r="Z455" s="171"/>
      <c r="AA455" s="171"/>
      <c r="AB455" s="171"/>
      <c r="AC455" s="171"/>
      <c r="AD455" s="171"/>
      <c r="AE455" s="168"/>
      <c r="AF455" s="170"/>
      <c r="AG455" s="172"/>
      <c r="AH455"/>
      <c r="AI455"/>
    </row>
    <row r="456" spans="1:35" x14ac:dyDescent="0.35">
      <c r="A456"/>
      <c r="B456"/>
      <c r="C456"/>
      <c r="D456"/>
      <c r="E456"/>
      <c r="F456"/>
      <c r="G456"/>
      <c r="H456"/>
      <c r="I456"/>
      <c r="J456"/>
      <c r="K456"/>
      <c r="L456"/>
      <c r="M456"/>
      <c r="N456"/>
      <c r="O456"/>
      <c r="P456" s="168"/>
      <c r="Q456" s="168"/>
      <c r="R456" s="168"/>
      <c r="S456" s="169"/>
      <c r="T456" s="169"/>
      <c r="U456" s="169"/>
      <c r="V456" s="168"/>
      <c r="W456" s="168"/>
      <c r="X456" s="168"/>
      <c r="Y456" s="170"/>
      <c r="Z456" s="171"/>
      <c r="AA456" s="171"/>
      <c r="AB456" s="171"/>
      <c r="AC456" s="171"/>
      <c r="AD456" s="171"/>
      <c r="AE456" s="168"/>
      <c r="AF456" s="170"/>
      <c r="AG456" s="172"/>
      <c r="AH456"/>
      <c r="AI456"/>
    </row>
    <row r="457" spans="1:35" x14ac:dyDescent="0.35">
      <c r="A457"/>
      <c r="B457"/>
      <c r="C457"/>
      <c r="D457"/>
      <c r="E457"/>
      <c r="F457"/>
      <c r="G457"/>
      <c r="H457"/>
      <c r="I457"/>
      <c r="J457"/>
      <c r="K457"/>
      <c r="L457"/>
      <c r="M457"/>
      <c r="N457"/>
      <c r="O457"/>
      <c r="P457" s="168"/>
      <c r="Q457" s="168"/>
      <c r="R457" s="168"/>
      <c r="S457" s="169"/>
      <c r="T457" s="169"/>
      <c r="U457" s="169"/>
      <c r="V457" s="168"/>
      <c r="W457" s="168"/>
      <c r="X457" s="168"/>
      <c r="Y457" s="170"/>
      <c r="Z457" s="171"/>
      <c r="AA457" s="171"/>
      <c r="AB457" s="171"/>
      <c r="AC457" s="171"/>
      <c r="AD457" s="171"/>
      <c r="AE457" s="168"/>
      <c r="AF457" s="170"/>
      <c r="AG457" s="172"/>
      <c r="AH457"/>
      <c r="AI457"/>
    </row>
    <row r="458" spans="1:35" x14ac:dyDescent="0.35">
      <c r="A458"/>
      <c r="B458"/>
      <c r="C458"/>
      <c r="D458"/>
      <c r="E458"/>
      <c r="F458"/>
      <c r="G458"/>
      <c r="H458"/>
      <c r="I458"/>
      <c r="J458"/>
      <c r="K458"/>
      <c r="L458"/>
      <c r="M458"/>
      <c r="N458"/>
      <c r="O458"/>
      <c r="P458" s="168"/>
      <c r="Q458" s="168"/>
      <c r="R458" s="168"/>
      <c r="S458" s="169"/>
      <c r="T458" s="169"/>
      <c r="U458" s="169"/>
      <c r="V458" s="168"/>
      <c r="W458" s="168"/>
      <c r="X458" s="168"/>
      <c r="Y458" s="170"/>
      <c r="Z458" s="171"/>
      <c r="AA458" s="171"/>
      <c r="AB458" s="171"/>
      <c r="AC458" s="171"/>
      <c r="AD458" s="171"/>
      <c r="AE458" s="168"/>
      <c r="AF458" s="170"/>
      <c r="AG458" s="172"/>
      <c r="AH458"/>
      <c r="AI458"/>
    </row>
    <row r="459" spans="1:35" x14ac:dyDescent="0.35">
      <c r="A459"/>
      <c r="B459"/>
      <c r="C459"/>
      <c r="D459"/>
      <c r="E459"/>
      <c r="F459"/>
      <c r="G459"/>
      <c r="H459"/>
      <c r="I459"/>
      <c r="J459"/>
      <c r="K459"/>
      <c r="L459"/>
      <c r="M459"/>
      <c r="N459"/>
      <c r="O459"/>
      <c r="P459" s="168"/>
      <c r="Q459" s="168"/>
      <c r="R459" s="168"/>
      <c r="S459" s="169"/>
      <c r="T459" s="169"/>
      <c r="U459" s="169"/>
      <c r="V459" s="168"/>
      <c r="W459" s="168"/>
      <c r="X459" s="168"/>
      <c r="Y459" s="170"/>
      <c r="Z459" s="171"/>
      <c r="AA459" s="171"/>
      <c r="AB459" s="171"/>
      <c r="AC459" s="171"/>
      <c r="AD459" s="171"/>
      <c r="AE459" s="168"/>
      <c r="AF459" s="170"/>
      <c r="AG459" s="172"/>
      <c r="AH459"/>
      <c r="AI459"/>
    </row>
    <row r="460" spans="1:35" x14ac:dyDescent="0.35">
      <c r="A460"/>
      <c r="B460"/>
      <c r="C460"/>
      <c r="D460"/>
      <c r="E460"/>
      <c r="F460"/>
      <c r="G460"/>
      <c r="H460"/>
      <c r="I460"/>
      <c r="J460"/>
      <c r="K460"/>
      <c r="L460"/>
      <c r="M460"/>
      <c r="N460"/>
      <c r="O460"/>
      <c r="P460" s="168"/>
      <c r="Q460" s="168"/>
      <c r="R460" s="168"/>
      <c r="S460" s="169"/>
      <c r="T460" s="169"/>
      <c r="U460" s="169"/>
      <c r="V460" s="168"/>
      <c r="W460" s="168"/>
      <c r="X460" s="168"/>
      <c r="Y460" s="170"/>
      <c r="Z460" s="171"/>
      <c r="AA460" s="171"/>
      <c r="AB460" s="171"/>
      <c r="AC460" s="171"/>
      <c r="AD460" s="171"/>
      <c r="AE460" s="168"/>
      <c r="AF460" s="170"/>
      <c r="AG460" s="172"/>
      <c r="AH460"/>
      <c r="AI460"/>
    </row>
    <row r="461" spans="1:35" x14ac:dyDescent="0.35">
      <c r="A461"/>
      <c r="B461"/>
      <c r="C461"/>
      <c r="D461"/>
      <c r="E461"/>
      <c r="F461"/>
      <c r="G461"/>
      <c r="H461"/>
      <c r="I461"/>
      <c r="J461"/>
      <c r="K461"/>
      <c r="L461"/>
      <c r="M461"/>
      <c r="N461"/>
      <c r="O461"/>
      <c r="P461" s="168"/>
      <c r="Q461" s="168"/>
      <c r="R461" s="168"/>
      <c r="S461" s="169"/>
      <c r="T461" s="169"/>
      <c r="U461" s="169"/>
      <c r="V461" s="168"/>
      <c r="W461" s="168"/>
      <c r="X461" s="168"/>
      <c r="Y461" s="170"/>
      <c r="Z461" s="171"/>
      <c r="AA461" s="171"/>
      <c r="AB461" s="171"/>
      <c r="AC461" s="171"/>
      <c r="AD461" s="171"/>
      <c r="AE461" s="168"/>
      <c r="AF461" s="170"/>
      <c r="AG461" s="172"/>
      <c r="AH461"/>
      <c r="AI461"/>
    </row>
    <row r="462" spans="1:35" x14ac:dyDescent="0.35">
      <c r="A462"/>
      <c r="B462"/>
      <c r="C462"/>
      <c r="D462"/>
      <c r="E462"/>
      <c r="F462"/>
      <c r="G462"/>
      <c r="H462"/>
      <c r="I462"/>
      <c r="J462"/>
      <c r="K462"/>
      <c r="L462"/>
      <c r="M462"/>
      <c r="N462"/>
      <c r="O462"/>
      <c r="P462" s="168"/>
      <c r="Q462" s="168"/>
      <c r="R462" s="168"/>
      <c r="S462" s="169"/>
      <c r="T462" s="169"/>
      <c r="U462" s="169"/>
      <c r="V462" s="168"/>
      <c r="W462" s="168"/>
      <c r="X462" s="168"/>
      <c r="Y462" s="170"/>
      <c r="Z462" s="171"/>
      <c r="AA462" s="171"/>
      <c r="AB462" s="171"/>
      <c r="AC462" s="171"/>
      <c r="AD462" s="171"/>
      <c r="AE462" s="168"/>
      <c r="AF462" s="170"/>
      <c r="AG462" s="172"/>
      <c r="AH462"/>
      <c r="AI462"/>
    </row>
    <row r="463" spans="1:35" x14ac:dyDescent="0.35">
      <c r="A463"/>
      <c r="B463"/>
      <c r="C463"/>
      <c r="D463"/>
      <c r="E463"/>
      <c r="F463"/>
      <c r="G463"/>
      <c r="H463"/>
      <c r="I463"/>
      <c r="J463"/>
      <c r="K463"/>
      <c r="L463"/>
      <c r="M463"/>
      <c r="N463"/>
      <c r="O463"/>
      <c r="P463" s="168"/>
      <c r="Q463" s="168"/>
      <c r="R463" s="168"/>
      <c r="S463" s="169"/>
      <c r="T463" s="169"/>
      <c r="U463" s="169"/>
      <c r="V463" s="168"/>
      <c r="W463" s="168"/>
      <c r="X463" s="168"/>
      <c r="Y463" s="170"/>
      <c r="Z463" s="171"/>
      <c r="AA463" s="171"/>
      <c r="AB463" s="171"/>
      <c r="AC463" s="171"/>
      <c r="AD463" s="171"/>
      <c r="AE463" s="168"/>
      <c r="AF463" s="170"/>
      <c r="AG463" s="172"/>
      <c r="AH463"/>
      <c r="AI463"/>
    </row>
    <row r="464" spans="1:35" x14ac:dyDescent="0.35">
      <c r="A464"/>
      <c r="B464"/>
      <c r="C464"/>
      <c r="D464"/>
      <c r="E464"/>
      <c r="F464"/>
      <c r="G464"/>
      <c r="H464"/>
      <c r="I464"/>
      <c r="J464"/>
      <c r="K464"/>
      <c r="L464"/>
      <c r="M464"/>
      <c r="N464"/>
      <c r="O464"/>
      <c r="P464" s="168"/>
      <c r="Q464" s="168"/>
      <c r="R464" s="168"/>
      <c r="S464" s="169"/>
      <c r="T464" s="169"/>
      <c r="U464" s="169"/>
      <c r="V464" s="168"/>
      <c r="W464" s="168"/>
      <c r="X464" s="168"/>
      <c r="Y464" s="170"/>
      <c r="Z464" s="171"/>
      <c r="AA464" s="171"/>
      <c r="AB464" s="171"/>
      <c r="AC464" s="171"/>
      <c r="AD464" s="171"/>
      <c r="AE464" s="168"/>
      <c r="AF464" s="170"/>
      <c r="AG464" s="172"/>
      <c r="AH464"/>
      <c r="AI464"/>
    </row>
    <row r="465" spans="1:35" x14ac:dyDescent="0.35">
      <c r="A465"/>
      <c r="B465"/>
      <c r="C465"/>
      <c r="D465"/>
      <c r="E465"/>
      <c r="F465"/>
      <c r="G465"/>
      <c r="H465"/>
      <c r="I465"/>
      <c r="J465"/>
      <c r="K465"/>
      <c r="L465"/>
      <c r="M465"/>
      <c r="N465"/>
      <c r="O465"/>
      <c r="P465" s="168"/>
      <c r="Q465" s="168"/>
      <c r="R465" s="168"/>
      <c r="S465" s="169"/>
      <c r="T465" s="169"/>
      <c r="U465" s="169"/>
      <c r="V465" s="168"/>
      <c r="W465" s="168"/>
      <c r="X465" s="168"/>
      <c r="Y465" s="170"/>
      <c r="Z465" s="171"/>
      <c r="AA465" s="171"/>
      <c r="AB465" s="171"/>
      <c r="AC465" s="171"/>
      <c r="AD465" s="171"/>
      <c r="AE465" s="168"/>
      <c r="AF465" s="170"/>
      <c r="AG465" s="172"/>
      <c r="AH465"/>
      <c r="AI465"/>
    </row>
    <row r="466" spans="1:35" x14ac:dyDescent="0.35">
      <c r="A466"/>
      <c r="B466"/>
      <c r="C466"/>
      <c r="D466"/>
      <c r="E466"/>
      <c r="F466"/>
      <c r="G466"/>
      <c r="H466"/>
      <c r="I466"/>
      <c r="J466"/>
      <c r="K466"/>
      <c r="L466"/>
      <c r="M466"/>
      <c r="N466"/>
      <c r="O466"/>
      <c r="P466" s="168"/>
      <c r="Q466" s="168"/>
      <c r="R466" s="168"/>
      <c r="S466" s="169"/>
      <c r="T466" s="169"/>
      <c r="U466" s="169"/>
      <c r="V466" s="168"/>
      <c r="W466" s="168"/>
      <c r="X466" s="168"/>
      <c r="Y466" s="170"/>
      <c r="Z466" s="171"/>
      <c r="AA466" s="171"/>
      <c r="AB466" s="171"/>
      <c r="AC466" s="171"/>
      <c r="AD466" s="171"/>
      <c r="AE466" s="168"/>
      <c r="AF466" s="170"/>
      <c r="AG466" s="172"/>
      <c r="AH466"/>
      <c r="AI466"/>
    </row>
    <row r="467" spans="1:35" x14ac:dyDescent="0.35">
      <c r="A467"/>
      <c r="B467"/>
      <c r="C467"/>
      <c r="D467"/>
      <c r="E467"/>
      <c r="F467"/>
      <c r="G467"/>
      <c r="H467"/>
      <c r="I467"/>
      <c r="J467"/>
      <c r="K467"/>
      <c r="L467"/>
      <c r="M467"/>
      <c r="N467"/>
      <c r="O467"/>
      <c r="P467" s="168"/>
      <c r="Q467" s="168"/>
      <c r="R467" s="168"/>
      <c r="S467" s="169"/>
      <c r="T467" s="169"/>
      <c r="U467" s="169"/>
      <c r="V467" s="168"/>
      <c r="W467" s="168"/>
      <c r="X467" s="168"/>
      <c r="Y467" s="170"/>
      <c r="Z467" s="171"/>
      <c r="AA467" s="171"/>
      <c r="AB467" s="171"/>
      <c r="AC467" s="171"/>
      <c r="AD467" s="171"/>
      <c r="AE467" s="168"/>
      <c r="AF467" s="170"/>
      <c r="AG467" s="172"/>
      <c r="AH467"/>
      <c r="AI467"/>
    </row>
    <row r="468" spans="1:35" x14ac:dyDescent="0.35">
      <c r="A468"/>
      <c r="B468"/>
      <c r="C468"/>
      <c r="D468"/>
      <c r="E468"/>
      <c r="F468"/>
      <c r="G468"/>
      <c r="H468"/>
      <c r="I468"/>
      <c r="J468"/>
      <c r="K468"/>
      <c r="L468"/>
      <c r="M468"/>
      <c r="N468"/>
      <c r="O468"/>
      <c r="P468" s="168"/>
      <c r="Q468" s="168"/>
      <c r="R468" s="168"/>
      <c r="S468" s="169"/>
      <c r="T468" s="169"/>
      <c r="U468" s="169"/>
      <c r="V468" s="168"/>
      <c r="W468" s="168"/>
      <c r="X468" s="168"/>
      <c r="Y468" s="170"/>
      <c r="Z468" s="171"/>
      <c r="AA468" s="171"/>
      <c r="AB468" s="171"/>
      <c r="AC468" s="171"/>
      <c r="AD468" s="171"/>
      <c r="AE468" s="168"/>
      <c r="AF468" s="170"/>
      <c r="AG468" s="172"/>
      <c r="AH468"/>
      <c r="AI468"/>
    </row>
    <row r="469" spans="1:35" x14ac:dyDescent="0.35">
      <c r="A469"/>
      <c r="B469"/>
      <c r="C469"/>
      <c r="D469"/>
      <c r="E469"/>
      <c r="F469"/>
      <c r="G469"/>
      <c r="H469"/>
      <c r="I469"/>
      <c r="J469"/>
      <c r="K469"/>
      <c r="L469"/>
      <c r="M469"/>
      <c r="N469"/>
      <c r="O469"/>
      <c r="P469" s="168"/>
      <c r="Q469" s="168"/>
      <c r="R469" s="168"/>
      <c r="S469" s="169"/>
      <c r="T469" s="169"/>
      <c r="U469" s="169"/>
      <c r="V469" s="168"/>
      <c r="W469" s="168"/>
      <c r="X469" s="168"/>
      <c r="Y469" s="170"/>
      <c r="Z469" s="171"/>
      <c r="AA469" s="171"/>
      <c r="AB469" s="171"/>
      <c r="AC469" s="171"/>
      <c r="AD469" s="171"/>
      <c r="AE469" s="168"/>
      <c r="AF469" s="170"/>
      <c r="AG469" s="172"/>
      <c r="AH469"/>
      <c r="AI469"/>
    </row>
    <row r="470" spans="1:35" x14ac:dyDescent="0.35">
      <c r="A470"/>
      <c r="B470"/>
      <c r="C470"/>
      <c r="D470"/>
      <c r="E470"/>
      <c r="F470"/>
      <c r="G470"/>
      <c r="H470"/>
      <c r="I470"/>
      <c r="J470"/>
      <c r="K470"/>
      <c r="L470"/>
      <c r="M470"/>
      <c r="N470"/>
      <c r="O470"/>
      <c r="P470" s="168"/>
      <c r="Q470" s="168"/>
      <c r="R470" s="168"/>
      <c r="S470" s="169"/>
      <c r="T470" s="169"/>
      <c r="U470" s="169"/>
      <c r="V470" s="168"/>
      <c r="W470" s="168"/>
      <c r="X470" s="168"/>
      <c r="Y470" s="170"/>
      <c r="Z470" s="171"/>
      <c r="AA470" s="171"/>
      <c r="AB470" s="171"/>
      <c r="AC470" s="171"/>
      <c r="AD470" s="171"/>
      <c r="AE470" s="168"/>
      <c r="AF470" s="170"/>
      <c r="AG470" s="172"/>
      <c r="AH470"/>
      <c r="AI470"/>
    </row>
    <row r="471" spans="1:35" x14ac:dyDescent="0.35">
      <c r="A471"/>
      <c r="B471"/>
      <c r="C471"/>
      <c r="D471"/>
      <c r="E471"/>
      <c r="F471"/>
      <c r="G471"/>
      <c r="H471"/>
      <c r="I471"/>
      <c r="J471"/>
      <c r="K471"/>
      <c r="L471"/>
      <c r="M471"/>
      <c r="N471"/>
      <c r="O471"/>
      <c r="P471" s="168"/>
      <c r="Q471" s="168"/>
      <c r="R471" s="168"/>
      <c r="S471" s="169"/>
      <c r="T471" s="169"/>
      <c r="U471" s="169"/>
      <c r="V471" s="168"/>
      <c r="W471" s="168"/>
      <c r="X471" s="168"/>
      <c r="Y471" s="170"/>
      <c r="Z471" s="171"/>
      <c r="AA471" s="171"/>
      <c r="AB471" s="171"/>
      <c r="AC471" s="171"/>
      <c r="AD471" s="171"/>
      <c r="AE471" s="168"/>
      <c r="AF471" s="170"/>
      <c r="AG471" s="172"/>
      <c r="AH471"/>
      <c r="AI471"/>
    </row>
    <row r="472" spans="1:35" x14ac:dyDescent="0.35">
      <c r="A472"/>
      <c r="B472"/>
      <c r="C472"/>
      <c r="D472"/>
      <c r="E472"/>
      <c r="F472"/>
      <c r="G472"/>
      <c r="H472"/>
      <c r="I472"/>
      <c r="J472"/>
      <c r="K472"/>
      <c r="L472"/>
      <c r="M472"/>
      <c r="N472"/>
      <c r="O472"/>
      <c r="P472" s="168"/>
      <c r="Q472" s="168"/>
      <c r="R472" s="168"/>
      <c r="S472" s="169"/>
      <c r="T472" s="169"/>
      <c r="U472" s="169"/>
      <c r="V472" s="168"/>
      <c r="W472" s="168"/>
      <c r="X472" s="168"/>
      <c r="Y472" s="170"/>
      <c r="Z472" s="171"/>
      <c r="AA472" s="171"/>
      <c r="AB472" s="171"/>
      <c r="AC472" s="171"/>
      <c r="AD472" s="171"/>
      <c r="AE472" s="168"/>
      <c r="AF472" s="170"/>
      <c r="AG472" s="172"/>
      <c r="AH472"/>
      <c r="AI472"/>
    </row>
    <row r="473" spans="1:35" x14ac:dyDescent="0.35">
      <c r="A473"/>
      <c r="B473"/>
      <c r="C473"/>
      <c r="D473"/>
      <c r="E473"/>
      <c r="F473"/>
      <c r="G473"/>
      <c r="H473"/>
      <c r="I473"/>
      <c r="J473"/>
      <c r="K473"/>
      <c r="L473"/>
      <c r="M473"/>
      <c r="N473"/>
      <c r="O473"/>
      <c r="P473" s="168"/>
      <c r="Q473" s="168"/>
      <c r="R473" s="168"/>
      <c r="S473" s="169"/>
      <c r="T473" s="169"/>
      <c r="U473" s="169"/>
      <c r="V473" s="168"/>
      <c r="W473" s="168"/>
      <c r="X473" s="168"/>
      <c r="Y473" s="170"/>
      <c r="Z473" s="171"/>
      <c r="AA473" s="171"/>
      <c r="AB473" s="171"/>
      <c r="AC473" s="171"/>
      <c r="AD473" s="171"/>
      <c r="AE473" s="168"/>
      <c r="AF473" s="170"/>
      <c r="AG473" s="172"/>
      <c r="AH473"/>
      <c r="AI473"/>
    </row>
    <row r="474" spans="1:35" x14ac:dyDescent="0.35">
      <c r="A474"/>
      <c r="B474"/>
      <c r="C474"/>
      <c r="D474"/>
      <c r="E474"/>
      <c r="F474"/>
      <c r="G474"/>
      <c r="H474"/>
      <c r="I474"/>
      <c r="J474"/>
      <c r="K474"/>
      <c r="L474"/>
      <c r="M474"/>
      <c r="N474"/>
      <c r="O474"/>
      <c r="P474" s="168"/>
      <c r="Q474" s="168"/>
      <c r="R474" s="168"/>
      <c r="S474" s="169"/>
      <c r="T474" s="169"/>
      <c r="U474" s="169"/>
      <c r="V474" s="168"/>
      <c r="W474" s="168"/>
      <c r="X474" s="168"/>
      <c r="Y474" s="170"/>
      <c r="Z474" s="171"/>
      <c r="AA474" s="171"/>
      <c r="AB474" s="171"/>
      <c r="AC474" s="171"/>
      <c r="AD474" s="171"/>
      <c r="AE474" s="168"/>
      <c r="AF474" s="170"/>
      <c r="AG474" s="172"/>
      <c r="AH474"/>
      <c r="AI474"/>
    </row>
    <row r="475" spans="1:35" x14ac:dyDescent="0.35">
      <c r="A475"/>
      <c r="B475"/>
      <c r="C475"/>
      <c r="D475"/>
      <c r="E475"/>
      <c r="F475"/>
      <c r="G475"/>
      <c r="H475"/>
      <c r="I475"/>
      <c r="J475"/>
      <c r="K475"/>
      <c r="L475"/>
      <c r="M475"/>
      <c r="N475"/>
      <c r="O475"/>
      <c r="P475" s="168"/>
      <c r="Q475" s="168"/>
      <c r="R475" s="168"/>
      <c r="S475" s="169"/>
      <c r="T475" s="169"/>
      <c r="U475" s="169"/>
      <c r="V475" s="168"/>
      <c r="W475" s="168"/>
      <c r="X475" s="168"/>
      <c r="Y475" s="170"/>
      <c r="Z475" s="171"/>
      <c r="AA475" s="171"/>
      <c r="AB475" s="171"/>
      <c r="AC475" s="171"/>
      <c r="AD475" s="171"/>
      <c r="AE475" s="168"/>
      <c r="AF475" s="170"/>
      <c r="AG475" s="172"/>
      <c r="AH475"/>
      <c r="AI475"/>
    </row>
    <row r="476" spans="1:35" x14ac:dyDescent="0.35">
      <c r="A476"/>
      <c r="B476"/>
      <c r="C476"/>
      <c r="D476"/>
      <c r="E476"/>
      <c r="F476"/>
      <c r="G476"/>
      <c r="H476"/>
      <c r="I476"/>
      <c r="J476"/>
      <c r="K476"/>
      <c r="L476"/>
      <c r="M476"/>
      <c r="N476"/>
      <c r="O476"/>
      <c r="P476" s="168"/>
      <c r="Q476" s="168"/>
      <c r="R476" s="168"/>
      <c r="S476" s="169"/>
      <c r="T476" s="169"/>
      <c r="U476" s="169"/>
      <c r="V476" s="168"/>
      <c r="W476" s="168"/>
      <c r="X476" s="168"/>
      <c r="Y476" s="170"/>
      <c r="Z476" s="171"/>
      <c r="AA476" s="171"/>
      <c r="AB476" s="171"/>
      <c r="AC476" s="171"/>
      <c r="AD476" s="171"/>
      <c r="AE476" s="168"/>
      <c r="AF476" s="170"/>
      <c r="AG476" s="172"/>
      <c r="AH476"/>
      <c r="AI476"/>
    </row>
    <row r="477" spans="1:35" x14ac:dyDescent="0.35">
      <c r="A477"/>
      <c r="B477"/>
      <c r="C477"/>
      <c r="D477"/>
      <c r="E477"/>
      <c r="F477"/>
      <c r="G477"/>
      <c r="H477"/>
      <c r="I477"/>
      <c r="J477"/>
      <c r="K477"/>
      <c r="L477"/>
      <c r="M477"/>
      <c r="N477"/>
      <c r="O477"/>
      <c r="P477" s="168"/>
      <c r="Q477" s="168"/>
      <c r="R477" s="168"/>
      <c r="S477" s="169"/>
      <c r="T477" s="169"/>
      <c r="U477" s="169"/>
      <c r="V477" s="168"/>
      <c r="W477" s="168"/>
      <c r="X477" s="168"/>
      <c r="Y477" s="170"/>
      <c r="Z477" s="171"/>
      <c r="AA477" s="171"/>
      <c r="AB477" s="171"/>
      <c r="AC477" s="171"/>
      <c r="AD477" s="171"/>
      <c r="AE477" s="168"/>
      <c r="AF477" s="170"/>
      <c r="AG477" s="172"/>
      <c r="AH477"/>
      <c r="AI477"/>
    </row>
    <row r="478" spans="1:35" x14ac:dyDescent="0.35">
      <c r="A478"/>
      <c r="B478"/>
      <c r="C478"/>
      <c r="D478"/>
      <c r="E478"/>
      <c r="F478"/>
      <c r="G478"/>
      <c r="H478"/>
      <c r="I478"/>
      <c r="J478"/>
      <c r="K478"/>
      <c r="L478"/>
      <c r="M478"/>
      <c r="N478"/>
      <c r="O478"/>
      <c r="P478" s="168"/>
      <c r="Q478" s="168"/>
      <c r="R478" s="168"/>
      <c r="S478" s="169"/>
      <c r="T478" s="169"/>
      <c r="U478" s="169"/>
      <c r="V478" s="168"/>
      <c r="W478" s="168"/>
      <c r="X478" s="168"/>
      <c r="Y478" s="170"/>
      <c r="Z478" s="171"/>
      <c r="AA478" s="171"/>
      <c r="AB478" s="171"/>
      <c r="AC478" s="171"/>
      <c r="AD478" s="171"/>
      <c r="AE478" s="168"/>
      <c r="AF478" s="170"/>
      <c r="AG478" s="172"/>
      <c r="AH478"/>
      <c r="AI478"/>
    </row>
    <row r="479" spans="1:35" x14ac:dyDescent="0.35">
      <c r="A479"/>
      <c r="B479"/>
      <c r="C479"/>
      <c r="D479"/>
      <c r="E479"/>
      <c r="F479"/>
      <c r="G479"/>
      <c r="H479"/>
      <c r="I479"/>
      <c r="J479"/>
      <c r="K479"/>
      <c r="L479"/>
      <c r="M479"/>
      <c r="N479"/>
      <c r="O479"/>
      <c r="P479" s="168"/>
      <c r="Q479" s="168"/>
      <c r="R479" s="168"/>
      <c r="S479" s="169"/>
      <c r="T479" s="169"/>
      <c r="U479" s="169"/>
      <c r="V479" s="168"/>
      <c r="W479" s="168"/>
      <c r="X479" s="168"/>
      <c r="Y479" s="170"/>
      <c r="Z479" s="171"/>
      <c r="AA479" s="171"/>
      <c r="AB479" s="171"/>
      <c r="AC479" s="171"/>
      <c r="AD479" s="171"/>
      <c r="AE479" s="168"/>
      <c r="AF479" s="170"/>
      <c r="AG479" s="172"/>
      <c r="AH479"/>
      <c r="AI479"/>
    </row>
    <row r="480" spans="1:35" x14ac:dyDescent="0.35">
      <c r="A480"/>
      <c r="B480"/>
      <c r="C480"/>
      <c r="D480"/>
      <c r="E480"/>
      <c r="F480"/>
      <c r="G480"/>
      <c r="H480"/>
      <c r="I480"/>
      <c r="J480"/>
      <c r="K480"/>
      <c r="L480"/>
      <c r="M480"/>
      <c r="N480"/>
      <c r="O480"/>
      <c r="P480" s="168"/>
      <c r="Q480" s="168"/>
      <c r="R480" s="168"/>
      <c r="S480" s="169"/>
      <c r="T480" s="169"/>
      <c r="U480" s="169"/>
      <c r="V480" s="168"/>
      <c r="W480" s="168"/>
      <c r="X480" s="168"/>
      <c r="Y480" s="170"/>
      <c r="Z480" s="171"/>
      <c r="AA480" s="171"/>
      <c r="AB480" s="171"/>
      <c r="AC480" s="171"/>
      <c r="AD480" s="171"/>
      <c r="AE480" s="168"/>
      <c r="AF480" s="170"/>
      <c r="AG480" s="172"/>
      <c r="AH480"/>
      <c r="AI480"/>
    </row>
    <row r="481" spans="1:35" x14ac:dyDescent="0.35">
      <c r="A481"/>
      <c r="B481"/>
      <c r="C481"/>
      <c r="D481"/>
      <c r="E481"/>
      <c r="F481"/>
      <c r="G481"/>
      <c r="H481"/>
      <c r="I481"/>
      <c r="J481"/>
      <c r="K481"/>
      <c r="L481"/>
      <c r="M481"/>
      <c r="N481"/>
      <c r="O481"/>
      <c r="P481" s="168"/>
      <c r="Q481" s="168"/>
      <c r="R481" s="168"/>
      <c r="S481" s="169"/>
      <c r="T481" s="169"/>
      <c r="U481" s="169"/>
      <c r="V481" s="168"/>
      <c r="W481" s="168"/>
      <c r="X481" s="168"/>
      <c r="Y481" s="170"/>
      <c r="Z481" s="171"/>
      <c r="AA481" s="171"/>
      <c r="AB481" s="171"/>
      <c r="AC481" s="171"/>
      <c r="AD481" s="171"/>
      <c r="AE481" s="168"/>
      <c r="AF481" s="170"/>
      <c r="AG481" s="172"/>
      <c r="AH481"/>
      <c r="AI481"/>
    </row>
    <row r="482" spans="1:35" x14ac:dyDescent="0.35">
      <c r="A482"/>
      <c r="B482"/>
      <c r="C482"/>
      <c r="D482"/>
      <c r="E482"/>
      <c r="F482"/>
      <c r="G482"/>
      <c r="H482"/>
      <c r="I482"/>
      <c r="J482"/>
      <c r="K482"/>
      <c r="L482"/>
      <c r="M482"/>
      <c r="N482"/>
      <c r="O482"/>
      <c r="P482" s="168"/>
      <c r="Q482" s="168"/>
      <c r="R482" s="168"/>
      <c r="S482" s="169"/>
      <c r="T482" s="169"/>
      <c r="U482" s="169"/>
      <c r="V482" s="168"/>
      <c r="W482" s="168"/>
      <c r="X482" s="168"/>
      <c r="Y482" s="170"/>
      <c r="Z482" s="171"/>
      <c r="AA482" s="171"/>
      <c r="AB482" s="171"/>
      <c r="AC482" s="171"/>
      <c r="AD482" s="171"/>
      <c r="AE482" s="168"/>
      <c r="AF482" s="170"/>
      <c r="AG482" s="172"/>
      <c r="AH482"/>
      <c r="AI482"/>
    </row>
    <row r="483" spans="1:35" x14ac:dyDescent="0.35">
      <c r="A483"/>
      <c r="B483"/>
      <c r="C483"/>
      <c r="D483"/>
      <c r="E483"/>
      <c r="F483"/>
      <c r="G483"/>
      <c r="H483"/>
      <c r="I483"/>
      <c r="J483"/>
      <c r="K483"/>
      <c r="L483"/>
      <c r="M483"/>
      <c r="N483"/>
      <c r="O483"/>
      <c r="P483" s="168"/>
      <c r="Q483" s="168"/>
      <c r="R483" s="168"/>
      <c r="S483" s="169"/>
      <c r="T483" s="169"/>
      <c r="U483" s="169"/>
      <c r="V483" s="168"/>
      <c r="W483" s="168"/>
      <c r="X483" s="168"/>
      <c r="Y483" s="170"/>
      <c r="Z483" s="171"/>
      <c r="AA483" s="171"/>
      <c r="AB483" s="171"/>
      <c r="AC483" s="171"/>
      <c r="AD483" s="171"/>
      <c r="AE483" s="168"/>
      <c r="AF483" s="170"/>
      <c r="AG483" s="172"/>
      <c r="AH483"/>
      <c r="AI483"/>
    </row>
    <row r="484" spans="1:35" x14ac:dyDescent="0.35">
      <c r="A484"/>
      <c r="B484"/>
      <c r="C484"/>
      <c r="D484"/>
      <c r="E484"/>
      <c r="F484"/>
      <c r="G484"/>
      <c r="H484"/>
      <c r="I484"/>
      <c r="J484"/>
      <c r="K484"/>
      <c r="L484"/>
      <c r="M484"/>
      <c r="N484"/>
      <c r="O484"/>
      <c r="P484" s="168"/>
      <c r="Q484" s="168"/>
      <c r="R484" s="168"/>
      <c r="S484" s="169"/>
      <c r="T484" s="169"/>
      <c r="U484" s="169"/>
      <c r="V484" s="168"/>
      <c r="W484" s="168"/>
      <c r="X484" s="168"/>
      <c r="Y484" s="170"/>
      <c r="Z484" s="171"/>
      <c r="AA484" s="171"/>
      <c r="AB484" s="171"/>
      <c r="AC484" s="171"/>
      <c r="AD484" s="171"/>
      <c r="AE484" s="168"/>
      <c r="AF484" s="170"/>
      <c r="AG484" s="172"/>
      <c r="AH484"/>
      <c r="AI484"/>
    </row>
    <row r="485" spans="1:35" x14ac:dyDescent="0.35">
      <c r="A485"/>
      <c r="B485"/>
      <c r="C485"/>
      <c r="D485"/>
      <c r="E485"/>
      <c r="F485"/>
      <c r="G485"/>
      <c r="H485"/>
      <c r="I485"/>
      <c r="J485"/>
      <c r="K485"/>
      <c r="L485"/>
      <c r="M485"/>
      <c r="N485"/>
      <c r="O485"/>
      <c r="P485" s="168"/>
      <c r="Q485" s="168"/>
      <c r="R485" s="168"/>
      <c r="S485" s="169"/>
      <c r="T485" s="169"/>
      <c r="U485" s="169"/>
      <c r="V485" s="168"/>
      <c r="W485" s="168"/>
      <c r="X485" s="168"/>
      <c r="Y485" s="170"/>
      <c r="Z485" s="171"/>
      <c r="AA485" s="171"/>
      <c r="AB485" s="171"/>
      <c r="AC485" s="171"/>
      <c r="AD485" s="171"/>
      <c r="AE485" s="168"/>
      <c r="AF485" s="170"/>
      <c r="AG485" s="172"/>
      <c r="AH485"/>
      <c r="AI485"/>
    </row>
    <row r="486" spans="1:35" x14ac:dyDescent="0.35">
      <c r="A486"/>
      <c r="B486"/>
      <c r="C486"/>
      <c r="D486"/>
      <c r="E486"/>
      <c r="F486"/>
      <c r="G486"/>
      <c r="H486"/>
      <c r="I486"/>
      <c r="J486"/>
      <c r="K486"/>
      <c r="L486"/>
      <c r="M486"/>
      <c r="N486"/>
      <c r="O486"/>
      <c r="P486" s="168"/>
      <c r="Q486" s="168"/>
      <c r="R486" s="168"/>
      <c r="S486" s="169"/>
      <c r="T486" s="169"/>
      <c r="U486" s="169"/>
      <c r="V486" s="168"/>
      <c r="W486" s="168"/>
      <c r="X486" s="168"/>
      <c r="Y486" s="170"/>
      <c r="Z486" s="171"/>
      <c r="AA486" s="171"/>
      <c r="AB486" s="171"/>
      <c r="AC486" s="171"/>
      <c r="AD486" s="171"/>
      <c r="AE486" s="168"/>
      <c r="AF486" s="170"/>
      <c r="AG486" s="172"/>
      <c r="AH486"/>
      <c r="AI486"/>
    </row>
    <row r="487" spans="1:35" x14ac:dyDescent="0.35">
      <c r="A487"/>
      <c r="B487"/>
      <c r="C487"/>
      <c r="D487"/>
      <c r="E487"/>
      <c r="F487"/>
      <c r="G487"/>
      <c r="H487"/>
      <c r="I487"/>
      <c r="J487"/>
      <c r="K487"/>
      <c r="L487"/>
      <c r="M487"/>
      <c r="N487"/>
      <c r="O487"/>
      <c r="P487" s="168"/>
      <c r="Q487" s="168"/>
      <c r="R487" s="168"/>
      <c r="S487" s="169"/>
      <c r="T487" s="169"/>
      <c r="U487" s="169"/>
      <c r="V487" s="168"/>
      <c r="W487" s="168"/>
      <c r="X487" s="168"/>
      <c r="Y487" s="170"/>
      <c r="Z487" s="171"/>
      <c r="AA487" s="171"/>
      <c r="AB487" s="171"/>
      <c r="AC487" s="171"/>
      <c r="AD487" s="171"/>
      <c r="AE487" s="168"/>
      <c r="AF487" s="170"/>
      <c r="AG487" s="172"/>
      <c r="AH487"/>
      <c r="AI487"/>
    </row>
    <row r="488" spans="1:35" x14ac:dyDescent="0.35">
      <c r="A488"/>
      <c r="B488"/>
      <c r="C488"/>
      <c r="D488"/>
      <c r="E488"/>
      <c r="F488"/>
      <c r="G488"/>
      <c r="H488"/>
      <c r="I488"/>
      <c r="J488"/>
      <c r="K488"/>
      <c r="L488"/>
      <c r="M488"/>
      <c r="N488"/>
      <c r="O488"/>
      <c r="P488" s="168"/>
      <c r="Q488" s="168"/>
      <c r="R488" s="168"/>
      <c r="S488" s="169"/>
      <c r="T488" s="169"/>
      <c r="U488" s="169"/>
      <c r="V488" s="168"/>
      <c r="W488" s="168"/>
      <c r="X488" s="168"/>
      <c r="Y488" s="170"/>
      <c r="Z488" s="171"/>
      <c r="AA488" s="171"/>
      <c r="AB488" s="171"/>
      <c r="AC488" s="171"/>
      <c r="AD488" s="171"/>
      <c r="AE488" s="168"/>
      <c r="AF488" s="170"/>
      <c r="AG488" s="172"/>
      <c r="AH488"/>
      <c r="AI488"/>
    </row>
    <row r="489" spans="1:35" x14ac:dyDescent="0.35">
      <c r="A489"/>
      <c r="B489"/>
      <c r="C489"/>
      <c r="D489"/>
      <c r="E489"/>
      <c r="F489"/>
      <c r="G489"/>
      <c r="H489"/>
      <c r="I489"/>
      <c r="J489"/>
      <c r="K489"/>
      <c r="L489"/>
      <c r="M489"/>
      <c r="N489"/>
      <c r="O489"/>
      <c r="P489" s="168"/>
      <c r="Q489" s="168"/>
      <c r="R489" s="168"/>
      <c r="S489" s="169"/>
      <c r="T489" s="169"/>
      <c r="U489" s="169"/>
      <c r="V489" s="168"/>
      <c r="W489" s="168"/>
      <c r="X489" s="168"/>
      <c r="Y489" s="170"/>
      <c r="Z489" s="171"/>
      <c r="AA489" s="171"/>
      <c r="AB489" s="171"/>
      <c r="AC489" s="171"/>
      <c r="AD489" s="171"/>
      <c r="AE489" s="168"/>
      <c r="AF489" s="170"/>
      <c r="AG489" s="172"/>
      <c r="AH489"/>
      <c r="AI489"/>
    </row>
    <row r="490" spans="1:35" x14ac:dyDescent="0.35">
      <c r="A490"/>
      <c r="B490"/>
      <c r="C490"/>
      <c r="D490"/>
      <c r="E490"/>
      <c r="F490"/>
      <c r="G490"/>
      <c r="H490"/>
      <c r="I490"/>
      <c r="J490"/>
      <c r="K490"/>
      <c r="L490"/>
      <c r="M490"/>
      <c r="N490"/>
      <c r="O490"/>
      <c r="P490" s="168"/>
      <c r="Q490" s="168"/>
      <c r="R490" s="168"/>
      <c r="S490" s="169"/>
      <c r="T490" s="169"/>
      <c r="U490" s="169"/>
      <c r="V490" s="168"/>
      <c r="W490" s="168"/>
      <c r="X490" s="168"/>
      <c r="Y490" s="170"/>
      <c r="Z490" s="171"/>
      <c r="AA490" s="171"/>
      <c r="AB490" s="171"/>
      <c r="AC490" s="171"/>
      <c r="AD490" s="171"/>
      <c r="AE490" s="168"/>
      <c r="AF490" s="170"/>
      <c r="AG490" s="172"/>
      <c r="AH490"/>
      <c r="AI490"/>
    </row>
    <row r="491" spans="1:35" x14ac:dyDescent="0.35">
      <c r="A491"/>
      <c r="B491"/>
      <c r="C491"/>
      <c r="D491"/>
      <c r="E491"/>
      <c r="F491"/>
      <c r="G491"/>
      <c r="H491"/>
      <c r="I491"/>
      <c r="J491"/>
      <c r="K491"/>
      <c r="L491"/>
      <c r="M491"/>
      <c r="N491"/>
      <c r="O491"/>
      <c r="P491" s="168"/>
      <c r="Q491" s="168"/>
      <c r="R491" s="168"/>
      <c r="S491" s="169"/>
      <c r="T491" s="169"/>
      <c r="U491" s="169"/>
      <c r="V491" s="168"/>
      <c r="W491" s="168"/>
      <c r="X491" s="168"/>
      <c r="Y491" s="170"/>
      <c r="Z491" s="171"/>
      <c r="AA491" s="171"/>
      <c r="AB491" s="171"/>
      <c r="AC491" s="171"/>
      <c r="AD491" s="171"/>
      <c r="AE491" s="168"/>
      <c r="AF491" s="170"/>
      <c r="AG491" s="172"/>
      <c r="AH491"/>
      <c r="AI491"/>
    </row>
    <row r="492" spans="1:35" x14ac:dyDescent="0.35">
      <c r="A492"/>
      <c r="B492"/>
      <c r="C492"/>
      <c r="D492"/>
      <c r="E492"/>
      <c r="F492"/>
      <c r="G492"/>
      <c r="H492"/>
      <c r="I492"/>
      <c r="J492"/>
      <c r="K492"/>
      <c r="L492"/>
      <c r="M492"/>
      <c r="N492"/>
      <c r="O492"/>
      <c r="P492" s="168"/>
      <c r="Q492" s="168"/>
      <c r="R492" s="168"/>
      <c r="S492" s="169"/>
      <c r="T492" s="169"/>
      <c r="U492" s="169"/>
      <c r="V492" s="168"/>
      <c r="W492" s="168"/>
      <c r="X492" s="168"/>
      <c r="Y492" s="170"/>
      <c r="Z492" s="171"/>
      <c r="AA492" s="171"/>
      <c r="AB492" s="171"/>
      <c r="AC492" s="171"/>
      <c r="AD492" s="171"/>
      <c r="AE492" s="168"/>
      <c r="AF492" s="170"/>
      <c r="AG492" s="172"/>
      <c r="AH492"/>
      <c r="AI492"/>
    </row>
    <row r="493" spans="1:35" x14ac:dyDescent="0.35">
      <c r="A493"/>
      <c r="B493"/>
      <c r="C493"/>
      <c r="D493"/>
      <c r="E493"/>
      <c r="F493"/>
      <c r="G493"/>
      <c r="H493"/>
      <c r="I493"/>
      <c r="J493"/>
      <c r="K493"/>
      <c r="L493"/>
      <c r="M493"/>
      <c r="N493"/>
      <c r="O493"/>
      <c r="P493" s="168"/>
      <c r="Q493" s="168"/>
      <c r="R493" s="168"/>
      <c r="S493" s="169"/>
      <c r="T493" s="169"/>
      <c r="U493" s="169"/>
      <c r="V493" s="168"/>
      <c r="W493" s="168"/>
      <c r="X493" s="168"/>
      <c r="Y493" s="170"/>
      <c r="Z493" s="171"/>
      <c r="AA493" s="171"/>
      <c r="AB493" s="171"/>
      <c r="AC493" s="171"/>
      <c r="AD493" s="171"/>
      <c r="AE493" s="168"/>
      <c r="AF493" s="170"/>
      <c r="AG493" s="172"/>
      <c r="AH493"/>
      <c r="AI493"/>
    </row>
    <row r="494" spans="1:35" x14ac:dyDescent="0.35">
      <c r="A494"/>
      <c r="B494"/>
      <c r="C494"/>
      <c r="D494"/>
      <c r="E494"/>
      <c r="F494"/>
      <c r="G494"/>
      <c r="H494"/>
      <c r="I494"/>
      <c r="J494"/>
      <c r="K494"/>
      <c r="L494"/>
      <c r="M494"/>
      <c r="N494"/>
      <c r="O494"/>
      <c r="P494" s="168"/>
      <c r="Q494" s="168"/>
      <c r="R494" s="168"/>
      <c r="S494" s="169"/>
      <c r="T494" s="169"/>
      <c r="U494" s="169"/>
      <c r="V494" s="168"/>
      <c r="W494" s="168"/>
      <c r="X494" s="168"/>
      <c r="Y494" s="170"/>
      <c r="Z494" s="171"/>
      <c r="AA494" s="171"/>
      <c r="AB494" s="171"/>
      <c r="AC494" s="171"/>
      <c r="AD494" s="171"/>
      <c r="AE494" s="168"/>
      <c r="AF494" s="170"/>
      <c r="AG494" s="172"/>
      <c r="AH494"/>
      <c r="AI494"/>
    </row>
    <row r="495" spans="1:35" x14ac:dyDescent="0.35">
      <c r="A495"/>
      <c r="B495"/>
      <c r="C495"/>
      <c r="D495"/>
      <c r="E495"/>
      <c r="F495"/>
      <c r="G495"/>
      <c r="H495"/>
      <c r="I495"/>
      <c r="J495"/>
      <c r="K495"/>
      <c r="L495"/>
      <c r="M495"/>
      <c r="N495"/>
      <c r="O495"/>
      <c r="P495" s="168"/>
      <c r="Q495" s="168"/>
      <c r="R495" s="168"/>
      <c r="S495" s="169"/>
      <c r="T495" s="169"/>
      <c r="U495" s="169"/>
      <c r="V495" s="168"/>
      <c r="W495" s="168"/>
      <c r="X495" s="168"/>
      <c r="Y495" s="170"/>
      <c r="Z495" s="171"/>
      <c r="AA495" s="171"/>
      <c r="AB495" s="171"/>
      <c r="AC495" s="171"/>
      <c r="AD495" s="171"/>
      <c r="AE495" s="168"/>
      <c r="AF495" s="170"/>
      <c r="AG495" s="172"/>
      <c r="AH495"/>
      <c r="AI495"/>
    </row>
    <row r="496" spans="1:35" x14ac:dyDescent="0.35">
      <c r="A496"/>
      <c r="B496"/>
      <c r="C496"/>
      <c r="D496"/>
      <c r="E496"/>
      <c r="F496"/>
      <c r="G496"/>
      <c r="H496"/>
      <c r="I496"/>
      <c r="J496"/>
      <c r="K496"/>
      <c r="L496"/>
      <c r="M496"/>
      <c r="N496"/>
      <c r="O496"/>
      <c r="P496" s="168"/>
      <c r="Q496" s="168"/>
      <c r="R496" s="168"/>
      <c r="S496" s="169"/>
      <c r="T496" s="169"/>
      <c r="U496" s="169"/>
      <c r="V496" s="168"/>
      <c r="W496" s="168"/>
      <c r="X496" s="168"/>
      <c r="Y496" s="170"/>
      <c r="Z496" s="171"/>
      <c r="AA496" s="171"/>
      <c r="AB496" s="171"/>
      <c r="AC496" s="171"/>
      <c r="AD496" s="171"/>
      <c r="AE496" s="168"/>
      <c r="AF496" s="170"/>
      <c r="AG496" s="172"/>
      <c r="AH496"/>
      <c r="AI496"/>
    </row>
    <row r="497" spans="1:35" x14ac:dyDescent="0.35">
      <c r="A497"/>
      <c r="B497"/>
      <c r="C497"/>
      <c r="D497"/>
      <c r="E497"/>
      <c r="F497"/>
      <c r="G497"/>
      <c r="H497"/>
      <c r="I497"/>
      <c r="J497"/>
      <c r="K497"/>
      <c r="L497"/>
      <c r="M497"/>
      <c r="N497"/>
      <c r="O497"/>
      <c r="P497" s="168"/>
      <c r="Q497" s="168"/>
      <c r="R497" s="168"/>
      <c r="S497" s="169"/>
      <c r="T497" s="169"/>
      <c r="U497" s="169"/>
      <c r="V497" s="168"/>
      <c r="W497" s="168"/>
      <c r="X497" s="168"/>
      <c r="Y497" s="170"/>
      <c r="Z497" s="171"/>
      <c r="AA497" s="171"/>
      <c r="AB497" s="171"/>
      <c r="AC497" s="171"/>
      <c r="AD497" s="171"/>
      <c r="AE497" s="168"/>
      <c r="AF497" s="170"/>
      <c r="AG497" s="172"/>
      <c r="AH497"/>
      <c r="AI497"/>
    </row>
    <row r="498" spans="1:35" x14ac:dyDescent="0.35">
      <c r="A498"/>
      <c r="B498"/>
      <c r="C498"/>
      <c r="D498"/>
      <c r="E498"/>
      <c r="F498"/>
      <c r="G498"/>
      <c r="H498"/>
      <c r="I498"/>
      <c r="J498"/>
      <c r="K498"/>
      <c r="L498"/>
      <c r="M498"/>
      <c r="N498"/>
      <c r="O498"/>
      <c r="P498" s="168"/>
      <c r="Q498" s="168"/>
      <c r="R498" s="168"/>
      <c r="S498" s="169"/>
      <c r="T498" s="169"/>
      <c r="U498" s="169"/>
      <c r="V498" s="168"/>
      <c r="W498" s="168"/>
      <c r="X498" s="168"/>
      <c r="Y498" s="170"/>
      <c r="Z498" s="171"/>
      <c r="AA498" s="171"/>
      <c r="AB498" s="171"/>
      <c r="AC498" s="171"/>
      <c r="AD498" s="171"/>
      <c r="AE498" s="168"/>
      <c r="AF498" s="170"/>
      <c r="AG498" s="172"/>
      <c r="AH498"/>
      <c r="AI498"/>
    </row>
    <row r="499" spans="1:35" x14ac:dyDescent="0.35">
      <c r="A499"/>
      <c r="B499"/>
      <c r="C499"/>
      <c r="D499"/>
      <c r="E499"/>
      <c r="F499"/>
      <c r="G499"/>
      <c r="H499"/>
      <c r="I499"/>
      <c r="J499"/>
      <c r="K499"/>
      <c r="L499"/>
      <c r="M499"/>
      <c r="N499"/>
      <c r="O499"/>
      <c r="P499" s="168"/>
      <c r="Q499" s="168"/>
      <c r="R499" s="168"/>
      <c r="S499" s="169"/>
      <c r="T499" s="169"/>
      <c r="U499" s="169"/>
      <c r="V499" s="168"/>
      <c r="W499" s="168"/>
      <c r="X499" s="168"/>
      <c r="Y499" s="170"/>
      <c r="Z499" s="171"/>
      <c r="AA499" s="171"/>
      <c r="AB499" s="171"/>
      <c r="AC499" s="171"/>
      <c r="AD499" s="171"/>
      <c r="AE499" s="168"/>
      <c r="AF499" s="170"/>
      <c r="AG499" s="172"/>
      <c r="AH499"/>
      <c r="AI499"/>
    </row>
    <row r="500" spans="1:35" x14ac:dyDescent="0.35">
      <c r="A500"/>
      <c r="B500"/>
      <c r="C500"/>
      <c r="D500"/>
      <c r="E500"/>
      <c r="F500"/>
      <c r="G500"/>
      <c r="H500"/>
      <c r="I500"/>
      <c r="J500"/>
      <c r="K500"/>
      <c r="L500"/>
      <c r="M500"/>
      <c r="N500"/>
      <c r="O500"/>
      <c r="P500" s="168"/>
      <c r="Q500" s="168"/>
      <c r="R500" s="168"/>
      <c r="S500" s="169"/>
      <c r="T500" s="169"/>
      <c r="U500" s="169"/>
      <c r="V500" s="168"/>
      <c r="W500" s="168"/>
      <c r="X500" s="168"/>
      <c r="Y500" s="170"/>
      <c r="Z500" s="171"/>
      <c r="AA500" s="171"/>
      <c r="AB500" s="171"/>
      <c r="AC500" s="171"/>
      <c r="AD500" s="171"/>
      <c r="AE500" s="168"/>
      <c r="AF500" s="170"/>
      <c r="AG500" s="172"/>
      <c r="AH500"/>
      <c r="AI500"/>
    </row>
    <row r="501" spans="1:35" x14ac:dyDescent="0.35">
      <c r="A501"/>
      <c r="B501"/>
      <c r="C501"/>
      <c r="D501"/>
      <c r="E501"/>
      <c r="F501"/>
      <c r="G501"/>
      <c r="H501"/>
      <c r="I501"/>
      <c r="J501"/>
      <c r="K501"/>
      <c r="L501"/>
      <c r="M501"/>
      <c r="N501"/>
      <c r="O501"/>
      <c r="P501" s="168"/>
      <c r="Q501" s="168"/>
      <c r="R501" s="168"/>
      <c r="S501" s="169"/>
      <c r="T501" s="169"/>
      <c r="U501" s="169"/>
      <c r="V501" s="168"/>
      <c r="W501" s="168"/>
      <c r="X501" s="168"/>
      <c r="Y501" s="170"/>
      <c r="Z501" s="171"/>
      <c r="AA501" s="171"/>
      <c r="AB501" s="171"/>
      <c r="AC501" s="171"/>
      <c r="AD501" s="171"/>
      <c r="AE501" s="168"/>
      <c r="AF501" s="170"/>
      <c r="AG501" s="172"/>
      <c r="AH501"/>
      <c r="AI501"/>
    </row>
    <row r="502" spans="1:35" x14ac:dyDescent="0.35">
      <c r="A502"/>
      <c r="B502"/>
      <c r="C502"/>
      <c r="D502"/>
      <c r="E502"/>
      <c r="F502"/>
      <c r="G502"/>
      <c r="H502"/>
      <c r="I502"/>
      <c r="J502"/>
      <c r="K502"/>
      <c r="L502"/>
      <c r="M502"/>
      <c r="N502"/>
      <c r="O502"/>
      <c r="P502" s="168"/>
      <c r="Q502" s="168"/>
      <c r="R502" s="168"/>
      <c r="S502" s="169"/>
      <c r="T502" s="169"/>
      <c r="U502" s="169"/>
      <c r="V502" s="168"/>
      <c r="W502" s="168"/>
      <c r="X502" s="168"/>
      <c r="Y502" s="170"/>
      <c r="Z502" s="171"/>
      <c r="AA502" s="171"/>
      <c r="AB502" s="171"/>
      <c r="AC502" s="171"/>
      <c r="AD502" s="171"/>
      <c r="AE502" s="168"/>
      <c r="AF502" s="170"/>
      <c r="AG502" s="172"/>
      <c r="AH502"/>
      <c r="AI502"/>
    </row>
    <row r="503" spans="1:35" x14ac:dyDescent="0.35">
      <c r="A503"/>
      <c r="B503"/>
      <c r="C503"/>
      <c r="D503"/>
      <c r="E503"/>
      <c r="F503"/>
      <c r="G503"/>
      <c r="H503"/>
      <c r="I503"/>
      <c r="J503"/>
      <c r="K503"/>
      <c r="L503"/>
      <c r="M503"/>
      <c r="N503"/>
      <c r="O503"/>
      <c r="P503" s="168"/>
      <c r="Q503" s="168"/>
      <c r="R503" s="168"/>
      <c r="S503" s="169"/>
      <c r="T503" s="169"/>
      <c r="U503" s="169"/>
      <c r="V503" s="168"/>
      <c r="W503" s="168"/>
      <c r="X503" s="168"/>
      <c r="Y503" s="170"/>
      <c r="Z503" s="171"/>
      <c r="AA503" s="171"/>
      <c r="AB503" s="171"/>
      <c r="AC503" s="171"/>
      <c r="AD503" s="171"/>
      <c r="AE503" s="168"/>
      <c r="AF503" s="170"/>
      <c r="AG503" s="172"/>
      <c r="AH503"/>
      <c r="AI503"/>
    </row>
    <row r="504" spans="1:35" x14ac:dyDescent="0.35">
      <c r="A504"/>
      <c r="B504"/>
      <c r="C504"/>
      <c r="D504"/>
      <c r="E504"/>
      <c r="F504"/>
      <c r="G504"/>
      <c r="H504"/>
      <c r="I504"/>
      <c r="J504"/>
      <c r="K504"/>
      <c r="L504"/>
      <c r="M504"/>
      <c r="N504"/>
      <c r="O504"/>
      <c r="P504" s="168"/>
      <c r="Q504" s="168"/>
      <c r="R504" s="168"/>
      <c r="S504" s="169"/>
      <c r="T504" s="169"/>
      <c r="U504" s="169"/>
      <c r="V504" s="168"/>
      <c r="W504" s="168"/>
      <c r="X504" s="168"/>
      <c r="Y504" s="170"/>
      <c r="Z504" s="171"/>
      <c r="AA504" s="171"/>
      <c r="AB504" s="171"/>
      <c r="AC504" s="171"/>
      <c r="AD504" s="171"/>
      <c r="AE504" s="168"/>
      <c r="AF504" s="170"/>
      <c r="AG504" s="172"/>
      <c r="AH504"/>
      <c r="AI504"/>
    </row>
    <row r="505" spans="1:35" x14ac:dyDescent="0.35">
      <c r="A505"/>
      <c r="B505"/>
      <c r="C505"/>
      <c r="D505"/>
      <c r="E505"/>
      <c r="F505"/>
      <c r="G505"/>
      <c r="H505"/>
      <c r="I505"/>
      <c r="J505"/>
      <c r="K505"/>
      <c r="L505"/>
      <c r="M505"/>
      <c r="N505"/>
      <c r="O505"/>
      <c r="P505" s="168"/>
      <c r="Q505" s="168"/>
      <c r="R505" s="168"/>
      <c r="S505" s="169"/>
      <c r="T505" s="169"/>
      <c r="U505" s="169"/>
      <c r="V505" s="168"/>
      <c r="W505" s="168"/>
      <c r="X505" s="168"/>
      <c r="Y505" s="170"/>
      <c r="Z505" s="171"/>
      <c r="AA505" s="171"/>
      <c r="AB505" s="171"/>
      <c r="AC505" s="171"/>
      <c r="AD505" s="171"/>
      <c r="AE505" s="168"/>
      <c r="AF505" s="170"/>
      <c r="AG505" s="172"/>
      <c r="AH505"/>
      <c r="AI505"/>
    </row>
    <row r="506" spans="1:35" x14ac:dyDescent="0.35">
      <c r="A506"/>
      <c r="B506"/>
      <c r="C506"/>
      <c r="D506"/>
      <c r="E506"/>
      <c r="F506"/>
      <c r="G506"/>
      <c r="H506"/>
      <c r="I506"/>
      <c r="J506"/>
      <c r="K506"/>
      <c r="L506"/>
      <c r="M506"/>
      <c r="N506"/>
      <c r="O506"/>
      <c r="P506" s="168"/>
      <c r="Q506" s="168"/>
      <c r="R506" s="168"/>
      <c r="S506" s="169"/>
      <c r="T506" s="169"/>
      <c r="U506" s="169"/>
      <c r="V506" s="168"/>
      <c r="W506" s="168"/>
      <c r="X506" s="168"/>
      <c r="Y506" s="170"/>
      <c r="Z506" s="171"/>
      <c r="AA506" s="171"/>
      <c r="AB506" s="171"/>
      <c r="AC506" s="171"/>
      <c r="AD506" s="171"/>
      <c r="AE506" s="168"/>
      <c r="AF506" s="170"/>
      <c r="AG506" s="172"/>
      <c r="AH506"/>
      <c r="AI506"/>
    </row>
    <row r="507" spans="1:35" x14ac:dyDescent="0.35">
      <c r="A507"/>
      <c r="B507"/>
      <c r="C507"/>
      <c r="D507"/>
      <c r="E507"/>
      <c r="F507"/>
      <c r="G507"/>
      <c r="H507"/>
      <c r="I507"/>
      <c r="J507"/>
      <c r="K507"/>
      <c r="L507"/>
      <c r="M507"/>
      <c r="N507"/>
      <c r="O507"/>
      <c r="P507" s="168"/>
      <c r="Q507" s="168"/>
      <c r="R507" s="168"/>
      <c r="S507" s="169"/>
      <c r="T507" s="169"/>
      <c r="U507" s="169"/>
      <c r="V507" s="168"/>
      <c r="W507" s="168"/>
      <c r="X507" s="168"/>
      <c r="Y507" s="170"/>
      <c r="Z507" s="171"/>
      <c r="AA507" s="171"/>
      <c r="AB507" s="171"/>
      <c r="AC507" s="171"/>
      <c r="AD507" s="171"/>
      <c r="AE507" s="168"/>
      <c r="AF507" s="170"/>
      <c r="AG507" s="172"/>
      <c r="AH507"/>
      <c r="AI507"/>
    </row>
    <row r="508" spans="1:35" x14ac:dyDescent="0.35">
      <c r="A508"/>
      <c r="B508"/>
      <c r="C508"/>
      <c r="D508"/>
      <c r="E508"/>
      <c r="F508"/>
      <c r="G508"/>
      <c r="H508"/>
      <c r="I508"/>
      <c r="J508"/>
      <c r="K508"/>
      <c r="L508"/>
      <c r="M508"/>
      <c r="N508"/>
      <c r="O508"/>
      <c r="P508" s="168"/>
      <c r="Q508" s="168"/>
      <c r="R508" s="168"/>
      <c r="S508" s="169"/>
      <c r="T508" s="169"/>
      <c r="U508" s="169"/>
      <c r="V508" s="168"/>
      <c r="W508" s="168"/>
      <c r="X508" s="168"/>
      <c r="Y508" s="170"/>
      <c r="Z508" s="171"/>
      <c r="AA508" s="171"/>
      <c r="AB508" s="171"/>
      <c r="AC508" s="171"/>
      <c r="AD508" s="171"/>
      <c r="AE508" s="168"/>
      <c r="AF508" s="170"/>
      <c r="AG508" s="172"/>
      <c r="AH508"/>
      <c r="AI508"/>
    </row>
    <row r="509" spans="1:35" x14ac:dyDescent="0.35">
      <c r="A509"/>
      <c r="B509"/>
      <c r="C509"/>
      <c r="D509"/>
      <c r="E509"/>
      <c r="F509"/>
      <c r="G509"/>
      <c r="H509"/>
      <c r="I509"/>
      <c r="J509"/>
      <c r="K509"/>
      <c r="L509"/>
      <c r="M509"/>
      <c r="N509"/>
      <c r="O509"/>
      <c r="P509" s="168"/>
      <c r="Q509" s="168"/>
      <c r="R509" s="168"/>
      <c r="S509" s="169"/>
      <c r="T509" s="169"/>
      <c r="U509" s="169"/>
      <c r="V509" s="168"/>
      <c r="W509" s="168"/>
      <c r="X509" s="168"/>
      <c r="Y509" s="170"/>
      <c r="Z509" s="171"/>
      <c r="AA509" s="171"/>
      <c r="AB509" s="171"/>
      <c r="AC509" s="171"/>
      <c r="AD509" s="171"/>
      <c r="AE509" s="168"/>
      <c r="AF509" s="170"/>
      <c r="AG509" s="172"/>
      <c r="AH509"/>
      <c r="AI509"/>
    </row>
    <row r="510" spans="1:35" x14ac:dyDescent="0.35">
      <c r="A510"/>
      <c r="B510"/>
      <c r="C510"/>
      <c r="D510"/>
      <c r="E510"/>
      <c r="F510"/>
      <c r="G510"/>
      <c r="H510"/>
      <c r="I510"/>
      <c r="J510"/>
      <c r="K510"/>
      <c r="L510"/>
      <c r="M510"/>
      <c r="N510"/>
      <c r="O510"/>
      <c r="P510" s="168"/>
      <c r="Q510" s="168"/>
      <c r="R510" s="168"/>
      <c r="S510" s="169"/>
      <c r="T510" s="169"/>
      <c r="U510" s="169"/>
      <c r="V510" s="168"/>
      <c r="W510" s="168"/>
      <c r="X510" s="168"/>
      <c r="Y510" s="170"/>
      <c r="Z510" s="171"/>
      <c r="AA510" s="171"/>
      <c r="AB510" s="171"/>
      <c r="AC510" s="171"/>
      <c r="AD510" s="171"/>
      <c r="AE510" s="168"/>
      <c r="AF510" s="170"/>
      <c r="AG510" s="172"/>
      <c r="AH510"/>
      <c r="AI510"/>
    </row>
    <row r="511" spans="1:35" x14ac:dyDescent="0.35">
      <c r="A511"/>
      <c r="B511"/>
      <c r="C511"/>
      <c r="D511"/>
      <c r="E511"/>
      <c r="F511"/>
      <c r="G511"/>
      <c r="H511"/>
      <c r="I511"/>
      <c r="J511"/>
      <c r="K511"/>
      <c r="L511"/>
      <c r="M511"/>
      <c r="N511"/>
      <c r="O511"/>
      <c r="P511" s="168"/>
      <c r="Q511" s="168"/>
      <c r="R511" s="168"/>
      <c r="S511" s="169"/>
      <c r="T511" s="169"/>
      <c r="U511" s="169"/>
      <c r="V511" s="168"/>
      <c r="W511" s="168"/>
      <c r="X511" s="168"/>
      <c r="Y511" s="170"/>
      <c r="Z511" s="171"/>
      <c r="AA511" s="171"/>
      <c r="AB511" s="171"/>
      <c r="AC511" s="171"/>
      <c r="AD511" s="171"/>
      <c r="AE511" s="168"/>
      <c r="AF511" s="170"/>
      <c r="AG511" s="172"/>
      <c r="AH511"/>
      <c r="AI511"/>
    </row>
    <row r="512" spans="1:35" x14ac:dyDescent="0.35">
      <c r="A512"/>
      <c r="B512"/>
      <c r="C512"/>
      <c r="D512"/>
      <c r="E512"/>
      <c r="F512"/>
      <c r="G512"/>
      <c r="H512"/>
      <c r="I512"/>
      <c r="J512"/>
      <c r="K512"/>
      <c r="L512"/>
      <c r="M512"/>
      <c r="N512"/>
      <c r="O512"/>
      <c r="P512" s="168"/>
      <c r="Q512" s="168"/>
      <c r="R512" s="168"/>
      <c r="S512" s="169"/>
      <c r="T512" s="169"/>
      <c r="U512" s="169"/>
      <c r="V512" s="168"/>
      <c r="W512" s="168"/>
      <c r="X512" s="168"/>
      <c r="Y512" s="170"/>
      <c r="Z512" s="171"/>
      <c r="AA512" s="171"/>
      <c r="AB512" s="171"/>
      <c r="AC512" s="171"/>
      <c r="AD512" s="171"/>
      <c r="AE512" s="168"/>
      <c r="AF512" s="170"/>
      <c r="AG512" s="172"/>
      <c r="AH512"/>
      <c r="AI512"/>
    </row>
    <row r="513" spans="1:35" x14ac:dyDescent="0.35">
      <c r="A513"/>
      <c r="B513"/>
      <c r="C513"/>
      <c r="D513"/>
      <c r="E513"/>
      <c r="F513"/>
      <c r="G513"/>
      <c r="H513"/>
      <c r="I513"/>
      <c r="J513"/>
      <c r="K513"/>
      <c r="L513"/>
      <c r="M513"/>
      <c r="N513"/>
      <c r="O513"/>
      <c r="P513" s="168"/>
      <c r="Q513" s="168"/>
      <c r="R513" s="168"/>
      <c r="S513" s="169"/>
      <c r="T513" s="169"/>
      <c r="U513" s="169"/>
      <c r="V513" s="168"/>
      <c r="W513" s="168"/>
      <c r="X513" s="168"/>
      <c r="Y513" s="170"/>
      <c r="Z513" s="171"/>
      <c r="AA513" s="171"/>
      <c r="AB513" s="171"/>
      <c r="AC513" s="171"/>
      <c r="AD513" s="171"/>
      <c r="AE513" s="168"/>
      <c r="AF513" s="170"/>
      <c r="AG513" s="172"/>
      <c r="AH513"/>
      <c r="AI513"/>
    </row>
    <row r="514" spans="1:35" x14ac:dyDescent="0.35">
      <c r="A514"/>
      <c r="B514"/>
      <c r="C514"/>
      <c r="D514"/>
      <c r="E514"/>
      <c r="F514"/>
      <c r="G514"/>
      <c r="H514"/>
      <c r="I514"/>
      <c r="J514"/>
      <c r="K514"/>
      <c r="L514"/>
      <c r="M514"/>
      <c r="N514"/>
      <c r="O514"/>
      <c r="P514" s="168"/>
      <c r="Q514" s="168"/>
      <c r="R514" s="168"/>
      <c r="S514" s="169"/>
      <c r="T514" s="169"/>
      <c r="U514" s="169"/>
      <c r="V514" s="168"/>
      <c r="W514" s="168"/>
      <c r="X514" s="168"/>
      <c r="Y514" s="170"/>
      <c r="Z514" s="171"/>
      <c r="AA514" s="171"/>
      <c r="AB514" s="171"/>
      <c r="AC514" s="171"/>
      <c r="AD514" s="171"/>
      <c r="AE514" s="168"/>
      <c r="AF514" s="170"/>
      <c r="AG514" s="172"/>
      <c r="AH514"/>
      <c r="AI514"/>
    </row>
    <row r="515" spans="1:35" x14ac:dyDescent="0.35">
      <c r="A515"/>
      <c r="B515"/>
      <c r="C515"/>
      <c r="D515"/>
      <c r="E515"/>
      <c r="F515"/>
      <c r="G515"/>
      <c r="H515"/>
      <c r="I515"/>
      <c r="J515"/>
      <c r="K515"/>
      <c r="L515"/>
      <c r="M515"/>
      <c r="N515"/>
      <c r="O515"/>
      <c r="P515" s="168"/>
      <c r="Q515" s="168"/>
      <c r="R515" s="168"/>
      <c r="S515" s="169"/>
      <c r="T515" s="169"/>
      <c r="U515" s="169"/>
      <c r="V515" s="168"/>
      <c r="W515" s="168"/>
      <c r="X515" s="168"/>
      <c r="Y515" s="170"/>
      <c r="Z515" s="171"/>
      <c r="AA515" s="171"/>
      <c r="AB515" s="171"/>
      <c r="AC515" s="171"/>
      <c r="AD515" s="171"/>
      <c r="AE515" s="168"/>
      <c r="AF515" s="170"/>
      <c r="AG515" s="172"/>
      <c r="AH515"/>
      <c r="AI515"/>
    </row>
    <row r="516" spans="1:35" x14ac:dyDescent="0.35">
      <c r="A516"/>
      <c r="B516"/>
      <c r="C516"/>
      <c r="D516"/>
      <c r="E516"/>
      <c r="F516"/>
      <c r="G516"/>
      <c r="H516"/>
      <c r="I516"/>
      <c r="J516"/>
      <c r="K516"/>
      <c r="L516"/>
      <c r="M516"/>
      <c r="N516"/>
      <c r="O516"/>
      <c r="P516" s="168"/>
      <c r="Q516" s="168"/>
      <c r="R516" s="168"/>
      <c r="S516" s="169"/>
      <c r="T516" s="169"/>
      <c r="U516" s="169"/>
      <c r="V516" s="168"/>
      <c r="W516" s="168"/>
      <c r="X516" s="168"/>
      <c r="Y516" s="170"/>
      <c r="Z516" s="171"/>
      <c r="AA516" s="171"/>
      <c r="AB516" s="171"/>
      <c r="AC516" s="171"/>
      <c r="AD516" s="171"/>
      <c r="AE516" s="168"/>
      <c r="AF516" s="170"/>
      <c r="AG516" s="172"/>
      <c r="AH516"/>
      <c r="AI516"/>
    </row>
    <row r="517" spans="1:35" x14ac:dyDescent="0.35">
      <c r="A517"/>
      <c r="B517"/>
      <c r="C517"/>
      <c r="D517"/>
      <c r="E517"/>
      <c r="F517"/>
      <c r="G517"/>
      <c r="H517"/>
      <c r="I517"/>
      <c r="J517"/>
      <c r="K517"/>
      <c r="L517"/>
      <c r="M517"/>
      <c r="N517"/>
      <c r="O517"/>
      <c r="P517" s="168"/>
      <c r="Q517" s="168"/>
      <c r="R517" s="168"/>
      <c r="S517" s="169"/>
      <c r="T517" s="169"/>
      <c r="U517" s="169"/>
      <c r="V517" s="168"/>
      <c r="W517" s="168"/>
      <c r="X517" s="168"/>
      <c r="Y517" s="170"/>
      <c r="Z517" s="171"/>
      <c r="AA517" s="171"/>
      <c r="AB517" s="171"/>
      <c r="AC517" s="171"/>
      <c r="AD517" s="171"/>
      <c r="AE517" s="168"/>
      <c r="AF517" s="170"/>
      <c r="AG517" s="172"/>
      <c r="AH517"/>
      <c r="AI517"/>
    </row>
    <row r="518" spans="1:35" x14ac:dyDescent="0.35">
      <c r="A518"/>
      <c r="B518"/>
      <c r="C518"/>
      <c r="D518"/>
      <c r="E518"/>
      <c r="F518"/>
      <c r="G518"/>
      <c r="H518"/>
      <c r="I518"/>
      <c r="J518"/>
      <c r="K518"/>
      <c r="L518"/>
      <c r="M518"/>
      <c r="N518"/>
      <c r="O518"/>
      <c r="P518" s="168"/>
      <c r="Q518" s="168"/>
      <c r="R518" s="168"/>
      <c r="S518" s="169"/>
      <c r="T518" s="169"/>
      <c r="U518" s="169"/>
      <c r="V518" s="168"/>
      <c r="W518" s="168"/>
      <c r="X518" s="168"/>
      <c r="Y518" s="170"/>
      <c r="Z518" s="171"/>
      <c r="AA518" s="171"/>
      <c r="AB518" s="171"/>
      <c r="AC518" s="171"/>
      <c r="AD518" s="171"/>
      <c r="AE518" s="168"/>
      <c r="AF518" s="170"/>
      <c r="AG518" s="172"/>
      <c r="AH518"/>
      <c r="AI518"/>
    </row>
    <row r="519" spans="1:35" x14ac:dyDescent="0.35">
      <c r="A519"/>
      <c r="B519"/>
      <c r="C519"/>
      <c r="D519"/>
      <c r="E519"/>
      <c r="F519"/>
      <c r="G519"/>
      <c r="H519"/>
      <c r="I519"/>
      <c r="J519"/>
      <c r="K519"/>
      <c r="L519"/>
      <c r="M519"/>
      <c r="N519"/>
      <c r="O519"/>
      <c r="P519" s="168"/>
      <c r="Q519" s="168"/>
      <c r="R519" s="168"/>
      <c r="S519" s="169"/>
      <c r="T519" s="169"/>
      <c r="U519" s="169"/>
      <c r="V519" s="168"/>
      <c r="W519" s="168"/>
      <c r="X519" s="168"/>
      <c r="Y519" s="170"/>
      <c r="Z519" s="171"/>
      <c r="AA519" s="171"/>
      <c r="AB519" s="171"/>
      <c r="AC519" s="171"/>
      <c r="AD519" s="171"/>
      <c r="AE519" s="168"/>
      <c r="AF519" s="170"/>
      <c r="AG519" s="172"/>
      <c r="AH519"/>
      <c r="AI519"/>
    </row>
    <row r="520" spans="1:35" x14ac:dyDescent="0.35">
      <c r="A520"/>
      <c r="B520"/>
      <c r="C520"/>
      <c r="D520"/>
      <c r="E520"/>
      <c r="F520"/>
      <c r="G520"/>
      <c r="H520"/>
      <c r="I520"/>
      <c r="J520"/>
      <c r="K520"/>
      <c r="L520"/>
      <c r="M520"/>
      <c r="N520"/>
      <c r="O520"/>
      <c r="P520" s="168"/>
      <c r="Q520" s="168"/>
      <c r="R520" s="168"/>
      <c r="S520" s="169"/>
      <c r="T520" s="169"/>
      <c r="U520" s="169"/>
      <c r="V520" s="168"/>
      <c r="W520" s="168"/>
      <c r="X520" s="168"/>
      <c r="Y520" s="170"/>
      <c r="Z520" s="171"/>
      <c r="AA520" s="171"/>
      <c r="AB520" s="171"/>
      <c r="AC520" s="171"/>
      <c r="AD520" s="171"/>
      <c r="AE520" s="168"/>
      <c r="AF520" s="170"/>
      <c r="AG520" s="172"/>
      <c r="AH520"/>
      <c r="AI520"/>
    </row>
    <row r="521" spans="1:35" x14ac:dyDescent="0.35">
      <c r="A521"/>
      <c r="B521"/>
      <c r="C521"/>
      <c r="D521"/>
      <c r="E521"/>
      <c r="F521"/>
      <c r="G521"/>
      <c r="H521"/>
      <c r="I521"/>
      <c r="J521"/>
      <c r="K521"/>
      <c r="L521"/>
      <c r="M521"/>
      <c r="N521"/>
      <c r="O521"/>
      <c r="P521" s="168"/>
      <c r="Q521" s="168"/>
      <c r="R521" s="168"/>
      <c r="S521" s="169"/>
      <c r="T521" s="169"/>
      <c r="U521" s="169"/>
      <c r="V521" s="168"/>
      <c r="W521" s="168"/>
      <c r="X521" s="168"/>
      <c r="Y521" s="170"/>
      <c r="Z521" s="171"/>
      <c r="AA521" s="171"/>
      <c r="AB521" s="171"/>
      <c r="AC521" s="171"/>
      <c r="AD521" s="171"/>
      <c r="AE521" s="168"/>
      <c r="AF521" s="170"/>
      <c r="AG521" s="172"/>
      <c r="AH521"/>
      <c r="AI521"/>
    </row>
    <row r="522" spans="1:35" x14ac:dyDescent="0.35">
      <c r="A522"/>
      <c r="B522"/>
      <c r="C522"/>
      <c r="D522"/>
      <c r="E522"/>
      <c r="F522"/>
      <c r="G522"/>
      <c r="H522"/>
      <c r="I522"/>
      <c r="J522"/>
      <c r="K522"/>
      <c r="L522"/>
      <c r="M522"/>
      <c r="N522"/>
      <c r="O522"/>
      <c r="P522" s="168"/>
      <c r="Q522" s="168"/>
      <c r="R522" s="168"/>
      <c r="S522" s="169"/>
      <c r="T522" s="169"/>
      <c r="U522" s="169"/>
      <c r="V522" s="168"/>
      <c r="W522" s="168"/>
      <c r="X522" s="168"/>
      <c r="Y522" s="170"/>
      <c r="Z522" s="171"/>
      <c r="AA522" s="171"/>
      <c r="AB522" s="171"/>
      <c r="AC522" s="171"/>
      <c r="AD522" s="171"/>
      <c r="AE522" s="168"/>
      <c r="AF522" s="170"/>
      <c r="AG522" s="172"/>
      <c r="AH522"/>
      <c r="AI522"/>
    </row>
    <row r="523" spans="1:35" x14ac:dyDescent="0.35">
      <c r="A523"/>
      <c r="B523"/>
      <c r="C523"/>
      <c r="D523"/>
      <c r="E523"/>
      <c r="F523"/>
      <c r="G523"/>
      <c r="H523"/>
      <c r="I523"/>
      <c r="J523"/>
      <c r="K523"/>
      <c r="L523"/>
      <c r="M523"/>
      <c r="N523"/>
      <c r="O523"/>
      <c r="P523" s="168"/>
      <c r="Q523" s="168"/>
      <c r="R523" s="168"/>
      <c r="S523" s="169"/>
      <c r="T523" s="169"/>
      <c r="U523" s="169"/>
      <c r="V523" s="168"/>
      <c r="W523" s="168"/>
      <c r="X523" s="168"/>
      <c r="Y523" s="170"/>
      <c r="Z523" s="171"/>
      <c r="AA523" s="171"/>
      <c r="AB523" s="171"/>
      <c r="AC523" s="171"/>
      <c r="AD523" s="171"/>
      <c r="AE523" s="168"/>
      <c r="AF523" s="170"/>
      <c r="AG523" s="172"/>
      <c r="AH523"/>
      <c r="AI523"/>
    </row>
    <row r="524" spans="1:35" x14ac:dyDescent="0.35">
      <c r="A524"/>
      <c r="B524"/>
      <c r="C524"/>
      <c r="D524"/>
      <c r="E524"/>
      <c r="F524"/>
      <c r="G524"/>
      <c r="H524"/>
      <c r="I524"/>
      <c r="J524"/>
      <c r="K524"/>
      <c r="L524"/>
      <c r="M524"/>
      <c r="N524"/>
      <c r="O524"/>
      <c r="P524" s="168"/>
      <c r="Q524" s="168"/>
      <c r="R524" s="168"/>
      <c r="S524" s="169"/>
      <c r="T524" s="169"/>
      <c r="U524" s="169"/>
      <c r="V524" s="168"/>
      <c r="W524" s="168"/>
      <c r="X524" s="168"/>
      <c r="Y524" s="170"/>
      <c r="Z524" s="171"/>
      <c r="AA524" s="171"/>
      <c r="AB524" s="171"/>
      <c r="AC524" s="171"/>
      <c r="AD524" s="171"/>
      <c r="AE524" s="168"/>
      <c r="AF524" s="170"/>
      <c r="AG524" s="172"/>
      <c r="AH524"/>
      <c r="AI524"/>
    </row>
    <row r="525" spans="1:35" x14ac:dyDescent="0.35">
      <c r="A525"/>
      <c r="B525"/>
      <c r="C525"/>
      <c r="D525"/>
      <c r="E525"/>
      <c r="F525"/>
      <c r="G525"/>
      <c r="H525"/>
      <c r="I525"/>
      <c r="J525"/>
      <c r="K525"/>
      <c r="L525"/>
      <c r="M525"/>
      <c r="N525"/>
      <c r="O525"/>
      <c r="P525" s="168"/>
      <c r="Q525" s="168"/>
      <c r="R525" s="168"/>
      <c r="S525" s="169"/>
      <c r="T525" s="169"/>
      <c r="U525" s="169"/>
      <c r="V525" s="168"/>
      <c r="W525" s="168"/>
      <c r="X525" s="168"/>
      <c r="Y525" s="170"/>
      <c r="Z525" s="171"/>
      <c r="AA525" s="171"/>
      <c r="AB525" s="171"/>
      <c r="AC525" s="171"/>
      <c r="AD525" s="171"/>
      <c r="AE525" s="168"/>
      <c r="AF525" s="170"/>
      <c r="AG525" s="172"/>
      <c r="AH525"/>
      <c r="AI525"/>
    </row>
    <row r="526" spans="1:35" x14ac:dyDescent="0.35">
      <c r="A526"/>
      <c r="B526"/>
      <c r="C526"/>
      <c r="D526"/>
      <c r="E526"/>
      <c r="F526"/>
      <c r="G526"/>
      <c r="H526"/>
      <c r="I526"/>
      <c r="J526"/>
      <c r="K526"/>
      <c r="L526"/>
      <c r="M526"/>
      <c r="N526"/>
      <c r="O526"/>
      <c r="P526" s="168"/>
      <c r="Q526" s="168"/>
      <c r="R526" s="168"/>
      <c r="S526" s="169"/>
      <c r="T526" s="169"/>
      <c r="U526" s="169"/>
      <c r="V526" s="168"/>
      <c r="W526" s="168"/>
      <c r="X526" s="168"/>
      <c r="Y526" s="170"/>
      <c r="Z526" s="171"/>
      <c r="AA526" s="171"/>
      <c r="AB526" s="171"/>
      <c r="AC526" s="171"/>
      <c r="AD526" s="171"/>
      <c r="AE526" s="168"/>
      <c r="AF526" s="170"/>
      <c r="AG526" s="172"/>
      <c r="AH526"/>
      <c r="AI526"/>
    </row>
    <row r="527" spans="1:35" x14ac:dyDescent="0.35">
      <c r="A527"/>
      <c r="B527"/>
      <c r="C527"/>
      <c r="D527"/>
      <c r="E527"/>
      <c r="F527"/>
      <c r="G527"/>
      <c r="H527"/>
      <c r="I527"/>
      <c r="J527"/>
      <c r="K527"/>
      <c r="L527"/>
      <c r="M527"/>
      <c r="N527"/>
      <c r="O527"/>
      <c r="P527" s="168"/>
      <c r="Q527" s="168"/>
      <c r="R527" s="168"/>
      <c r="S527" s="169"/>
      <c r="T527" s="169"/>
      <c r="U527" s="169"/>
      <c r="V527" s="168"/>
      <c r="W527" s="168"/>
      <c r="X527" s="168"/>
      <c r="Y527" s="170"/>
      <c r="Z527" s="171"/>
      <c r="AA527" s="171"/>
      <c r="AB527" s="171"/>
      <c r="AC527" s="171"/>
      <c r="AD527" s="171"/>
      <c r="AE527" s="168"/>
      <c r="AF527" s="170"/>
      <c r="AG527" s="172"/>
      <c r="AH527"/>
      <c r="AI527"/>
    </row>
    <row r="528" spans="1:35" x14ac:dyDescent="0.35">
      <c r="A528"/>
      <c r="B528"/>
      <c r="C528"/>
      <c r="D528"/>
      <c r="E528"/>
      <c r="F528"/>
      <c r="G528"/>
      <c r="H528"/>
      <c r="I528"/>
      <c r="J528"/>
      <c r="K528"/>
      <c r="L528"/>
      <c r="M528"/>
      <c r="N528"/>
      <c r="O528"/>
      <c r="P528" s="168"/>
      <c r="Q528" s="168"/>
      <c r="R528" s="168"/>
      <c r="S528" s="169"/>
      <c r="T528" s="169"/>
      <c r="U528" s="169"/>
      <c r="V528" s="168"/>
      <c r="W528" s="168"/>
      <c r="X528" s="168"/>
      <c r="Y528" s="170"/>
      <c r="Z528" s="171"/>
      <c r="AA528" s="171"/>
      <c r="AB528" s="171"/>
      <c r="AC528" s="171"/>
      <c r="AD528" s="171"/>
      <c r="AE528" s="168"/>
      <c r="AF528" s="170"/>
      <c r="AG528" s="172"/>
      <c r="AH528"/>
      <c r="AI528"/>
    </row>
    <row r="529" spans="1:35" x14ac:dyDescent="0.35">
      <c r="A529"/>
      <c r="B529"/>
      <c r="C529"/>
      <c r="D529"/>
      <c r="E529"/>
      <c r="F529"/>
      <c r="G529"/>
      <c r="H529"/>
      <c r="I529"/>
      <c r="J529"/>
      <c r="K529"/>
      <c r="L529"/>
      <c r="M529"/>
      <c r="N529"/>
      <c r="O529"/>
      <c r="P529" s="168"/>
      <c r="Q529" s="168"/>
      <c r="R529" s="168"/>
      <c r="S529" s="169"/>
      <c r="T529" s="169"/>
      <c r="U529" s="169"/>
      <c r="V529" s="168"/>
      <c r="W529" s="168"/>
      <c r="X529" s="168"/>
      <c r="Y529" s="170"/>
      <c r="Z529" s="171"/>
      <c r="AA529" s="171"/>
      <c r="AB529" s="171"/>
      <c r="AC529" s="171"/>
      <c r="AD529" s="171"/>
      <c r="AE529" s="168"/>
      <c r="AF529" s="170"/>
      <c r="AG529" s="172"/>
      <c r="AH529"/>
      <c r="AI529"/>
    </row>
    <row r="530" spans="1:35" x14ac:dyDescent="0.35">
      <c r="A530"/>
      <c r="B530"/>
      <c r="C530"/>
      <c r="D530"/>
      <c r="E530"/>
      <c r="F530"/>
      <c r="G530"/>
      <c r="H530"/>
      <c r="I530"/>
      <c r="J530"/>
      <c r="K530"/>
      <c r="L530"/>
      <c r="M530"/>
      <c r="N530"/>
      <c r="O530"/>
      <c r="P530" s="168"/>
      <c r="Q530" s="168"/>
      <c r="R530" s="168"/>
      <c r="S530" s="169"/>
      <c r="T530" s="169"/>
      <c r="U530" s="169"/>
      <c r="V530" s="168"/>
      <c r="W530" s="168"/>
      <c r="X530" s="168"/>
      <c r="Y530" s="170"/>
      <c r="Z530" s="171"/>
      <c r="AA530" s="171"/>
      <c r="AB530" s="171"/>
      <c r="AC530" s="171"/>
      <c r="AD530" s="171"/>
      <c r="AE530" s="168"/>
      <c r="AF530" s="170"/>
      <c r="AG530" s="172"/>
      <c r="AH530"/>
      <c r="AI530"/>
    </row>
    <row r="531" spans="1:35" x14ac:dyDescent="0.35">
      <c r="A531"/>
      <c r="B531"/>
      <c r="C531"/>
      <c r="D531"/>
      <c r="E531"/>
      <c r="F531"/>
      <c r="G531"/>
      <c r="H531"/>
      <c r="I531"/>
      <c r="J531"/>
      <c r="K531"/>
      <c r="L531"/>
      <c r="M531"/>
      <c r="N531"/>
      <c r="O531"/>
      <c r="P531" s="168"/>
      <c r="Q531" s="168"/>
      <c r="R531" s="168"/>
      <c r="S531" s="169"/>
      <c r="T531" s="169"/>
      <c r="U531" s="169"/>
      <c r="V531" s="168"/>
      <c r="W531" s="168"/>
      <c r="X531" s="168"/>
      <c r="Y531" s="170"/>
      <c r="Z531" s="171"/>
      <c r="AA531" s="171"/>
      <c r="AB531" s="171"/>
      <c r="AC531" s="171"/>
      <c r="AD531" s="171"/>
      <c r="AE531" s="168"/>
      <c r="AF531" s="170"/>
      <c r="AG531" s="172"/>
      <c r="AH531"/>
      <c r="AI531"/>
    </row>
    <row r="532" spans="1:35" x14ac:dyDescent="0.35">
      <c r="A532"/>
      <c r="B532"/>
      <c r="C532"/>
      <c r="D532"/>
      <c r="E532"/>
      <c r="F532"/>
      <c r="G532"/>
      <c r="H532"/>
      <c r="I532"/>
      <c r="J532"/>
      <c r="K532"/>
      <c r="L532"/>
      <c r="M532"/>
      <c r="N532"/>
      <c r="O532"/>
      <c r="P532" s="168"/>
      <c r="Q532" s="168"/>
      <c r="R532" s="168"/>
      <c r="S532" s="169"/>
      <c r="T532" s="169"/>
      <c r="U532" s="169"/>
      <c r="V532" s="168"/>
      <c r="W532" s="168"/>
      <c r="X532" s="168"/>
      <c r="Y532" s="170"/>
      <c r="Z532" s="171"/>
      <c r="AA532" s="171"/>
      <c r="AB532" s="171"/>
      <c r="AC532" s="171"/>
      <c r="AD532" s="171"/>
      <c r="AE532" s="168"/>
      <c r="AF532" s="170"/>
      <c r="AG532" s="172"/>
      <c r="AH532"/>
      <c r="AI532"/>
    </row>
    <row r="533" spans="1:35" x14ac:dyDescent="0.35">
      <c r="A533"/>
      <c r="B533"/>
      <c r="C533"/>
      <c r="D533"/>
      <c r="E533"/>
      <c r="F533"/>
      <c r="G533"/>
      <c r="H533"/>
      <c r="I533"/>
      <c r="J533"/>
      <c r="K533"/>
      <c r="L533"/>
      <c r="M533"/>
      <c r="N533"/>
      <c r="O533"/>
      <c r="P533" s="168"/>
      <c r="Q533" s="168"/>
      <c r="R533" s="168"/>
      <c r="S533" s="169"/>
      <c r="T533" s="169"/>
      <c r="U533" s="169"/>
      <c r="V533" s="168"/>
      <c r="W533" s="168"/>
      <c r="X533" s="168"/>
      <c r="Y533" s="170"/>
      <c r="Z533" s="171"/>
      <c r="AA533" s="171"/>
      <c r="AB533" s="171"/>
      <c r="AC533" s="171"/>
      <c r="AD533" s="171"/>
      <c r="AE533" s="168"/>
      <c r="AF533" s="170"/>
      <c r="AG533" s="172"/>
      <c r="AH533"/>
      <c r="AI533"/>
    </row>
    <row r="534" spans="1:35" x14ac:dyDescent="0.35">
      <c r="A534"/>
      <c r="B534"/>
      <c r="C534"/>
      <c r="D534"/>
      <c r="E534"/>
      <c r="F534"/>
      <c r="G534"/>
      <c r="H534"/>
      <c r="I534"/>
      <c r="J534"/>
      <c r="K534"/>
      <c r="L534"/>
      <c r="M534"/>
      <c r="N534"/>
      <c r="O534"/>
      <c r="P534" s="168"/>
      <c r="Q534" s="168"/>
      <c r="R534" s="168"/>
      <c r="S534" s="169"/>
      <c r="T534" s="169"/>
      <c r="U534" s="169"/>
      <c r="V534" s="168"/>
      <c r="W534" s="168"/>
      <c r="X534" s="168"/>
      <c r="Y534" s="170"/>
      <c r="Z534" s="171"/>
      <c r="AA534" s="171"/>
      <c r="AB534" s="171"/>
      <c r="AC534" s="171"/>
      <c r="AD534" s="171"/>
      <c r="AE534" s="168"/>
      <c r="AF534" s="170"/>
      <c r="AG534" s="172"/>
      <c r="AH534"/>
      <c r="AI534"/>
    </row>
    <row r="535" spans="1:35" x14ac:dyDescent="0.35">
      <c r="A535"/>
      <c r="B535"/>
      <c r="C535"/>
      <c r="D535"/>
      <c r="E535"/>
      <c r="F535"/>
      <c r="G535"/>
      <c r="H535"/>
      <c r="I535"/>
      <c r="J535"/>
      <c r="K535"/>
      <c r="L535"/>
      <c r="M535"/>
      <c r="N535"/>
      <c r="O535"/>
      <c r="P535" s="168"/>
      <c r="Q535" s="168"/>
      <c r="R535" s="168"/>
      <c r="S535" s="169"/>
      <c r="T535" s="169"/>
      <c r="U535" s="169"/>
      <c r="V535" s="168"/>
      <c r="W535" s="168"/>
      <c r="X535" s="168"/>
      <c r="Y535" s="170"/>
      <c r="Z535" s="171"/>
      <c r="AA535" s="171"/>
      <c r="AB535" s="171"/>
      <c r="AC535" s="171"/>
      <c r="AD535" s="171"/>
      <c r="AE535" s="168"/>
      <c r="AF535" s="170"/>
      <c r="AG535" s="172"/>
      <c r="AH535"/>
      <c r="AI535"/>
    </row>
    <row r="536" spans="1:35" x14ac:dyDescent="0.35">
      <c r="A536"/>
      <c r="B536"/>
      <c r="C536"/>
      <c r="D536"/>
      <c r="E536"/>
      <c r="F536"/>
      <c r="G536"/>
      <c r="H536"/>
      <c r="I536"/>
      <c r="J536"/>
      <c r="K536"/>
      <c r="L536"/>
      <c r="M536"/>
      <c r="N536"/>
      <c r="O536"/>
      <c r="P536" s="168"/>
      <c r="Q536" s="168"/>
      <c r="R536" s="168"/>
      <c r="S536" s="169"/>
      <c r="T536" s="169"/>
      <c r="U536" s="169"/>
      <c r="V536" s="168"/>
      <c r="W536" s="168"/>
      <c r="X536" s="168"/>
      <c r="Y536" s="170"/>
      <c r="Z536" s="171"/>
      <c r="AA536" s="171"/>
      <c r="AB536" s="171"/>
      <c r="AC536" s="171"/>
      <c r="AD536" s="171"/>
      <c r="AE536" s="168"/>
      <c r="AF536" s="170"/>
      <c r="AG536" s="172"/>
      <c r="AH536"/>
      <c r="AI536"/>
    </row>
    <row r="537" spans="1:35" x14ac:dyDescent="0.35">
      <c r="A537"/>
      <c r="B537"/>
      <c r="C537"/>
      <c r="D537"/>
      <c r="E537"/>
      <c r="F537"/>
      <c r="G537"/>
      <c r="H537"/>
      <c r="I537"/>
      <c r="J537"/>
      <c r="K537"/>
      <c r="L537"/>
      <c r="M537"/>
      <c r="N537"/>
      <c r="O537"/>
      <c r="P537" s="168"/>
      <c r="Q537" s="168"/>
      <c r="R537" s="168"/>
      <c r="S537" s="169"/>
      <c r="T537" s="169"/>
      <c r="U537" s="169"/>
      <c r="V537" s="168"/>
      <c r="W537" s="168"/>
      <c r="X537" s="168"/>
      <c r="Y537" s="170"/>
      <c r="Z537" s="171"/>
      <c r="AA537" s="171"/>
      <c r="AB537" s="171"/>
      <c r="AC537" s="171"/>
      <c r="AD537" s="171"/>
      <c r="AE537" s="168"/>
      <c r="AF537" s="170"/>
      <c r="AG537" s="172"/>
      <c r="AH537"/>
      <c r="AI537"/>
    </row>
    <row r="538" spans="1:35" x14ac:dyDescent="0.35">
      <c r="A538"/>
      <c r="B538"/>
      <c r="C538"/>
      <c r="D538"/>
      <c r="E538"/>
      <c r="F538"/>
      <c r="G538"/>
      <c r="H538"/>
      <c r="I538"/>
      <c r="J538"/>
      <c r="K538"/>
      <c r="L538"/>
      <c r="M538"/>
      <c r="N538"/>
      <c r="O538"/>
      <c r="P538" s="168"/>
      <c r="Q538" s="168"/>
      <c r="R538" s="168"/>
      <c r="S538" s="169"/>
      <c r="T538" s="169"/>
      <c r="U538" s="169"/>
      <c r="V538" s="168"/>
      <c r="W538" s="168"/>
      <c r="X538" s="168"/>
      <c r="Y538" s="170"/>
      <c r="Z538" s="171"/>
      <c r="AA538" s="171"/>
      <c r="AB538" s="171"/>
      <c r="AC538" s="171"/>
      <c r="AD538" s="171"/>
      <c r="AE538" s="168"/>
      <c r="AF538" s="170"/>
      <c r="AG538" s="172"/>
      <c r="AH538"/>
      <c r="AI538"/>
    </row>
    <row r="539" spans="1:35" x14ac:dyDescent="0.35">
      <c r="A539"/>
      <c r="B539"/>
      <c r="C539"/>
      <c r="D539"/>
      <c r="E539"/>
      <c r="F539"/>
      <c r="G539"/>
      <c r="H539"/>
      <c r="I539"/>
      <c r="J539"/>
      <c r="K539"/>
      <c r="L539"/>
      <c r="M539"/>
      <c r="N539"/>
      <c r="O539"/>
      <c r="P539" s="168"/>
      <c r="Q539" s="168"/>
      <c r="R539" s="168"/>
      <c r="S539" s="169"/>
      <c r="T539" s="169"/>
      <c r="U539" s="169"/>
      <c r="V539" s="168"/>
      <c r="W539" s="168"/>
      <c r="X539" s="168"/>
      <c r="Y539" s="170"/>
      <c r="Z539" s="171"/>
      <c r="AA539" s="171"/>
      <c r="AB539" s="171"/>
      <c r="AC539" s="171"/>
      <c r="AD539" s="171"/>
      <c r="AE539" s="168"/>
      <c r="AF539" s="170"/>
      <c r="AG539" s="172"/>
      <c r="AH539"/>
      <c r="AI539"/>
    </row>
    <row r="540" spans="1:35" x14ac:dyDescent="0.35">
      <c r="A540"/>
      <c r="B540"/>
      <c r="C540"/>
      <c r="D540"/>
      <c r="E540"/>
      <c r="F540"/>
      <c r="G540"/>
      <c r="H540"/>
      <c r="I540"/>
      <c r="J540"/>
      <c r="K540"/>
      <c r="L540"/>
      <c r="M540"/>
      <c r="N540"/>
      <c r="O540"/>
      <c r="P540" s="168"/>
      <c r="Q540" s="168"/>
      <c r="R540" s="168"/>
      <c r="S540" s="169"/>
      <c r="T540" s="169"/>
      <c r="U540" s="169"/>
      <c r="V540" s="168"/>
      <c r="W540" s="168"/>
      <c r="X540" s="168"/>
      <c r="Y540" s="170"/>
      <c r="Z540" s="171"/>
      <c r="AA540" s="171"/>
      <c r="AB540" s="171"/>
      <c r="AC540" s="171"/>
      <c r="AD540" s="171"/>
      <c r="AE540" s="168"/>
      <c r="AF540" s="170"/>
      <c r="AG540" s="172"/>
      <c r="AH540"/>
      <c r="AI540"/>
    </row>
    <row r="541" spans="1:35" x14ac:dyDescent="0.35">
      <c r="A541"/>
      <c r="B541"/>
      <c r="C541"/>
      <c r="D541"/>
      <c r="E541"/>
      <c r="F541"/>
      <c r="G541"/>
      <c r="H541"/>
      <c r="I541"/>
      <c r="J541"/>
      <c r="K541"/>
      <c r="L541"/>
      <c r="M541"/>
      <c r="N541"/>
      <c r="O541"/>
      <c r="P541" s="168"/>
      <c r="Q541" s="168"/>
      <c r="R541" s="168"/>
      <c r="S541" s="169"/>
      <c r="T541" s="169"/>
      <c r="U541" s="169"/>
      <c r="V541" s="168"/>
      <c r="W541" s="168"/>
      <c r="X541" s="168"/>
      <c r="Y541" s="170"/>
      <c r="Z541" s="171"/>
      <c r="AA541" s="171"/>
      <c r="AB541" s="171"/>
      <c r="AC541" s="171"/>
      <c r="AD541" s="171"/>
      <c r="AE541" s="168"/>
      <c r="AF541" s="170"/>
      <c r="AG541" s="172"/>
      <c r="AH541"/>
      <c r="AI541"/>
    </row>
    <row r="542" spans="1:35" x14ac:dyDescent="0.35">
      <c r="A542"/>
      <c r="B542"/>
      <c r="C542"/>
      <c r="D542"/>
      <c r="E542"/>
      <c r="F542"/>
      <c r="G542"/>
      <c r="H542"/>
      <c r="I542"/>
      <c r="J542"/>
      <c r="K542"/>
      <c r="L542"/>
      <c r="M542"/>
      <c r="N542"/>
      <c r="O542"/>
      <c r="P542" s="168"/>
      <c r="Q542" s="168"/>
      <c r="R542" s="168"/>
      <c r="S542" s="169"/>
      <c r="T542" s="169"/>
      <c r="U542" s="169"/>
      <c r="V542" s="168"/>
      <c r="W542" s="168"/>
      <c r="X542" s="168"/>
      <c r="Y542" s="170"/>
      <c r="Z542" s="171"/>
      <c r="AA542" s="171"/>
      <c r="AB542" s="171"/>
      <c r="AC542" s="171"/>
      <c r="AD542" s="171"/>
      <c r="AE542" s="168"/>
      <c r="AF542" s="170"/>
      <c r="AG542" s="172"/>
      <c r="AH542"/>
      <c r="AI542"/>
    </row>
    <row r="543" spans="1:35" x14ac:dyDescent="0.35">
      <c r="A543"/>
      <c r="B543"/>
      <c r="C543"/>
      <c r="D543"/>
      <c r="E543"/>
      <c r="F543"/>
      <c r="G543"/>
      <c r="H543"/>
      <c r="I543"/>
      <c r="J543"/>
      <c r="K543"/>
      <c r="L543"/>
      <c r="M543"/>
      <c r="N543"/>
      <c r="O543"/>
      <c r="P543" s="168"/>
      <c r="Q543" s="168"/>
      <c r="R543" s="168"/>
      <c r="S543" s="169"/>
      <c r="T543" s="169"/>
      <c r="U543" s="169"/>
      <c r="V543" s="168"/>
      <c r="W543" s="168"/>
      <c r="X543" s="168"/>
      <c r="Y543" s="170"/>
      <c r="Z543" s="171"/>
      <c r="AA543" s="171"/>
      <c r="AB543" s="171"/>
      <c r="AC543" s="171"/>
      <c r="AD543" s="171"/>
      <c r="AE543" s="168"/>
      <c r="AF543" s="170"/>
      <c r="AG543" s="172"/>
      <c r="AH543"/>
      <c r="AI543"/>
    </row>
    <row r="544" spans="1:35" x14ac:dyDescent="0.35">
      <c r="A544"/>
      <c r="B544"/>
      <c r="C544"/>
      <c r="D544"/>
      <c r="E544"/>
      <c r="F544"/>
      <c r="G544"/>
      <c r="H544"/>
      <c r="I544"/>
      <c r="J544"/>
      <c r="K544"/>
      <c r="L544"/>
      <c r="M544"/>
      <c r="N544"/>
      <c r="O544"/>
      <c r="P544" s="168"/>
      <c r="Q544" s="168"/>
      <c r="R544" s="168"/>
      <c r="S544" s="169"/>
      <c r="T544" s="169"/>
      <c r="U544" s="169"/>
      <c r="V544" s="168"/>
      <c r="W544" s="168"/>
      <c r="X544" s="168"/>
      <c r="Y544" s="170"/>
      <c r="Z544" s="171"/>
      <c r="AA544" s="171"/>
      <c r="AB544" s="171"/>
      <c r="AC544" s="171"/>
      <c r="AD544" s="171"/>
      <c r="AE544" s="168"/>
      <c r="AF544" s="170"/>
      <c r="AG544" s="172"/>
      <c r="AH544"/>
      <c r="AI544"/>
    </row>
    <row r="545" spans="1:35" x14ac:dyDescent="0.35">
      <c r="A545"/>
      <c r="B545"/>
      <c r="C545"/>
      <c r="D545"/>
      <c r="E545"/>
      <c r="F545"/>
      <c r="G545"/>
      <c r="H545"/>
      <c r="I545"/>
      <c r="J545"/>
      <c r="K545"/>
      <c r="L545"/>
      <c r="M545"/>
      <c r="N545"/>
      <c r="O545"/>
      <c r="P545" s="168"/>
      <c r="Q545" s="168"/>
      <c r="R545" s="168"/>
      <c r="S545" s="169"/>
      <c r="T545" s="169"/>
      <c r="U545" s="169"/>
      <c r="V545" s="168"/>
      <c r="W545" s="168"/>
      <c r="X545" s="168"/>
      <c r="Y545" s="170"/>
      <c r="Z545" s="171"/>
      <c r="AA545" s="171"/>
      <c r="AB545" s="171"/>
      <c r="AC545" s="171"/>
      <c r="AD545" s="171"/>
      <c r="AE545" s="168"/>
      <c r="AF545" s="170"/>
      <c r="AG545" s="172"/>
      <c r="AH545"/>
      <c r="AI545"/>
    </row>
    <row r="546" spans="1:35" x14ac:dyDescent="0.35">
      <c r="A546"/>
      <c r="B546"/>
      <c r="C546"/>
      <c r="D546"/>
      <c r="E546"/>
      <c r="F546"/>
      <c r="G546"/>
      <c r="H546"/>
      <c r="I546"/>
      <c r="J546"/>
      <c r="K546"/>
      <c r="L546"/>
      <c r="M546"/>
      <c r="N546"/>
      <c r="O546"/>
      <c r="P546" s="168"/>
      <c r="Q546" s="168"/>
      <c r="R546" s="168"/>
      <c r="S546" s="169"/>
      <c r="T546" s="169"/>
      <c r="U546" s="169"/>
      <c r="V546" s="168"/>
      <c r="W546" s="168"/>
      <c r="X546" s="168"/>
      <c r="Y546" s="170"/>
      <c r="Z546" s="171"/>
      <c r="AA546" s="171"/>
      <c r="AB546" s="171"/>
      <c r="AC546" s="171"/>
      <c r="AD546" s="171"/>
      <c r="AE546" s="168"/>
      <c r="AF546" s="170"/>
      <c r="AG546" s="172"/>
      <c r="AH546"/>
      <c r="AI546"/>
    </row>
    <row r="547" spans="1:35" x14ac:dyDescent="0.35">
      <c r="A547"/>
      <c r="B547"/>
      <c r="C547"/>
      <c r="D547"/>
      <c r="E547"/>
      <c r="F547"/>
      <c r="G547"/>
      <c r="H547"/>
      <c r="I547"/>
      <c r="J547"/>
      <c r="K547"/>
      <c r="L547"/>
      <c r="M547"/>
      <c r="N547"/>
      <c r="O547"/>
      <c r="P547" s="168"/>
      <c r="Q547" s="168"/>
      <c r="R547" s="168"/>
      <c r="S547" s="169"/>
      <c r="T547" s="169"/>
      <c r="U547" s="169"/>
      <c r="V547" s="168"/>
      <c r="W547" s="168"/>
      <c r="X547" s="168"/>
      <c r="Y547" s="170"/>
      <c r="Z547" s="171"/>
      <c r="AA547" s="171"/>
      <c r="AB547" s="171"/>
      <c r="AC547" s="171"/>
      <c r="AD547" s="171"/>
      <c r="AE547" s="168"/>
      <c r="AF547" s="170"/>
      <c r="AG547" s="172"/>
      <c r="AH547"/>
      <c r="AI547"/>
    </row>
    <row r="548" spans="1:35" x14ac:dyDescent="0.35">
      <c r="A548"/>
      <c r="B548"/>
      <c r="C548"/>
      <c r="D548"/>
      <c r="E548"/>
      <c r="F548"/>
      <c r="G548"/>
      <c r="H548"/>
      <c r="I548"/>
      <c r="J548"/>
      <c r="K548"/>
      <c r="L548"/>
      <c r="M548"/>
      <c r="N548"/>
      <c r="O548"/>
      <c r="P548" s="168"/>
      <c r="Q548" s="168"/>
      <c r="R548" s="168"/>
      <c r="S548" s="169"/>
      <c r="T548" s="169"/>
      <c r="U548" s="169"/>
      <c r="V548" s="168"/>
      <c r="W548" s="168"/>
      <c r="X548" s="168"/>
      <c r="Y548" s="170"/>
      <c r="Z548" s="171"/>
      <c r="AA548" s="171"/>
      <c r="AB548" s="171"/>
      <c r="AC548" s="171"/>
      <c r="AD548" s="171"/>
      <c r="AE548" s="168"/>
      <c r="AF548" s="170"/>
      <c r="AG548" s="172"/>
      <c r="AH548"/>
      <c r="AI548"/>
    </row>
    <row r="549" spans="1:35" x14ac:dyDescent="0.35">
      <c r="A549"/>
      <c r="B549"/>
      <c r="C549"/>
      <c r="D549"/>
      <c r="E549"/>
      <c r="F549"/>
      <c r="G549"/>
      <c r="H549"/>
      <c r="I549"/>
      <c r="J549"/>
      <c r="K549"/>
      <c r="L549"/>
      <c r="M549"/>
      <c r="N549"/>
      <c r="O549"/>
      <c r="P549" s="168"/>
      <c r="Q549" s="168"/>
      <c r="R549" s="168"/>
      <c r="S549" s="169"/>
      <c r="T549" s="169"/>
      <c r="U549" s="169"/>
      <c r="V549" s="168"/>
      <c r="W549" s="168"/>
      <c r="X549" s="168"/>
      <c r="Y549" s="170"/>
      <c r="Z549" s="171"/>
      <c r="AA549" s="171"/>
      <c r="AB549" s="171"/>
      <c r="AC549" s="171"/>
      <c r="AD549" s="171"/>
      <c r="AE549" s="168"/>
      <c r="AF549" s="170"/>
      <c r="AG549" s="172"/>
      <c r="AH549"/>
      <c r="AI549"/>
    </row>
    <row r="550" spans="1:35" x14ac:dyDescent="0.35">
      <c r="A550"/>
      <c r="B550"/>
      <c r="C550"/>
      <c r="D550"/>
      <c r="E550"/>
      <c r="F550"/>
      <c r="G550"/>
      <c r="H550"/>
      <c r="I550"/>
      <c r="J550"/>
      <c r="K550"/>
      <c r="L550"/>
      <c r="M550"/>
      <c r="N550"/>
      <c r="O550"/>
      <c r="P550" s="168"/>
      <c r="Q550" s="168"/>
      <c r="R550" s="168"/>
      <c r="S550" s="169"/>
      <c r="T550" s="169"/>
      <c r="U550" s="169"/>
      <c r="V550" s="168"/>
      <c r="W550" s="168"/>
      <c r="X550" s="168"/>
      <c r="Y550" s="170"/>
      <c r="Z550" s="171"/>
      <c r="AA550" s="171"/>
      <c r="AB550" s="171"/>
      <c r="AC550" s="171"/>
      <c r="AD550" s="171"/>
      <c r="AE550" s="168"/>
      <c r="AF550" s="170"/>
      <c r="AG550" s="172"/>
      <c r="AH550"/>
      <c r="AI550"/>
    </row>
    <row r="551" spans="1:35" x14ac:dyDescent="0.35">
      <c r="A551"/>
      <c r="B551"/>
      <c r="C551"/>
      <c r="D551"/>
      <c r="E551"/>
      <c r="F551"/>
      <c r="G551"/>
      <c r="H551"/>
      <c r="I551"/>
      <c r="J551"/>
      <c r="K551"/>
      <c r="L551"/>
      <c r="M551"/>
      <c r="N551"/>
      <c r="O551"/>
      <c r="P551" s="168"/>
      <c r="Q551" s="168"/>
      <c r="R551" s="168"/>
      <c r="S551" s="169"/>
      <c r="T551" s="169"/>
      <c r="U551" s="169"/>
      <c r="V551" s="168"/>
      <c r="W551" s="168"/>
      <c r="X551" s="168"/>
      <c r="Y551" s="170"/>
      <c r="Z551" s="171"/>
      <c r="AA551" s="171"/>
      <c r="AB551" s="171"/>
      <c r="AC551" s="171"/>
      <c r="AD551" s="171"/>
      <c r="AE551" s="168"/>
      <c r="AF551" s="170"/>
      <c r="AG551" s="172"/>
      <c r="AH551"/>
      <c r="AI551"/>
    </row>
    <row r="552" spans="1:35" x14ac:dyDescent="0.35">
      <c r="A552"/>
      <c r="B552"/>
      <c r="C552"/>
      <c r="D552"/>
      <c r="E552"/>
      <c r="F552"/>
      <c r="G552"/>
      <c r="H552"/>
      <c r="I552"/>
      <c r="J552"/>
      <c r="K552"/>
      <c r="L552"/>
      <c r="M552"/>
      <c r="N552"/>
      <c r="O552"/>
      <c r="P552" s="168"/>
      <c r="Q552" s="168"/>
      <c r="R552" s="168"/>
      <c r="S552" s="169"/>
      <c r="T552" s="169"/>
      <c r="U552" s="169"/>
      <c r="V552" s="168"/>
      <c r="W552" s="168"/>
      <c r="X552" s="168"/>
      <c r="Y552" s="170"/>
      <c r="Z552" s="171"/>
      <c r="AA552" s="171"/>
      <c r="AB552" s="171"/>
      <c r="AC552" s="171"/>
      <c r="AD552" s="171"/>
      <c r="AE552" s="168"/>
      <c r="AF552" s="170"/>
      <c r="AG552" s="172"/>
      <c r="AH552"/>
      <c r="AI552"/>
    </row>
    <row r="553" spans="1:35" x14ac:dyDescent="0.35">
      <c r="A553"/>
      <c r="B553"/>
      <c r="C553"/>
      <c r="D553"/>
      <c r="E553"/>
      <c r="F553"/>
      <c r="G553"/>
      <c r="H553"/>
      <c r="I553"/>
      <c r="J553"/>
      <c r="K553"/>
      <c r="L553"/>
      <c r="M553"/>
      <c r="N553"/>
      <c r="O553"/>
      <c r="P553" s="168"/>
      <c r="Q553" s="168"/>
      <c r="R553" s="168"/>
      <c r="S553" s="169"/>
      <c r="T553" s="169"/>
      <c r="U553" s="169"/>
      <c r="V553" s="168"/>
      <c r="W553" s="168"/>
      <c r="X553" s="168"/>
      <c r="Y553" s="170"/>
      <c r="Z553" s="171"/>
      <c r="AA553" s="171"/>
      <c r="AB553" s="171"/>
      <c r="AC553" s="171"/>
      <c r="AD553" s="171"/>
      <c r="AE553" s="168"/>
      <c r="AF553" s="170"/>
      <c r="AG553" s="172"/>
      <c r="AH553"/>
      <c r="AI553"/>
    </row>
    <row r="554" spans="1:35" x14ac:dyDescent="0.35">
      <c r="A554"/>
      <c r="B554"/>
      <c r="C554"/>
      <c r="D554"/>
      <c r="E554"/>
      <c r="F554"/>
      <c r="G554"/>
      <c r="H554"/>
      <c r="I554"/>
      <c r="J554"/>
      <c r="K554"/>
      <c r="L554"/>
      <c r="M554"/>
      <c r="N554"/>
      <c r="O554"/>
      <c r="P554" s="168"/>
      <c r="Q554" s="168"/>
      <c r="R554" s="168"/>
      <c r="S554" s="169"/>
      <c r="T554" s="169"/>
      <c r="U554" s="169"/>
      <c r="V554" s="168"/>
      <c r="W554" s="168"/>
      <c r="X554" s="168"/>
      <c r="Y554" s="170"/>
      <c r="Z554" s="171"/>
      <c r="AA554" s="171"/>
      <c r="AB554" s="171"/>
      <c r="AC554" s="171"/>
      <c r="AD554" s="171"/>
      <c r="AE554" s="168"/>
      <c r="AF554" s="170"/>
      <c r="AG554" s="172"/>
      <c r="AH554"/>
      <c r="AI554"/>
    </row>
    <row r="555" spans="1:35" x14ac:dyDescent="0.35">
      <c r="A555"/>
      <c r="B555"/>
      <c r="C555"/>
      <c r="D555"/>
      <c r="E555"/>
      <c r="F555"/>
      <c r="G555"/>
      <c r="H555"/>
      <c r="I555"/>
      <c r="J555"/>
      <c r="K555"/>
      <c r="L555"/>
      <c r="M555"/>
      <c r="N555"/>
      <c r="O555"/>
      <c r="P555" s="168"/>
      <c r="Q555" s="168"/>
      <c r="R555" s="168"/>
      <c r="S555" s="169"/>
      <c r="T555" s="169"/>
      <c r="U555" s="169"/>
      <c r="V555" s="168"/>
      <c r="W555" s="168"/>
      <c r="X555" s="168"/>
      <c r="Y555" s="170"/>
      <c r="Z555" s="171"/>
      <c r="AA555" s="171"/>
      <c r="AB555" s="171"/>
      <c r="AC555" s="171"/>
      <c r="AD555" s="171"/>
      <c r="AE555" s="168"/>
      <c r="AF555" s="170"/>
      <c r="AG555" s="172"/>
      <c r="AH555"/>
      <c r="AI555"/>
    </row>
    <row r="556" spans="1:35" x14ac:dyDescent="0.35">
      <c r="A556"/>
      <c r="B556"/>
      <c r="C556"/>
      <c r="D556"/>
      <c r="E556"/>
      <c r="F556"/>
      <c r="G556"/>
      <c r="H556"/>
      <c r="I556"/>
      <c r="J556"/>
      <c r="K556"/>
      <c r="L556"/>
      <c r="M556"/>
      <c r="N556"/>
      <c r="O556"/>
      <c r="P556" s="168"/>
      <c r="Q556" s="168"/>
      <c r="R556" s="168"/>
      <c r="S556" s="169"/>
      <c r="T556" s="169"/>
      <c r="U556" s="169"/>
      <c r="V556" s="168"/>
      <c r="W556" s="168"/>
      <c r="X556" s="168"/>
      <c r="Y556" s="170"/>
      <c r="Z556" s="171"/>
      <c r="AA556" s="171"/>
      <c r="AB556" s="171"/>
      <c r="AC556" s="171"/>
      <c r="AD556" s="171"/>
      <c r="AE556" s="168"/>
      <c r="AF556" s="170"/>
      <c r="AG556" s="172"/>
      <c r="AH556"/>
      <c r="AI556"/>
    </row>
    <row r="557" spans="1:35" x14ac:dyDescent="0.35">
      <c r="A557"/>
      <c r="B557"/>
      <c r="C557"/>
      <c r="D557"/>
      <c r="E557"/>
      <c r="F557"/>
      <c r="G557"/>
      <c r="H557"/>
      <c r="I557"/>
      <c r="J557"/>
      <c r="K557"/>
      <c r="L557"/>
      <c r="M557"/>
      <c r="N557"/>
      <c r="O557"/>
      <c r="P557" s="168"/>
      <c r="Q557" s="168"/>
      <c r="R557" s="168"/>
      <c r="S557" s="169"/>
      <c r="T557" s="169"/>
      <c r="U557" s="169"/>
      <c r="V557" s="168"/>
      <c r="W557" s="168"/>
      <c r="X557" s="168"/>
      <c r="Y557" s="170"/>
      <c r="Z557" s="171"/>
      <c r="AA557" s="171"/>
      <c r="AB557" s="171"/>
      <c r="AC557" s="171"/>
      <c r="AD557" s="171"/>
      <c r="AE557" s="168"/>
      <c r="AF557" s="170"/>
      <c r="AG557" s="172"/>
      <c r="AH557"/>
      <c r="AI557"/>
    </row>
    <row r="558" spans="1:35" x14ac:dyDescent="0.35">
      <c r="A558"/>
      <c r="B558"/>
      <c r="C558"/>
      <c r="D558"/>
      <c r="E558"/>
      <c r="F558"/>
      <c r="G558"/>
      <c r="H558"/>
      <c r="I558"/>
      <c r="J558"/>
      <c r="K558"/>
      <c r="L558"/>
      <c r="M558"/>
      <c r="N558"/>
      <c r="O558"/>
      <c r="P558" s="168"/>
      <c r="Q558" s="168"/>
      <c r="R558" s="168"/>
      <c r="S558" s="169"/>
      <c r="T558" s="169"/>
      <c r="U558" s="169"/>
      <c r="V558" s="168"/>
      <c r="W558" s="168"/>
      <c r="X558" s="168"/>
      <c r="Y558" s="170"/>
      <c r="Z558" s="171"/>
      <c r="AA558" s="171"/>
      <c r="AB558" s="171"/>
      <c r="AC558" s="171"/>
      <c r="AD558" s="171"/>
      <c r="AE558" s="168"/>
      <c r="AF558" s="170"/>
      <c r="AG558" s="172"/>
      <c r="AH558"/>
      <c r="AI558"/>
    </row>
    <row r="559" spans="1:35" x14ac:dyDescent="0.35">
      <c r="A559"/>
      <c r="B559"/>
      <c r="C559"/>
      <c r="D559"/>
      <c r="E559"/>
      <c r="F559"/>
      <c r="G559"/>
      <c r="H559"/>
      <c r="I559"/>
      <c r="J559"/>
      <c r="K559"/>
      <c r="L559"/>
      <c r="M559"/>
      <c r="N559"/>
      <c r="O559"/>
      <c r="P559" s="168"/>
      <c r="Q559" s="168"/>
      <c r="R559" s="168"/>
      <c r="S559" s="169"/>
      <c r="T559" s="169"/>
      <c r="U559" s="169"/>
      <c r="V559" s="168"/>
      <c r="W559" s="168"/>
      <c r="X559" s="168"/>
      <c r="Y559" s="170"/>
      <c r="Z559" s="171"/>
      <c r="AA559" s="171"/>
      <c r="AB559" s="171"/>
      <c r="AC559" s="171"/>
      <c r="AD559" s="171"/>
      <c r="AE559" s="168"/>
      <c r="AF559" s="170"/>
      <c r="AG559" s="172"/>
      <c r="AH559"/>
      <c r="AI559"/>
    </row>
    <row r="560" spans="1:35" x14ac:dyDescent="0.35">
      <c r="A560"/>
      <c r="B560"/>
      <c r="C560"/>
      <c r="D560"/>
      <c r="E560"/>
      <c r="F560"/>
      <c r="G560"/>
      <c r="H560"/>
      <c r="I560"/>
      <c r="J560"/>
      <c r="K560"/>
      <c r="L560"/>
      <c r="M560"/>
      <c r="N560"/>
      <c r="O560"/>
      <c r="P560" s="168"/>
      <c r="Q560" s="168"/>
      <c r="R560" s="168"/>
      <c r="S560" s="169"/>
      <c r="T560" s="169"/>
      <c r="U560" s="169"/>
      <c r="V560" s="168"/>
      <c r="W560" s="168"/>
      <c r="X560" s="168"/>
      <c r="Y560" s="170"/>
      <c r="Z560" s="171"/>
      <c r="AA560" s="171"/>
      <c r="AB560" s="171"/>
      <c r="AC560" s="171"/>
      <c r="AD560" s="171"/>
      <c r="AE560" s="168"/>
      <c r="AF560" s="170"/>
      <c r="AG560" s="172"/>
      <c r="AH560"/>
      <c r="AI560"/>
    </row>
    <row r="561" spans="1:35" x14ac:dyDescent="0.35">
      <c r="A561"/>
      <c r="B561"/>
      <c r="C561"/>
      <c r="D561"/>
      <c r="E561"/>
      <c r="F561"/>
      <c r="G561"/>
      <c r="H561"/>
      <c r="I561"/>
      <c r="J561"/>
      <c r="K561"/>
      <c r="L561"/>
      <c r="M561"/>
      <c r="N561"/>
      <c r="O561"/>
      <c r="P561" s="168"/>
      <c r="Q561" s="168"/>
      <c r="R561" s="168"/>
      <c r="S561" s="169"/>
      <c r="T561" s="169"/>
      <c r="U561" s="169"/>
      <c r="V561" s="168"/>
      <c r="W561" s="168"/>
      <c r="X561" s="168"/>
      <c r="Y561" s="170"/>
      <c r="Z561" s="171"/>
      <c r="AA561" s="171"/>
      <c r="AB561" s="171"/>
      <c r="AC561" s="171"/>
      <c r="AD561" s="171"/>
      <c r="AE561" s="168"/>
      <c r="AF561" s="170"/>
      <c r="AG561" s="172"/>
      <c r="AH561"/>
      <c r="AI561"/>
    </row>
    <row r="562" spans="1:35" x14ac:dyDescent="0.35">
      <c r="A562"/>
      <c r="B562"/>
      <c r="C562"/>
      <c r="D562"/>
      <c r="E562"/>
      <c r="F562"/>
      <c r="G562"/>
      <c r="H562"/>
      <c r="I562"/>
      <c r="J562"/>
      <c r="K562"/>
      <c r="L562"/>
      <c r="M562"/>
      <c r="N562"/>
      <c r="O562"/>
      <c r="P562" s="168"/>
      <c r="Q562" s="168"/>
      <c r="R562" s="168"/>
      <c r="S562" s="169"/>
      <c r="T562" s="169"/>
      <c r="U562" s="169"/>
      <c r="V562" s="168"/>
      <c r="W562" s="168"/>
      <c r="X562" s="168"/>
      <c r="Y562" s="170"/>
      <c r="Z562" s="171"/>
      <c r="AA562" s="171"/>
      <c r="AB562" s="171"/>
      <c r="AC562" s="171"/>
      <c r="AD562" s="171"/>
      <c r="AE562" s="168"/>
      <c r="AF562" s="170"/>
      <c r="AG562" s="172"/>
      <c r="AH562"/>
      <c r="AI562"/>
    </row>
    <row r="563" spans="1:35" x14ac:dyDescent="0.35">
      <c r="A563"/>
      <c r="B563"/>
      <c r="C563"/>
      <c r="D563"/>
      <c r="E563"/>
      <c r="F563"/>
      <c r="G563"/>
      <c r="H563"/>
      <c r="I563"/>
      <c r="J563"/>
      <c r="K563"/>
      <c r="L563"/>
      <c r="M563"/>
      <c r="N563"/>
      <c r="O563"/>
      <c r="P563" s="168"/>
      <c r="Q563" s="168"/>
      <c r="R563" s="168"/>
      <c r="S563" s="169"/>
      <c r="T563" s="169"/>
      <c r="U563" s="169"/>
      <c r="V563" s="168"/>
      <c r="W563" s="168"/>
      <c r="X563" s="168"/>
      <c r="Y563" s="170"/>
      <c r="Z563" s="171"/>
      <c r="AA563" s="171"/>
      <c r="AB563" s="171"/>
      <c r="AC563" s="171"/>
      <c r="AD563" s="171"/>
      <c r="AE563" s="168"/>
      <c r="AF563" s="170"/>
      <c r="AG563" s="172"/>
      <c r="AH563"/>
      <c r="AI563"/>
    </row>
    <row r="564" spans="1:35" x14ac:dyDescent="0.35">
      <c r="A564"/>
      <c r="B564"/>
      <c r="C564"/>
      <c r="D564"/>
      <c r="E564"/>
      <c r="F564"/>
      <c r="G564"/>
      <c r="H564"/>
      <c r="I564"/>
      <c r="J564"/>
      <c r="K564"/>
      <c r="L564"/>
      <c r="M564"/>
      <c r="N564"/>
      <c r="O564"/>
      <c r="P564" s="168"/>
      <c r="Q564" s="168"/>
      <c r="R564" s="168"/>
      <c r="S564" s="169"/>
      <c r="T564" s="169"/>
      <c r="U564" s="169"/>
      <c r="V564" s="168"/>
      <c r="W564" s="168"/>
      <c r="X564" s="168"/>
      <c r="Y564" s="170"/>
      <c r="Z564" s="171"/>
      <c r="AA564" s="171"/>
      <c r="AB564" s="171"/>
      <c r="AC564" s="171"/>
      <c r="AD564" s="171"/>
      <c r="AE564" s="168"/>
      <c r="AF564" s="170"/>
      <c r="AG564" s="172"/>
      <c r="AH564"/>
      <c r="AI564"/>
    </row>
    <row r="565" spans="1:35" x14ac:dyDescent="0.35">
      <c r="A565"/>
      <c r="B565"/>
      <c r="C565"/>
      <c r="D565"/>
      <c r="E565"/>
      <c r="F565"/>
      <c r="G565"/>
      <c r="H565"/>
      <c r="I565"/>
      <c r="J565"/>
      <c r="K565"/>
      <c r="L565"/>
      <c r="M565"/>
      <c r="N565"/>
      <c r="O565"/>
      <c r="P565" s="168"/>
      <c r="Q565" s="168"/>
      <c r="R565" s="168"/>
      <c r="S565" s="169"/>
      <c r="T565" s="169"/>
      <c r="U565" s="169"/>
      <c r="V565" s="168"/>
      <c r="W565" s="168"/>
      <c r="X565" s="168"/>
      <c r="Y565" s="170"/>
      <c r="Z565" s="171"/>
      <c r="AA565" s="171"/>
      <c r="AB565" s="171"/>
      <c r="AC565" s="171"/>
      <c r="AD565" s="171"/>
      <c r="AE565" s="168"/>
      <c r="AF565" s="170"/>
      <c r="AG565" s="172"/>
      <c r="AH565"/>
      <c r="AI565"/>
    </row>
    <row r="566" spans="1:35" x14ac:dyDescent="0.35">
      <c r="A566"/>
      <c r="B566"/>
      <c r="C566"/>
      <c r="D566"/>
      <c r="E566"/>
      <c r="F566"/>
      <c r="G566"/>
      <c r="H566"/>
      <c r="I566"/>
      <c r="J566"/>
      <c r="K566"/>
      <c r="L566"/>
      <c r="M566"/>
      <c r="N566"/>
      <c r="O566"/>
      <c r="P566" s="168"/>
      <c r="Q566" s="168"/>
      <c r="R566" s="168"/>
      <c r="S566" s="169"/>
      <c r="T566" s="169"/>
      <c r="U566" s="169"/>
      <c r="V566" s="168"/>
      <c r="W566" s="168"/>
      <c r="X566" s="168"/>
      <c r="Y566" s="170"/>
      <c r="Z566" s="171"/>
      <c r="AA566" s="171"/>
      <c r="AB566" s="171"/>
      <c r="AC566" s="171"/>
      <c r="AD566" s="171"/>
      <c r="AE566" s="168"/>
      <c r="AF566" s="170"/>
      <c r="AG566" s="172"/>
      <c r="AH566"/>
      <c r="AI566"/>
    </row>
    <row r="567" spans="1:35" x14ac:dyDescent="0.35">
      <c r="A567"/>
      <c r="B567"/>
      <c r="C567"/>
      <c r="D567"/>
      <c r="E567"/>
      <c r="F567"/>
      <c r="G567"/>
      <c r="H567"/>
      <c r="I567"/>
      <c r="J567"/>
      <c r="K567"/>
      <c r="L567"/>
      <c r="M567"/>
      <c r="N567"/>
      <c r="O567"/>
      <c r="P567" s="168"/>
      <c r="Q567" s="168"/>
      <c r="R567" s="168"/>
      <c r="S567" s="169"/>
      <c r="T567" s="169"/>
      <c r="U567" s="169"/>
      <c r="V567" s="168"/>
      <c r="W567" s="168"/>
      <c r="X567" s="168"/>
      <c r="Y567" s="170"/>
      <c r="Z567" s="171"/>
      <c r="AA567" s="171"/>
      <c r="AB567" s="171"/>
      <c r="AC567" s="171"/>
      <c r="AD567" s="171"/>
      <c r="AE567" s="168"/>
      <c r="AF567" s="170"/>
      <c r="AG567" s="172"/>
      <c r="AH567"/>
      <c r="AI567"/>
    </row>
    <row r="568" spans="1:35" x14ac:dyDescent="0.35">
      <c r="A568"/>
      <c r="B568"/>
      <c r="C568"/>
      <c r="D568"/>
      <c r="E568"/>
      <c r="F568"/>
      <c r="G568"/>
      <c r="H568"/>
      <c r="I568"/>
      <c r="J568"/>
      <c r="K568"/>
      <c r="L568"/>
      <c r="M568"/>
      <c r="N568"/>
      <c r="O568"/>
      <c r="P568" s="168"/>
      <c r="Q568" s="168"/>
      <c r="R568" s="168"/>
      <c r="S568" s="169"/>
      <c r="T568" s="169"/>
      <c r="U568" s="169"/>
      <c r="V568" s="168"/>
      <c r="W568" s="168"/>
      <c r="X568" s="168"/>
      <c r="Y568" s="170"/>
      <c r="Z568" s="171"/>
      <c r="AA568" s="171"/>
      <c r="AB568" s="171"/>
      <c r="AC568" s="171"/>
      <c r="AD568" s="171"/>
      <c r="AE568" s="168"/>
      <c r="AF568" s="170"/>
      <c r="AG568" s="172"/>
      <c r="AH568"/>
      <c r="AI568"/>
    </row>
    <row r="569" spans="1:35" x14ac:dyDescent="0.35">
      <c r="A569"/>
      <c r="B569"/>
      <c r="C569"/>
      <c r="D569"/>
      <c r="E569"/>
      <c r="F569"/>
      <c r="G569"/>
      <c r="H569"/>
      <c r="I569"/>
      <c r="J569"/>
      <c r="K569"/>
      <c r="L569"/>
      <c r="M569"/>
      <c r="N569"/>
      <c r="O569"/>
      <c r="P569" s="168"/>
      <c r="Q569" s="168"/>
      <c r="R569" s="168"/>
      <c r="S569" s="169"/>
      <c r="T569" s="169"/>
      <c r="U569" s="169"/>
      <c r="V569" s="168"/>
      <c r="W569" s="168"/>
      <c r="X569" s="168"/>
      <c r="Y569" s="170"/>
      <c r="Z569" s="171"/>
      <c r="AA569" s="171"/>
      <c r="AB569" s="171"/>
      <c r="AC569" s="171"/>
      <c r="AD569" s="171"/>
      <c r="AE569" s="168"/>
      <c r="AF569" s="170"/>
      <c r="AG569" s="172"/>
      <c r="AH569"/>
      <c r="AI569"/>
    </row>
    <row r="570" spans="1:35" x14ac:dyDescent="0.35">
      <c r="A570"/>
      <c r="B570"/>
      <c r="C570"/>
      <c r="D570"/>
      <c r="E570"/>
      <c r="F570"/>
      <c r="G570"/>
      <c r="H570"/>
      <c r="I570"/>
      <c r="J570"/>
      <c r="K570"/>
      <c r="L570"/>
      <c r="M570"/>
      <c r="N570"/>
      <c r="O570"/>
      <c r="P570" s="168"/>
      <c r="Q570" s="168"/>
      <c r="R570" s="168"/>
      <c r="S570" s="169"/>
      <c r="T570" s="169"/>
      <c r="U570" s="169"/>
      <c r="V570" s="168"/>
      <c r="W570" s="168"/>
      <c r="X570" s="168"/>
      <c r="Y570" s="170"/>
      <c r="Z570" s="171"/>
      <c r="AA570" s="171"/>
      <c r="AB570" s="171"/>
      <c r="AC570" s="171"/>
      <c r="AD570" s="171"/>
      <c r="AE570" s="168"/>
      <c r="AF570" s="170"/>
      <c r="AG570" s="172"/>
      <c r="AH570"/>
      <c r="AI570"/>
    </row>
    <row r="571" spans="1:35" x14ac:dyDescent="0.35">
      <c r="A571"/>
      <c r="B571"/>
      <c r="C571"/>
      <c r="D571"/>
      <c r="E571"/>
      <c r="F571"/>
      <c r="G571"/>
      <c r="H571"/>
      <c r="I571"/>
      <c r="J571"/>
      <c r="K571"/>
      <c r="L571"/>
      <c r="M571"/>
      <c r="N571"/>
      <c r="O571"/>
      <c r="P571" s="168"/>
      <c r="Q571" s="168"/>
      <c r="R571" s="168"/>
      <c r="S571" s="169"/>
      <c r="T571" s="169"/>
      <c r="U571" s="169"/>
      <c r="V571" s="168"/>
      <c r="W571" s="168"/>
      <c r="X571" s="168"/>
      <c r="Y571" s="170"/>
      <c r="Z571" s="171"/>
      <c r="AA571" s="171"/>
      <c r="AB571" s="171"/>
      <c r="AC571" s="171"/>
      <c r="AD571" s="171"/>
      <c r="AE571" s="168"/>
      <c r="AF571" s="170"/>
      <c r="AG571" s="172"/>
      <c r="AH571"/>
      <c r="AI571"/>
    </row>
    <row r="572" spans="1:35" x14ac:dyDescent="0.35">
      <c r="A572"/>
      <c r="B572"/>
      <c r="C572"/>
      <c r="D572"/>
      <c r="E572"/>
      <c r="F572"/>
      <c r="G572"/>
      <c r="H572"/>
      <c r="I572"/>
      <c r="J572"/>
      <c r="K572"/>
      <c r="L572"/>
      <c r="M572"/>
      <c r="N572"/>
      <c r="O572"/>
      <c r="P572" s="168"/>
      <c r="Q572" s="168"/>
      <c r="R572" s="168"/>
      <c r="S572" s="169"/>
      <c r="T572" s="169"/>
      <c r="U572" s="169"/>
      <c r="V572" s="168"/>
      <c r="W572" s="168"/>
      <c r="X572" s="168"/>
      <c r="Y572" s="170"/>
      <c r="Z572" s="171"/>
      <c r="AA572" s="171"/>
      <c r="AB572" s="171"/>
      <c r="AC572" s="171"/>
      <c r="AD572" s="171"/>
      <c r="AE572" s="168"/>
      <c r="AF572" s="170"/>
      <c r="AG572" s="172"/>
      <c r="AH572"/>
      <c r="AI572"/>
    </row>
    <row r="573" spans="1:35" x14ac:dyDescent="0.35">
      <c r="A573"/>
      <c r="B573"/>
      <c r="C573"/>
      <c r="D573"/>
      <c r="E573"/>
      <c r="F573"/>
      <c r="G573"/>
      <c r="H573"/>
      <c r="I573"/>
      <c r="J573"/>
      <c r="K573"/>
      <c r="L573"/>
      <c r="M573"/>
      <c r="N573"/>
      <c r="O573"/>
      <c r="P573" s="168"/>
      <c r="Q573" s="168"/>
      <c r="R573" s="168"/>
      <c r="S573" s="169"/>
      <c r="T573" s="169"/>
      <c r="U573" s="169"/>
      <c r="V573" s="168"/>
      <c r="W573" s="168"/>
      <c r="X573" s="168"/>
      <c r="Y573" s="170"/>
      <c r="Z573" s="171"/>
      <c r="AA573" s="171"/>
      <c r="AB573" s="171"/>
      <c r="AC573" s="171"/>
      <c r="AD573" s="171"/>
      <c r="AE573" s="168"/>
      <c r="AF573" s="170"/>
      <c r="AG573" s="172"/>
      <c r="AH573"/>
      <c r="AI573"/>
    </row>
    <row r="574" spans="1:35" x14ac:dyDescent="0.35">
      <c r="A574"/>
      <c r="B574"/>
      <c r="C574"/>
      <c r="D574"/>
      <c r="E574"/>
      <c r="F574"/>
      <c r="G574"/>
      <c r="H574"/>
      <c r="I574"/>
      <c r="J574"/>
      <c r="K574"/>
      <c r="L574"/>
      <c r="M574"/>
      <c r="N574"/>
      <c r="O574"/>
      <c r="P574" s="168"/>
      <c r="Q574" s="168"/>
      <c r="R574" s="168"/>
      <c r="S574" s="169"/>
      <c r="T574" s="169"/>
      <c r="U574" s="169"/>
      <c r="V574" s="168"/>
      <c r="W574" s="168"/>
      <c r="X574" s="168"/>
      <c r="Y574" s="170"/>
      <c r="Z574" s="171"/>
      <c r="AA574" s="171"/>
      <c r="AB574" s="171"/>
      <c r="AC574" s="171"/>
      <c r="AD574" s="171"/>
      <c r="AE574" s="168"/>
      <c r="AF574" s="170"/>
      <c r="AG574" s="172"/>
      <c r="AH574"/>
      <c r="AI574"/>
    </row>
    <row r="575" spans="1:35" x14ac:dyDescent="0.35">
      <c r="A575"/>
      <c r="B575"/>
      <c r="C575"/>
      <c r="D575"/>
      <c r="E575"/>
      <c r="F575"/>
      <c r="G575"/>
      <c r="H575"/>
      <c r="I575"/>
      <c r="J575"/>
      <c r="K575"/>
      <c r="L575"/>
      <c r="M575"/>
      <c r="N575"/>
      <c r="O575"/>
      <c r="P575" s="168"/>
      <c r="Q575" s="168"/>
      <c r="R575" s="168"/>
      <c r="S575" s="169"/>
      <c r="T575" s="169"/>
      <c r="U575" s="169"/>
      <c r="V575" s="168"/>
      <c r="W575" s="168"/>
      <c r="X575" s="168"/>
      <c r="Y575" s="170"/>
      <c r="Z575" s="171"/>
      <c r="AA575" s="171"/>
      <c r="AB575" s="171"/>
      <c r="AC575" s="171"/>
      <c r="AD575" s="171"/>
      <c r="AE575" s="168"/>
      <c r="AF575" s="170"/>
      <c r="AG575" s="172"/>
      <c r="AH575"/>
      <c r="AI575"/>
    </row>
    <row r="576" spans="1:35" x14ac:dyDescent="0.35">
      <c r="A576"/>
      <c r="B576"/>
      <c r="C576"/>
      <c r="D576"/>
      <c r="E576"/>
      <c r="F576"/>
      <c r="G576"/>
      <c r="H576"/>
      <c r="I576"/>
      <c r="J576"/>
      <c r="K576"/>
      <c r="L576"/>
      <c r="M576"/>
      <c r="N576"/>
      <c r="O576"/>
      <c r="P576" s="168"/>
      <c r="Q576" s="168"/>
      <c r="R576" s="168"/>
      <c r="S576" s="169"/>
      <c r="T576" s="169"/>
      <c r="U576" s="169"/>
      <c r="V576" s="168"/>
      <c r="W576" s="168"/>
      <c r="X576" s="168"/>
      <c r="Y576" s="170"/>
      <c r="Z576" s="171"/>
      <c r="AA576" s="171"/>
      <c r="AB576" s="171"/>
      <c r="AC576" s="171"/>
      <c r="AD576" s="171"/>
      <c r="AE576" s="168"/>
      <c r="AF576" s="170"/>
      <c r="AG576" s="172"/>
      <c r="AH576"/>
      <c r="AI576"/>
    </row>
    <row r="577" spans="1:35" x14ac:dyDescent="0.35">
      <c r="A577"/>
      <c r="B577"/>
      <c r="C577"/>
      <c r="D577"/>
      <c r="E577"/>
      <c r="F577"/>
      <c r="G577"/>
      <c r="H577"/>
      <c r="I577"/>
      <c r="J577"/>
      <c r="K577"/>
      <c r="L577"/>
      <c r="M577"/>
      <c r="N577"/>
      <c r="O577"/>
      <c r="P577" s="168"/>
      <c r="Q577" s="168"/>
      <c r="R577" s="168"/>
      <c r="S577" s="169"/>
      <c r="T577" s="169"/>
      <c r="U577" s="169"/>
      <c r="V577" s="168"/>
      <c r="W577" s="168"/>
      <c r="X577" s="168"/>
      <c r="Y577" s="170"/>
      <c r="Z577" s="171"/>
      <c r="AA577" s="171"/>
      <c r="AB577" s="171"/>
      <c r="AC577" s="171"/>
      <c r="AD577" s="171"/>
      <c r="AE577" s="168"/>
      <c r="AF577" s="170"/>
      <c r="AG577" s="172"/>
      <c r="AH577"/>
      <c r="AI577"/>
    </row>
    <row r="578" spans="1:35" x14ac:dyDescent="0.35">
      <c r="A578"/>
      <c r="B578"/>
      <c r="C578"/>
      <c r="D578"/>
      <c r="E578"/>
      <c r="F578"/>
      <c r="G578"/>
      <c r="H578"/>
      <c r="I578"/>
      <c r="J578"/>
      <c r="K578"/>
      <c r="L578"/>
      <c r="M578"/>
      <c r="N578"/>
      <c r="O578"/>
      <c r="P578" s="168"/>
      <c r="Q578" s="168"/>
      <c r="R578" s="168"/>
      <c r="S578" s="169"/>
      <c r="T578" s="169"/>
      <c r="U578" s="169"/>
      <c r="V578" s="168"/>
      <c r="W578" s="168"/>
      <c r="X578" s="168"/>
      <c r="Y578" s="170"/>
      <c r="Z578" s="171"/>
      <c r="AA578" s="171"/>
      <c r="AB578" s="171"/>
      <c r="AC578" s="171"/>
      <c r="AD578" s="171"/>
      <c r="AE578" s="168"/>
      <c r="AF578" s="170"/>
      <c r="AG578" s="172"/>
      <c r="AH578"/>
      <c r="AI578"/>
    </row>
    <row r="579" spans="1:35" x14ac:dyDescent="0.35">
      <c r="A579"/>
      <c r="B579"/>
      <c r="C579"/>
      <c r="D579"/>
      <c r="E579"/>
      <c r="F579"/>
      <c r="G579"/>
      <c r="H579"/>
      <c r="I579"/>
      <c r="J579"/>
      <c r="K579"/>
      <c r="L579"/>
      <c r="M579"/>
      <c r="N579"/>
      <c r="O579"/>
      <c r="P579" s="168"/>
      <c r="Q579" s="168"/>
      <c r="R579" s="168"/>
      <c r="S579" s="169"/>
      <c r="T579" s="169"/>
      <c r="U579" s="169"/>
      <c r="V579" s="168"/>
      <c r="W579" s="168"/>
      <c r="X579" s="168"/>
      <c r="Y579" s="170"/>
      <c r="Z579" s="171"/>
      <c r="AA579" s="171"/>
      <c r="AB579" s="171"/>
      <c r="AC579" s="171"/>
      <c r="AD579" s="171"/>
      <c r="AE579" s="168"/>
      <c r="AF579" s="170"/>
      <c r="AG579" s="172"/>
      <c r="AH579"/>
      <c r="AI579"/>
    </row>
    <row r="580" spans="1:35" x14ac:dyDescent="0.35">
      <c r="A580"/>
      <c r="B580"/>
      <c r="C580"/>
      <c r="D580"/>
      <c r="E580"/>
      <c r="F580"/>
      <c r="G580"/>
      <c r="H580"/>
      <c r="I580"/>
      <c r="J580"/>
      <c r="K580"/>
      <c r="L580"/>
      <c r="M580"/>
      <c r="N580"/>
      <c r="O580"/>
      <c r="P580" s="168"/>
      <c r="Q580" s="168"/>
      <c r="R580" s="168"/>
      <c r="S580" s="169"/>
      <c r="T580" s="169"/>
      <c r="U580" s="169"/>
      <c r="V580" s="168"/>
      <c r="W580" s="168"/>
      <c r="X580" s="168"/>
      <c r="Y580" s="170"/>
      <c r="Z580" s="171"/>
      <c r="AA580" s="171"/>
      <c r="AB580" s="171"/>
      <c r="AC580" s="171"/>
      <c r="AD580" s="171"/>
      <c r="AE580" s="168"/>
      <c r="AF580" s="170"/>
      <c r="AG580" s="172"/>
      <c r="AH580"/>
      <c r="AI580"/>
    </row>
    <row r="581" spans="1:35" x14ac:dyDescent="0.35">
      <c r="A581"/>
      <c r="B581"/>
      <c r="C581"/>
      <c r="D581"/>
      <c r="E581"/>
      <c r="F581"/>
      <c r="G581"/>
      <c r="H581"/>
      <c r="I581"/>
      <c r="J581"/>
      <c r="K581"/>
      <c r="L581"/>
      <c r="M581"/>
      <c r="N581"/>
      <c r="O581"/>
      <c r="P581" s="168"/>
      <c r="Q581" s="168"/>
      <c r="R581" s="168"/>
      <c r="S581" s="169"/>
      <c r="T581" s="169"/>
      <c r="U581" s="169"/>
      <c r="V581" s="168"/>
      <c r="W581" s="168"/>
      <c r="X581" s="168"/>
      <c r="Y581" s="170"/>
      <c r="Z581" s="171"/>
      <c r="AA581" s="171"/>
      <c r="AB581" s="171"/>
      <c r="AC581" s="171"/>
      <c r="AD581" s="171"/>
      <c r="AE581" s="168"/>
      <c r="AF581" s="170"/>
      <c r="AG581" s="172"/>
      <c r="AH581"/>
      <c r="AI581"/>
    </row>
    <row r="582" spans="1:35" x14ac:dyDescent="0.35">
      <c r="A582"/>
      <c r="B582"/>
      <c r="C582"/>
      <c r="D582"/>
      <c r="E582"/>
      <c r="F582"/>
      <c r="G582"/>
      <c r="H582"/>
      <c r="I582"/>
      <c r="J582"/>
      <c r="K582"/>
      <c r="L582"/>
      <c r="M582"/>
      <c r="N582"/>
      <c r="O582"/>
      <c r="P582" s="168"/>
      <c r="Q582" s="168"/>
      <c r="R582" s="168"/>
      <c r="S582" s="169"/>
      <c r="T582" s="169"/>
      <c r="U582" s="169"/>
      <c r="V582" s="168"/>
      <c r="W582" s="168"/>
      <c r="X582" s="168"/>
      <c r="Y582" s="170"/>
      <c r="Z582" s="171"/>
      <c r="AA582" s="171"/>
      <c r="AB582" s="171"/>
      <c r="AC582" s="171"/>
      <c r="AD582" s="171"/>
      <c r="AE582" s="168"/>
      <c r="AF582" s="170"/>
      <c r="AG582" s="172"/>
      <c r="AH582"/>
      <c r="AI582"/>
    </row>
    <row r="583" spans="1:35" x14ac:dyDescent="0.35">
      <c r="A583"/>
      <c r="B583"/>
      <c r="C583"/>
      <c r="D583"/>
      <c r="E583"/>
      <c r="F583"/>
      <c r="G583"/>
      <c r="H583"/>
      <c r="I583"/>
      <c r="J583"/>
      <c r="K583"/>
      <c r="L583"/>
      <c r="M583"/>
      <c r="N583"/>
      <c r="O583"/>
      <c r="P583" s="168"/>
      <c r="Q583" s="168"/>
      <c r="R583" s="168"/>
      <c r="S583" s="169"/>
      <c r="T583" s="169"/>
      <c r="U583" s="169"/>
      <c r="V583" s="168"/>
      <c r="W583" s="168"/>
      <c r="X583" s="168"/>
      <c r="Y583" s="170"/>
      <c r="Z583" s="171"/>
      <c r="AA583" s="171"/>
      <c r="AB583" s="171"/>
      <c r="AC583" s="171"/>
      <c r="AD583" s="171"/>
      <c r="AE583" s="168"/>
      <c r="AF583" s="170"/>
      <c r="AG583" s="172"/>
      <c r="AH583"/>
      <c r="AI583"/>
    </row>
    <row r="584" spans="1:35" x14ac:dyDescent="0.35">
      <c r="A584"/>
      <c r="B584"/>
      <c r="C584"/>
      <c r="D584"/>
      <c r="E584"/>
      <c r="F584"/>
      <c r="G584"/>
      <c r="H584"/>
      <c r="I584"/>
      <c r="J584"/>
      <c r="K584"/>
      <c r="L584"/>
      <c r="M584"/>
      <c r="N584"/>
      <c r="O584"/>
      <c r="P584" s="168"/>
      <c r="Q584" s="168"/>
      <c r="R584" s="168"/>
      <c r="S584" s="169"/>
      <c r="T584" s="169"/>
      <c r="U584" s="169"/>
      <c r="V584" s="168"/>
      <c r="W584" s="168"/>
      <c r="X584" s="168"/>
      <c r="Y584" s="170"/>
      <c r="Z584" s="171"/>
      <c r="AA584" s="171"/>
      <c r="AB584" s="171"/>
      <c r="AC584" s="171"/>
      <c r="AD584" s="171"/>
      <c r="AE584" s="168"/>
      <c r="AF584" s="170"/>
      <c r="AG584" s="172"/>
      <c r="AH584"/>
      <c r="AI584"/>
    </row>
    <row r="585" spans="1:35" x14ac:dyDescent="0.35">
      <c r="A585"/>
      <c r="B585"/>
      <c r="C585"/>
      <c r="D585"/>
      <c r="E585"/>
      <c r="F585"/>
      <c r="G585"/>
      <c r="H585"/>
      <c r="I585"/>
      <c r="J585"/>
      <c r="K585"/>
      <c r="L585"/>
      <c r="M585"/>
      <c r="N585"/>
      <c r="O585"/>
      <c r="P585" s="168"/>
      <c r="Q585" s="168"/>
      <c r="R585" s="168"/>
      <c r="S585" s="169"/>
      <c r="T585" s="169"/>
      <c r="U585" s="169"/>
      <c r="V585" s="168"/>
      <c r="W585" s="168"/>
      <c r="X585" s="168"/>
      <c r="Y585" s="170"/>
      <c r="Z585" s="171"/>
      <c r="AA585" s="171"/>
      <c r="AB585" s="171"/>
      <c r="AC585" s="171"/>
      <c r="AD585" s="171"/>
      <c r="AE585" s="168"/>
      <c r="AF585" s="170"/>
      <c r="AG585" s="172"/>
      <c r="AH585"/>
      <c r="AI585"/>
    </row>
    <row r="586" spans="1:35" x14ac:dyDescent="0.35">
      <c r="A586"/>
      <c r="B586"/>
      <c r="C586"/>
      <c r="D586"/>
      <c r="E586"/>
      <c r="F586"/>
      <c r="G586"/>
      <c r="H586"/>
      <c r="I586"/>
      <c r="J586"/>
      <c r="K586"/>
      <c r="L586"/>
      <c r="M586"/>
      <c r="N586"/>
      <c r="O586"/>
      <c r="P586" s="168"/>
      <c r="Q586" s="168"/>
      <c r="R586" s="168"/>
      <c r="S586" s="169"/>
      <c r="T586" s="169"/>
      <c r="U586" s="169"/>
      <c r="V586" s="168"/>
      <c r="W586" s="168"/>
      <c r="X586" s="168"/>
      <c r="Y586" s="170"/>
      <c r="Z586" s="171"/>
      <c r="AA586" s="171"/>
      <c r="AB586" s="171"/>
      <c r="AC586" s="171"/>
      <c r="AD586" s="171"/>
      <c r="AE586" s="168"/>
      <c r="AF586" s="170"/>
      <c r="AG586" s="172"/>
      <c r="AH586"/>
      <c r="AI586"/>
    </row>
    <row r="587" spans="1:35" x14ac:dyDescent="0.35">
      <c r="A587"/>
      <c r="B587"/>
      <c r="C587"/>
      <c r="D587"/>
      <c r="E587"/>
      <c r="F587"/>
      <c r="G587"/>
      <c r="H587"/>
      <c r="I587"/>
      <c r="J587"/>
      <c r="K587"/>
      <c r="L587"/>
      <c r="M587"/>
      <c r="N587"/>
      <c r="O587"/>
      <c r="P587" s="168"/>
      <c r="Q587" s="168"/>
      <c r="R587" s="168"/>
      <c r="S587" s="169"/>
      <c r="T587" s="169"/>
      <c r="U587" s="169"/>
      <c r="V587" s="168"/>
      <c r="W587" s="168"/>
      <c r="X587" s="168"/>
      <c r="Y587" s="170"/>
      <c r="Z587" s="171"/>
      <c r="AA587" s="171"/>
      <c r="AB587" s="171"/>
      <c r="AC587" s="171"/>
      <c r="AD587" s="171"/>
      <c r="AE587" s="168"/>
      <c r="AF587" s="170"/>
      <c r="AG587" s="172"/>
      <c r="AH587"/>
      <c r="AI587"/>
    </row>
    <row r="588" spans="1:35" x14ac:dyDescent="0.35">
      <c r="A588"/>
      <c r="B588"/>
      <c r="C588"/>
      <c r="D588"/>
      <c r="E588"/>
      <c r="F588"/>
      <c r="G588"/>
      <c r="H588"/>
      <c r="I588"/>
      <c r="J588"/>
      <c r="K588"/>
      <c r="L588"/>
      <c r="M588"/>
      <c r="N588"/>
      <c r="O588"/>
      <c r="P588" s="168"/>
      <c r="Q588" s="168"/>
      <c r="R588" s="168"/>
      <c r="S588" s="169"/>
      <c r="T588" s="169"/>
      <c r="U588" s="169"/>
      <c r="V588" s="168"/>
      <c r="W588" s="168"/>
      <c r="X588" s="168"/>
      <c r="Y588" s="170"/>
      <c r="Z588" s="171"/>
      <c r="AA588" s="171"/>
      <c r="AB588" s="171"/>
      <c r="AC588" s="171"/>
      <c r="AD588" s="171"/>
      <c r="AE588" s="168"/>
      <c r="AF588" s="170"/>
      <c r="AG588" s="172"/>
      <c r="AH588"/>
      <c r="AI588"/>
    </row>
    <row r="589" spans="1:35" x14ac:dyDescent="0.35">
      <c r="A589"/>
      <c r="B589"/>
      <c r="C589"/>
      <c r="D589"/>
      <c r="E589"/>
      <c r="F589"/>
      <c r="G589"/>
      <c r="H589"/>
      <c r="I589"/>
      <c r="J589"/>
      <c r="K589"/>
      <c r="L589"/>
      <c r="M589"/>
      <c r="N589"/>
      <c r="O589"/>
      <c r="P589" s="168"/>
      <c r="Q589" s="168"/>
      <c r="R589" s="168"/>
      <c r="S589" s="169"/>
      <c r="T589" s="169"/>
      <c r="U589" s="169"/>
      <c r="V589" s="168"/>
      <c r="W589" s="168"/>
      <c r="X589" s="168"/>
      <c r="Y589" s="170"/>
      <c r="Z589" s="171"/>
      <c r="AA589" s="171"/>
      <c r="AB589" s="171"/>
      <c r="AC589" s="171"/>
      <c r="AD589" s="171"/>
      <c r="AE589" s="168"/>
      <c r="AF589" s="170"/>
      <c r="AG589" s="172"/>
      <c r="AH589"/>
      <c r="AI589"/>
    </row>
    <row r="590" spans="1:35" x14ac:dyDescent="0.35">
      <c r="A590"/>
      <c r="B590"/>
      <c r="C590"/>
      <c r="D590"/>
      <c r="E590"/>
      <c r="F590"/>
      <c r="G590"/>
      <c r="H590"/>
      <c r="I590"/>
      <c r="J590"/>
      <c r="K590"/>
      <c r="L590"/>
      <c r="M590"/>
      <c r="N590"/>
      <c r="O590"/>
      <c r="P590" s="168"/>
      <c r="Q590" s="168"/>
      <c r="R590" s="168"/>
      <c r="S590" s="169"/>
      <c r="T590" s="169"/>
      <c r="U590" s="169"/>
      <c r="V590" s="168"/>
      <c r="W590" s="168"/>
      <c r="X590" s="168"/>
      <c r="Y590" s="170"/>
      <c r="Z590" s="171"/>
      <c r="AA590" s="171"/>
      <c r="AB590" s="171"/>
      <c r="AC590" s="171"/>
      <c r="AD590" s="171"/>
      <c r="AE590" s="168"/>
      <c r="AF590" s="170"/>
      <c r="AG590" s="172"/>
      <c r="AH590"/>
      <c r="AI590"/>
    </row>
    <row r="591" spans="1:35" x14ac:dyDescent="0.35">
      <c r="A591"/>
      <c r="B591"/>
      <c r="C591"/>
      <c r="D591"/>
      <c r="E591"/>
      <c r="F591"/>
      <c r="G591"/>
      <c r="H591"/>
      <c r="I591"/>
      <c r="J591"/>
      <c r="K591"/>
      <c r="L591"/>
      <c r="M591"/>
      <c r="N591"/>
      <c r="O591"/>
      <c r="P591" s="168"/>
      <c r="Q591" s="168"/>
      <c r="R591" s="168"/>
      <c r="S591" s="169"/>
      <c r="T591" s="169"/>
      <c r="U591" s="169"/>
      <c r="V591" s="168"/>
      <c r="W591" s="168"/>
      <c r="X591" s="168"/>
      <c r="Y591" s="170"/>
      <c r="Z591" s="171"/>
      <c r="AA591" s="171"/>
      <c r="AB591" s="171"/>
      <c r="AC591" s="171"/>
      <c r="AD591" s="171"/>
      <c r="AE591" s="168"/>
      <c r="AF591" s="170"/>
      <c r="AG591" s="172"/>
      <c r="AH591"/>
      <c r="AI591"/>
    </row>
    <row r="592" spans="1:35" x14ac:dyDescent="0.35">
      <c r="A592"/>
      <c r="B592"/>
      <c r="C592"/>
      <c r="D592"/>
      <c r="E592"/>
      <c r="F592"/>
      <c r="G592"/>
      <c r="H592"/>
      <c r="I592"/>
      <c r="J592"/>
      <c r="K592"/>
      <c r="L592"/>
      <c r="M592"/>
      <c r="N592"/>
      <c r="O592"/>
      <c r="P592" s="168"/>
      <c r="Q592" s="168"/>
      <c r="R592" s="168"/>
      <c r="S592" s="169"/>
      <c r="T592" s="169"/>
      <c r="U592" s="169"/>
      <c r="V592" s="168"/>
      <c r="W592" s="168"/>
      <c r="X592" s="168"/>
      <c r="Y592" s="170"/>
      <c r="Z592" s="171"/>
      <c r="AA592" s="171"/>
      <c r="AB592" s="171"/>
      <c r="AC592" s="171"/>
      <c r="AD592" s="171"/>
      <c r="AE592" s="168"/>
      <c r="AF592" s="170"/>
      <c r="AG592" s="172"/>
      <c r="AH592"/>
      <c r="AI592"/>
    </row>
    <row r="593" spans="1:35" x14ac:dyDescent="0.35">
      <c r="A593"/>
      <c r="B593"/>
      <c r="C593"/>
      <c r="D593"/>
      <c r="E593"/>
      <c r="F593"/>
      <c r="G593"/>
      <c r="H593"/>
      <c r="I593"/>
      <c r="J593"/>
      <c r="K593"/>
      <c r="L593"/>
      <c r="M593"/>
      <c r="N593"/>
      <c r="O593"/>
      <c r="P593" s="168"/>
      <c r="Q593" s="168"/>
      <c r="R593" s="168"/>
      <c r="S593" s="169"/>
      <c r="T593" s="169"/>
      <c r="U593" s="169"/>
      <c r="V593" s="168"/>
      <c r="W593" s="168"/>
      <c r="X593" s="168"/>
      <c r="Y593" s="170"/>
      <c r="Z593" s="171"/>
      <c r="AA593" s="171"/>
      <c r="AB593" s="171"/>
      <c r="AC593" s="171"/>
      <c r="AD593" s="171"/>
      <c r="AE593" s="168"/>
      <c r="AF593" s="170"/>
      <c r="AG593" s="172"/>
      <c r="AH593"/>
      <c r="AI593"/>
    </row>
    <row r="594" spans="1:35" x14ac:dyDescent="0.35">
      <c r="A594"/>
      <c r="B594"/>
      <c r="C594"/>
      <c r="D594"/>
      <c r="E594"/>
      <c r="F594"/>
      <c r="G594"/>
      <c r="H594"/>
      <c r="I594"/>
      <c r="J594"/>
      <c r="K594"/>
      <c r="L594"/>
      <c r="M594"/>
      <c r="N594"/>
      <c r="O594"/>
      <c r="P594" s="168"/>
      <c r="Q594" s="168"/>
      <c r="R594" s="168"/>
      <c r="S594" s="169"/>
      <c r="T594" s="169"/>
      <c r="U594" s="169"/>
      <c r="V594" s="168"/>
      <c r="W594" s="168"/>
      <c r="X594" s="168"/>
      <c r="Y594" s="170"/>
      <c r="Z594" s="171"/>
      <c r="AA594" s="171"/>
      <c r="AB594" s="171"/>
      <c r="AC594" s="171"/>
      <c r="AD594" s="171"/>
      <c r="AE594" s="168"/>
      <c r="AF594" s="170"/>
      <c r="AG594" s="172"/>
      <c r="AH594"/>
      <c r="AI594"/>
    </row>
    <row r="595" spans="1:35" x14ac:dyDescent="0.35">
      <c r="A595"/>
      <c r="B595"/>
      <c r="C595"/>
      <c r="D595"/>
      <c r="E595"/>
      <c r="F595"/>
      <c r="G595"/>
      <c r="H595"/>
      <c r="I595"/>
      <c r="J595"/>
      <c r="K595"/>
      <c r="L595"/>
      <c r="M595"/>
      <c r="N595"/>
      <c r="O595"/>
      <c r="P595" s="168"/>
      <c r="Q595" s="168"/>
      <c r="R595" s="168"/>
      <c r="S595" s="169"/>
      <c r="T595" s="169"/>
      <c r="U595" s="169"/>
      <c r="V595" s="168"/>
      <c r="W595" s="168"/>
      <c r="X595" s="168"/>
      <c r="Y595" s="170"/>
      <c r="Z595" s="171"/>
      <c r="AA595" s="171"/>
      <c r="AB595" s="171"/>
      <c r="AC595" s="171"/>
      <c r="AD595" s="171"/>
      <c r="AE595" s="168"/>
      <c r="AF595" s="170"/>
      <c r="AG595" s="172"/>
      <c r="AH595"/>
      <c r="AI595"/>
    </row>
    <row r="596" spans="1:35" x14ac:dyDescent="0.35">
      <c r="A596"/>
      <c r="B596"/>
      <c r="C596"/>
      <c r="D596"/>
      <c r="E596"/>
      <c r="F596"/>
      <c r="G596"/>
      <c r="H596"/>
      <c r="I596"/>
      <c r="J596"/>
      <c r="K596"/>
      <c r="L596"/>
      <c r="M596"/>
      <c r="N596"/>
      <c r="O596"/>
      <c r="P596" s="168"/>
      <c r="Q596" s="168"/>
      <c r="R596" s="168"/>
      <c r="S596" s="169"/>
      <c r="T596" s="169"/>
      <c r="U596" s="169"/>
      <c r="V596" s="168"/>
      <c r="W596" s="168"/>
      <c r="X596" s="168"/>
      <c r="Y596" s="170"/>
      <c r="Z596" s="171"/>
      <c r="AA596" s="171"/>
      <c r="AB596" s="171"/>
      <c r="AC596" s="171"/>
      <c r="AD596" s="171"/>
      <c r="AE596" s="168"/>
      <c r="AF596" s="170"/>
      <c r="AG596" s="172"/>
      <c r="AH596"/>
      <c r="AI596"/>
    </row>
    <row r="597" spans="1:35" x14ac:dyDescent="0.35">
      <c r="A597"/>
      <c r="B597"/>
      <c r="C597"/>
      <c r="D597"/>
      <c r="E597"/>
      <c r="F597"/>
      <c r="G597"/>
      <c r="H597"/>
      <c r="I597"/>
      <c r="J597"/>
      <c r="K597"/>
      <c r="L597"/>
      <c r="M597"/>
      <c r="N597"/>
      <c r="O597"/>
      <c r="P597" s="168"/>
      <c r="Q597" s="168"/>
      <c r="R597" s="168"/>
      <c r="S597" s="169"/>
      <c r="T597" s="169"/>
      <c r="U597" s="169"/>
      <c r="V597" s="168"/>
      <c r="W597" s="168"/>
      <c r="X597" s="168"/>
      <c r="Y597" s="170"/>
      <c r="Z597" s="171"/>
      <c r="AA597" s="171"/>
      <c r="AB597" s="171"/>
      <c r="AC597" s="171"/>
      <c r="AD597" s="171"/>
      <c r="AE597" s="168"/>
      <c r="AF597" s="170"/>
      <c r="AG597" s="172"/>
      <c r="AH597"/>
      <c r="AI597"/>
    </row>
    <row r="598" spans="1:35" x14ac:dyDescent="0.35">
      <c r="A598"/>
      <c r="B598"/>
      <c r="C598"/>
      <c r="D598"/>
      <c r="E598"/>
      <c r="F598"/>
      <c r="G598"/>
      <c r="H598"/>
      <c r="I598"/>
      <c r="J598"/>
      <c r="K598"/>
      <c r="L598"/>
      <c r="M598"/>
      <c r="N598"/>
      <c r="O598"/>
      <c r="P598" s="168"/>
      <c r="Q598" s="168"/>
      <c r="R598" s="168"/>
      <c r="S598" s="169"/>
      <c r="T598" s="169"/>
      <c r="U598" s="169"/>
      <c r="V598" s="168"/>
      <c r="W598" s="168"/>
      <c r="X598" s="168"/>
      <c r="Y598" s="170"/>
      <c r="Z598" s="171"/>
      <c r="AA598" s="171"/>
      <c r="AB598" s="171"/>
      <c r="AC598" s="171"/>
      <c r="AD598" s="171"/>
      <c r="AE598" s="168"/>
      <c r="AF598" s="170"/>
      <c r="AG598" s="172"/>
      <c r="AH598"/>
      <c r="AI598"/>
    </row>
    <row r="599" spans="1:35" x14ac:dyDescent="0.35">
      <c r="A599"/>
      <c r="B599"/>
      <c r="C599"/>
      <c r="D599"/>
      <c r="E599"/>
      <c r="F599"/>
      <c r="G599"/>
      <c r="H599"/>
      <c r="I599"/>
      <c r="J599"/>
      <c r="K599"/>
      <c r="L599"/>
      <c r="M599"/>
      <c r="N599"/>
      <c r="O599"/>
      <c r="P599" s="168"/>
      <c r="Q599" s="168"/>
      <c r="R599" s="168"/>
      <c r="S599" s="169"/>
      <c r="T599" s="169"/>
      <c r="U599" s="169"/>
      <c r="V599" s="168"/>
      <c r="W599" s="168"/>
      <c r="X599" s="168"/>
      <c r="Y599" s="170"/>
      <c r="Z599" s="171"/>
      <c r="AA599" s="171"/>
      <c r="AB599" s="171"/>
      <c r="AC599" s="171"/>
      <c r="AD599" s="171"/>
      <c r="AE599" s="168"/>
      <c r="AF599" s="170"/>
      <c r="AG599" s="172"/>
      <c r="AH599"/>
      <c r="AI599"/>
    </row>
    <row r="600" spans="1:35" x14ac:dyDescent="0.35">
      <c r="A600"/>
      <c r="B600"/>
      <c r="C600"/>
      <c r="D600"/>
      <c r="E600"/>
      <c r="F600"/>
      <c r="G600"/>
      <c r="H600"/>
      <c r="I600"/>
      <c r="J600"/>
      <c r="K600"/>
      <c r="L600"/>
      <c r="M600"/>
      <c r="N600"/>
      <c r="O600"/>
      <c r="P600" s="168"/>
      <c r="Q600" s="168"/>
      <c r="R600" s="168"/>
      <c r="S600" s="169"/>
      <c r="T600" s="169"/>
      <c r="U600" s="169"/>
      <c r="V600" s="168"/>
      <c r="W600" s="168"/>
      <c r="X600" s="168"/>
      <c r="Y600" s="170"/>
      <c r="Z600" s="171"/>
      <c r="AA600" s="171"/>
      <c r="AB600" s="171"/>
      <c r="AC600" s="171"/>
      <c r="AD600" s="171"/>
      <c r="AE600" s="168"/>
      <c r="AF600" s="170"/>
      <c r="AG600" s="172"/>
      <c r="AH600"/>
      <c r="AI600"/>
    </row>
    <row r="601" spans="1:35" x14ac:dyDescent="0.35">
      <c r="A601"/>
      <c r="B601"/>
      <c r="C601"/>
      <c r="D601"/>
      <c r="E601"/>
      <c r="F601"/>
      <c r="G601"/>
      <c r="H601"/>
      <c r="I601"/>
      <c r="J601"/>
      <c r="K601"/>
      <c r="L601"/>
      <c r="M601"/>
      <c r="N601"/>
      <c r="O601"/>
      <c r="P601" s="168"/>
      <c r="Q601" s="168"/>
      <c r="R601" s="168"/>
      <c r="S601" s="169"/>
      <c r="T601" s="169"/>
      <c r="U601" s="169"/>
      <c r="V601" s="168"/>
      <c r="W601" s="168"/>
      <c r="X601" s="168"/>
      <c r="Y601" s="170"/>
      <c r="Z601" s="171"/>
      <c r="AA601" s="171"/>
      <c r="AB601" s="171"/>
      <c r="AC601" s="171"/>
      <c r="AD601" s="171"/>
      <c r="AE601" s="168"/>
      <c r="AF601" s="170"/>
      <c r="AG601" s="172"/>
      <c r="AH601"/>
      <c r="AI601"/>
    </row>
    <row r="602" spans="1:35" x14ac:dyDescent="0.35">
      <c r="A602"/>
      <c r="B602"/>
      <c r="C602"/>
      <c r="D602"/>
      <c r="E602"/>
      <c r="F602"/>
      <c r="G602"/>
      <c r="H602"/>
      <c r="I602"/>
      <c r="J602"/>
      <c r="K602"/>
      <c r="L602"/>
      <c r="M602"/>
      <c r="N602"/>
      <c r="O602"/>
      <c r="P602" s="168"/>
      <c r="Q602" s="168"/>
      <c r="R602" s="168"/>
      <c r="S602" s="169"/>
      <c r="T602" s="169"/>
      <c r="U602" s="169"/>
      <c r="V602" s="168"/>
      <c r="W602" s="168"/>
      <c r="X602" s="168"/>
      <c r="AH602"/>
      <c r="AI602"/>
    </row>
    <row r="603" spans="1:35" x14ac:dyDescent="0.35">
      <c r="A603"/>
      <c r="B603"/>
      <c r="C603"/>
      <c r="D603"/>
      <c r="E603"/>
      <c r="F603"/>
      <c r="G603"/>
      <c r="H603"/>
      <c r="I603"/>
      <c r="J603"/>
      <c r="K603"/>
      <c r="L603"/>
      <c r="M603"/>
      <c r="N603"/>
      <c r="O603"/>
      <c r="P603" s="168"/>
      <c r="Q603" s="168"/>
      <c r="R603" s="168"/>
      <c r="S603" s="169"/>
      <c r="T603" s="169"/>
      <c r="U603" s="169"/>
      <c r="V603" s="168"/>
      <c r="W603" s="168"/>
      <c r="X603" s="168"/>
      <c r="AH603"/>
      <c r="AI603"/>
    </row>
    <row r="604" spans="1:35" x14ac:dyDescent="0.35">
      <c r="A604"/>
      <c r="B604"/>
      <c r="C604"/>
      <c r="D604"/>
      <c r="E604"/>
      <c r="F604"/>
      <c r="G604"/>
      <c r="H604"/>
      <c r="I604"/>
      <c r="J604"/>
      <c r="K604"/>
      <c r="L604"/>
      <c r="M604"/>
      <c r="N604"/>
      <c r="O604"/>
      <c r="P604" s="168"/>
      <c r="Q604" s="168"/>
      <c r="R604" s="168"/>
      <c r="S604" s="169"/>
      <c r="T604" s="169"/>
      <c r="U604" s="169"/>
      <c r="V604" s="168"/>
      <c r="W604" s="168"/>
      <c r="X604" s="168"/>
      <c r="AH604"/>
      <c r="AI604"/>
    </row>
    <row r="605" spans="1:35" x14ac:dyDescent="0.35">
      <c r="A605"/>
      <c r="B605"/>
      <c r="C605"/>
      <c r="D605"/>
      <c r="E605"/>
      <c r="F605"/>
      <c r="G605"/>
      <c r="H605"/>
      <c r="I605"/>
      <c r="J605"/>
      <c r="K605"/>
      <c r="L605"/>
      <c r="M605"/>
      <c r="N605"/>
      <c r="O605"/>
      <c r="P605" s="168"/>
      <c r="Q605" s="168"/>
      <c r="R605" s="168"/>
      <c r="S605" s="169"/>
      <c r="T605" s="169"/>
      <c r="U605" s="169"/>
      <c r="V605" s="168"/>
      <c r="W605" s="168"/>
      <c r="X605" s="168"/>
      <c r="AH605"/>
      <c r="AI605"/>
    </row>
    <row r="606" spans="1:35" x14ac:dyDescent="0.35">
      <c r="A606"/>
      <c r="B606"/>
      <c r="C606"/>
      <c r="D606"/>
      <c r="E606"/>
      <c r="F606"/>
      <c r="G606"/>
      <c r="H606"/>
      <c r="I606"/>
      <c r="J606"/>
      <c r="K606"/>
      <c r="L606"/>
      <c r="M606"/>
      <c r="N606"/>
      <c r="O606"/>
      <c r="P606" s="168"/>
      <c r="Q606" s="168"/>
      <c r="R606" s="168"/>
      <c r="S606" s="169"/>
      <c r="T606" s="169"/>
      <c r="U606" s="169"/>
      <c r="V606" s="168"/>
      <c r="W606" s="168"/>
      <c r="X606" s="168"/>
      <c r="AH606"/>
      <c r="AI606"/>
    </row>
    <row r="607" spans="1:35" x14ac:dyDescent="0.35">
      <c r="A607"/>
      <c r="B607"/>
      <c r="C607"/>
      <c r="D607"/>
      <c r="E607"/>
      <c r="F607"/>
      <c r="G607"/>
      <c r="H607"/>
      <c r="I607"/>
      <c r="J607"/>
      <c r="K607"/>
      <c r="L607"/>
      <c r="M607"/>
      <c r="N607"/>
      <c r="O607"/>
      <c r="P607" s="168"/>
      <c r="Q607" s="168"/>
      <c r="R607" s="168"/>
      <c r="S607" s="169"/>
      <c r="T607" s="169"/>
      <c r="U607" s="169"/>
      <c r="V607" s="168"/>
      <c r="W607" s="168"/>
      <c r="X607" s="168"/>
      <c r="AH607"/>
      <c r="AI607"/>
    </row>
    <row r="608" spans="1:35" x14ac:dyDescent="0.35">
      <c r="A608"/>
      <c r="B608"/>
      <c r="C608"/>
      <c r="D608"/>
      <c r="E608"/>
      <c r="F608"/>
      <c r="G608"/>
      <c r="H608"/>
      <c r="I608"/>
      <c r="J608"/>
      <c r="K608"/>
      <c r="L608"/>
      <c r="M608"/>
      <c r="N608"/>
      <c r="O608"/>
      <c r="P608" s="168"/>
      <c r="Q608" s="168"/>
      <c r="R608" s="168"/>
      <c r="S608" s="169"/>
      <c r="T608" s="169"/>
      <c r="U608" s="169"/>
      <c r="V608" s="168"/>
      <c r="W608" s="168"/>
      <c r="X608" s="168"/>
      <c r="AH608"/>
      <c r="AI608"/>
    </row>
    <row r="609" spans="1:35" x14ac:dyDescent="0.35">
      <c r="A609"/>
      <c r="B609"/>
      <c r="C609"/>
      <c r="D609"/>
      <c r="E609"/>
      <c r="F609"/>
      <c r="G609"/>
      <c r="H609"/>
      <c r="I609"/>
      <c r="J609"/>
      <c r="K609"/>
      <c r="L609"/>
      <c r="M609"/>
      <c r="N609"/>
      <c r="O609"/>
      <c r="P609" s="168"/>
      <c r="Q609" s="168"/>
      <c r="R609" s="168"/>
      <c r="S609" s="169"/>
      <c r="T609" s="169"/>
      <c r="U609" s="169"/>
      <c r="V609" s="168"/>
      <c r="W609" s="168"/>
      <c r="X609" s="168"/>
      <c r="AH609"/>
      <c r="AI609"/>
    </row>
    <row r="610" spans="1:35" x14ac:dyDescent="0.35">
      <c r="A610"/>
      <c r="B610"/>
      <c r="C610"/>
      <c r="D610"/>
      <c r="E610"/>
      <c r="F610"/>
      <c r="G610"/>
      <c r="H610"/>
      <c r="I610"/>
      <c r="J610"/>
      <c r="K610"/>
      <c r="L610"/>
      <c r="M610"/>
      <c r="N610"/>
      <c r="O610"/>
      <c r="P610" s="168"/>
      <c r="Q610" s="168"/>
      <c r="R610" s="168"/>
      <c r="S610" s="169"/>
      <c r="T610" s="169"/>
      <c r="U610" s="169"/>
      <c r="V610" s="168"/>
      <c r="W610" s="168"/>
      <c r="X610" s="168"/>
      <c r="Y610"/>
      <c r="Z610"/>
      <c r="AA610"/>
      <c r="AB610"/>
      <c r="AC610"/>
      <c r="AD610"/>
      <c r="AE610"/>
      <c r="AF610"/>
      <c r="AG610"/>
      <c r="AH610"/>
      <c r="AI610"/>
    </row>
    <row r="611" spans="1:35" x14ac:dyDescent="0.35">
      <c r="A611"/>
      <c r="B611"/>
      <c r="C611"/>
      <c r="D611"/>
      <c r="E611"/>
      <c r="F611"/>
      <c r="G611"/>
      <c r="H611"/>
      <c r="I611"/>
      <c r="J611"/>
      <c r="K611"/>
      <c r="L611"/>
      <c r="M611"/>
      <c r="N611"/>
      <c r="O611"/>
      <c r="P611" s="168"/>
      <c r="Q611" s="168"/>
      <c r="R611" s="168"/>
      <c r="S611" s="169"/>
      <c r="T611" s="169"/>
      <c r="U611" s="169"/>
      <c r="V611" s="168"/>
      <c r="W611" s="168"/>
      <c r="X611" s="168"/>
      <c r="Y611"/>
      <c r="Z611"/>
      <c r="AA611"/>
      <c r="AB611"/>
      <c r="AC611"/>
      <c r="AD611"/>
      <c r="AE611"/>
      <c r="AF611"/>
      <c r="AG611"/>
      <c r="AH611"/>
      <c r="AI611"/>
    </row>
    <row r="612" spans="1:35" x14ac:dyDescent="0.35">
      <c r="A612"/>
      <c r="B612"/>
      <c r="C612"/>
      <c r="D612"/>
      <c r="E612"/>
      <c r="F612"/>
      <c r="G612"/>
      <c r="H612"/>
      <c r="I612"/>
      <c r="J612"/>
      <c r="K612"/>
      <c r="L612"/>
      <c r="M612"/>
      <c r="N612"/>
      <c r="O612"/>
      <c r="P612" s="168"/>
      <c r="Q612" s="168"/>
      <c r="R612" s="168"/>
      <c r="S612" s="169"/>
      <c r="T612" s="169"/>
      <c r="U612" s="169"/>
      <c r="V612" s="168"/>
      <c r="W612" s="168"/>
      <c r="X612" s="168"/>
      <c r="Y612"/>
      <c r="Z612"/>
      <c r="AA612"/>
      <c r="AB612"/>
      <c r="AC612"/>
      <c r="AD612"/>
      <c r="AE612"/>
      <c r="AF612"/>
      <c r="AG612"/>
      <c r="AH612"/>
      <c r="AI612"/>
    </row>
    <row r="613" spans="1:35" x14ac:dyDescent="0.35">
      <c r="A613"/>
      <c r="B613"/>
      <c r="C613"/>
      <c r="D613"/>
      <c r="E613"/>
      <c r="F613"/>
      <c r="G613"/>
      <c r="H613"/>
      <c r="I613"/>
      <c r="J613"/>
      <c r="K613"/>
      <c r="L613"/>
      <c r="M613"/>
      <c r="N613"/>
      <c r="O613"/>
      <c r="P613" s="168"/>
      <c r="Q613" s="168"/>
      <c r="R613" s="168"/>
      <c r="S613" s="169"/>
      <c r="T613" s="169"/>
      <c r="U613" s="169"/>
      <c r="V613" s="168"/>
      <c r="W613" s="168"/>
      <c r="X613" s="168"/>
      <c r="Y613"/>
      <c r="Z613"/>
      <c r="AA613"/>
      <c r="AB613"/>
      <c r="AC613"/>
      <c r="AD613"/>
      <c r="AE613"/>
      <c r="AF613"/>
      <c r="AG613"/>
      <c r="AH613"/>
      <c r="AI613"/>
    </row>
    <row r="614" spans="1:35" x14ac:dyDescent="0.35">
      <c r="A614"/>
      <c r="B614"/>
      <c r="C614"/>
      <c r="D614"/>
      <c r="E614"/>
      <c r="F614"/>
      <c r="G614"/>
      <c r="H614"/>
      <c r="I614"/>
      <c r="J614"/>
      <c r="K614"/>
      <c r="L614"/>
      <c r="M614"/>
      <c r="N614"/>
      <c r="O614"/>
      <c r="P614" s="168"/>
      <c r="Q614" s="168"/>
      <c r="R614" s="168"/>
      <c r="S614" s="169"/>
      <c r="T614" s="169"/>
      <c r="U614" s="169"/>
      <c r="V614" s="168"/>
      <c r="W614" s="168"/>
      <c r="X614" s="168"/>
      <c r="Y614"/>
      <c r="Z614"/>
      <c r="AA614"/>
      <c r="AB614"/>
      <c r="AC614"/>
      <c r="AD614"/>
      <c r="AE614"/>
      <c r="AF614"/>
      <c r="AG614"/>
      <c r="AH614"/>
      <c r="AI614"/>
    </row>
    <row r="615" spans="1:35" x14ac:dyDescent="0.35">
      <c r="A615"/>
      <c r="B615"/>
      <c r="C615"/>
      <c r="D615"/>
      <c r="E615"/>
      <c r="F615"/>
      <c r="G615"/>
      <c r="H615"/>
      <c r="I615"/>
      <c r="J615"/>
      <c r="K615"/>
      <c r="L615"/>
      <c r="M615"/>
      <c r="N615"/>
      <c r="O615"/>
      <c r="P615" s="168"/>
      <c r="Q615" s="168"/>
      <c r="R615" s="168"/>
      <c r="S615" s="169"/>
      <c r="T615" s="169"/>
      <c r="U615" s="169"/>
      <c r="V615" s="168"/>
      <c r="W615" s="168"/>
      <c r="X615" s="168"/>
      <c r="Y615"/>
      <c r="Z615"/>
      <c r="AA615"/>
      <c r="AB615"/>
      <c r="AC615"/>
      <c r="AD615"/>
      <c r="AE615"/>
      <c r="AF615"/>
      <c r="AG615"/>
      <c r="AH615"/>
      <c r="AI615"/>
    </row>
    <row r="616" spans="1:35" x14ac:dyDescent="0.35">
      <c r="A616"/>
      <c r="B616"/>
      <c r="C616"/>
      <c r="D616"/>
      <c r="E616"/>
      <c r="F616"/>
      <c r="G616"/>
      <c r="H616"/>
      <c r="I616"/>
      <c r="J616"/>
      <c r="K616"/>
      <c r="L616"/>
      <c r="M616"/>
      <c r="N616"/>
      <c r="O616"/>
      <c r="P616" s="168"/>
      <c r="Q616" s="168"/>
      <c r="R616" s="168"/>
      <c r="S616" s="169"/>
      <c r="T616" s="169"/>
      <c r="U616" s="169"/>
      <c r="V616" s="168"/>
      <c r="W616" s="168"/>
      <c r="X616" s="168"/>
      <c r="Y616"/>
      <c r="Z616"/>
      <c r="AA616"/>
      <c r="AB616"/>
      <c r="AC616"/>
      <c r="AD616"/>
      <c r="AE616"/>
      <c r="AF616"/>
      <c r="AG616"/>
      <c r="AH616"/>
      <c r="AI616"/>
    </row>
    <row r="617" spans="1:35" x14ac:dyDescent="0.35">
      <c r="A617"/>
      <c r="B617"/>
      <c r="C617"/>
      <c r="D617"/>
      <c r="E617"/>
      <c r="F617"/>
      <c r="G617"/>
      <c r="H617"/>
      <c r="I617"/>
      <c r="J617"/>
      <c r="K617"/>
      <c r="L617"/>
      <c r="M617"/>
      <c r="N617"/>
      <c r="O617"/>
      <c r="P617" s="168"/>
      <c r="Q617" s="168"/>
      <c r="R617" s="168"/>
      <c r="S617" s="169"/>
      <c r="T617" s="169"/>
      <c r="U617" s="169"/>
      <c r="V617" s="168"/>
      <c r="W617" s="168"/>
      <c r="X617" s="168"/>
      <c r="Y617"/>
      <c r="Z617"/>
      <c r="AA617"/>
      <c r="AB617"/>
      <c r="AC617"/>
      <c r="AD617"/>
      <c r="AE617"/>
      <c r="AF617"/>
      <c r="AG617"/>
      <c r="AH617"/>
      <c r="AI617"/>
    </row>
    <row r="618" spans="1:35" x14ac:dyDescent="0.35">
      <c r="A618"/>
      <c r="B618"/>
      <c r="C618"/>
      <c r="D618"/>
      <c r="E618"/>
      <c r="F618"/>
      <c r="G618"/>
      <c r="H618"/>
      <c r="I618"/>
      <c r="J618"/>
      <c r="K618"/>
      <c r="L618"/>
      <c r="M618"/>
      <c r="N618"/>
      <c r="O618"/>
      <c r="P618" s="168"/>
      <c r="Q618" s="168"/>
      <c r="R618" s="168"/>
      <c r="S618" s="169"/>
      <c r="T618" s="169"/>
      <c r="U618" s="169"/>
      <c r="V618" s="168"/>
      <c r="W618" s="168"/>
      <c r="X618" s="168"/>
      <c r="Y618"/>
      <c r="Z618"/>
      <c r="AA618"/>
      <c r="AB618"/>
      <c r="AC618"/>
      <c r="AD618"/>
      <c r="AE618"/>
      <c r="AF618"/>
      <c r="AG618"/>
      <c r="AH618"/>
      <c r="AI618"/>
    </row>
    <row r="619" spans="1:35" x14ac:dyDescent="0.35">
      <c r="A619"/>
      <c r="B619"/>
      <c r="C619"/>
      <c r="D619"/>
      <c r="E619"/>
      <c r="F619"/>
      <c r="G619"/>
      <c r="H619"/>
      <c r="I619"/>
      <c r="J619"/>
      <c r="K619"/>
      <c r="L619"/>
      <c r="M619"/>
      <c r="N619"/>
      <c r="O619"/>
      <c r="P619" s="168"/>
      <c r="Q619" s="168"/>
      <c r="R619" s="168"/>
      <c r="S619" s="169"/>
      <c r="T619" s="169"/>
      <c r="U619" s="169"/>
      <c r="V619" s="168"/>
      <c r="W619" s="168"/>
      <c r="X619" s="168"/>
      <c r="Y619"/>
      <c r="Z619"/>
      <c r="AA619"/>
      <c r="AB619"/>
      <c r="AC619"/>
      <c r="AD619"/>
      <c r="AE619"/>
      <c r="AF619"/>
      <c r="AG619"/>
      <c r="AH619"/>
      <c r="AI619"/>
    </row>
    <row r="620" spans="1:35" x14ac:dyDescent="0.35">
      <c r="A620"/>
      <c r="B620"/>
      <c r="C620"/>
      <c r="D620"/>
      <c r="E620"/>
      <c r="F620"/>
      <c r="G620"/>
      <c r="H620"/>
      <c r="I620"/>
      <c r="J620"/>
      <c r="K620"/>
      <c r="L620"/>
      <c r="M620"/>
      <c r="N620"/>
      <c r="O620"/>
      <c r="P620" s="168"/>
      <c r="Q620" s="168"/>
      <c r="R620" s="168"/>
      <c r="S620" s="169"/>
      <c r="T620" s="169"/>
      <c r="U620" s="169"/>
      <c r="V620" s="168"/>
      <c r="W620" s="168"/>
      <c r="X620" s="168"/>
      <c r="Y620"/>
      <c r="Z620"/>
      <c r="AA620"/>
      <c r="AB620"/>
      <c r="AC620"/>
      <c r="AD620"/>
      <c r="AE620"/>
      <c r="AF620"/>
      <c r="AG620"/>
      <c r="AH620"/>
      <c r="AI620"/>
    </row>
    <row r="621" spans="1:35" x14ac:dyDescent="0.35">
      <c r="A621"/>
      <c r="B621"/>
      <c r="C621"/>
      <c r="D621"/>
      <c r="E621"/>
      <c r="F621"/>
      <c r="G621"/>
      <c r="H621"/>
      <c r="I621"/>
      <c r="J621"/>
      <c r="K621"/>
      <c r="L621"/>
      <c r="M621"/>
      <c r="N621"/>
      <c r="O621"/>
      <c r="P621" s="168"/>
      <c r="Q621" s="168"/>
      <c r="R621" s="168"/>
      <c r="S621" s="169"/>
      <c r="T621" s="169"/>
      <c r="U621" s="169"/>
      <c r="V621" s="168"/>
      <c r="W621" s="168"/>
      <c r="X621" s="168"/>
      <c r="Y621"/>
      <c r="Z621"/>
      <c r="AA621"/>
      <c r="AB621"/>
      <c r="AC621"/>
      <c r="AD621"/>
      <c r="AE621"/>
      <c r="AF621"/>
      <c r="AG621"/>
      <c r="AH621"/>
      <c r="AI621"/>
    </row>
    <row r="622" spans="1:35" x14ac:dyDescent="0.35">
      <c r="A622"/>
      <c r="B622"/>
      <c r="C622"/>
      <c r="D622"/>
      <c r="E622"/>
      <c r="F622"/>
      <c r="G622"/>
      <c r="H622"/>
      <c r="I622"/>
      <c r="J622"/>
      <c r="K622"/>
      <c r="L622"/>
      <c r="M622"/>
      <c r="N622"/>
      <c r="O622"/>
      <c r="P622" s="168"/>
      <c r="Q622" s="168"/>
      <c r="R622" s="168"/>
      <c r="S622" s="169"/>
      <c r="T622" s="169"/>
      <c r="U622" s="169"/>
      <c r="V622" s="168"/>
      <c r="W622" s="168"/>
      <c r="X622" s="168"/>
      <c r="Y622"/>
      <c r="Z622"/>
      <c r="AA622"/>
      <c r="AB622"/>
      <c r="AC622"/>
      <c r="AD622"/>
      <c r="AE622"/>
      <c r="AF622"/>
      <c r="AG622"/>
      <c r="AH622"/>
      <c r="AI622"/>
    </row>
    <row r="623" spans="1:35" x14ac:dyDescent="0.35">
      <c r="A623"/>
      <c r="B623"/>
      <c r="C623"/>
      <c r="D623"/>
      <c r="E623"/>
      <c r="F623"/>
      <c r="G623"/>
      <c r="H623"/>
      <c r="I623"/>
      <c r="J623"/>
      <c r="K623"/>
      <c r="L623"/>
      <c r="M623"/>
      <c r="N623"/>
      <c r="O623"/>
      <c r="P623" s="168"/>
      <c r="Q623" s="168"/>
      <c r="R623" s="168"/>
      <c r="S623" s="169"/>
      <c r="T623" s="169"/>
      <c r="U623" s="169"/>
      <c r="V623" s="168"/>
      <c r="W623" s="168"/>
      <c r="X623" s="168"/>
      <c r="Y623"/>
      <c r="Z623"/>
      <c r="AA623"/>
      <c r="AB623"/>
      <c r="AC623"/>
      <c r="AD623"/>
      <c r="AE623"/>
      <c r="AF623"/>
      <c r="AG623"/>
      <c r="AH623"/>
      <c r="AI623"/>
    </row>
    <row r="624" spans="1:35" x14ac:dyDescent="0.35">
      <c r="A624"/>
      <c r="B624"/>
      <c r="C624"/>
      <c r="D624"/>
      <c r="E624"/>
      <c r="F624"/>
      <c r="G624"/>
      <c r="H624"/>
      <c r="I624"/>
      <c r="J624"/>
      <c r="K624"/>
      <c r="L624"/>
      <c r="M624"/>
      <c r="N624"/>
      <c r="O624"/>
      <c r="P624" s="168"/>
      <c r="Q624" s="168"/>
      <c r="R624" s="168"/>
      <c r="S624" s="169"/>
      <c r="T624" s="169"/>
      <c r="U624" s="169"/>
      <c r="V624" s="168"/>
      <c r="W624" s="168"/>
      <c r="X624" s="168"/>
      <c r="Y624"/>
      <c r="Z624"/>
      <c r="AA624"/>
      <c r="AB624"/>
      <c r="AC624"/>
      <c r="AD624"/>
      <c r="AE624"/>
      <c r="AF624"/>
      <c r="AG624"/>
      <c r="AH624"/>
      <c r="AI624"/>
    </row>
    <row r="625" spans="16:24" customFormat="1" x14ac:dyDescent="0.35">
      <c r="P625" s="168"/>
      <c r="Q625" s="168"/>
      <c r="R625" s="168"/>
      <c r="S625" s="169"/>
      <c r="T625" s="169"/>
      <c r="U625" s="169"/>
      <c r="V625" s="168"/>
      <c r="W625" s="168"/>
      <c r="X625" s="168"/>
    </row>
    <row r="626" spans="16:24" customFormat="1" x14ac:dyDescent="0.35">
      <c r="P626" s="168"/>
      <c r="Q626" s="168"/>
      <c r="R626" s="168"/>
      <c r="S626" s="169"/>
      <c r="T626" s="169"/>
      <c r="U626" s="169"/>
      <c r="V626" s="168"/>
      <c r="W626" s="168"/>
      <c r="X626" s="168"/>
    </row>
    <row r="627" spans="16:24" customFormat="1" x14ac:dyDescent="0.35">
      <c r="P627" s="168"/>
      <c r="Q627" s="168"/>
      <c r="R627" s="168"/>
      <c r="S627" s="169"/>
      <c r="T627" s="169"/>
      <c r="U627" s="169"/>
      <c r="V627" s="168"/>
      <c r="W627" s="168"/>
      <c r="X627" s="168"/>
    </row>
    <row r="628" spans="16:24" customFormat="1" x14ac:dyDescent="0.35">
      <c r="P628" s="168"/>
      <c r="Q628" s="168"/>
      <c r="R628" s="168"/>
      <c r="S628" s="169"/>
      <c r="T628" s="169"/>
      <c r="U628" s="169"/>
      <c r="V628" s="168"/>
      <c r="W628" s="168"/>
      <c r="X628" s="168"/>
    </row>
    <row r="629" spans="16:24" customFormat="1" x14ac:dyDescent="0.35">
      <c r="P629" s="168"/>
      <c r="Q629" s="168"/>
      <c r="R629" s="168"/>
      <c r="S629" s="169"/>
      <c r="T629" s="169"/>
      <c r="U629" s="169"/>
      <c r="V629" s="168"/>
      <c r="W629" s="168"/>
      <c r="X629" s="168"/>
    </row>
    <row r="630" spans="16:24" customFormat="1" x14ac:dyDescent="0.35">
      <c r="P630" s="168"/>
      <c r="Q630" s="168"/>
      <c r="R630" s="168"/>
      <c r="S630" s="169"/>
      <c r="T630" s="169"/>
      <c r="U630" s="169"/>
      <c r="V630" s="168"/>
      <c r="W630" s="168"/>
      <c r="X630" s="168"/>
    </row>
    <row r="631" spans="16:24" customFormat="1" x14ac:dyDescent="0.35">
      <c r="P631" s="168"/>
      <c r="Q631" s="168"/>
      <c r="R631" s="168"/>
      <c r="S631" s="169"/>
      <c r="T631" s="169"/>
      <c r="U631" s="169"/>
      <c r="V631" s="168"/>
      <c r="W631" s="168"/>
      <c r="X631" s="168"/>
    </row>
    <row r="632" spans="16:24" customFormat="1" x14ac:dyDescent="0.35">
      <c r="P632" s="168"/>
      <c r="Q632" s="168"/>
      <c r="R632" s="168"/>
      <c r="S632" s="169"/>
      <c r="T632" s="169"/>
      <c r="U632" s="169"/>
      <c r="V632" s="168"/>
      <c r="W632" s="168"/>
      <c r="X632" s="168"/>
    </row>
    <row r="633" spans="16:24" customFormat="1" x14ac:dyDescent="0.35">
      <c r="P633" s="168"/>
      <c r="Q633" s="168"/>
      <c r="R633" s="168"/>
      <c r="S633" s="169"/>
      <c r="T633" s="169"/>
      <c r="U633" s="169"/>
      <c r="V633" s="168"/>
      <c r="W633" s="168"/>
      <c r="X633" s="168"/>
    </row>
    <row r="634" spans="16:24" customFormat="1" x14ac:dyDescent="0.35">
      <c r="P634" s="168"/>
      <c r="Q634" s="168"/>
      <c r="R634" s="168"/>
      <c r="S634" s="169"/>
      <c r="T634" s="169"/>
      <c r="U634" s="169"/>
      <c r="V634" s="168"/>
      <c r="W634" s="168"/>
      <c r="X634" s="168"/>
    </row>
    <row r="635" spans="16:24" customFormat="1" x14ac:dyDescent="0.35">
      <c r="P635" s="168"/>
      <c r="Q635" s="168"/>
      <c r="R635" s="168"/>
      <c r="S635" s="169"/>
      <c r="T635" s="169"/>
      <c r="U635" s="169"/>
      <c r="V635" s="168"/>
      <c r="W635" s="168"/>
      <c r="X635" s="168"/>
    </row>
    <row r="636" spans="16:24" customFormat="1" x14ac:dyDescent="0.35">
      <c r="P636" s="168"/>
      <c r="Q636" s="168"/>
      <c r="R636" s="168"/>
      <c r="S636" s="169"/>
      <c r="T636" s="169"/>
      <c r="U636" s="169"/>
      <c r="V636" s="168"/>
      <c r="W636" s="168"/>
      <c r="X636" s="168"/>
    </row>
    <row r="637" spans="16:24" customFormat="1" x14ac:dyDescent="0.35">
      <c r="P637" s="168"/>
      <c r="Q637" s="168"/>
      <c r="R637" s="168"/>
      <c r="S637" s="169"/>
      <c r="T637" s="169"/>
      <c r="U637" s="169"/>
      <c r="V637" s="168"/>
      <c r="W637" s="168"/>
      <c r="X637" s="168"/>
    </row>
    <row r="638" spans="16:24" customFormat="1" x14ac:dyDescent="0.35">
      <c r="P638" s="168"/>
      <c r="Q638" s="168"/>
      <c r="R638" s="168"/>
      <c r="S638" s="169"/>
      <c r="T638" s="169"/>
      <c r="U638" s="169"/>
      <c r="V638" s="168"/>
      <c r="W638" s="168"/>
      <c r="X638" s="168"/>
    </row>
    <row r="639" spans="16:24" customFormat="1" x14ac:dyDescent="0.35">
      <c r="P639" s="168"/>
      <c r="Q639" s="168"/>
      <c r="R639" s="168"/>
      <c r="S639" s="169"/>
      <c r="T639" s="169"/>
      <c r="U639" s="169"/>
      <c r="V639" s="168"/>
      <c r="W639" s="168"/>
      <c r="X639" s="168"/>
    </row>
    <row r="640" spans="16:24" customFormat="1" x14ac:dyDescent="0.35">
      <c r="P640" s="168"/>
      <c r="Q640" s="168"/>
      <c r="R640" s="168"/>
      <c r="S640" s="169"/>
      <c r="T640" s="169"/>
      <c r="U640" s="169"/>
      <c r="V640" s="168"/>
      <c r="W640" s="168"/>
      <c r="X640" s="168"/>
    </row>
    <row r="641" spans="16:24" customFormat="1" x14ac:dyDescent="0.35">
      <c r="P641" s="168"/>
      <c r="Q641" s="168"/>
      <c r="R641" s="168"/>
      <c r="S641" s="169"/>
      <c r="T641" s="169"/>
      <c r="U641" s="169"/>
      <c r="V641" s="168"/>
      <c r="W641" s="168"/>
      <c r="X641" s="168"/>
    </row>
    <row r="642" spans="16:24" customFormat="1" x14ac:dyDescent="0.35">
      <c r="P642" s="168"/>
      <c r="Q642" s="168"/>
      <c r="R642" s="168"/>
      <c r="S642" s="169"/>
      <c r="T642" s="169"/>
      <c r="U642" s="169"/>
      <c r="V642" s="168"/>
      <c r="W642" s="168"/>
      <c r="X642" s="168"/>
    </row>
    <row r="643" spans="16:24" customFormat="1" x14ac:dyDescent="0.35">
      <c r="P643" s="168"/>
      <c r="Q643" s="168"/>
      <c r="R643" s="168"/>
      <c r="S643" s="169"/>
      <c r="T643" s="169"/>
      <c r="U643" s="169"/>
      <c r="V643" s="168"/>
      <c r="W643" s="168"/>
      <c r="X643" s="168"/>
    </row>
    <row r="644" spans="16:24" customFormat="1" x14ac:dyDescent="0.35">
      <c r="P644" s="168"/>
      <c r="Q644" s="168"/>
      <c r="R644" s="168"/>
      <c r="S644" s="169"/>
      <c r="T644" s="169"/>
      <c r="U644" s="169"/>
      <c r="V644" s="168"/>
      <c r="W644" s="168"/>
      <c r="X644" s="168"/>
    </row>
    <row r="645" spans="16:24" customFormat="1" x14ac:dyDescent="0.35">
      <c r="P645" s="168"/>
      <c r="Q645" s="168"/>
      <c r="R645" s="168"/>
      <c r="S645" s="169"/>
      <c r="T645" s="169"/>
      <c r="U645" s="169"/>
      <c r="V645" s="168"/>
      <c r="W645" s="168"/>
      <c r="X645" s="168"/>
    </row>
    <row r="646" spans="16:24" customFormat="1" x14ac:dyDescent="0.35">
      <c r="P646" s="168"/>
      <c r="Q646" s="168"/>
      <c r="R646" s="168"/>
      <c r="S646" s="169"/>
      <c r="T646" s="169"/>
      <c r="U646" s="169"/>
      <c r="V646" s="168"/>
      <c r="W646" s="168"/>
      <c r="X646" s="168"/>
    </row>
    <row r="647" spans="16:24" customFormat="1" x14ac:dyDescent="0.35">
      <c r="P647" s="168"/>
      <c r="Q647" s="168"/>
      <c r="R647" s="168"/>
      <c r="S647" s="169"/>
      <c r="T647" s="169"/>
      <c r="U647" s="169"/>
      <c r="V647" s="168"/>
      <c r="W647" s="168"/>
      <c r="X647" s="168"/>
    </row>
    <row r="648" spans="16:24" customFormat="1" x14ac:dyDescent="0.35">
      <c r="P648" s="168"/>
      <c r="Q648" s="168"/>
      <c r="R648" s="168"/>
      <c r="S648" s="169"/>
      <c r="T648" s="169"/>
      <c r="U648" s="169"/>
      <c r="V648" s="168"/>
      <c r="W648" s="168"/>
      <c r="X648" s="168"/>
    </row>
    <row r="649" spans="16:24" customFormat="1" x14ac:dyDescent="0.35">
      <c r="P649" s="168"/>
      <c r="Q649" s="168"/>
      <c r="R649" s="168"/>
      <c r="S649" s="169"/>
      <c r="T649" s="169"/>
      <c r="U649" s="169"/>
      <c r="V649" s="168"/>
      <c r="W649" s="168"/>
      <c r="X649" s="168"/>
    </row>
    <row r="650" spans="16:24" customFormat="1" x14ac:dyDescent="0.35">
      <c r="P650" s="168"/>
      <c r="Q650" s="168"/>
      <c r="R650" s="168"/>
      <c r="S650" s="169"/>
      <c r="T650" s="169"/>
      <c r="U650" s="169"/>
      <c r="V650" s="168"/>
      <c r="W650" s="168"/>
      <c r="X650" s="168"/>
    </row>
    <row r="651" spans="16:24" customFormat="1" x14ac:dyDescent="0.35">
      <c r="P651" s="168"/>
      <c r="Q651" s="168"/>
      <c r="R651" s="168"/>
      <c r="S651" s="169"/>
      <c r="T651" s="169"/>
      <c r="U651" s="169"/>
      <c r="V651" s="168"/>
      <c r="W651" s="168"/>
      <c r="X651" s="168"/>
    </row>
    <row r="652" spans="16:24" customFormat="1" x14ac:dyDescent="0.35">
      <c r="P652" s="168"/>
      <c r="Q652" s="168"/>
      <c r="R652" s="168"/>
      <c r="S652" s="169"/>
      <c r="T652" s="169"/>
      <c r="U652" s="169"/>
      <c r="V652" s="168"/>
      <c r="W652" s="168"/>
      <c r="X652" s="168"/>
    </row>
    <row r="653" spans="16:24" customFormat="1" x14ac:dyDescent="0.35">
      <c r="P653" s="168"/>
      <c r="Q653" s="168"/>
      <c r="R653" s="168"/>
      <c r="S653" s="169"/>
      <c r="T653" s="169"/>
      <c r="U653" s="169"/>
      <c r="V653" s="168"/>
      <c r="W653" s="168"/>
      <c r="X653" s="168"/>
    </row>
    <row r="654" spans="16:24" customFormat="1" x14ac:dyDescent="0.35">
      <c r="P654" s="168"/>
      <c r="Q654" s="168"/>
      <c r="R654" s="168"/>
      <c r="S654" s="169"/>
      <c r="T654" s="169"/>
      <c r="U654" s="169"/>
      <c r="V654" s="168"/>
      <c r="W654" s="168"/>
      <c r="X654" s="168"/>
    </row>
    <row r="655" spans="16:24" customFormat="1" x14ac:dyDescent="0.35">
      <c r="P655" s="168"/>
      <c r="Q655" s="168"/>
      <c r="R655" s="168"/>
      <c r="S655" s="169"/>
      <c r="T655" s="169"/>
      <c r="U655" s="169"/>
      <c r="V655" s="168"/>
      <c r="W655" s="168"/>
      <c r="X655" s="168"/>
    </row>
    <row r="656" spans="16:24" customFormat="1" x14ac:dyDescent="0.35">
      <c r="P656" s="168"/>
      <c r="Q656" s="168"/>
      <c r="R656" s="168"/>
      <c r="S656" s="169"/>
      <c r="T656" s="169"/>
      <c r="U656" s="169"/>
      <c r="V656" s="168"/>
      <c r="W656" s="168"/>
      <c r="X656" s="168"/>
    </row>
    <row r="657" spans="16:24" customFormat="1" x14ac:dyDescent="0.35">
      <c r="P657" s="168"/>
      <c r="Q657" s="168"/>
      <c r="R657" s="168"/>
      <c r="S657" s="169"/>
      <c r="T657" s="169"/>
      <c r="U657" s="169"/>
      <c r="V657" s="168"/>
      <c r="W657" s="168"/>
      <c r="X657" s="168"/>
    </row>
    <row r="658" spans="16:24" customFormat="1" x14ac:dyDescent="0.35">
      <c r="P658" s="168"/>
      <c r="Q658" s="168"/>
      <c r="R658" s="168"/>
      <c r="S658" s="169"/>
      <c r="T658" s="169"/>
      <c r="U658" s="169"/>
      <c r="V658" s="168"/>
      <c r="W658" s="168"/>
      <c r="X658" s="168"/>
    </row>
    <row r="659" spans="16:24" customFormat="1" x14ac:dyDescent="0.35">
      <c r="P659" s="168"/>
      <c r="Q659" s="168"/>
      <c r="R659" s="168"/>
      <c r="S659" s="169"/>
      <c r="T659" s="169"/>
      <c r="U659" s="169"/>
      <c r="V659" s="168"/>
      <c r="W659" s="168"/>
      <c r="X659" s="168"/>
    </row>
    <row r="660" spans="16:24" customFormat="1" x14ac:dyDescent="0.35">
      <c r="P660" s="168"/>
      <c r="Q660" s="168"/>
      <c r="R660" s="168"/>
      <c r="S660" s="169"/>
      <c r="T660" s="169"/>
      <c r="U660" s="169"/>
      <c r="V660" s="168"/>
      <c r="W660" s="168"/>
      <c r="X660" s="168"/>
    </row>
    <row r="661" spans="16:24" customFormat="1" x14ac:dyDescent="0.35">
      <c r="P661" s="168"/>
      <c r="Q661" s="168"/>
      <c r="R661" s="168"/>
      <c r="S661" s="169"/>
      <c r="T661" s="169"/>
      <c r="U661" s="169"/>
      <c r="V661" s="168"/>
      <c r="W661" s="168"/>
      <c r="X661" s="168"/>
    </row>
    <row r="662" spans="16:24" customFormat="1" x14ac:dyDescent="0.35">
      <c r="P662" s="168"/>
      <c r="Q662" s="168"/>
      <c r="R662" s="168"/>
      <c r="S662" s="169"/>
      <c r="T662" s="169"/>
      <c r="U662" s="169"/>
      <c r="V662" s="168"/>
      <c r="W662" s="168"/>
      <c r="X662" s="168"/>
    </row>
    <row r="663" spans="16:24" customFormat="1" x14ac:dyDescent="0.35">
      <c r="P663" s="168"/>
      <c r="Q663" s="168"/>
      <c r="R663" s="168"/>
      <c r="S663" s="169"/>
      <c r="T663" s="169"/>
      <c r="U663" s="169"/>
      <c r="V663" s="168"/>
      <c r="W663" s="168"/>
      <c r="X663" s="168"/>
    </row>
    <row r="664" spans="16:24" customFormat="1" x14ac:dyDescent="0.35">
      <c r="P664" s="168"/>
      <c r="Q664" s="168"/>
      <c r="R664" s="168"/>
      <c r="S664" s="169"/>
      <c r="T664" s="169"/>
      <c r="U664" s="169"/>
      <c r="V664" s="168"/>
      <c r="W664" s="168"/>
      <c r="X664" s="168"/>
    </row>
    <row r="665" spans="16:24" customFormat="1" x14ac:dyDescent="0.35">
      <c r="P665" s="168"/>
      <c r="Q665" s="168"/>
      <c r="R665" s="168"/>
      <c r="S665" s="169"/>
      <c r="T665" s="169"/>
      <c r="U665" s="169"/>
      <c r="V665" s="168"/>
      <c r="W665" s="168"/>
      <c r="X665" s="168"/>
    </row>
    <row r="666" spans="16:24" customFormat="1" x14ac:dyDescent="0.35">
      <c r="P666" s="168"/>
      <c r="Q666" s="168"/>
      <c r="R666" s="168"/>
      <c r="S666" s="169"/>
      <c r="T666" s="169"/>
      <c r="U666" s="169"/>
      <c r="V666" s="168"/>
      <c r="W666" s="168"/>
      <c r="X666" s="168"/>
    </row>
    <row r="667" spans="16:24" customFormat="1" x14ac:dyDescent="0.35">
      <c r="P667" s="168"/>
      <c r="Q667" s="168"/>
      <c r="R667" s="168"/>
      <c r="S667" s="169"/>
      <c r="T667" s="169"/>
      <c r="U667" s="169"/>
      <c r="V667" s="168"/>
      <c r="W667" s="168"/>
      <c r="X667" s="168"/>
    </row>
    <row r="668" spans="16:24" customFormat="1" x14ac:dyDescent="0.35">
      <c r="P668" s="168"/>
      <c r="Q668" s="168"/>
      <c r="R668" s="168"/>
      <c r="S668" s="169"/>
      <c r="T668" s="169"/>
      <c r="U668" s="169"/>
      <c r="V668" s="168"/>
      <c r="W668" s="168"/>
      <c r="X668" s="168"/>
    </row>
    <row r="669" spans="16:24" customFormat="1" x14ac:dyDescent="0.35">
      <c r="P669" s="168"/>
      <c r="Q669" s="168"/>
      <c r="R669" s="168"/>
      <c r="S669" s="169"/>
      <c r="T669" s="169"/>
      <c r="U669" s="169"/>
      <c r="V669" s="168"/>
      <c r="W669" s="168"/>
      <c r="X669" s="168"/>
    </row>
    <row r="670" spans="16:24" customFormat="1" x14ac:dyDescent="0.35">
      <c r="P670" s="168"/>
      <c r="Q670" s="168"/>
      <c r="R670" s="168"/>
      <c r="S670" s="169"/>
      <c r="T670" s="169"/>
      <c r="U670" s="169"/>
      <c r="V670" s="168"/>
      <c r="W670" s="168"/>
      <c r="X670" s="168"/>
    </row>
    <row r="671" spans="16:24" customFormat="1" x14ac:dyDescent="0.35">
      <c r="P671" s="168"/>
      <c r="Q671" s="168"/>
      <c r="R671" s="168"/>
      <c r="S671" s="169"/>
      <c r="T671" s="169"/>
      <c r="U671" s="169"/>
      <c r="V671" s="168"/>
      <c r="W671" s="168"/>
      <c r="X671" s="168"/>
    </row>
    <row r="672" spans="16:24" customFormat="1" x14ac:dyDescent="0.35">
      <c r="P672" s="168"/>
      <c r="Q672" s="168"/>
      <c r="R672" s="168"/>
      <c r="S672" s="169"/>
      <c r="T672" s="169"/>
      <c r="U672" s="169"/>
      <c r="V672" s="168"/>
      <c r="W672" s="168"/>
      <c r="X672" s="168"/>
    </row>
    <row r="673" spans="16:24" customFormat="1" x14ac:dyDescent="0.35">
      <c r="P673" s="168"/>
      <c r="Q673" s="168"/>
      <c r="R673" s="168"/>
      <c r="S673" s="169"/>
      <c r="T673" s="169"/>
      <c r="U673" s="169"/>
      <c r="V673" s="168"/>
      <c r="W673" s="168"/>
      <c r="X673" s="168"/>
    </row>
    <row r="674" spans="16:24" customFormat="1" x14ac:dyDescent="0.35">
      <c r="P674" s="168"/>
      <c r="Q674" s="168"/>
      <c r="R674" s="168"/>
      <c r="S674" s="169"/>
      <c r="T674" s="169"/>
      <c r="U674" s="169"/>
      <c r="V674" s="168"/>
      <c r="W674" s="168"/>
      <c r="X674" s="168"/>
    </row>
    <row r="675" spans="16:24" customFormat="1" x14ac:dyDescent="0.35">
      <c r="P675" s="168"/>
      <c r="Q675" s="168"/>
      <c r="R675" s="168"/>
      <c r="S675" s="169"/>
      <c r="T675" s="169"/>
      <c r="U675" s="169"/>
      <c r="V675" s="168"/>
      <c r="W675" s="168"/>
      <c r="X675" s="168"/>
    </row>
    <row r="676" spans="16:24" customFormat="1" x14ac:dyDescent="0.35">
      <c r="P676" s="168"/>
      <c r="Q676" s="168"/>
      <c r="R676" s="168"/>
      <c r="S676" s="169"/>
      <c r="T676" s="169"/>
      <c r="U676" s="169"/>
      <c r="V676" s="168"/>
      <c r="W676" s="168"/>
      <c r="X676" s="168"/>
    </row>
    <row r="677" spans="16:24" customFormat="1" x14ac:dyDescent="0.35">
      <c r="P677" s="168"/>
      <c r="Q677" s="168"/>
      <c r="R677" s="168"/>
      <c r="S677" s="169"/>
      <c r="T677" s="169"/>
      <c r="U677" s="169"/>
      <c r="V677" s="168"/>
      <c r="W677" s="168"/>
      <c r="X677" s="168"/>
    </row>
    <row r="678" spans="16:24" customFormat="1" x14ac:dyDescent="0.35">
      <c r="P678" s="168"/>
      <c r="Q678" s="168"/>
      <c r="R678" s="168"/>
      <c r="S678" s="169"/>
      <c r="T678" s="169"/>
      <c r="U678" s="169"/>
      <c r="V678" s="168"/>
      <c r="W678" s="168"/>
      <c r="X678" s="168"/>
    </row>
    <row r="679" spans="16:24" customFormat="1" x14ac:dyDescent="0.35">
      <c r="P679" s="168"/>
      <c r="Q679" s="168"/>
      <c r="R679" s="168"/>
      <c r="S679" s="169"/>
      <c r="T679" s="169"/>
      <c r="U679" s="169"/>
      <c r="V679" s="168"/>
      <c r="W679" s="168"/>
      <c r="X679" s="168"/>
    </row>
    <row r="680" spans="16:24" customFormat="1" x14ac:dyDescent="0.35">
      <c r="P680" s="168"/>
      <c r="Q680" s="168"/>
      <c r="R680" s="168"/>
      <c r="S680" s="169"/>
      <c r="T680" s="169"/>
      <c r="U680" s="169"/>
      <c r="V680" s="168"/>
      <c r="W680" s="168"/>
      <c r="X680" s="168"/>
    </row>
    <row r="681" spans="16:24" customFormat="1" x14ac:dyDescent="0.35">
      <c r="P681" s="168"/>
      <c r="Q681" s="168"/>
      <c r="R681" s="168"/>
      <c r="S681" s="169"/>
      <c r="T681" s="169"/>
      <c r="U681" s="169"/>
      <c r="V681" s="168"/>
      <c r="W681" s="168"/>
      <c r="X681" s="168"/>
    </row>
    <row r="682" spans="16:24" customFormat="1" x14ac:dyDescent="0.35">
      <c r="P682" s="168"/>
      <c r="Q682" s="168"/>
      <c r="R682" s="168"/>
      <c r="S682" s="169"/>
      <c r="T682" s="169"/>
      <c r="U682" s="169"/>
      <c r="V682" s="168"/>
      <c r="W682" s="168"/>
      <c r="X682" s="168"/>
    </row>
    <row r="683" spans="16:24" customFormat="1" x14ac:dyDescent="0.35">
      <c r="P683" s="168"/>
      <c r="Q683" s="168"/>
      <c r="R683" s="168"/>
      <c r="S683" s="169"/>
      <c r="T683" s="169"/>
      <c r="U683" s="169"/>
      <c r="V683" s="168"/>
      <c r="W683" s="168"/>
      <c r="X683" s="168"/>
    </row>
    <row r="684" spans="16:24" customFormat="1" x14ac:dyDescent="0.35">
      <c r="P684" s="168"/>
      <c r="Q684" s="168"/>
      <c r="R684" s="168"/>
      <c r="S684" s="169"/>
      <c r="T684" s="169"/>
      <c r="U684" s="169"/>
      <c r="V684" s="168"/>
      <c r="W684" s="168"/>
      <c r="X684" s="168"/>
    </row>
    <row r="685" spans="16:24" customFormat="1" x14ac:dyDescent="0.35">
      <c r="P685" s="168"/>
      <c r="Q685" s="168"/>
      <c r="R685" s="168"/>
      <c r="S685" s="169"/>
      <c r="T685" s="169"/>
      <c r="U685" s="169"/>
      <c r="V685" s="168"/>
      <c r="W685" s="168"/>
      <c r="X685" s="168"/>
    </row>
    <row r="686" spans="16:24" customFormat="1" x14ac:dyDescent="0.35">
      <c r="P686" s="168"/>
      <c r="Q686" s="168"/>
      <c r="R686" s="168"/>
      <c r="S686" s="169"/>
      <c r="T686" s="169"/>
      <c r="U686" s="169"/>
      <c r="V686" s="168"/>
      <c r="W686" s="168"/>
      <c r="X686" s="168"/>
    </row>
    <row r="687" spans="16:24" customFormat="1" x14ac:dyDescent="0.35">
      <c r="P687" s="168"/>
      <c r="Q687" s="168"/>
      <c r="R687" s="168"/>
      <c r="S687" s="169"/>
      <c r="T687" s="169"/>
      <c r="U687" s="169"/>
      <c r="V687" s="168"/>
      <c r="W687" s="168"/>
      <c r="X687" s="168"/>
    </row>
    <row r="688" spans="16:24" customFormat="1" x14ac:dyDescent="0.35">
      <c r="P688" s="168"/>
      <c r="Q688" s="168"/>
      <c r="R688" s="168"/>
      <c r="S688" s="169"/>
      <c r="T688" s="169"/>
      <c r="U688" s="169"/>
      <c r="V688" s="168"/>
      <c r="W688" s="168"/>
      <c r="X688" s="168"/>
    </row>
    <row r="689" spans="16:24" customFormat="1" x14ac:dyDescent="0.35">
      <c r="P689" s="168"/>
      <c r="Q689" s="168"/>
      <c r="R689" s="168"/>
      <c r="S689" s="169"/>
      <c r="T689" s="169"/>
      <c r="U689" s="169"/>
      <c r="V689" s="168"/>
      <c r="W689" s="168"/>
      <c r="X689" s="168"/>
    </row>
    <row r="690" spans="16:24" customFormat="1" x14ac:dyDescent="0.35">
      <c r="P690" s="168"/>
      <c r="Q690" s="168"/>
      <c r="R690" s="168"/>
      <c r="S690" s="169"/>
      <c r="T690" s="169"/>
      <c r="U690" s="169"/>
      <c r="V690" s="168"/>
      <c r="W690" s="168"/>
      <c r="X690" s="168"/>
    </row>
    <row r="691" spans="16:24" customFormat="1" x14ac:dyDescent="0.35">
      <c r="P691" s="168"/>
      <c r="Q691" s="168"/>
      <c r="R691" s="168"/>
      <c r="S691" s="169"/>
      <c r="T691" s="169"/>
      <c r="U691" s="169"/>
      <c r="V691" s="168"/>
      <c r="W691" s="168"/>
      <c r="X691" s="168"/>
    </row>
    <row r="692" spans="16:24" customFormat="1" x14ac:dyDescent="0.35">
      <c r="P692" s="168"/>
      <c r="Q692" s="168"/>
      <c r="R692" s="168"/>
      <c r="S692" s="169"/>
      <c r="T692" s="169"/>
      <c r="U692" s="169"/>
      <c r="V692" s="168"/>
      <c r="W692" s="168"/>
      <c r="X692" s="168"/>
    </row>
    <row r="693" spans="16:24" customFormat="1" x14ac:dyDescent="0.35">
      <c r="P693" s="168"/>
      <c r="Q693" s="168"/>
      <c r="R693" s="168"/>
      <c r="S693" s="169"/>
      <c r="T693" s="169"/>
      <c r="U693" s="169"/>
      <c r="V693" s="168"/>
      <c r="W693" s="168"/>
      <c r="X693" s="168"/>
    </row>
    <row r="694" spans="16:24" customFormat="1" x14ac:dyDescent="0.35">
      <c r="P694" s="168"/>
      <c r="Q694" s="168"/>
      <c r="R694" s="168"/>
      <c r="S694" s="169"/>
      <c r="T694" s="169"/>
      <c r="U694" s="169"/>
      <c r="V694" s="168"/>
      <c r="W694" s="168"/>
      <c r="X694" s="168"/>
    </row>
    <row r="695" spans="16:24" customFormat="1" x14ac:dyDescent="0.35">
      <c r="P695" s="168"/>
      <c r="Q695" s="168"/>
      <c r="R695" s="168"/>
      <c r="S695" s="169"/>
      <c r="T695" s="169"/>
      <c r="U695" s="169"/>
      <c r="V695" s="168"/>
      <c r="W695" s="168"/>
      <c r="X695" s="168"/>
    </row>
    <row r="696" spans="16:24" customFormat="1" x14ac:dyDescent="0.35">
      <c r="P696" s="168"/>
      <c r="Q696" s="168"/>
      <c r="R696" s="168"/>
      <c r="S696" s="169"/>
      <c r="T696" s="169"/>
      <c r="U696" s="169"/>
      <c r="V696" s="168"/>
      <c r="W696" s="168"/>
      <c r="X696" s="168"/>
    </row>
    <row r="697" spans="16:24" customFormat="1" x14ac:dyDescent="0.35">
      <c r="P697" s="168"/>
      <c r="Q697" s="168"/>
      <c r="R697" s="168"/>
      <c r="S697" s="169"/>
      <c r="T697" s="169"/>
      <c r="U697" s="169"/>
      <c r="V697" s="168"/>
      <c r="W697" s="168"/>
      <c r="X697" s="168"/>
    </row>
    <row r="698" spans="16:24" customFormat="1" x14ac:dyDescent="0.35">
      <c r="P698" s="168"/>
      <c r="Q698" s="168"/>
      <c r="R698" s="168"/>
      <c r="S698" s="169"/>
      <c r="T698" s="169"/>
      <c r="U698" s="169"/>
      <c r="V698" s="168"/>
      <c r="W698" s="168"/>
      <c r="X698" s="168"/>
    </row>
    <row r="699" spans="16:24" customFormat="1" x14ac:dyDescent="0.35">
      <c r="P699" s="168"/>
      <c r="Q699" s="168"/>
      <c r="R699" s="168"/>
      <c r="S699" s="169"/>
      <c r="T699" s="169"/>
      <c r="U699" s="169"/>
      <c r="V699" s="168"/>
      <c r="W699" s="168"/>
      <c r="X699" s="168"/>
    </row>
    <row r="700" spans="16:24" customFormat="1" x14ac:dyDescent="0.35">
      <c r="P700" s="168"/>
      <c r="Q700" s="168"/>
      <c r="R700" s="168"/>
      <c r="S700" s="169"/>
      <c r="T700" s="169"/>
      <c r="U700" s="169"/>
      <c r="V700" s="168"/>
      <c r="W700" s="168"/>
      <c r="X700" s="168"/>
    </row>
    <row r="701" spans="16:24" customFormat="1" x14ac:dyDescent="0.35">
      <c r="P701" s="168"/>
      <c r="Q701" s="168"/>
      <c r="R701" s="168"/>
      <c r="S701" s="169"/>
      <c r="T701" s="169"/>
      <c r="U701" s="169"/>
      <c r="V701" s="168"/>
      <c r="W701" s="168"/>
      <c r="X701" s="168"/>
    </row>
    <row r="702" spans="16:24" customFormat="1" x14ac:dyDescent="0.35">
      <c r="P702" s="168"/>
      <c r="Q702" s="168"/>
      <c r="R702" s="168"/>
      <c r="S702" s="169"/>
      <c r="T702" s="169"/>
      <c r="U702" s="169"/>
      <c r="V702" s="168"/>
      <c r="W702" s="168"/>
      <c r="X702" s="168"/>
    </row>
    <row r="703" spans="16:24" customFormat="1" x14ac:dyDescent="0.35">
      <c r="P703" s="168"/>
      <c r="Q703" s="168"/>
      <c r="R703" s="168"/>
      <c r="S703" s="169"/>
      <c r="T703" s="169"/>
      <c r="U703" s="169"/>
      <c r="V703" s="168"/>
      <c r="W703" s="168"/>
      <c r="X703" s="168"/>
    </row>
    <row r="704" spans="16:24" customFormat="1" x14ac:dyDescent="0.35">
      <c r="P704" s="168"/>
      <c r="Q704" s="168"/>
      <c r="R704" s="168"/>
      <c r="S704" s="169"/>
      <c r="T704" s="169"/>
      <c r="U704" s="169"/>
      <c r="V704" s="168"/>
      <c r="W704" s="168"/>
      <c r="X704" s="168"/>
    </row>
    <row r="705" spans="16:24" customFormat="1" x14ac:dyDescent="0.35">
      <c r="P705" s="168"/>
      <c r="Q705" s="168"/>
      <c r="R705" s="168"/>
      <c r="S705" s="169"/>
      <c r="T705" s="169"/>
      <c r="U705" s="169"/>
      <c r="V705" s="168"/>
      <c r="W705" s="168"/>
      <c r="X705" s="168"/>
    </row>
    <row r="706" spans="16:24" customFormat="1" x14ac:dyDescent="0.35">
      <c r="P706" s="168"/>
      <c r="Q706" s="168"/>
      <c r="R706" s="168"/>
      <c r="S706" s="169"/>
      <c r="T706" s="169"/>
      <c r="U706" s="169"/>
      <c r="V706" s="168"/>
      <c r="W706" s="168"/>
      <c r="X706" s="168"/>
    </row>
    <row r="707" spans="16:24" customFormat="1" x14ac:dyDescent="0.35">
      <c r="P707" s="168"/>
      <c r="Q707" s="168"/>
      <c r="R707" s="168"/>
      <c r="S707" s="169"/>
      <c r="T707" s="169"/>
      <c r="U707" s="169"/>
      <c r="V707" s="168"/>
      <c r="W707" s="168"/>
      <c r="X707" s="168"/>
    </row>
    <row r="708" spans="16:24" customFormat="1" x14ac:dyDescent="0.35">
      <c r="P708" s="168"/>
      <c r="Q708" s="168"/>
      <c r="R708" s="168"/>
      <c r="S708" s="169"/>
      <c r="T708" s="169"/>
      <c r="U708" s="169"/>
      <c r="V708" s="168"/>
      <c r="W708" s="168"/>
      <c r="X708" s="168"/>
    </row>
    <row r="709" spans="16:24" customFormat="1" x14ac:dyDescent="0.35">
      <c r="P709" s="168"/>
      <c r="Q709" s="168"/>
      <c r="R709" s="168"/>
      <c r="S709" s="169"/>
      <c r="T709" s="169"/>
      <c r="U709" s="169"/>
      <c r="V709" s="168"/>
      <c r="W709" s="168"/>
      <c r="X709" s="168"/>
    </row>
    <row r="710" spans="16:24" customFormat="1" x14ac:dyDescent="0.35">
      <c r="P710" s="168"/>
      <c r="Q710" s="168"/>
      <c r="R710" s="168"/>
      <c r="S710" s="169"/>
      <c r="T710" s="169"/>
      <c r="U710" s="169"/>
      <c r="V710" s="168"/>
      <c r="W710" s="168"/>
      <c r="X710" s="168"/>
    </row>
    <row r="711" spans="16:24" customFormat="1" x14ac:dyDescent="0.35">
      <c r="P711" s="168"/>
      <c r="Q711" s="168"/>
      <c r="R711" s="168"/>
      <c r="S711" s="169"/>
      <c r="T711" s="169"/>
      <c r="U711" s="169"/>
      <c r="V711" s="168"/>
      <c r="W711" s="168"/>
      <c r="X711" s="168"/>
    </row>
    <row r="712" spans="16:24" customFormat="1" x14ac:dyDescent="0.35">
      <c r="P712" s="168"/>
      <c r="Q712" s="168"/>
      <c r="R712" s="168"/>
      <c r="S712" s="169"/>
      <c r="T712" s="169"/>
      <c r="U712" s="169"/>
      <c r="V712" s="168"/>
      <c r="W712" s="168"/>
      <c r="X712" s="168"/>
    </row>
    <row r="713" spans="16:24" customFormat="1" x14ac:dyDescent="0.35">
      <c r="P713" s="168"/>
      <c r="Q713" s="168"/>
      <c r="R713" s="168"/>
      <c r="S713" s="169"/>
      <c r="T713" s="169"/>
      <c r="U713" s="169"/>
      <c r="V713" s="168"/>
      <c r="W713" s="168"/>
      <c r="X713" s="168"/>
    </row>
    <row r="714" spans="16:24" customFormat="1" x14ac:dyDescent="0.35">
      <c r="P714" s="168"/>
      <c r="Q714" s="168"/>
      <c r="R714" s="168"/>
      <c r="S714" s="169"/>
      <c r="T714" s="169"/>
      <c r="U714" s="169"/>
      <c r="V714" s="168"/>
      <c r="W714" s="168"/>
      <c r="X714" s="168"/>
    </row>
    <row r="715" spans="16:24" customFormat="1" x14ac:dyDescent="0.35">
      <c r="P715" s="168"/>
      <c r="Q715" s="168"/>
      <c r="R715" s="168"/>
      <c r="S715" s="169"/>
      <c r="T715" s="169"/>
      <c r="U715" s="169"/>
      <c r="V715" s="168"/>
      <c r="W715" s="168"/>
      <c r="X715" s="168"/>
    </row>
    <row r="716" spans="16:24" customFormat="1" x14ac:dyDescent="0.35">
      <c r="P716" s="168"/>
      <c r="Q716" s="168"/>
      <c r="R716" s="168"/>
      <c r="S716" s="169"/>
      <c r="T716" s="169"/>
      <c r="U716" s="169"/>
      <c r="V716" s="168"/>
      <c r="W716" s="168"/>
      <c r="X716" s="168"/>
    </row>
    <row r="717" spans="16:24" customFormat="1" x14ac:dyDescent="0.35">
      <c r="P717" s="168"/>
      <c r="Q717" s="168"/>
      <c r="R717" s="168"/>
      <c r="S717" s="169"/>
      <c r="T717" s="169"/>
      <c r="U717" s="169"/>
      <c r="V717" s="168"/>
      <c r="W717" s="168"/>
      <c r="X717" s="168"/>
    </row>
    <row r="718" spans="16:24" customFormat="1" x14ac:dyDescent="0.35">
      <c r="P718" s="168"/>
      <c r="Q718" s="168"/>
      <c r="R718" s="168"/>
      <c r="S718" s="169"/>
      <c r="T718" s="169"/>
      <c r="U718" s="169"/>
      <c r="V718" s="168"/>
      <c r="W718" s="168"/>
      <c r="X718" s="168"/>
    </row>
    <row r="719" spans="16:24" customFormat="1" x14ac:dyDescent="0.35">
      <c r="P719" s="168"/>
      <c r="Q719" s="168"/>
      <c r="R719" s="168"/>
      <c r="S719" s="169"/>
      <c r="T719" s="169"/>
      <c r="U719" s="169"/>
      <c r="V719" s="168"/>
      <c r="W719" s="168"/>
      <c r="X719" s="168"/>
    </row>
    <row r="720" spans="16:24" customFormat="1" x14ac:dyDescent="0.35">
      <c r="P720" s="168"/>
      <c r="Q720" s="168"/>
      <c r="R720" s="168"/>
      <c r="S720" s="169"/>
      <c r="T720" s="169"/>
      <c r="U720" s="169"/>
      <c r="V720" s="168"/>
      <c r="W720" s="168"/>
      <c r="X720" s="168"/>
    </row>
    <row r="721" spans="16:24" customFormat="1" x14ac:dyDescent="0.35">
      <c r="P721" s="168"/>
      <c r="Q721" s="168"/>
      <c r="R721" s="168"/>
      <c r="S721" s="169"/>
      <c r="T721" s="169"/>
      <c r="U721" s="169"/>
      <c r="V721" s="168"/>
      <c r="W721" s="168"/>
      <c r="X721" s="168"/>
    </row>
    <row r="722" spans="16:24" customFormat="1" x14ac:dyDescent="0.35">
      <c r="P722" s="168"/>
      <c r="Q722" s="168"/>
      <c r="R722" s="168"/>
      <c r="S722" s="169"/>
      <c r="T722" s="169"/>
      <c r="U722" s="169"/>
      <c r="V722" s="168"/>
      <c r="W722" s="168"/>
      <c r="X722" s="168"/>
    </row>
    <row r="723" spans="16:24" customFormat="1" x14ac:dyDescent="0.35">
      <c r="P723" s="168"/>
      <c r="Q723" s="168"/>
      <c r="R723" s="168"/>
      <c r="S723" s="169"/>
      <c r="T723" s="169"/>
      <c r="U723" s="169"/>
      <c r="V723" s="168"/>
      <c r="W723" s="168"/>
      <c r="X723" s="168"/>
    </row>
    <row r="724" spans="16:24" customFormat="1" x14ac:dyDescent="0.35">
      <c r="P724" s="168"/>
      <c r="Q724" s="168"/>
      <c r="R724" s="168"/>
      <c r="S724" s="169"/>
      <c r="T724" s="169"/>
      <c r="U724" s="169"/>
      <c r="V724" s="168"/>
      <c r="W724" s="168"/>
      <c r="X724" s="168"/>
    </row>
    <row r="725" spans="16:24" customFormat="1" x14ac:dyDescent="0.35">
      <c r="P725" s="168"/>
      <c r="Q725" s="168"/>
      <c r="R725" s="168"/>
      <c r="S725" s="169"/>
      <c r="T725" s="169"/>
      <c r="U725" s="169"/>
      <c r="V725" s="168"/>
      <c r="W725" s="168"/>
      <c r="X725" s="168"/>
    </row>
    <row r="726" spans="16:24" customFormat="1" x14ac:dyDescent="0.35">
      <c r="P726" s="168"/>
      <c r="Q726" s="168"/>
      <c r="R726" s="168"/>
      <c r="S726" s="169"/>
      <c r="T726" s="169"/>
      <c r="U726" s="169"/>
      <c r="V726" s="168"/>
      <c r="W726" s="168"/>
      <c r="X726" s="168"/>
    </row>
    <row r="727" spans="16:24" customFormat="1" x14ac:dyDescent="0.35">
      <c r="P727" s="168"/>
      <c r="Q727" s="168"/>
      <c r="R727" s="168"/>
      <c r="S727" s="169"/>
      <c r="T727" s="169"/>
      <c r="U727" s="169"/>
      <c r="V727" s="168"/>
      <c r="W727" s="168"/>
      <c r="X727" s="168"/>
    </row>
    <row r="728" spans="16:24" customFormat="1" x14ac:dyDescent="0.35">
      <c r="P728" s="168"/>
      <c r="Q728" s="168"/>
      <c r="R728" s="168"/>
      <c r="S728" s="169"/>
      <c r="T728" s="169"/>
      <c r="U728" s="169"/>
      <c r="V728" s="168"/>
      <c r="W728" s="168"/>
      <c r="X728" s="168"/>
    </row>
    <row r="729" spans="16:24" customFormat="1" x14ac:dyDescent="0.35">
      <c r="P729" s="168"/>
      <c r="Q729" s="168"/>
      <c r="R729" s="168"/>
      <c r="S729" s="169"/>
      <c r="T729" s="169"/>
      <c r="U729" s="169"/>
      <c r="V729" s="168"/>
      <c r="W729" s="168"/>
      <c r="X729" s="168"/>
    </row>
    <row r="730" spans="16:24" customFormat="1" x14ac:dyDescent="0.35">
      <c r="P730" s="168"/>
      <c r="Q730" s="168"/>
      <c r="R730" s="168"/>
      <c r="S730" s="169"/>
      <c r="T730" s="169"/>
      <c r="U730" s="169"/>
      <c r="V730" s="168"/>
      <c r="W730" s="168"/>
      <c r="X730" s="168"/>
    </row>
    <row r="731" spans="16:24" customFormat="1" x14ac:dyDescent="0.35">
      <c r="P731" s="168"/>
      <c r="Q731" s="168"/>
      <c r="R731" s="168"/>
      <c r="S731" s="169"/>
      <c r="T731" s="169"/>
      <c r="U731" s="169"/>
      <c r="V731" s="168"/>
      <c r="W731" s="168"/>
      <c r="X731" s="168"/>
    </row>
    <row r="732" spans="16:24" customFormat="1" x14ac:dyDescent="0.35">
      <c r="P732" s="168"/>
      <c r="Q732" s="168"/>
      <c r="R732" s="168"/>
      <c r="S732" s="169"/>
      <c r="T732" s="169"/>
      <c r="U732" s="169"/>
      <c r="V732" s="168"/>
      <c r="W732" s="168"/>
      <c r="X732" s="168"/>
    </row>
    <row r="733" spans="16:24" customFormat="1" x14ac:dyDescent="0.35">
      <c r="P733" s="168"/>
      <c r="Q733" s="168"/>
      <c r="R733" s="168"/>
      <c r="S733" s="169"/>
      <c r="T733" s="169"/>
      <c r="U733" s="169"/>
      <c r="V733" s="168"/>
      <c r="W733" s="168"/>
      <c r="X733" s="168"/>
    </row>
    <row r="734" spans="16:24" customFormat="1" x14ac:dyDescent="0.35">
      <c r="P734" s="168"/>
      <c r="Q734" s="168"/>
      <c r="R734" s="168"/>
      <c r="S734" s="169"/>
      <c r="T734" s="169"/>
      <c r="U734" s="169"/>
      <c r="V734" s="168"/>
      <c r="W734" s="168"/>
      <c r="X734" s="168"/>
    </row>
    <row r="735" spans="16:24" customFormat="1" x14ac:dyDescent="0.35">
      <c r="P735" s="168"/>
      <c r="Q735" s="168"/>
      <c r="R735" s="168"/>
      <c r="S735" s="169"/>
      <c r="T735" s="169"/>
      <c r="U735" s="169"/>
      <c r="V735" s="168"/>
      <c r="W735" s="168"/>
      <c r="X735" s="168"/>
    </row>
    <row r="736" spans="16:24" customFormat="1" x14ac:dyDescent="0.35">
      <c r="P736" s="168"/>
      <c r="Q736" s="168"/>
      <c r="R736" s="168"/>
      <c r="S736" s="169"/>
      <c r="T736" s="169"/>
      <c r="U736" s="169"/>
      <c r="V736" s="168"/>
      <c r="W736" s="168"/>
      <c r="X736" s="168"/>
    </row>
    <row r="737" spans="16:24" customFormat="1" x14ac:dyDescent="0.35">
      <c r="P737" s="168"/>
      <c r="Q737" s="168"/>
      <c r="R737" s="168"/>
      <c r="S737" s="169"/>
      <c r="T737" s="169"/>
      <c r="U737" s="169"/>
      <c r="V737" s="168"/>
      <c r="W737" s="168"/>
      <c r="X737" s="168"/>
    </row>
    <row r="738" spans="16:24" customFormat="1" x14ac:dyDescent="0.35">
      <c r="P738" s="168"/>
      <c r="Q738" s="168"/>
      <c r="R738" s="168"/>
      <c r="S738" s="169"/>
      <c r="T738" s="169"/>
      <c r="U738" s="169"/>
      <c r="V738" s="168"/>
      <c r="W738" s="168"/>
      <c r="X738" s="168"/>
    </row>
    <row r="739" spans="16:24" customFormat="1" x14ac:dyDescent="0.35">
      <c r="P739" s="168"/>
      <c r="Q739" s="168"/>
      <c r="R739" s="168"/>
      <c r="S739" s="169"/>
      <c r="T739" s="169"/>
      <c r="U739" s="169"/>
      <c r="V739" s="168"/>
      <c r="W739" s="168"/>
      <c r="X739" s="168"/>
    </row>
    <row r="740" spans="16:24" customFormat="1" x14ac:dyDescent="0.35">
      <c r="P740" s="168"/>
      <c r="Q740" s="168"/>
      <c r="R740" s="168"/>
      <c r="S740" s="169"/>
      <c r="T740" s="169"/>
      <c r="U740" s="169"/>
      <c r="V740" s="168"/>
      <c r="W740" s="168"/>
      <c r="X740" s="168"/>
    </row>
    <row r="741" spans="16:24" customFormat="1" x14ac:dyDescent="0.35">
      <c r="P741" s="168"/>
      <c r="Q741" s="168"/>
      <c r="R741" s="168"/>
      <c r="S741" s="169"/>
      <c r="T741" s="169"/>
      <c r="U741" s="169"/>
      <c r="V741" s="168"/>
      <c r="W741" s="168"/>
      <c r="X741" s="168"/>
    </row>
    <row r="742" spans="16:24" customFormat="1" x14ac:dyDescent="0.35">
      <c r="P742" s="168"/>
      <c r="Q742" s="168"/>
      <c r="R742" s="168"/>
      <c r="S742" s="169"/>
      <c r="T742" s="169"/>
      <c r="U742" s="169"/>
      <c r="V742" s="168"/>
      <c r="W742" s="168"/>
      <c r="X742" s="168"/>
    </row>
    <row r="743" spans="16:24" customFormat="1" x14ac:dyDescent="0.35">
      <c r="P743" s="168"/>
      <c r="Q743" s="168"/>
      <c r="R743" s="168"/>
      <c r="S743" s="169"/>
      <c r="T743" s="169"/>
      <c r="U743" s="169"/>
      <c r="V743" s="168"/>
      <c r="W743" s="168"/>
      <c r="X743" s="168"/>
    </row>
    <row r="744" spans="16:24" customFormat="1" x14ac:dyDescent="0.35">
      <c r="P744" s="168"/>
      <c r="Q744" s="168"/>
      <c r="R744" s="168"/>
      <c r="S744" s="169"/>
      <c r="T744" s="169"/>
      <c r="U744" s="169"/>
      <c r="V744" s="168"/>
      <c r="W744" s="168"/>
      <c r="X744" s="168"/>
    </row>
    <row r="745" spans="16:24" customFormat="1" x14ac:dyDescent="0.35">
      <c r="P745" s="168"/>
      <c r="Q745" s="168"/>
      <c r="R745" s="168"/>
      <c r="S745" s="169"/>
      <c r="T745" s="169"/>
      <c r="U745" s="169"/>
      <c r="V745" s="168"/>
      <c r="W745" s="168"/>
      <c r="X745" s="168"/>
    </row>
    <row r="746" spans="16:24" customFormat="1" x14ac:dyDescent="0.35">
      <c r="P746" s="168"/>
      <c r="Q746" s="168"/>
      <c r="R746" s="168"/>
      <c r="S746" s="169"/>
      <c r="T746" s="169"/>
      <c r="U746" s="169"/>
      <c r="V746" s="168"/>
      <c r="W746" s="168"/>
      <c r="X746" s="168"/>
    </row>
    <row r="747" spans="16:24" customFormat="1" x14ac:dyDescent="0.35">
      <c r="P747" s="168"/>
      <c r="Q747" s="168"/>
      <c r="R747" s="168"/>
      <c r="S747" s="169"/>
      <c r="T747" s="169"/>
      <c r="U747" s="169"/>
      <c r="V747" s="168"/>
      <c r="W747" s="168"/>
      <c r="X747" s="168"/>
    </row>
    <row r="748" spans="16:24" customFormat="1" x14ac:dyDescent="0.35">
      <c r="P748" s="168"/>
      <c r="Q748" s="168"/>
      <c r="R748" s="168"/>
      <c r="S748" s="169"/>
      <c r="T748" s="169"/>
      <c r="U748" s="169"/>
      <c r="V748" s="168"/>
      <c r="W748" s="168"/>
      <c r="X748" s="168"/>
    </row>
    <row r="749" spans="16:24" customFormat="1" x14ac:dyDescent="0.35">
      <c r="P749" s="168"/>
      <c r="Q749" s="168"/>
      <c r="R749" s="168"/>
      <c r="S749" s="169"/>
      <c r="T749" s="169"/>
      <c r="U749" s="169"/>
      <c r="V749" s="168"/>
      <c r="W749" s="168"/>
      <c r="X749" s="168"/>
    </row>
    <row r="750" spans="16:24" customFormat="1" x14ac:dyDescent="0.35">
      <c r="P750" s="168"/>
      <c r="Q750" s="168"/>
      <c r="R750" s="168"/>
      <c r="S750" s="169"/>
      <c r="T750" s="169"/>
      <c r="U750" s="169"/>
      <c r="V750" s="168"/>
      <c r="W750" s="168"/>
      <c r="X750" s="168"/>
    </row>
    <row r="751" spans="16:24" customFormat="1" x14ac:dyDescent="0.35">
      <c r="P751" s="168"/>
      <c r="Q751" s="168"/>
      <c r="R751" s="168"/>
      <c r="S751" s="169"/>
      <c r="T751" s="169"/>
      <c r="U751" s="169"/>
      <c r="V751" s="168"/>
      <c r="W751" s="168"/>
      <c r="X751" s="168"/>
    </row>
    <row r="752" spans="16:24" customFormat="1" x14ac:dyDescent="0.35">
      <c r="P752" s="168"/>
      <c r="Q752" s="168"/>
      <c r="R752" s="168"/>
      <c r="S752" s="169"/>
      <c r="T752" s="169"/>
      <c r="U752" s="169"/>
      <c r="V752" s="168"/>
      <c r="W752" s="168"/>
      <c r="X752" s="168"/>
    </row>
    <row r="753" spans="16:24" customFormat="1" x14ac:dyDescent="0.35">
      <c r="P753" s="168"/>
      <c r="Q753" s="168"/>
      <c r="R753" s="168"/>
      <c r="S753" s="169"/>
      <c r="T753" s="169"/>
      <c r="U753" s="169"/>
      <c r="V753" s="168"/>
      <c r="W753" s="168"/>
      <c r="X753" s="168"/>
    </row>
    <row r="754" spans="16:24" customFormat="1" x14ac:dyDescent="0.35">
      <c r="P754" s="168"/>
      <c r="Q754" s="168"/>
      <c r="R754" s="168"/>
      <c r="S754" s="169"/>
      <c r="T754" s="169"/>
      <c r="U754" s="169"/>
      <c r="V754" s="168"/>
      <c r="W754" s="168"/>
      <c r="X754" s="168"/>
    </row>
    <row r="755" spans="16:24" customFormat="1" x14ac:dyDescent="0.35">
      <c r="P755" s="168"/>
      <c r="Q755" s="168"/>
      <c r="R755" s="168"/>
      <c r="S755" s="169"/>
      <c r="T755" s="169"/>
      <c r="U755" s="169"/>
      <c r="V755" s="168"/>
      <c r="W755" s="168"/>
      <c r="X755" s="168"/>
    </row>
    <row r="756" spans="16:24" customFormat="1" x14ac:dyDescent="0.35">
      <c r="P756" s="168"/>
      <c r="Q756" s="168"/>
      <c r="R756" s="168"/>
      <c r="S756" s="169"/>
      <c r="T756" s="169"/>
      <c r="U756" s="169"/>
      <c r="V756" s="168"/>
      <c r="W756" s="168"/>
      <c r="X756" s="168"/>
    </row>
    <row r="757" spans="16:24" customFormat="1" x14ac:dyDescent="0.35">
      <c r="P757" s="168"/>
      <c r="Q757" s="168"/>
      <c r="R757" s="168"/>
      <c r="S757" s="169"/>
      <c r="T757" s="169"/>
      <c r="U757" s="169"/>
      <c r="V757" s="168"/>
      <c r="W757" s="168"/>
      <c r="X757" s="168"/>
    </row>
    <row r="758" spans="16:24" customFormat="1" x14ac:dyDescent="0.35">
      <c r="P758" s="168"/>
      <c r="Q758" s="168"/>
      <c r="R758" s="168"/>
      <c r="S758" s="169"/>
      <c r="T758" s="169"/>
      <c r="U758" s="169"/>
      <c r="V758" s="168"/>
      <c r="W758" s="168"/>
      <c r="X758" s="168"/>
    </row>
    <row r="759" spans="16:24" customFormat="1" x14ac:dyDescent="0.35">
      <c r="P759" s="168"/>
      <c r="Q759" s="168"/>
      <c r="R759" s="168"/>
      <c r="S759" s="169"/>
      <c r="T759" s="169"/>
      <c r="U759" s="169"/>
      <c r="V759" s="168"/>
      <c r="W759" s="168"/>
      <c r="X759" s="168"/>
    </row>
    <row r="760" spans="16:24" customFormat="1" x14ac:dyDescent="0.35">
      <c r="P760" s="168"/>
      <c r="Q760" s="168"/>
      <c r="R760" s="168"/>
      <c r="S760" s="169"/>
      <c r="T760" s="169"/>
      <c r="U760" s="169"/>
      <c r="V760" s="168"/>
      <c r="W760" s="168"/>
      <c r="X760" s="168"/>
    </row>
    <row r="761" spans="16:24" customFormat="1" x14ac:dyDescent="0.35">
      <c r="P761" s="168"/>
      <c r="Q761" s="168"/>
      <c r="R761" s="168"/>
      <c r="S761" s="169"/>
      <c r="T761" s="169"/>
      <c r="U761" s="169"/>
      <c r="V761" s="168"/>
      <c r="W761" s="168"/>
      <c r="X761" s="168"/>
    </row>
    <row r="762" spans="16:24" customFormat="1" x14ac:dyDescent="0.35">
      <c r="P762" s="168"/>
      <c r="Q762" s="168"/>
      <c r="R762" s="168"/>
      <c r="S762" s="169"/>
      <c r="T762" s="169"/>
      <c r="U762" s="169"/>
      <c r="V762" s="168"/>
      <c r="W762" s="168"/>
      <c r="X762" s="168"/>
    </row>
    <row r="763" spans="16:24" customFormat="1" x14ac:dyDescent="0.35">
      <c r="P763" s="168"/>
      <c r="Q763" s="168"/>
      <c r="R763" s="168"/>
      <c r="S763" s="169"/>
      <c r="T763" s="169"/>
      <c r="U763" s="169"/>
      <c r="V763" s="168"/>
      <c r="W763" s="168"/>
      <c r="X763" s="168"/>
    </row>
    <row r="764" spans="16:24" customFormat="1" x14ac:dyDescent="0.35">
      <c r="P764" s="168"/>
      <c r="Q764" s="168"/>
      <c r="R764" s="168"/>
      <c r="S764" s="169"/>
      <c r="T764" s="169"/>
      <c r="U764" s="169"/>
      <c r="V764" s="168"/>
      <c r="W764" s="168"/>
      <c r="X764" s="168"/>
    </row>
    <row r="765" spans="16:24" customFormat="1" x14ac:dyDescent="0.35">
      <c r="P765" s="168"/>
      <c r="Q765" s="168"/>
      <c r="R765" s="168"/>
      <c r="S765" s="169"/>
      <c r="T765" s="169"/>
      <c r="U765" s="169"/>
      <c r="V765" s="168"/>
      <c r="W765" s="168"/>
      <c r="X765" s="168"/>
    </row>
    <row r="766" spans="16:24" customFormat="1" x14ac:dyDescent="0.35">
      <c r="P766" s="168"/>
      <c r="Q766" s="168"/>
      <c r="R766" s="168"/>
      <c r="S766" s="169"/>
      <c r="T766" s="169"/>
      <c r="U766" s="169"/>
      <c r="V766" s="168"/>
      <c r="W766" s="168"/>
      <c r="X766" s="168"/>
    </row>
    <row r="767" spans="16:24" customFormat="1" x14ac:dyDescent="0.35">
      <c r="P767" s="168"/>
      <c r="Q767" s="168"/>
      <c r="R767" s="168"/>
      <c r="S767" s="169"/>
      <c r="T767" s="169"/>
      <c r="U767" s="169"/>
      <c r="V767" s="168"/>
      <c r="W767" s="168"/>
      <c r="X767" s="168"/>
    </row>
    <row r="768" spans="16:24" customFormat="1" x14ac:dyDescent="0.35">
      <c r="P768" s="168"/>
      <c r="Q768" s="168"/>
      <c r="R768" s="168"/>
      <c r="S768" s="169"/>
      <c r="T768" s="169"/>
      <c r="U768" s="169"/>
      <c r="V768" s="168"/>
      <c r="W768" s="168"/>
      <c r="X768" s="168"/>
    </row>
    <row r="769" spans="16:24" customFormat="1" x14ac:dyDescent="0.35">
      <c r="P769" s="168"/>
      <c r="Q769" s="168"/>
      <c r="R769" s="168"/>
      <c r="S769" s="169"/>
      <c r="T769" s="169"/>
      <c r="U769" s="169"/>
      <c r="V769" s="168"/>
      <c r="W769" s="168"/>
      <c r="X769" s="168"/>
    </row>
    <row r="770" spans="16:24" customFormat="1" x14ac:dyDescent="0.35">
      <c r="P770" s="168"/>
      <c r="Q770" s="168"/>
      <c r="R770" s="168"/>
      <c r="S770" s="169"/>
      <c r="T770" s="169"/>
      <c r="U770" s="169"/>
      <c r="V770" s="168"/>
      <c r="W770" s="168"/>
      <c r="X770" s="168"/>
    </row>
    <row r="771" spans="16:24" customFormat="1" x14ac:dyDescent="0.35">
      <c r="P771" s="168"/>
      <c r="Q771" s="168"/>
      <c r="R771" s="168"/>
      <c r="S771" s="169"/>
      <c r="T771" s="169"/>
      <c r="U771" s="169"/>
      <c r="V771" s="168"/>
      <c r="W771" s="168"/>
      <c r="X771" s="168"/>
    </row>
    <row r="772" spans="16:24" customFormat="1" x14ac:dyDescent="0.35">
      <c r="P772" s="168"/>
      <c r="Q772" s="168"/>
      <c r="R772" s="168"/>
      <c r="S772" s="169"/>
      <c r="T772" s="169"/>
      <c r="U772" s="169"/>
      <c r="V772" s="168"/>
      <c r="W772" s="168"/>
      <c r="X772" s="168"/>
    </row>
    <row r="773" spans="16:24" customFormat="1" x14ac:dyDescent="0.35">
      <c r="P773" s="168"/>
      <c r="Q773" s="168"/>
      <c r="R773" s="168"/>
      <c r="S773" s="169"/>
      <c r="T773" s="169"/>
      <c r="U773" s="169"/>
      <c r="V773" s="168"/>
      <c r="W773" s="168"/>
      <c r="X773" s="168"/>
    </row>
    <row r="774" spans="16:24" customFormat="1" x14ac:dyDescent="0.35">
      <c r="P774" s="168"/>
      <c r="Q774" s="168"/>
      <c r="R774" s="168"/>
      <c r="S774" s="169"/>
      <c r="T774" s="169"/>
      <c r="U774" s="169"/>
      <c r="V774" s="168"/>
      <c r="W774" s="168"/>
      <c r="X774" s="168"/>
    </row>
    <row r="775" spans="16:24" customFormat="1" x14ac:dyDescent="0.35">
      <c r="P775" s="168"/>
      <c r="Q775" s="168"/>
      <c r="R775" s="168"/>
      <c r="S775" s="169"/>
      <c r="T775" s="169"/>
      <c r="U775" s="169"/>
      <c r="V775" s="168"/>
      <c r="W775" s="168"/>
      <c r="X775" s="168"/>
    </row>
    <row r="776" spans="16:24" customFormat="1" x14ac:dyDescent="0.35">
      <c r="P776" s="168"/>
      <c r="Q776" s="168"/>
      <c r="R776" s="168"/>
      <c r="S776" s="169"/>
      <c r="T776" s="169"/>
      <c r="U776" s="169"/>
      <c r="V776" s="168"/>
      <c r="W776" s="168"/>
      <c r="X776" s="168"/>
    </row>
    <row r="777" spans="16:24" customFormat="1" x14ac:dyDescent="0.35">
      <c r="P777" s="168"/>
      <c r="Q777" s="168"/>
      <c r="R777" s="168"/>
      <c r="S777" s="169"/>
      <c r="T777" s="169"/>
      <c r="U777" s="169"/>
      <c r="V777" s="168"/>
      <c r="W777" s="168"/>
      <c r="X777" s="168"/>
    </row>
    <row r="778" spans="16:24" customFormat="1" x14ac:dyDescent="0.35">
      <c r="P778" s="168"/>
      <c r="Q778" s="168"/>
      <c r="R778" s="168"/>
      <c r="S778" s="169"/>
      <c r="T778" s="169"/>
      <c r="U778" s="169"/>
      <c r="V778" s="168"/>
      <c r="W778" s="168"/>
      <c r="X778" s="168"/>
    </row>
    <row r="779" spans="16:24" customFormat="1" x14ac:dyDescent="0.35">
      <c r="P779" s="168"/>
      <c r="Q779" s="168"/>
      <c r="R779" s="168"/>
      <c r="S779" s="169"/>
      <c r="T779" s="169"/>
      <c r="U779" s="169"/>
      <c r="V779" s="168"/>
      <c r="W779" s="168"/>
      <c r="X779" s="168"/>
    </row>
    <row r="780" spans="16:24" customFormat="1" x14ac:dyDescent="0.35">
      <c r="P780" s="168"/>
      <c r="Q780" s="168"/>
      <c r="R780" s="168"/>
      <c r="S780" s="169"/>
      <c r="T780" s="169"/>
      <c r="U780" s="169"/>
      <c r="V780" s="168"/>
      <c r="W780" s="168"/>
      <c r="X780" s="168"/>
    </row>
    <row r="781" spans="16:24" customFormat="1" x14ac:dyDescent="0.35">
      <c r="P781" s="168"/>
      <c r="Q781" s="168"/>
      <c r="R781" s="168"/>
      <c r="S781" s="169"/>
      <c r="T781" s="169"/>
      <c r="U781" s="169"/>
      <c r="V781" s="168"/>
      <c r="W781" s="168"/>
      <c r="X781" s="168"/>
    </row>
    <row r="782" spans="16:24" customFormat="1" x14ac:dyDescent="0.35">
      <c r="P782" s="168"/>
      <c r="Q782" s="168"/>
      <c r="R782" s="168"/>
      <c r="S782" s="169"/>
      <c r="T782" s="169"/>
      <c r="U782" s="169"/>
      <c r="V782" s="168"/>
      <c r="W782" s="168"/>
      <c r="X782" s="168"/>
    </row>
    <row r="783" spans="16:24" customFormat="1" x14ac:dyDescent="0.35">
      <c r="P783" s="168"/>
      <c r="Q783" s="168"/>
      <c r="R783" s="168"/>
      <c r="S783" s="169"/>
      <c r="T783" s="169"/>
      <c r="U783" s="169"/>
      <c r="V783" s="168"/>
      <c r="W783" s="168"/>
      <c r="X783" s="168"/>
    </row>
    <row r="784" spans="16:24" customFormat="1" x14ac:dyDescent="0.35">
      <c r="P784" s="168"/>
      <c r="Q784" s="168"/>
      <c r="R784" s="168"/>
      <c r="S784" s="169"/>
      <c r="T784" s="169"/>
      <c r="U784" s="169"/>
      <c r="V784" s="168"/>
      <c r="W784" s="168"/>
      <c r="X784" s="168"/>
    </row>
    <row r="785" spans="16:24" customFormat="1" x14ac:dyDescent="0.35">
      <c r="P785" s="168"/>
      <c r="Q785" s="168"/>
      <c r="R785" s="168"/>
      <c r="S785" s="169"/>
      <c r="T785" s="169"/>
      <c r="U785" s="169"/>
      <c r="V785" s="168"/>
      <c r="W785" s="168"/>
      <c r="X785" s="168"/>
    </row>
    <row r="786" spans="16:24" customFormat="1" x14ac:dyDescent="0.35">
      <c r="P786" s="168"/>
      <c r="Q786" s="168"/>
      <c r="R786" s="168"/>
      <c r="S786" s="169"/>
      <c r="T786" s="169"/>
      <c r="U786" s="169"/>
      <c r="V786" s="168"/>
      <c r="W786" s="168"/>
      <c r="X786" s="168"/>
    </row>
    <row r="787" spans="16:24" customFormat="1" x14ac:dyDescent="0.35">
      <c r="P787" s="168"/>
      <c r="Q787" s="168"/>
      <c r="R787" s="168"/>
      <c r="S787" s="169"/>
      <c r="T787" s="169"/>
      <c r="U787" s="169"/>
      <c r="V787" s="168"/>
      <c r="W787" s="168"/>
      <c r="X787" s="168"/>
    </row>
    <row r="788" spans="16:24" customFormat="1" x14ac:dyDescent="0.35">
      <c r="P788" s="168"/>
      <c r="Q788" s="168"/>
      <c r="R788" s="168"/>
      <c r="S788" s="169"/>
      <c r="T788" s="169"/>
      <c r="U788" s="169"/>
      <c r="V788" s="168"/>
      <c r="W788" s="168"/>
      <c r="X788" s="168"/>
    </row>
    <row r="789" spans="16:24" customFormat="1" x14ac:dyDescent="0.35">
      <c r="P789" s="168"/>
      <c r="Q789" s="168"/>
      <c r="R789" s="168"/>
      <c r="S789" s="169"/>
      <c r="T789" s="169"/>
      <c r="U789" s="169"/>
      <c r="V789" s="168"/>
      <c r="W789" s="168"/>
      <c r="X789" s="168"/>
    </row>
    <row r="790" spans="16:24" customFormat="1" x14ac:dyDescent="0.35">
      <c r="P790" s="168"/>
      <c r="Q790" s="168"/>
      <c r="R790" s="168"/>
      <c r="S790" s="169"/>
      <c r="T790" s="169"/>
      <c r="U790" s="169"/>
      <c r="V790" s="168"/>
      <c r="W790" s="168"/>
      <c r="X790" s="168"/>
    </row>
    <row r="791" spans="16:24" customFormat="1" x14ac:dyDescent="0.35">
      <c r="P791" s="168"/>
      <c r="Q791" s="168"/>
      <c r="R791" s="168"/>
      <c r="S791" s="169"/>
      <c r="T791" s="169"/>
      <c r="U791" s="169"/>
      <c r="V791" s="168"/>
      <c r="W791" s="168"/>
      <c r="X791" s="168"/>
    </row>
    <row r="792" spans="16:24" customFormat="1" x14ac:dyDescent="0.35">
      <c r="P792" s="168"/>
      <c r="Q792" s="168"/>
      <c r="R792" s="168"/>
      <c r="S792" s="169"/>
      <c r="T792" s="169"/>
      <c r="U792" s="169"/>
      <c r="V792" s="168"/>
      <c r="W792" s="168"/>
      <c r="X792" s="168"/>
    </row>
  </sheetData>
  <autoFilter ref="A17:BX116"/>
  <mergeCells count="45">
    <mergeCell ref="L4:M4"/>
    <mergeCell ref="N4:O4"/>
    <mergeCell ref="F5:G5"/>
    <mergeCell ref="H5:I5"/>
    <mergeCell ref="J5:K5"/>
    <mergeCell ref="L5:M5"/>
    <mergeCell ref="E2:E3"/>
    <mergeCell ref="E4:E6"/>
    <mergeCell ref="E8:E13"/>
    <mergeCell ref="H6:I6"/>
    <mergeCell ref="J6:K6"/>
    <mergeCell ref="F4:G4"/>
    <mergeCell ref="H4:I4"/>
    <mergeCell ref="J4:K4"/>
    <mergeCell ref="G9:K9"/>
    <mergeCell ref="L6:M6"/>
    <mergeCell ref="K16:O16"/>
    <mergeCell ref="N6:O6"/>
    <mergeCell ref="F6:G6"/>
    <mergeCell ref="A16:F16"/>
    <mergeCell ref="M8:O8"/>
    <mergeCell ref="AP6:AR6"/>
    <mergeCell ref="AF16:AG16"/>
    <mergeCell ref="S16:U16"/>
    <mergeCell ref="V16:X16"/>
    <mergeCell ref="AL6:AN6"/>
    <mergeCell ref="AA16:AE16"/>
    <mergeCell ref="Y16:Z16"/>
    <mergeCell ref="AH16:AI16"/>
    <mergeCell ref="B2:C2"/>
    <mergeCell ref="B5:C5"/>
    <mergeCell ref="BS16:BX16"/>
    <mergeCell ref="AR16:AS16"/>
    <mergeCell ref="AU16:BA16"/>
    <mergeCell ref="BB16:BH16"/>
    <mergeCell ref="BI16:BM16"/>
    <mergeCell ref="BN16:BR16"/>
    <mergeCell ref="P15:R15"/>
    <mergeCell ref="P16:R16"/>
    <mergeCell ref="V15:X15"/>
    <mergeCell ref="AK16:AQ16"/>
    <mergeCell ref="S15:U15"/>
    <mergeCell ref="N5:O5"/>
    <mergeCell ref="I16:J16"/>
    <mergeCell ref="G16:H16"/>
  </mergeCells>
  <conditionalFormatting sqref="G9">
    <cfRule type="expression" dxfId="42" priority="30" stopIfTrue="1">
      <formula>LEFT(F9,3)="Cer"</formula>
    </cfRule>
  </conditionalFormatting>
  <conditionalFormatting sqref="G9:K9">
    <cfRule type="expression" dxfId="41" priority="31" stopIfTrue="1">
      <formula>LEFT(G9,1)="H"</formula>
    </cfRule>
    <cfRule type="expression" dxfId="40" priority="32" stopIfTrue="1">
      <formula>LEFT(G9,1)="M"</formula>
    </cfRule>
    <cfRule type="expression" dxfId="39" priority="33" stopIfTrue="1">
      <formula>LEFT(G9,1)="L"</formula>
    </cfRule>
  </conditionalFormatting>
  <conditionalFormatting sqref="G10:K13">
    <cfRule type="expression" dxfId="38" priority="38" stopIfTrue="1">
      <formula>LEFT(G10,1)="H"</formula>
    </cfRule>
    <cfRule type="expression" dxfId="37" priority="39" stopIfTrue="1">
      <formula>LEFT(G10,1)="M"</formula>
    </cfRule>
    <cfRule type="expression" dxfId="36" priority="40" stopIfTrue="1">
      <formula>LEFT(G10,1)="L"</formula>
    </cfRule>
  </conditionalFormatting>
  <conditionalFormatting sqref="H18:H116">
    <cfRule type="expression" dxfId="35" priority="22" stopIfTrue="1">
      <formula>LEFT(H18,1)="H"</formula>
    </cfRule>
    <cfRule type="expression" dxfId="34" priority="23" stopIfTrue="1">
      <formula>LEFT(H18,1)="M"</formula>
    </cfRule>
    <cfRule type="expression" dxfId="33" priority="24" stopIfTrue="1">
      <formula>LEFT(H18,1)="L"</formula>
    </cfRule>
    <cfRule type="expression" dxfId="32" priority="25" stopIfTrue="1">
      <formula>LEFT(F18,3)="Cer"</formula>
    </cfRule>
  </conditionalFormatting>
  <conditionalFormatting sqref="J18:J116">
    <cfRule type="expression" dxfId="31" priority="26" stopIfTrue="1">
      <formula>LEFT(J18,1)="H"</formula>
    </cfRule>
    <cfRule type="expression" dxfId="30" priority="27" stopIfTrue="1">
      <formula>LEFT(J18,1)="M"</formula>
    </cfRule>
    <cfRule type="expression" dxfId="29" priority="28" stopIfTrue="1">
      <formula>LEFT(J18,1)="L"</formula>
    </cfRule>
    <cfRule type="expression" dxfId="28" priority="29" stopIfTrue="1">
      <formula>LEFT(F18,3)="Cer"</formula>
    </cfRule>
  </conditionalFormatting>
  <conditionalFormatting sqref="M10:M12">
    <cfRule type="expression" dxfId="27" priority="15" stopIfTrue="1">
      <formula>LEFT(M10,1)="L"</formula>
    </cfRule>
  </conditionalFormatting>
  <conditionalFormatting sqref="M10:M13">
    <cfRule type="expression" dxfId="26" priority="13" stopIfTrue="1">
      <formula>LEFT(M10,1)="H"</formula>
    </cfRule>
    <cfRule type="expression" dxfId="25" priority="14" stopIfTrue="1">
      <formula>LEFT(M10,1)="M"</formula>
    </cfRule>
  </conditionalFormatting>
  <conditionalFormatting sqref="S10:S12">
    <cfRule type="expression" dxfId="24" priority="4" stopIfTrue="1">
      <formula>LEFT(S10,1)="H"</formula>
    </cfRule>
    <cfRule type="expression" dxfId="23" priority="5" stopIfTrue="1">
      <formula>LEFT(S10,1)="M"</formula>
    </cfRule>
    <cfRule type="expression" dxfId="22" priority="6" stopIfTrue="1">
      <formula>LEFT(S10,1)="L"</formula>
    </cfRule>
  </conditionalFormatting>
  <conditionalFormatting sqref="AR18:AS116">
    <cfRule type="cellIs" dxfId="21" priority="41" operator="equal">
      <formula>"Check Impact"</formula>
    </cfRule>
  </conditionalFormatting>
  <dataValidations disablePrompts="1" count="7">
    <dataValidation allowBlank="1" showInputMessage="1" showErrorMessage="1" prompt="See &quot;1-Drop Down List&quot; for source of information which can be adjusted &amp; edited." sqref="K17:L17 N17:O17"/>
    <dataValidation type="list" showInputMessage="1" showErrorMessage="1" sqref="B18:B116">
      <formula1>RT</formula1>
    </dataValidation>
    <dataValidation type="list" allowBlank="1" showInputMessage="1" showErrorMessage="1" sqref="K18:L116">
      <formula1>Distri</formula1>
    </dataValidation>
    <dataValidation type="list" allowBlank="1" showInputMessage="1" showErrorMessage="1" sqref="G18:G116 I18:I116">
      <formula1>Impact</formula1>
    </dataValidation>
    <dataValidation type="list" allowBlank="1" showInputMessage="1" showErrorMessage="1" sqref="F18:F116">
      <formula1>LikeH</formula1>
    </dataValidation>
    <dataValidation type="list" allowBlank="1" showInputMessage="1" showErrorMessage="1" sqref="O18:O116">
      <formula1>APC</formula1>
    </dataValidation>
    <dataValidation type="list" allowBlank="1" showInputMessage="1" showErrorMessage="1" sqref="N18:N116">
      <formula1>POC</formula1>
    </dataValidation>
  </dataValidations>
  <pageMargins left="0.25" right="0.25" top="0.25" bottom="0.5" header="0.25" footer="0.25"/>
  <pageSetup paperSize="3" scale="30" fitToHeight="0" orientation="landscape" horizontalDpi="1200" verticalDpi="1200" r:id="rId1"/>
  <headerFooter>
    <oddFooter>&amp;CPage &amp;P of &amp;N</oddFooter>
  </headerFooter>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pageSetUpPr fitToPage="1"/>
  </sheetPr>
  <dimension ref="A1:T88"/>
  <sheetViews>
    <sheetView showGridLines="0" zoomScaleNormal="100" workbookViewId="0">
      <pane ySplit="15" topLeftCell="A16" activePane="bottomLeft" state="frozen"/>
      <selection pane="bottomLeft" activeCell="A16" sqref="A16"/>
    </sheetView>
  </sheetViews>
  <sheetFormatPr defaultColWidth="8.81640625" defaultRowHeight="14.5" x14ac:dyDescent="0.35"/>
  <cols>
    <col min="1" max="1" width="2.81640625" customWidth="1"/>
    <col min="2" max="2" width="5.54296875" style="76" customWidth="1"/>
    <col min="3" max="3" width="15.81640625" customWidth="1"/>
    <col min="4" max="6" width="20.81640625" customWidth="1"/>
    <col min="7" max="8" width="30.81640625" style="181" customWidth="1"/>
    <col min="9" max="9" width="30.81640625" customWidth="1"/>
    <col min="10" max="10" width="10.81640625" customWidth="1"/>
    <col min="11" max="11" width="2.81640625" customWidth="1"/>
    <col min="12" max="12" width="5.81640625" customWidth="1"/>
    <col min="13" max="13" width="9.1796875" style="182"/>
    <col min="14" max="14" width="22" style="182" bestFit="1" customWidth="1"/>
    <col min="15" max="15" width="25.54296875" bestFit="1" customWidth="1"/>
    <col min="16" max="17" width="9.1796875"/>
    <col min="18" max="18" width="12.54296875" style="183" bestFit="1" customWidth="1"/>
    <col min="19" max="20" width="8.81640625" style="183"/>
  </cols>
  <sheetData>
    <row r="1" spans="1:20" s="7" customFormat="1" ht="21" x14ac:dyDescent="0.5">
      <c r="A1" s="980" t="s">
        <v>1161</v>
      </c>
      <c r="B1" s="980"/>
      <c r="C1" s="980"/>
      <c r="D1" s="980"/>
      <c r="E1" s="980"/>
      <c r="F1" s="980"/>
      <c r="G1" s="980"/>
      <c r="H1" s="980"/>
      <c r="I1" s="980"/>
      <c r="J1" s="980"/>
      <c r="K1" s="980"/>
      <c r="M1" s="568"/>
      <c r="N1" s="568"/>
      <c r="R1" s="569"/>
      <c r="S1" s="569"/>
      <c r="T1" s="569"/>
    </row>
    <row r="2" spans="1:20" ht="15" thickBot="1" x14ac:dyDescent="0.4">
      <c r="A2" s="279"/>
      <c r="B2" s="319"/>
      <c r="C2" s="279"/>
      <c r="D2" s="279"/>
      <c r="E2" s="279"/>
      <c r="F2" s="279"/>
      <c r="G2" s="320"/>
      <c r="H2" s="320"/>
      <c r="I2" s="279"/>
      <c r="J2" s="279"/>
      <c r="K2" s="279"/>
    </row>
    <row r="3" spans="1:20" ht="15" thickBot="1" x14ac:dyDescent="0.4">
      <c r="A3" s="279"/>
      <c r="B3" s="981" t="str">
        <f>'D-Project Data'!C9&amp;CHAR(10)&amp;CHAR(10)&amp;TEXT('D-Project Data'!C13,"mmmm yyyy")</f>
        <v>Project Name
October 2023</v>
      </c>
      <c r="C3" s="981"/>
      <c r="D3" s="981"/>
      <c r="E3" s="981"/>
      <c r="F3" s="279"/>
      <c r="G3" s="976" t="s">
        <v>847</v>
      </c>
      <c r="H3" s="977"/>
      <c r="I3" s="957">
        <f>'D-Project Data'!C6</f>
        <v>0.8</v>
      </c>
      <c r="J3" s="958"/>
      <c r="K3" s="325"/>
      <c r="M3" s="318" t="s">
        <v>846</v>
      </c>
    </row>
    <row r="4" spans="1:20" x14ac:dyDescent="0.35">
      <c r="A4" s="279"/>
      <c r="B4" s="981"/>
      <c r="C4" s="981"/>
      <c r="D4" s="981"/>
      <c r="E4" s="981"/>
      <c r="F4" s="279"/>
      <c r="G4" s="978" t="s">
        <v>672</v>
      </c>
      <c r="H4" s="979"/>
      <c r="I4" s="242">
        <f>'E-Cost &amp; Schedule Summary'!D50</f>
        <v>7250000</v>
      </c>
      <c r="J4" s="243"/>
      <c r="K4" s="322"/>
      <c r="N4" s="182" t="s">
        <v>792</v>
      </c>
      <c r="O4" s="188">
        <f>'H-Risk Register-Model'!AE1</f>
        <v>0</v>
      </c>
      <c r="P4" t="s">
        <v>659</v>
      </c>
    </row>
    <row r="5" spans="1:20" x14ac:dyDescent="0.35">
      <c r="A5" s="279"/>
      <c r="B5" s="981"/>
      <c r="C5" s="981"/>
      <c r="D5" s="981"/>
      <c r="E5" s="981"/>
      <c r="F5" s="279"/>
      <c r="G5" s="993" t="s">
        <v>869</v>
      </c>
      <c r="H5" s="994"/>
      <c r="I5" s="244">
        <f>VLOOKUP(G6,$C$23:$D$33,2,FALSE)</f>
        <v>3335000</v>
      </c>
      <c r="J5" s="245">
        <f>ROUNDUP(I5/I4,2)</f>
        <v>0.46</v>
      </c>
      <c r="K5" s="326"/>
      <c r="N5" s="182" t="s">
        <v>791</v>
      </c>
      <c r="O5" s="191">
        <f>'H-Risk Register-Model'!AG1</f>
        <v>0</v>
      </c>
    </row>
    <row r="6" spans="1:20" ht="15" thickBot="1" x14ac:dyDescent="0.4">
      <c r="A6" s="279"/>
      <c r="B6" s="981"/>
      <c r="C6" s="981"/>
      <c r="D6" s="981"/>
      <c r="E6" s="981"/>
      <c r="F6" s="279"/>
      <c r="G6" s="995">
        <f>'D-Project Data'!C6</f>
        <v>0.8</v>
      </c>
      <c r="H6" s="996"/>
      <c r="I6" s="246">
        <f>I4+I5</f>
        <v>10585000</v>
      </c>
      <c r="J6" s="247"/>
      <c r="K6" s="322"/>
    </row>
    <row r="7" spans="1:20" ht="15" thickBot="1" x14ac:dyDescent="0.4">
      <c r="A7" s="279"/>
      <c r="B7" s="981"/>
      <c r="C7" s="981"/>
      <c r="D7" s="981"/>
      <c r="E7" s="981"/>
      <c r="F7" s="279"/>
      <c r="G7" s="321"/>
      <c r="H7" s="321"/>
      <c r="I7" s="322"/>
      <c r="J7" s="279"/>
      <c r="K7" s="279"/>
      <c r="N7"/>
    </row>
    <row r="8" spans="1:20" ht="15" thickBot="1" x14ac:dyDescent="0.4">
      <c r="A8" s="279"/>
      <c r="B8" s="981"/>
      <c r="C8" s="981"/>
      <c r="D8" s="981"/>
      <c r="E8" s="981"/>
      <c r="F8" s="279"/>
      <c r="G8" s="976" t="s">
        <v>845</v>
      </c>
      <c r="H8" s="977"/>
      <c r="I8" s="959">
        <f>'D-Project Data'!C6</f>
        <v>0.8</v>
      </c>
      <c r="J8" s="960"/>
      <c r="K8" s="327"/>
      <c r="N8"/>
    </row>
    <row r="9" spans="1:20" x14ac:dyDescent="0.35">
      <c r="A9" s="279"/>
      <c r="B9" s="981"/>
      <c r="C9" s="981"/>
      <c r="D9" s="981"/>
      <c r="E9" s="981"/>
      <c r="F9" s="279"/>
      <c r="G9" s="964" t="s">
        <v>870</v>
      </c>
      <c r="H9" s="965"/>
      <c r="I9" s="248">
        <f>'E-Cost &amp; Schedule Summary'!C6</f>
        <v>45200</v>
      </c>
      <c r="J9" s="249" t="s">
        <v>659</v>
      </c>
      <c r="K9" s="328"/>
      <c r="N9"/>
    </row>
    <row r="10" spans="1:20" x14ac:dyDescent="0.35">
      <c r="A10" s="279"/>
      <c r="B10" s="981"/>
      <c r="C10" s="981"/>
      <c r="D10" s="981"/>
      <c r="E10" s="981"/>
      <c r="F10" s="279"/>
      <c r="G10" s="966" t="s">
        <v>871</v>
      </c>
      <c r="H10" s="967"/>
      <c r="I10" s="250">
        <f>'E-Cost &amp; Schedule Summary'!C7</f>
        <v>45566</v>
      </c>
      <c r="J10" s="251"/>
      <c r="K10" s="328"/>
    </row>
    <row r="11" spans="1:20" x14ac:dyDescent="0.35">
      <c r="A11" s="279"/>
      <c r="B11" s="981"/>
      <c r="C11" s="981"/>
      <c r="D11" s="981"/>
      <c r="E11" s="981"/>
      <c r="F11" s="279"/>
      <c r="G11" s="966" t="s">
        <v>872</v>
      </c>
      <c r="H11" s="967"/>
      <c r="I11" s="252">
        <f>YEARFRAC(I9,I10,1)*12</f>
        <v>12</v>
      </c>
      <c r="J11" s="251"/>
      <c r="K11" s="328"/>
    </row>
    <row r="12" spans="1:20" x14ac:dyDescent="0.35">
      <c r="A12" s="279"/>
      <c r="B12" s="981"/>
      <c r="C12" s="981"/>
      <c r="D12" s="981"/>
      <c r="E12" s="981"/>
      <c r="F12" s="279"/>
      <c r="G12" s="966" t="s">
        <v>873</v>
      </c>
      <c r="H12" s="967"/>
      <c r="I12" s="252">
        <f>VLOOKUP(G13,$C$44:$D$54,2,FALSE)</f>
        <v>6.12</v>
      </c>
      <c r="J12" s="253">
        <f>I12/I11</f>
        <v>0.51</v>
      </c>
      <c r="K12" s="326"/>
    </row>
    <row r="13" spans="1:20" x14ac:dyDescent="0.35">
      <c r="A13" s="279"/>
      <c r="B13" s="981"/>
      <c r="C13" s="981"/>
      <c r="D13" s="981"/>
      <c r="E13" s="981"/>
      <c r="F13" s="279"/>
      <c r="G13" s="997">
        <f>'D-Project Data'!C6</f>
        <v>0.8</v>
      </c>
      <c r="H13" s="998"/>
      <c r="I13" s="252">
        <f>I11+I12</f>
        <v>18.12</v>
      </c>
      <c r="J13" s="251"/>
      <c r="K13" s="328"/>
    </row>
    <row r="14" spans="1:20" ht="15" thickBot="1" x14ac:dyDescent="0.4">
      <c r="A14" s="279"/>
      <c r="B14" s="981"/>
      <c r="C14" s="981"/>
      <c r="D14" s="981"/>
      <c r="E14" s="981"/>
      <c r="F14" s="279"/>
      <c r="G14" s="999">
        <f>'D-Project Data'!C6</f>
        <v>0.8</v>
      </c>
      <c r="H14" s="1000"/>
      <c r="I14" s="254">
        <f>EDATE(I10,TRUNC(I12,1))+CEILING((EDATE(I10,CEILING(I12,1))-EDATE(I10,FLOOR(I12,1)))*(I12-TRUNC(I12)),1)</f>
        <v>45752</v>
      </c>
      <c r="J14" s="255"/>
      <c r="K14" s="328"/>
    </row>
    <row r="15" spans="1:20" ht="15" thickBot="1" x14ac:dyDescent="0.4">
      <c r="A15" s="279"/>
      <c r="B15" s="319"/>
      <c r="C15" s="279"/>
      <c r="D15" s="279"/>
      <c r="E15" s="279"/>
      <c r="F15" s="279"/>
      <c r="G15" s="321"/>
      <c r="H15" s="321"/>
      <c r="I15" s="334"/>
      <c r="J15" s="279"/>
      <c r="K15" s="279"/>
      <c r="L15" s="194"/>
      <c r="M15" s="184"/>
    </row>
    <row r="16" spans="1:20" ht="19" thickBot="1" x14ac:dyDescent="0.4">
      <c r="A16" s="279"/>
      <c r="B16" s="968" t="s">
        <v>850</v>
      </c>
      <c r="C16" s="969"/>
      <c r="D16" s="969"/>
      <c r="E16" s="969"/>
      <c r="F16" s="969"/>
      <c r="G16" s="969"/>
      <c r="H16" s="969"/>
      <c r="I16" s="969"/>
      <c r="J16" s="970"/>
      <c r="K16" s="329"/>
    </row>
    <row r="17" spans="1:20" x14ac:dyDescent="0.35">
      <c r="A17" s="279"/>
      <c r="B17" s="335"/>
      <c r="C17" s="195"/>
      <c r="D17" s="195"/>
      <c r="E17" s="195"/>
      <c r="F17" s="195"/>
      <c r="G17" s="195"/>
      <c r="H17" s="195"/>
      <c r="I17" s="195"/>
      <c r="J17" s="336"/>
      <c r="K17" s="323"/>
      <c r="N17"/>
      <c r="R17"/>
      <c r="S17"/>
      <c r="T17"/>
    </row>
    <row r="18" spans="1:20" x14ac:dyDescent="0.35">
      <c r="A18" s="279"/>
      <c r="B18" s="257"/>
      <c r="C18" s="963"/>
      <c r="D18" s="963"/>
      <c r="E18" s="963"/>
      <c r="F18" s="539"/>
      <c r="G18" s="540"/>
      <c r="H18" s="540"/>
      <c r="I18" s="540"/>
      <c r="J18" s="541"/>
      <c r="K18" s="279"/>
      <c r="N18"/>
      <c r="R18"/>
      <c r="S18"/>
      <c r="T18"/>
    </row>
    <row r="19" spans="1:20" ht="15" thickBot="1" x14ac:dyDescent="0.4">
      <c r="A19" s="279"/>
      <c r="B19" s="257"/>
      <c r="C19" s="982" t="s">
        <v>852</v>
      </c>
      <c r="D19" s="982"/>
      <c r="E19" s="982"/>
      <c r="F19" s="982"/>
      <c r="G19" s="542"/>
      <c r="H19" s="542"/>
      <c r="I19" s="542"/>
      <c r="J19" s="541"/>
      <c r="K19" s="279"/>
      <c r="N19"/>
      <c r="R19"/>
      <c r="S19"/>
      <c r="T19"/>
    </row>
    <row r="20" spans="1:20" ht="15" thickBot="1" x14ac:dyDescent="0.4">
      <c r="A20" s="279"/>
      <c r="B20" s="257"/>
      <c r="C20" s="991" t="str">
        <f>G4</f>
        <v>Base Estimate</v>
      </c>
      <c r="D20" s="992"/>
      <c r="E20" s="974">
        <f>I4</f>
        <v>7250000</v>
      </c>
      <c r="F20" s="975"/>
      <c r="I20" s="542"/>
      <c r="J20" s="541"/>
      <c r="K20" s="330"/>
      <c r="N20"/>
      <c r="R20"/>
      <c r="S20"/>
      <c r="T20"/>
    </row>
    <row r="21" spans="1:20" x14ac:dyDescent="0.35">
      <c r="A21" s="279"/>
      <c r="B21" s="257"/>
      <c r="C21" s="988"/>
      <c r="D21" s="989"/>
      <c r="E21" s="989"/>
      <c r="F21" s="990"/>
      <c r="G21" s="562"/>
      <c r="H21" s="562"/>
      <c r="I21" s="542"/>
      <c r="J21" s="541"/>
      <c r="K21" s="330"/>
      <c r="N21"/>
      <c r="R21"/>
      <c r="S21"/>
      <c r="T21"/>
    </row>
    <row r="22" spans="1:20" ht="29" x14ac:dyDescent="0.35">
      <c r="A22" s="279"/>
      <c r="B22" s="257"/>
      <c r="C22" s="436" t="s">
        <v>848</v>
      </c>
      <c r="D22" s="551" t="s">
        <v>849</v>
      </c>
      <c r="E22" s="437" t="s">
        <v>842</v>
      </c>
      <c r="F22" s="548" t="s">
        <v>1157</v>
      </c>
      <c r="G22" s="662" t="s">
        <v>1155</v>
      </c>
      <c r="H22" s="563"/>
      <c r="I22" s="542"/>
      <c r="J22" s="541"/>
      <c r="K22" s="330"/>
      <c r="L22" s="197" t="s">
        <v>844</v>
      </c>
      <c r="N22"/>
      <c r="R22"/>
      <c r="S22"/>
      <c r="T22"/>
    </row>
    <row r="23" spans="1:20" x14ac:dyDescent="0.35">
      <c r="A23" s="279"/>
      <c r="B23" s="257"/>
      <c r="C23" s="338">
        <v>0</v>
      </c>
      <c r="D23" s="557">
        <f t="shared" ref="D23:D33" si="0">F61</f>
        <v>-290000</v>
      </c>
      <c r="E23" s="549">
        <f t="shared" ref="E23:E33" si="1">ROUNDUP(((D23)/$E$20),2)</f>
        <v>-0.04</v>
      </c>
      <c r="F23" s="558">
        <f t="shared" ref="F23:F33" si="2">D23+$E$20</f>
        <v>6960000</v>
      </c>
      <c r="G23" s="664">
        <f>+E20</f>
        <v>7250000</v>
      </c>
      <c r="H23" s="564"/>
      <c r="I23" s="564"/>
      <c r="J23" s="337"/>
      <c r="K23" s="331"/>
      <c r="L23" s="198" t="str">
        <f>'E-Cost &amp; Schedule Summary'!$G$52</f>
        <v xml:space="preserve"> </v>
      </c>
      <c r="N23"/>
      <c r="R23"/>
      <c r="S23"/>
      <c r="T23"/>
    </row>
    <row r="24" spans="1:20" x14ac:dyDescent="0.35">
      <c r="A24" s="279"/>
      <c r="B24" s="257"/>
      <c r="C24" s="338">
        <v>0.1</v>
      </c>
      <c r="D24" s="557">
        <f t="shared" si="0"/>
        <v>217500</v>
      </c>
      <c r="E24" s="549">
        <f t="shared" si="1"/>
        <v>0.03</v>
      </c>
      <c r="F24" s="558">
        <f t="shared" si="2"/>
        <v>7467500</v>
      </c>
      <c r="G24" s="664">
        <f t="shared" ref="G24:G33" si="3">$E$20</f>
        <v>7250000</v>
      </c>
      <c r="H24" s="564"/>
      <c r="I24" s="564"/>
      <c r="J24" s="337"/>
      <c r="K24" s="331"/>
      <c r="L24" s="198" t="str">
        <f>'E-Cost &amp; Schedule Summary'!$G$52</f>
        <v xml:space="preserve"> </v>
      </c>
      <c r="N24"/>
      <c r="R24"/>
      <c r="S24"/>
      <c r="T24"/>
    </row>
    <row r="25" spans="1:20" x14ac:dyDescent="0.35">
      <c r="A25" s="279"/>
      <c r="B25" s="257"/>
      <c r="C25" s="338">
        <v>0.2</v>
      </c>
      <c r="D25" s="557">
        <f t="shared" si="0"/>
        <v>580000</v>
      </c>
      <c r="E25" s="549">
        <f t="shared" si="1"/>
        <v>0.08</v>
      </c>
      <c r="F25" s="558">
        <f t="shared" si="2"/>
        <v>7830000</v>
      </c>
      <c r="G25" s="664">
        <f t="shared" si="3"/>
        <v>7250000</v>
      </c>
      <c r="H25" s="564"/>
      <c r="I25" s="564"/>
      <c r="J25" s="337"/>
      <c r="K25" s="331"/>
      <c r="L25" s="198" t="str">
        <f>'E-Cost &amp; Schedule Summary'!$G$52</f>
        <v xml:space="preserve"> </v>
      </c>
      <c r="M25"/>
      <c r="N25"/>
      <c r="R25"/>
      <c r="S25"/>
      <c r="T25"/>
    </row>
    <row r="26" spans="1:20" x14ac:dyDescent="0.35">
      <c r="A26" s="279"/>
      <c r="B26" s="257"/>
      <c r="C26" s="338">
        <v>0.3</v>
      </c>
      <c r="D26" s="557">
        <f t="shared" si="0"/>
        <v>942500</v>
      </c>
      <c r="E26" s="549">
        <f t="shared" si="1"/>
        <v>0.13</v>
      </c>
      <c r="F26" s="558">
        <f t="shared" si="2"/>
        <v>8192500</v>
      </c>
      <c r="G26" s="664">
        <f t="shared" si="3"/>
        <v>7250000</v>
      </c>
      <c r="H26" s="564"/>
      <c r="I26" s="564"/>
      <c r="J26" s="337"/>
      <c r="K26" s="331"/>
      <c r="L26" s="198" t="str">
        <f>'E-Cost &amp; Schedule Summary'!$G$52</f>
        <v xml:space="preserve"> </v>
      </c>
      <c r="M26"/>
      <c r="N26"/>
      <c r="R26"/>
      <c r="S26"/>
      <c r="T26"/>
    </row>
    <row r="27" spans="1:20" x14ac:dyDescent="0.35">
      <c r="A27" s="279"/>
      <c r="B27" s="257"/>
      <c r="C27" s="338">
        <v>0.4</v>
      </c>
      <c r="D27" s="557">
        <f t="shared" si="0"/>
        <v>1305000.0000000002</v>
      </c>
      <c r="E27" s="549">
        <f t="shared" si="1"/>
        <v>0.18</v>
      </c>
      <c r="F27" s="558">
        <f t="shared" si="2"/>
        <v>8555000</v>
      </c>
      <c r="G27" s="664">
        <f t="shared" si="3"/>
        <v>7250000</v>
      </c>
      <c r="H27" s="564"/>
      <c r="I27" s="564"/>
      <c r="J27" s="337"/>
      <c r="K27" s="331"/>
      <c r="L27" s="198" t="str">
        <f>'E-Cost &amp; Schedule Summary'!$G$52</f>
        <v xml:space="preserve"> </v>
      </c>
      <c r="M27"/>
      <c r="N27"/>
      <c r="R27"/>
      <c r="S27"/>
      <c r="T27"/>
    </row>
    <row r="28" spans="1:20" x14ac:dyDescent="0.35">
      <c r="A28" s="279"/>
      <c r="B28" s="339"/>
      <c r="C28" s="338">
        <v>0.5</v>
      </c>
      <c r="D28" s="557">
        <f t="shared" si="0"/>
        <v>1740000.0000000002</v>
      </c>
      <c r="E28" s="549">
        <f t="shared" si="1"/>
        <v>0.24</v>
      </c>
      <c r="F28" s="558">
        <f t="shared" si="2"/>
        <v>8990000</v>
      </c>
      <c r="G28" s="664">
        <f t="shared" si="3"/>
        <v>7250000</v>
      </c>
      <c r="H28" s="564"/>
      <c r="I28" s="564"/>
      <c r="J28" s="337"/>
      <c r="K28" s="331"/>
      <c r="L28" s="198" t="str">
        <f>'E-Cost &amp; Schedule Summary'!$G$52</f>
        <v xml:space="preserve"> </v>
      </c>
      <c r="M28"/>
      <c r="N28"/>
      <c r="R28"/>
      <c r="S28"/>
      <c r="T28"/>
    </row>
    <row r="29" spans="1:20" x14ac:dyDescent="0.35">
      <c r="A29" s="279"/>
      <c r="B29" s="339"/>
      <c r="C29" s="338">
        <v>0.6</v>
      </c>
      <c r="D29" s="557">
        <f t="shared" si="0"/>
        <v>2175000</v>
      </c>
      <c r="E29" s="549">
        <f t="shared" si="1"/>
        <v>0.3</v>
      </c>
      <c r="F29" s="558">
        <f t="shared" si="2"/>
        <v>9425000</v>
      </c>
      <c r="G29" s="664">
        <f t="shared" si="3"/>
        <v>7250000</v>
      </c>
      <c r="H29" s="564"/>
      <c r="I29" s="564"/>
      <c r="J29" s="337"/>
      <c r="K29" s="331"/>
      <c r="L29" s="198" t="str">
        <f>'E-Cost &amp; Schedule Summary'!$G$52</f>
        <v xml:space="preserve"> </v>
      </c>
      <c r="M29"/>
      <c r="N29"/>
      <c r="R29"/>
      <c r="S29"/>
      <c r="T29"/>
    </row>
    <row r="30" spans="1:20" x14ac:dyDescent="0.35">
      <c r="A30" s="279"/>
      <c r="B30" s="339"/>
      <c r="C30" s="338">
        <v>0.7</v>
      </c>
      <c r="D30" s="557">
        <f t="shared" si="0"/>
        <v>2755000</v>
      </c>
      <c r="E30" s="549">
        <f t="shared" si="1"/>
        <v>0.38</v>
      </c>
      <c r="F30" s="558">
        <f t="shared" si="2"/>
        <v>10005000</v>
      </c>
      <c r="G30" s="664">
        <f t="shared" si="3"/>
        <v>7250000</v>
      </c>
      <c r="H30" s="564"/>
      <c r="I30" s="564"/>
      <c r="J30" s="337"/>
      <c r="K30" s="331"/>
      <c r="L30" s="198" t="str">
        <f>'E-Cost &amp; Schedule Summary'!$G$52</f>
        <v xml:space="preserve"> </v>
      </c>
      <c r="M30"/>
      <c r="N30"/>
      <c r="R30"/>
      <c r="S30"/>
      <c r="T30"/>
    </row>
    <row r="31" spans="1:20" x14ac:dyDescent="0.35">
      <c r="A31" s="279"/>
      <c r="B31" s="339"/>
      <c r="C31" s="338">
        <v>0.8</v>
      </c>
      <c r="D31" s="557">
        <f t="shared" si="0"/>
        <v>3335000</v>
      </c>
      <c r="E31" s="549">
        <f t="shared" si="1"/>
        <v>0.46</v>
      </c>
      <c r="F31" s="558">
        <f t="shared" si="2"/>
        <v>10585000</v>
      </c>
      <c r="G31" s="664">
        <f t="shared" si="3"/>
        <v>7250000</v>
      </c>
      <c r="H31" s="564"/>
      <c r="I31" s="564"/>
      <c r="J31" s="337"/>
      <c r="K31" s="331"/>
      <c r="L31" s="198" t="str">
        <f>'E-Cost &amp; Schedule Summary'!$G$52</f>
        <v xml:space="preserve"> </v>
      </c>
      <c r="M31"/>
      <c r="N31"/>
      <c r="R31"/>
      <c r="S31"/>
      <c r="T31"/>
    </row>
    <row r="32" spans="1:20" x14ac:dyDescent="0.35">
      <c r="A32" s="279"/>
      <c r="B32" s="339"/>
      <c r="C32" s="338">
        <v>0.9</v>
      </c>
      <c r="D32" s="557">
        <f t="shared" si="0"/>
        <v>4205000</v>
      </c>
      <c r="E32" s="549">
        <f t="shared" si="1"/>
        <v>0.57999999999999996</v>
      </c>
      <c r="F32" s="558">
        <f t="shared" si="2"/>
        <v>11455000</v>
      </c>
      <c r="G32" s="664">
        <f t="shared" si="3"/>
        <v>7250000</v>
      </c>
      <c r="H32" s="564"/>
      <c r="I32" s="564"/>
      <c r="J32" s="337"/>
      <c r="K32" s="331"/>
      <c r="L32" s="198" t="str">
        <f>'E-Cost &amp; Schedule Summary'!$G$52</f>
        <v xml:space="preserve"> </v>
      </c>
      <c r="M32"/>
      <c r="N32"/>
      <c r="R32"/>
      <c r="S32"/>
      <c r="T32"/>
    </row>
    <row r="33" spans="1:20" ht="15" thickBot="1" x14ac:dyDescent="0.4">
      <c r="A33" s="279"/>
      <c r="B33" s="339"/>
      <c r="C33" s="199">
        <v>1</v>
      </c>
      <c r="D33" s="240">
        <f t="shared" si="0"/>
        <v>6017500</v>
      </c>
      <c r="E33" s="553">
        <f t="shared" si="1"/>
        <v>0.83</v>
      </c>
      <c r="F33" s="559">
        <f t="shared" si="2"/>
        <v>13267500</v>
      </c>
      <c r="G33" s="664">
        <f t="shared" si="3"/>
        <v>7250000</v>
      </c>
      <c r="H33" s="564"/>
      <c r="I33" s="564"/>
      <c r="J33" s="337"/>
      <c r="K33" s="331"/>
      <c r="L33" s="198" t="str">
        <f>'E-Cost &amp; Schedule Summary'!$G$52</f>
        <v xml:space="preserve"> </v>
      </c>
      <c r="M33"/>
      <c r="N33"/>
      <c r="R33"/>
      <c r="S33"/>
      <c r="T33"/>
    </row>
    <row r="34" spans="1:20" x14ac:dyDescent="0.35">
      <c r="A34" s="279"/>
      <c r="B34" s="257"/>
      <c r="D34" s="340"/>
      <c r="E34" s="340"/>
      <c r="F34" s="565"/>
      <c r="G34" s="542"/>
      <c r="H34" s="542"/>
      <c r="I34" s="542"/>
      <c r="J34" s="541"/>
      <c r="K34" s="279"/>
      <c r="L34" s="197"/>
      <c r="M34"/>
      <c r="N34"/>
      <c r="R34"/>
      <c r="S34"/>
      <c r="T34"/>
    </row>
    <row r="35" spans="1:20" ht="15" thickBot="1" x14ac:dyDescent="0.4">
      <c r="A35" s="279"/>
      <c r="B35" s="341"/>
      <c r="C35" s="258"/>
      <c r="D35" s="258"/>
      <c r="E35" s="258"/>
      <c r="F35" s="555"/>
      <c r="G35" s="555"/>
      <c r="H35" s="555"/>
      <c r="I35" s="555"/>
      <c r="J35" s="556"/>
      <c r="K35" s="279"/>
      <c r="M35"/>
      <c r="N35"/>
      <c r="R35"/>
      <c r="S35"/>
      <c r="T35"/>
    </row>
    <row r="36" spans="1:20" ht="15" thickBot="1" x14ac:dyDescent="0.4">
      <c r="A36" s="279"/>
      <c r="B36" s="324"/>
      <c r="C36" s="279"/>
      <c r="D36" s="279"/>
      <c r="E36" s="279"/>
      <c r="F36" s="279"/>
      <c r="G36" s="279"/>
      <c r="H36" s="279"/>
      <c r="I36" s="279"/>
      <c r="J36" s="279"/>
      <c r="K36" s="279"/>
      <c r="N36"/>
      <c r="R36"/>
      <c r="S36"/>
      <c r="T36"/>
    </row>
    <row r="37" spans="1:20" ht="19" thickBot="1" x14ac:dyDescent="0.4">
      <c r="A37" s="279"/>
      <c r="B37" s="971" t="s">
        <v>851</v>
      </c>
      <c r="C37" s="972"/>
      <c r="D37" s="972"/>
      <c r="E37" s="972"/>
      <c r="F37" s="972"/>
      <c r="G37" s="972"/>
      <c r="H37" s="972"/>
      <c r="I37" s="972"/>
      <c r="J37" s="973"/>
      <c r="K37" s="332"/>
      <c r="N37"/>
      <c r="R37"/>
      <c r="S37"/>
      <c r="T37"/>
    </row>
    <row r="38" spans="1:20" x14ac:dyDescent="0.35">
      <c r="A38" s="279"/>
      <c r="B38" s="335"/>
      <c r="C38" s="195"/>
      <c r="D38" s="195" t="s">
        <v>659</v>
      </c>
      <c r="E38" s="195"/>
      <c r="F38" s="195"/>
      <c r="G38" s="195"/>
      <c r="H38" s="195"/>
      <c r="I38" s="195"/>
      <c r="J38" s="336"/>
      <c r="K38" s="323"/>
      <c r="N38"/>
      <c r="R38"/>
      <c r="S38"/>
      <c r="T38"/>
    </row>
    <row r="39" spans="1:20" x14ac:dyDescent="0.35">
      <c r="A39" s="279"/>
      <c r="B39" s="257"/>
      <c r="C39" s="963"/>
      <c r="D39" s="963"/>
      <c r="E39" s="963"/>
      <c r="F39" s="539"/>
      <c r="G39" s="540"/>
      <c r="H39" s="540"/>
      <c r="I39" s="540"/>
      <c r="J39" s="541"/>
      <c r="K39" s="279"/>
      <c r="N39"/>
      <c r="R39"/>
      <c r="S39"/>
      <c r="T39"/>
    </row>
    <row r="40" spans="1:20" ht="15" thickBot="1" x14ac:dyDescent="0.4">
      <c r="A40" s="279"/>
      <c r="B40" s="257"/>
      <c r="C40" s="982" t="s">
        <v>853</v>
      </c>
      <c r="D40" s="982"/>
      <c r="E40" s="982"/>
      <c r="F40" s="982"/>
      <c r="G40" s="542"/>
      <c r="H40" s="542"/>
      <c r="I40" s="542"/>
      <c r="J40" s="541"/>
      <c r="K40" s="279"/>
      <c r="N40"/>
      <c r="R40"/>
      <c r="S40"/>
      <c r="T40"/>
    </row>
    <row r="41" spans="1:20" ht="15" thickBot="1" x14ac:dyDescent="0.4">
      <c r="A41" s="279"/>
      <c r="B41" s="257"/>
      <c r="C41" s="983" t="str">
        <f>G11</f>
        <v>Base Schedule Duration</v>
      </c>
      <c r="D41" s="984"/>
      <c r="E41" s="961">
        <f>I11</f>
        <v>12</v>
      </c>
      <c r="F41" s="962"/>
      <c r="I41" s="542"/>
      <c r="J41" s="541"/>
      <c r="K41" s="279"/>
      <c r="N41"/>
      <c r="R41"/>
      <c r="S41"/>
      <c r="T41"/>
    </row>
    <row r="42" spans="1:20" x14ac:dyDescent="0.35">
      <c r="A42" s="279"/>
      <c r="B42" s="257"/>
      <c r="C42" s="985"/>
      <c r="D42" s="986"/>
      <c r="E42" s="986"/>
      <c r="F42" s="987"/>
      <c r="G42" s="542"/>
      <c r="H42" s="542"/>
      <c r="I42" s="542"/>
      <c r="J42" s="541"/>
      <c r="K42" s="279"/>
      <c r="N42"/>
      <c r="R42"/>
      <c r="S42"/>
      <c r="T42"/>
    </row>
    <row r="43" spans="1:20" ht="29" x14ac:dyDescent="0.35">
      <c r="A43" s="279"/>
      <c r="B43" s="257"/>
      <c r="C43" s="436" t="s">
        <v>848</v>
      </c>
      <c r="D43" s="551" t="s">
        <v>849</v>
      </c>
      <c r="E43" s="437" t="s">
        <v>842</v>
      </c>
      <c r="F43" s="548" t="s">
        <v>1154</v>
      </c>
      <c r="G43" s="662" t="s">
        <v>1156</v>
      </c>
      <c r="H43" s="543"/>
      <c r="I43" s="542"/>
      <c r="J43" s="541"/>
      <c r="K43" s="279"/>
      <c r="N43"/>
      <c r="R43"/>
      <c r="S43"/>
      <c r="T43"/>
    </row>
    <row r="44" spans="1:20" x14ac:dyDescent="0.35">
      <c r="A44" s="279"/>
      <c r="B44" s="257"/>
      <c r="C44" s="338">
        <v>0</v>
      </c>
      <c r="D44" s="550">
        <f t="shared" ref="D44:D54" si="4">F76</f>
        <v>-1.08</v>
      </c>
      <c r="E44" s="549">
        <f t="shared" ref="E44:E54" si="5">ROUNDUP(((D44)/$E$41),2)</f>
        <v>-0.09</v>
      </c>
      <c r="F44" s="552">
        <f t="shared" ref="F44:F54" si="6">D44+$E$41</f>
        <v>10.92</v>
      </c>
      <c r="G44" s="663">
        <f t="shared" ref="G44:G54" si="7">+$E$41</f>
        <v>12</v>
      </c>
      <c r="H44" s="544"/>
      <c r="I44" s="545"/>
      <c r="J44" s="546"/>
      <c r="K44" s="333"/>
      <c r="N44"/>
      <c r="R44"/>
      <c r="S44"/>
      <c r="T44"/>
    </row>
    <row r="45" spans="1:20" x14ac:dyDescent="0.35">
      <c r="A45" s="279"/>
      <c r="B45" s="257"/>
      <c r="C45" s="338">
        <v>0.1</v>
      </c>
      <c r="D45" s="550">
        <f t="shared" si="4"/>
        <v>0.12</v>
      </c>
      <c r="E45" s="549">
        <f t="shared" si="5"/>
        <v>0.01</v>
      </c>
      <c r="F45" s="552">
        <f t="shared" si="6"/>
        <v>12.12</v>
      </c>
      <c r="G45" s="663">
        <f t="shared" si="7"/>
        <v>12</v>
      </c>
      <c r="H45" s="544"/>
      <c r="I45" s="545"/>
      <c r="J45" s="546"/>
      <c r="K45" s="333"/>
      <c r="N45"/>
      <c r="R45"/>
      <c r="S45"/>
      <c r="T45"/>
    </row>
    <row r="46" spans="1:20" x14ac:dyDescent="0.35">
      <c r="A46" s="279"/>
      <c r="B46" s="257"/>
      <c r="C46" s="338">
        <v>0.2</v>
      </c>
      <c r="D46" s="550">
        <f t="shared" si="4"/>
        <v>0.83999999999999986</v>
      </c>
      <c r="E46" s="549">
        <f t="shared" si="5"/>
        <v>7.0000000000000007E-2</v>
      </c>
      <c r="F46" s="552">
        <f t="shared" si="6"/>
        <v>12.84</v>
      </c>
      <c r="G46" s="663">
        <f t="shared" si="7"/>
        <v>12</v>
      </c>
      <c r="H46" s="544"/>
      <c r="I46" s="545"/>
      <c r="J46" s="546"/>
      <c r="K46" s="333"/>
      <c r="N46"/>
      <c r="R46"/>
      <c r="S46"/>
      <c r="T46"/>
    </row>
    <row r="47" spans="1:20" x14ac:dyDescent="0.35">
      <c r="A47" s="279"/>
      <c r="B47" s="257"/>
      <c r="C47" s="338">
        <v>0.3</v>
      </c>
      <c r="D47" s="550">
        <f t="shared" si="4"/>
        <v>1.56</v>
      </c>
      <c r="E47" s="549">
        <f t="shared" si="5"/>
        <v>0.13</v>
      </c>
      <c r="F47" s="552">
        <f t="shared" si="6"/>
        <v>13.56</v>
      </c>
      <c r="G47" s="663">
        <f t="shared" si="7"/>
        <v>12</v>
      </c>
      <c r="H47" s="544"/>
      <c r="I47" s="545"/>
      <c r="J47" s="546"/>
      <c r="K47" s="333"/>
      <c r="N47"/>
      <c r="R47"/>
      <c r="S47"/>
      <c r="T47"/>
    </row>
    <row r="48" spans="1:20" x14ac:dyDescent="0.35">
      <c r="A48" s="279"/>
      <c r="B48" s="257"/>
      <c r="C48" s="338">
        <v>0.4</v>
      </c>
      <c r="D48" s="550">
        <f t="shared" si="4"/>
        <v>2.2800000000000002</v>
      </c>
      <c r="E48" s="549">
        <f t="shared" si="5"/>
        <v>0.19</v>
      </c>
      <c r="F48" s="552">
        <f t="shared" si="6"/>
        <v>14.280000000000001</v>
      </c>
      <c r="G48" s="663">
        <f t="shared" si="7"/>
        <v>12</v>
      </c>
      <c r="H48" s="544"/>
      <c r="I48" s="545"/>
      <c r="J48" s="546"/>
      <c r="K48" s="333"/>
      <c r="N48"/>
      <c r="R48"/>
      <c r="S48"/>
      <c r="T48"/>
    </row>
    <row r="49" spans="1:20" x14ac:dyDescent="0.35">
      <c r="A49" s="279"/>
      <c r="B49" s="339"/>
      <c r="C49" s="338">
        <v>0.5</v>
      </c>
      <c r="D49" s="550">
        <f t="shared" si="4"/>
        <v>3</v>
      </c>
      <c r="E49" s="549">
        <f t="shared" si="5"/>
        <v>0.25</v>
      </c>
      <c r="F49" s="552">
        <f t="shared" si="6"/>
        <v>15</v>
      </c>
      <c r="G49" s="663">
        <f t="shared" si="7"/>
        <v>12</v>
      </c>
      <c r="H49" s="544"/>
      <c r="I49" s="545"/>
      <c r="J49" s="546"/>
      <c r="K49" s="333"/>
      <c r="N49"/>
      <c r="R49"/>
      <c r="S49"/>
      <c r="T49"/>
    </row>
    <row r="50" spans="1:20" x14ac:dyDescent="0.35">
      <c r="A50" s="279"/>
      <c r="B50" s="339"/>
      <c r="C50" s="338">
        <v>0.6</v>
      </c>
      <c r="D50" s="550">
        <f t="shared" si="4"/>
        <v>3.84</v>
      </c>
      <c r="E50" s="549">
        <f t="shared" si="5"/>
        <v>0.32</v>
      </c>
      <c r="F50" s="552">
        <f t="shared" si="6"/>
        <v>15.84</v>
      </c>
      <c r="G50" s="663">
        <f t="shared" si="7"/>
        <v>12</v>
      </c>
      <c r="H50" s="544"/>
      <c r="I50" s="545"/>
      <c r="J50" s="546"/>
      <c r="K50" s="333"/>
      <c r="N50"/>
      <c r="R50"/>
      <c r="S50"/>
      <c r="T50"/>
    </row>
    <row r="51" spans="1:20" x14ac:dyDescent="0.35">
      <c r="A51" s="279"/>
      <c r="B51" s="339"/>
      <c r="C51" s="338">
        <v>0.7</v>
      </c>
      <c r="D51" s="550">
        <f t="shared" si="4"/>
        <v>4.92</v>
      </c>
      <c r="E51" s="549">
        <f t="shared" si="5"/>
        <v>0.41</v>
      </c>
      <c r="F51" s="552">
        <f t="shared" si="6"/>
        <v>16.920000000000002</v>
      </c>
      <c r="G51" s="663">
        <f t="shared" si="7"/>
        <v>12</v>
      </c>
      <c r="H51" s="544"/>
      <c r="I51" s="545"/>
      <c r="J51" s="546"/>
      <c r="K51" s="333"/>
      <c r="N51"/>
      <c r="R51"/>
      <c r="S51"/>
      <c r="T51"/>
    </row>
    <row r="52" spans="1:20" x14ac:dyDescent="0.35">
      <c r="A52" s="279"/>
      <c r="B52" s="339"/>
      <c r="C52" s="338">
        <v>0.8</v>
      </c>
      <c r="D52" s="550">
        <f t="shared" si="4"/>
        <v>6.12</v>
      </c>
      <c r="E52" s="549">
        <f t="shared" si="5"/>
        <v>0.51</v>
      </c>
      <c r="F52" s="552">
        <f t="shared" si="6"/>
        <v>18.12</v>
      </c>
      <c r="G52" s="663">
        <f t="shared" si="7"/>
        <v>12</v>
      </c>
      <c r="H52" s="544"/>
      <c r="I52" s="545"/>
      <c r="J52" s="546"/>
      <c r="K52" s="333"/>
      <c r="N52"/>
      <c r="R52"/>
      <c r="S52"/>
      <c r="T52"/>
    </row>
    <row r="53" spans="1:20" x14ac:dyDescent="0.35">
      <c r="A53" s="279"/>
      <c r="B53" s="339"/>
      <c r="C53" s="338">
        <v>0.9</v>
      </c>
      <c r="D53" s="550">
        <f t="shared" si="4"/>
        <v>7.68</v>
      </c>
      <c r="E53" s="549">
        <f t="shared" si="5"/>
        <v>0.64</v>
      </c>
      <c r="F53" s="552">
        <f t="shared" si="6"/>
        <v>19.68</v>
      </c>
      <c r="G53" s="663">
        <f t="shared" si="7"/>
        <v>12</v>
      </c>
      <c r="H53" s="544"/>
      <c r="I53" s="545"/>
      <c r="J53" s="546"/>
      <c r="K53" s="333"/>
      <c r="N53"/>
      <c r="R53"/>
      <c r="S53"/>
      <c r="T53"/>
    </row>
    <row r="54" spans="1:20" ht="15" thickBot="1" x14ac:dyDescent="0.4">
      <c r="A54" s="279"/>
      <c r="B54" s="339"/>
      <c r="C54" s="199">
        <v>1</v>
      </c>
      <c r="D54" s="241">
        <f t="shared" si="4"/>
        <v>11.16</v>
      </c>
      <c r="E54" s="553">
        <f t="shared" si="5"/>
        <v>0.93</v>
      </c>
      <c r="F54" s="554">
        <f t="shared" si="6"/>
        <v>23.16</v>
      </c>
      <c r="G54" s="663">
        <f t="shared" si="7"/>
        <v>12</v>
      </c>
      <c r="H54" s="544"/>
      <c r="I54" s="545"/>
      <c r="J54" s="546"/>
      <c r="K54" s="333"/>
      <c r="N54"/>
      <c r="R54"/>
      <c r="S54"/>
      <c r="T54"/>
    </row>
    <row r="55" spans="1:20" x14ac:dyDescent="0.35">
      <c r="A55" s="279"/>
      <c r="B55" s="339"/>
      <c r="C55" s="560"/>
      <c r="D55" s="561"/>
      <c r="E55" s="560"/>
      <c r="F55" s="561"/>
      <c r="G55" s="547"/>
      <c r="H55" s="544"/>
      <c r="I55" s="545"/>
      <c r="J55" s="546"/>
      <c r="K55" s="333"/>
      <c r="N55"/>
      <c r="R55"/>
      <c r="S55"/>
      <c r="T55"/>
    </row>
    <row r="56" spans="1:20" ht="15" thickBot="1" x14ac:dyDescent="0.4">
      <c r="A56" s="279"/>
      <c r="B56" s="341"/>
      <c r="C56" s="258"/>
      <c r="D56" s="258"/>
      <c r="E56" s="258"/>
      <c r="F56" s="258"/>
      <c r="G56" s="258"/>
      <c r="H56" s="258"/>
      <c r="I56" s="258"/>
      <c r="J56" s="259"/>
      <c r="K56" s="279"/>
      <c r="N56"/>
      <c r="R56"/>
      <c r="S56"/>
      <c r="T56"/>
    </row>
    <row r="57" spans="1:20" x14ac:dyDescent="0.35">
      <c r="A57" s="279"/>
      <c r="B57" s="324"/>
      <c r="C57" s="279"/>
      <c r="D57" s="279"/>
      <c r="E57" s="279"/>
      <c r="F57" s="279"/>
      <c r="G57" s="279"/>
      <c r="H57" s="279"/>
      <c r="I57" s="279"/>
      <c r="J57" s="279"/>
      <c r="K57" s="279"/>
      <c r="N57"/>
      <c r="R57"/>
      <c r="S57"/>
      <c r="T57"/>
    </row>
    <row r="58" spans="1:20" x14ac:dyDescent="0.35">
      <c r="A58" s="200"/>
      <c r="B58" s="9"/>
      <c r="C58" s="173"/>
      <c r="D58" s="173"/>
      <c r="F58" s="9"/>
      <c r="G58"/>
      <c r="H58"/>
      <c r="I58" s="200"/>
      <c r="J58" s="200"/>
      <c r="K58" s="200"/>
      <c r="L58" s="200"/>
      <c r="M58" s="201"/>
      <c r="N58"/>
      <c r="R58"/>
      <c r="S58"/>
      <c r="T58"/>
    </row>
    <row r="59" spans="1:20" ht="15" thickBot="1" x14ac:dyDescent="0.4">
      <c r="B59" s="196" t="s">
        <v>841</v>
      </c>
      <c r="G59"/>
      <c r="H59"/>
      <c r="I59" s="185"/>
      <c r="N59"/>
      <c r="R59"/>
      <c r="S59"/>
      <c r="T59"/>
    </row>
    <row r="60" spans="1:20" ht="15" thickBot="1" x14ac:dyDescent="0.4">
      <c r="B60" s="954" t="s">
        <v>840</v>
      </c>
      <c r="C60" s="202" t="s">
        <v>835</v>
      </c>
      <c r="D60" s="202" t="s">
        <v>839</v>
      </c>
      <c r="E60" s="203" t="s">
        <v>833</v>
      </c>
      <c r="F60" s="204" t="s">
        <v>838</v>
      </c>
      <c r="G60" s="202" t="s">
        <v>831</v>
      </c>
      <c r="H60" s="205" t="s">
        <v>830</v>
      </c>
      <c r="N60"/>
      <c r="R60"/>
      <c r="S60"/>
      <c r="T60"/>
    </row>
    <row r="61" spans="1:20" x14ac:dyDescent="0.35">
      <c r="B61" s="955"/>
      <c r="C61" s="206">
        <v>0</v>
      </c>
      <c r="D61" s="207">
        <f>E20</f>
        <v>7250000</v>
      </c>
      <c r="E61" s="208">
        <v>-237242.56631325276</v>
      </c>
      <c r="F61" s="209">
        <f t="shared" ref="F61:F71" si="8">D61*H61</f>
        <v>-290000</v>
      </c>
      <c r="G61" s="210">
        <f t="shared" ref="G61:G71" si="9">D61+F61</f>
        <v>6960000</v>
      </c>
      <c r="H61" s="211">
        <f t="shared" ref="H61:H71" si="10">ROUNDUP(E61/D61,2)</f>
        <v>-0.04</v>
      </c>
      <c r="N61"/>
      <c r="R61"/>
      <c r="S61"/>
      <c r="T61"/>
    </row>
    <row r="62" spans="1:20" x14ac:dyDescent="0.35">
      <c r="B62" s="955"/>
      <c r="C62" s="212">
        <v>0.1</v>
      </c>
      <c r="D62" s="207">
        <f t="shared" ref="D62:D71" si="11">D61</f>
        <v>7250000</v>
      </c>
      <c r="E62" s="213">
        <v>194504.69428669009</v>
      </c>
      <c r="F62" s="209">
        <f t="shared" si="8"/>
        <v>217500</v>
      </c>
      <c r="G62" s="210">
        <f t="shared" si="9"/>
        <v>7467500</v>
      </c>
      <c r="H62" s="211">
        <f t="shared" si="10"/>
        <v>0.03</v>
      </c>
      <c r="N62"/>
      <c r="R62"/>
      <c r="S62"/>
      <c r="T62"/>
    </row>
    <row r="63" spans="1:20" x14ac:dyDescent="0.35">
      <c r="B63" s="955"/>
      <c r="C63" s="212">
        <v>0.2</v>
      </c>
      <c r="D63" s="207">
        <f t="shared" si="11"/>
        <v>7250000</v>
      </c>
      <c r="E63" s="213">
        <v>531204.21720243245</v>
      </c>
      <c r="F63" s="209">
        <f t="shared" si="8"/>
        <v>580000</v>
      </c>
      <c r="G63" s="210">
        <f t="shared" si="9"/>
        <v>7830000</v>
      </c>
      <c r="H63" s="211">
        <f t="shared" si="10"/>
        <v>0.08</v>
      </c>
      <c r="N63"/>
      <c r="R63"/>
      <c r="S63"/>
      <c r="T63"/>
    </row>
    <row r="64" spans="1:20" x14ac:dyDescent="0.35">
      <c r="B64" s="955"/>
      <c r="C64" s="212">
        <v>0.3</v>
      </c>
      <c r="D64" s="207">
        <f t="shared" si="11"/>
        <v>7250000</v>
      </c>
      <c r="E64" s="213">
        <v>889497.20515646879</v>
      </c>
      <c r="F64" s="209">
        <f t="shared" si="8"/>
        <v>942500</v>
      </c>
      <c r="G64" s="210">
        <f t="shared" si="9"/>
        <v>8192500</v>
      </c>
      <c r="H64" s="211">
        <f t="shared" si="10"/>
        <v>0.13</v>
      </c>
      <c r="N64"/>
      <c r="R64"/>
      <c r="S64"/>
      <c r="T64"/>
    </row>
    <row r="65" spans="2:20" x14ac:dyDescent="0.35">
      <c r="B65" s="955"/>
      <c r="C65" s="212">
        <v>0.4</v>
      </c>
      <c r="D65" s="207">
        <f t="shared" si="11"/>
        <v>7250000</v>
      </c>
      <c r="E65" s="213">
        <v>1271675.487391036</v>
      </c>
      <c r="F65" s="209">
        <f t="shared" si="8"/>
        <v>1305000.0000000002</v>
      </c>
      <c r="G65" s="210">
        <f t="shared" si="9"/>
        <v>8555000</v>
      </c>
      <c r="H65" s="211">
        <f t="shared" si="10"/>
        <v>0.18000000000000002</v>
      </c>
      <c r="N65"/>
      <c r="R65"/>
      <c r="S65"/>
      <c r="T65"/>
    </row>
    <row r="66" spans="2:20" x14ac:dyDescent="0.35">
      <c r="B66" s="955"/>
      <c r="C66" s="212">
        <v>0.5</v>
      </c>
      <c r="D66" s="207">
        <f t="shared" si="11"/>
        <v>7250000</v>
      </c>
      <c r="E66" s="213">
        <v>1687645.9248406207</v>
      </c>
      <c r="F66" s="209">
        <f t="shared" si="8"/>
        <v>1740000.0000000002</v>
      </c>
      <c r="G66" s="210">
        <f t="shared" si="9"/>
        <v>8990000</v>
      </c>
      <c r="H66" s="211">
        <f t="shared" si="10"/>
        <v>0.24000000000000002</v>
      </c>
      <c r="N66"/>
      <c r="R66"/>
      <c r="S66"/>
      <c r="T66"/>
    </row>
    <row r="67" spans="2:20" x14ac:dyDescent="0.35">
      <c r="B67" s="955"/>
      <c r="C67" s="212">
        <v>0.6</v>
      </c>
      <c r="D67" s="207">
        <f t="shared" si="11"/>
        <v>7250000</v>
      </c>
      <c r="E67" s="213">
        <v>2150961.490213145</v>
      </c>
      <c r="F67" s="209">
        <f t="shared" si="8"/>
        <v>2175000</v>
      </c>
      <c r="G67" s="210">
        <f t="shared" si="9"/>
        <v>9425000</v>
      </c>
      <c r="H67" s="211">
        <f t="shared" si="10"/>
        <v>0.3</v>
      </c>
      <c r="N67"/>
      <c r="R67"/>
      <c r="S67"/>
      <c r="T67"/>
    </row>
    <row r="68" spans="2:20" x14ac:dyDescent="0.35">
      <c r="B68" s="955"/>
      <c r="C68" s="212">
        <v>0.7</v>
      </c>
      <c r="D68" s="207">
        <f t="shared" si="11"/>
        <v>7250000</v>
      </c>
      <c r="E68" s="213">
        <v>2692200.5112791643</v>
      </c>
      <c r="F68" s="209">
        <f t="shared" si="8"/>
        <v>2755000</v>
      </c>
      <c r="G68" s="210">
        <f t="shared" si="9"/>
        <v>10005000</v>
      </c>
      <c r="H68" s="211">
        <f t="shared" si="10"/>
        <v>0.38</v>
      </c>
      <c r="N68"/>
      <c r="R68"/>
      <c r="S68"/>
      <c r="T68"/>
    </row>
    <row r="69" spans="2:20" x14ac:dyDescent="0.35">
      <c r="B69" s="955"/>
      <c r="C69" s="214">
        <v>0.8</v>
      </c>
      <c r="D69" s="207">
        <f t="shared" si="11"/>
        <v>7250000</v>
      </c>
      <c r="E69" s="213">
        <v>3291004.7254658043</v>
      </c>
      <c r="F69" s="209">
        <f t="shared" si="8"/>
        <v>3335000</v>
      </c>
      <c r="G69" s="210">
        <f t="shared" si="9"/>
        <v>10585000</v>
      </c>
      <c r="H69" s="211">
        <f t="shared" si="10"/>
        <v>0.46</v>
      </c>
      <c r="N69"/>
      <c r="R69"/>
      <c r="S69"/>
      <c r="T69"/>
    </row>
    <row r="70" spans="2:20" x14ac:dyDescent="0.35">
      <c r="B70" s="955"/>
      <c r="C70" s="212">
        <v>0.9</v>
      </c>
      <c r="D70" s="207">
        <f t="shared" si="11"/>
        <v>7250000</v>
      </c>
      <c r="E70" s="213">
        <v>4159167.8232088853</v>
      </c>
      <c r="F70" s="209">
        <f t="shared" si="8"/>
        <v>4205000</v>
      </c>
      <c r="G70" s="210">
        <f t="shared" si="9"/>
        <v>11455000</v>
      </c>
      <c r="H70" s="211">
        <f t="shared" si="10"/>
        <v>0.57999999999999996</v>
      </c>
      <c r="L70" s="123"/>
      <c r="N70"/>
      <c r="R70"/>
      <c r="S70"/>
      <c r="T70"/>
    </row>
    <row r="71" spans="2:20" ht="15" thickBot="1" x14ac:dyDescent="0.4">
      <c r="B71" s="956"/>
      <c r="C71" s="215">
        <v>1</v>
      </c>
      <c r="D71" s="216">
        <f t="shared" si="11"/>
        <v>7250000</v>
      </c>
      <c r="E71" s="217">
        <v>5987594.9841126949</v>
      </c>
      <c r="F71" s="218">
        <f t="shared" si="8"/>
        <v>6017500</v>
      </c>
      <c r="G71" s="219">
        <f t="shared" si="9"/>
        <v>13267500</v>
      </c>
      <c r="H71" s="220">
        <f t="shared" si="10"/>
        <v>0.83</v>
      </c>
      <c r="N71"/>
      <c r="R71"/>
      <c r="S71"/>
      <c r="T71"/>
    </row>
    <row r="72" spans="2:20" x14ac:dyDescent="0.35">
      <c r="B72"/>
      <c r="G72"/>
      <c r="H72" s="185"/>
      <c r="N72"/>
      <c r="R72"/>
      <c r="S72"/>
      <c r="T72"/>
    </row>
    <row r="73" spans="2:20" x14ac:dyDescent="0.35">
      <c r="B73"/>
      <c r="G73"/>
      <c r="H73" s="185"/>
      <c r="N73"/>
      <c r="R73"/>
      <c r="S73"/>
      <c r="T73"/>
    </row>
    <row r="74" spans="2:20" ht="15" thickBot="1" x14ac:dyDescent="0.4">
      <c r="B74" s="196" t="s">
        <v>837</v>
      </c>
      <c r="C74" s="79"/>
      <c r="D74" s="79"/>
      <c r="E74" s="79"/>
      <c r="G74" s="221"/>
      <c r="H74" s="222"/>
      <c r="N74"/>
      <c r="R74"/>
      <c r="S74"/>
      <c r="T74"/>
    </row>
    <row r="75" spans="2:20" ht="15" thickBot="1" x14ac:dyDescent="0.4">
      <c r="B75" s="954" t="s">
        <v>836</v>
      </c>
      <c r="C75" s="202" t="s">
        <v>835</v>
      </c>
      <c r="D75" s="202" t="s">
        <v>834</v>
      </c>
      <c r="E75" s="203" t="s">
        <v>833</v>
      </c>
      <c r="F75" s="204" t="s">
        <v>832</v>
      </c>
      <c r="G75" s="202" t="s">
        <v>831</v>
      </c>
      <c r="H75" s="205" t="s">
        <v>830</v>
      </c>
      <c r="N75"/>
      <c r="R75"/>
      <c r="S75"/>
      <c r="T75"/>
    </row>
    <row r="76" spans="2:20" x14ac:dyDescent="0.35">
      <c r="B76" s="955"/>
      <c r="C76" s="223">
        <v>0</v>
      </c>
      <c r="D76" s="224">
        <f>'E-Cost &amp; Schedule Summary'!C8</f>
        <v>12</v>
      </c>
      <c r="E76" s="225">
        <v>-0.99256796110924705</v>
      </c>
      <c r="F76" s="226">
        <f t="shared" ref="F76:F86" si="12">D76*H76</f>
        <v>-1.08</v>
      </c>
      <c r="G76" s="227">
        <f t="shared" ref="G76:G86" si="13">D76+F76</f>
        <v>10.92</v>
      </c>
      <c r="H76" s="228">
        <f t="shared" ref="H76:H86" si="14">ROUNDUP(E76/D76,2)</f>
        <v>-0.09</v>
      </c>
      <c r="N76"/>
      <c r="R76"/>
      <c r="S76"/>
      <c r="T76"/>
    </row>
    <row r="77" spans="2:20" x14ac:dyDescent="0.35">
      <c r="B77" s="955"/>
      <c r="C77" s="229">
        <f t="shared" ref="C77:C86" si="15">C76+0.1</f>
        <v>0.1</v>
      </c>
      <c r="D77" s="224">
        <f t="shared" ref="D77:D86" si="16">D76</f>
        <v>12</v>
      </c>
      <c r="E77" s="230">
        <v>0.113207438077307</v>
      </c>
      <c r="F77" s="231">
        <f t="shared" si="12"/>
        <v>0.12</v>
      </c>
      <c r="G77" s="232">
        <f t="shared" si="13"/>
        <v>12.12</v>
      </c>
      <c r="H77" s="233">
        <f t="shared" si="14"/>
        <v>0.01</v>
      </c>
      <c r="N77"/>
      <c r="R77"/>
      <c r="S77"/>
      <c r="T77"/>
    </row>
    <row r="78" spans="2:20" x14ac:dyDescent="0.35">
      <c r="B78" s="955"/>
      <c r="C78" s="229">
        <f t="shared" si="15"/>
        <v>0.2</v>
      </c>
      <c r="D78" s="224">
        <f t="shared" si="16"/>
        <v>12</v>
      </c>
      <c r="E78" s="230">
        <v>0.74701356727646495</v>
      </c>
      <c r="F78" s="231">
        <f t="shared" si="12"/>
        <v>0.83999999999999986</v>
      </c>
      <c r="G78" s="232">
        <f t="shared" si="13"/>
        <v>12.84</v>
      </c>
      <c r="H78" s="233">
        <f t="shared" si="14"/>
        <v>6.9999999999999993E-2</v>
      </c>
    </row>
    <row r="79" spans="2:20" x14ac:dyDescent="0.35">
      <c r="B79" s="955"/>
      <c r="C79" s="229">
        <f t="shared" si="15"/>
        <v>0.30000000000000004</v>
      </c>
      <c r="D79" s="224">
        <f t="shared" si="16"/>
        <v>12</v>
      </c>
      <c r="E79" s="230">
        <v>1.442076928041756</v>
      </c>
      <c r="F79" s="231">
        <f t="shared" si="12"/>
        <v>1.56</v>
      </c>
      <c r="G79" s="232">
        <f t="shared" si="13"/>
        <v>13.56</v>
      </c>
      <c r="H79" s="233">
        <f t="shared" si="14"/>
        <v>0.13</v>
      </c>
    </row>
    <row r="80" spans="2:20" x14ac:dyDescent="0.35">
      <c r="B80" s="955"/>
      <c r="C80" s="229">
        <f t="shared" si="15"/>
        <v>0.4</v>
      </c>
      <c r="D80" s="224">
        <f t="shared" si="16"/>
        <v>12</v>
      </c>
      <c r="E80" s="230">
        <v>2.182599431692152</v>
      </c>
      <c r="F80" s="231">
        <f t="shared" si="12"/>
        <v>2.2800000000000002</v>
      </c>
      <c r="G80" s="232">
        <f t="shared" si="13"/>
        <v>14.280000000000001</v>
      </c>
      <c r="H80" s="233">
        <f t="shared" si="14"/>
        <v>0.19</v>
      </c>
    </row>
    <row r="81" spans="2:9" x14ac:dyDescent="0.35">
      <c r="B81" s="955"/>
      <c r="C81" s="229">
        <f t="shared" si="15"/>
        <v>0.5</v>
      </c>
      <c r="D81" s="224">
        <f t="shared" si="16"/>
        <v>12</v>
      </c>
      <c r="E81" s="230">
        <v>2.9615115956254372</v>
      </c>
      <c r="F81" s="231">
        <f t="shared" si="12"/>
        <v>3</v>
      </c>
      <c r="G81" s="232">
        <f t="shared" si="13"/>
        <v>15</v>
      </c>
      <c r="H81" s="233">
        <f t="shared" si="14"/>
        <v>0.25</v>
      </c>
    </row>
    <row r="82" spans="2:9" x14ac:dyDescent="0.35">
      <c r="B82" s="955"/>
      <c r="C82" s="229">
        <f t="shared" si="15"/>
        <v>0.6</v>
      </c>
      <c r="D82" s="224">
        <f t="shared" si="16"/>
        <v>12</v>
      </c>
      <c r="E82" s="230">
        <v>3.8340349596644758</v>
      </c>
      <c r="F82" s="231">
        <f t="shared" si="12"/>
        <v>3.84</v>
      </c>
      <c r="G82" s="232">
        <f t="shared" si="13"/>
        <v>15.84</v>
      </c>
      <c r="H82" s="233">
        <f t="shared" si="14"/>
        <v>0.32</v>
      </c>
    </row>
    <row r="83" spans="2:9" x14ac:dyDescent="0.35">
      <c r="B83" s="955"/>
      <c r="C83" s="229">
        <f t="shared" si="15"/>
        <v>0.7</v>
      </c>
      <c r="D83" s="224">
        <f t="shared" si="16"/>
        <v>12</v>
      </c>
      <c r="E83" s="230">
        <v>4.8194354987625054</v>
      </c>
      <c r="F83" s="231">
        <f t="shared" si="12"/>
        <v>4.92</v>
      </c>
      <c r="G83" s="232">
        <f t="shared" si="13"/>
        <v>16.920000000000002</v>
      </c>
      <c r="H83" s="233">
        <f t="shared" si="14"/>
        <v>0.41000000000000003</v>
      </c>
    </row>
    <row r="84" spans="2:9" x14ac:dyDescent="0.35">
      <c r="B84" s="955"/>
      <c r="C84" s="229">
        <f t="shared" si="15"/>
        <v>0.79999999999999993</v>
      </c>
      <c r="D84" s="224">
        <f t="shared" si="16"/>
        <v>12</v>
      </c>
      <c r="E84" s="230">
        <v>6.001919642116226</v>
      </c>
      <c r="F84" s="231">
        <f t="shared" si="12"/>
        <v>6.12</v>
      </c>
      <c r="G84" s="232">
        <f t="shared" si="13"/>
        <v>18.12</v>
      </c>
      <c r="H84" s="233">
        <f t="shared" si="14"/>
        <v>0.51</v>
      </c>
    </row>
    <row r="85" spans="2:9" x14ac:dyDescent="0.35">
      <c r="B85" s="955"/>
      <c r="C85" s="229">
        <f t="shared" si="15"/>
        <v>0.89999999999999991</v>
      </c>
      <c r="D85" s="224">
        <f t="shared" si="16"/>
        <v>12</v>
      </c>
      <c r="E85" s="230">
        <v>7.5913096572662919</v>
      </c>
      <c r="F85" s="231">
        <f t="shared" si="12"/>
        <v>7.68</v>
      </c>
      <c r="G85" s="232">
        <f t="shared" si="13"/>
        <v>19.68</v>
      </c>
      <c r="H85" s="233">
        <f t="shared" si="14"/>
        <v>0.64</v>
      </c>
    </row>
    <row r="86" spans="2:9" ht="15" thickBot="1" x14ac:dyDescent="0.4">
      <c r="B86" s="956"/>
      <c r="C86" s="234">
        <f t="shared" si="15"/>
        <v>0.99999999999999989</v>
      </c>
      <c r="D86" s="235">
        <f t="shared" si="16"/>
        <v>12</v>
      </c>
      <c r="E86" s="236">
        <v>11.149044261332723</v>
      </c>
      <c r="F86" s="237">
        <f t="shared" si="12"/>
        <v>11.16</v>
      </c>
      <c r="G86" s="238">
        <f t="shared" si="13"/>
        <v>23.16</v>
      </c>
      <c r="H86" s="239">
        <f t="shared" si="14"/>
        <v>0.93</v>
      </c>
    </row>
    <row r="87" spans="2:9" x14ac:dyDescent="0.35">
      <c r="B87"/>
      <c r="G87"/>
      <c r="H87"/>
      <c r="I87" s="185"/>
    </row>
    <row r="88" spans="2:9" x14ac:dyDescent="0.35">
      <c r="B88"/>
      <c r="G88"/>
      <c r="H88"/>
      <c r="I88" s="185"/>
    </row>
  </sheetData>
  <mergeCells count="29">
    <mergeCell ref="A1:K1"/>
    <mergeCell ref="B3:E14"/>
    <mergeCell ref="C19:F19"/>
    <mergeCell ref="C41:D41"/>
    <mergeCell ref="C42:F42"/>
    <mergeCell ref="C21:F21"/>
    <mergeCell ref="C20:D20"/>
    <mergeCell ref="C40:F40"/>
    <mergeCell ref="G5:H5"/>
    <mergeCell ref="G6:H6"/>
    <mergeCell ref="G13:H13"/>
    <mergeCell ref="G14:H14"/>
    <mergeCell ref="G8:H8"/>
    <mergeCell ref="B75:B86"/>
    <mergeCell ref="I3:J3"/>
    <mergeCell ref="I8:J8"/>
    <mergeCell ref="E41:F41"/>
    <mergeCell ref="C39:E39"/>
    <mergeCell ref="G9:H9"/>
    <mergeCell ref="G10:H10"/>
    <mergeCell ref="G11:H11"/>
    <mergeCell ref="B60:B71"/>
    <mergeCell ref="B16:J16"/>
    <mergeCell ref="B37:J37"/>
    <mergeCell ref="E20:F20"/>
    <mergeCell ref="G3:H3"/>
    <mergeCell ref="G12:H12"/>
    <mergeCell ref="C18:E18"/>
    <mergeCell ref="G4:H4"/>
  </mergeCells>
  <pageMargins left="0.25" right="0.25" top="0.25" bottom="0.5" header="0.25" footer="0.25"/>
  <pageSetup scale="70" fitToHeight="0" orientation="landscape" horizontalDpi="1200" verticalDpi="1200" r:id="rId1"/>
  <headerFooter>
    <oddFooter>&amp;CPage &amp;P of &amp;N</oddFooter>
  </headerFooter>
  <rowBreaks count="1" manualBreakCount="1">
    <brk id="36" max="10"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0" id="{2FE302E6-096B-4335-8992-41113F463838}">
            <xm:f>$C23='D-Project Data'!$C$6</xm:f>
            <x14:dxf>
              <font>
                <b/>
                <i val="0"/>
              </font>
              <fill>
                <patternFill>
                  <bgColor rgb="FFFFFF00"/>
                </patternFill>
              </fill>
            </x14:dxf>
          </x14:cfRule>
          <xm:sqref>C23:F33 C44:F55</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AD147"/>
  <sheetViews>
    <sheetView showGridLines="0" zoomScaleNormal="100" workbookViewId="0">
      <pane ySplit="15" topLeftCell="A20" activePane="bottomLeft" state="frozen"/>
      <selection pane="bottomLeft" activeCell="A16" sqref="A16"/>
    </sheetView>
  </sheetViews>
  <sheetFormatPr defaultColWidth="8.81640625" defaultRowHeight="14.5" x14ac:dyDescent="0.35"/>
  <cols>
    <col min="1" max="1" width="2.81640625" style="76" customWidth="1"/>
    <col min="2" max="2" width="5.54296875" customWidth="1"/>
    <col min="3" max="5" width="10.81640625" customWidth="1"/>
    <col min="6" max="6" width="5.81640625" customWidth="1"/>
    <col min="7" max="8" width="25.81640625" style="181" customWidth="1"/>
    <col min="9" max="9" width="25.81640625" customWidth="1"/>
    <col min="10" max="10" width="5.81640625" customWidth="1"/>
    <col min="11" max="11" width="2.81640625" customWidth="1"/>
    <col min="12" max="12" width="5.54296875" customWidth="1"/>
    <col min="13" max="13" width="24" bestFit="1" customWidth="1"/>
    <col min="14" max="14" width="17" customWidth="1"/>
    <col min="15" max="15" width="25.54296875" bestFit="1" customWidth="1"/>
    <col min="16" max="16" width="9.1796875"/>
    <col min="17" max="18" width="15.81640625" customWidth="1"/>
    <col min="19" max="19" width="20.81640625" customWidth="1"/>
    <col min="20" max="24" width="15.81640625" customWidth="1"/>
    <col min="25" max="25" width="8.81640625" customWidth="1"/>
    <col min="26" max="26" width="9.453125" customWidth="1"/>
    <col min="27" max="27" width="33.453125" customWidth="1"/>
    <col min="28" max="28" width="8.81640625" customWidth="1"/>
  </cols>
  <sheetData>
    <row r="1" spans="1:27" s="7" customFormat="1" ht="21" x14ac:dyDescent="0.5">
      <c r="A1" s="980" t="s">
        <v>1162</v>
      </c>
      <c r="B1" s="980"/>
      <c r="C1" s="980"/>
      <c r="D1" s="980"/>
      <c r="E1" s="980"/>
      <c r="F1" s="980"/>
      <c r="G1" s="980"/>
      <c r="H1" s="980"/>
      <c r="I1" s="980"/>
      <c r="J1" s="980"/>
      <c r="K1" s="980"/>
      <c r="M1" s="568"/>
      <c r="N1" s="568"/>
      <c r="R1" s="569"/>
      <c r="S1" s="569"/>
      <c r="T1" s="569"/>
    </row>
    <row r="2" spans="1:27" ht="15" thickBot="1" x14ac:dyDescent="0.4">
      <c r="A2" s="319"/>
      <c r="B2" s="279"/>
      <c r="C2" s="279"/>
      <c r="D2" s="279"/>
      <c r="E2" s="279"/>
      <c r="F2" s="279"/>
      <c r="G2" s="320"/>
      <c r="H2" s="320"/>
      <c r="I2" s="279"/>
      <c r="J2" s="279"/>
      <c r="K2" s="279"/>
    </row>
    <row r="3" spans="1:27" ht="15" customHeight="1" thickBot="1" x14ac:dyDescent="0.4">
      <c r="A3" s="319"/>
      <c r="B3" s="981" t="str">
        <f>'D-Project Data'!C9&amp;CHAR(10)&amp;CHAR(10)&amp;TEXT('D-Project Data'!C13,"mmmm yyyy")</f>
        <v>Project Name
October 2023</v>
      </c>
      <c r="C3" s="981"/>
      <c r="D3" s="981"/>
      <c r="E3" s="981"/>
      <c r="F3" s="279"/>
      <c r="G3" s="976" t="str">
        <f>'I-Project Contingency'!G3</f>
        <v>Contingency on Base Estimate</v>
      </c>
      <c r="H3" s="977"/>
      <c r="I3" s="957">
        <f>'I-Project Contingency'!I3</f>
        <v>0.8</v>
      </c>
      <c r="J3" s="958"/>
      <c r="K3" s="279"/>
    </row>
    <row r="4" spans="1:27" x14ac:dyDescent="0.35">
      <c r="A4" s="319"/>
      <c r="B4" s="981"/>
      <c r="C4" s="981"/>
      <c r="D4" s="981"/>
      <c r="E4" s="981"/>
      <c r="F4" s="279"/>
      <c r="G4" s="1007" t="str">
        <f>'I-Project Contingency'!G4</f>
        <v>Base Estimate</v>
      </c>
      <c r="H4" s="1008"/>
      <c r="I4" s="186">
        <f>'I-Project Contingency'!I4</f>
        <v>7250000</v>
      </c>
      <c r="J4" s="187" t="s">
        <v>659</v>
      </c>
      <c r="K4" s="279"/>
      <c r="M4" s="123"/>
    </row>
    <row r="5" spans="1:27" x14ac:dyDescent="0.35">
      <c r="A5" s="319"/>
      <c r="B5" s="981"/>
      <c r="C5" s="981"/>
      <c r="D5" s="981"/>
      <c r="E5" s="981"/>
      <c r="F5" s="279"/>
      <c r="G5" s="1009" t="str">
        <f>'I-Project Contingency'!G5</f>
        <v>Estimate Contingency</v>
      </c>
      <c r="H5" s="1010"/>
      <c r="I5" s="189">
        <f>'I-Project Contingency'!I5</f>
        <v>3335000</v>
      </c>
      <c r="J5" s="190">
        <f>'I-Project Contingency'!J5</f>
        <v>0.46</v>
      </c>
      <c r="K5" s="279"/>
      <c r="M5" s="123"/>
    </row>
    <row r="6" spans="1:27" ht="15" thickBot="1" x14ac:dyDescent="0.4">
      <c r="A6" s="319"/>
      <c r="B6" s="981"/>
      <c r="C6" s="981"/>
      <c r="D6" s="981"/>
      <c r="E6" s="981"/>
      <c r="F6" s="279"/>
      <c r="G6" s="1011">
        <f>'I-Project Contingency'!G6</f>
        <v>0.8</v>
      </c>
      <c r="H6" s="1012"/>
      <c r="I6" s="192">
        <f>'I-Project Contingency'!I6</f>
        <v>10585000</v>
      </c>
      <c r="J6" s="193" t="s">
        <v>659</v>
      </c>
      <c r="K6" s="279"/>
    </row>
    <row r="7" spans="1:27" ht="15" thickBot="1" x14ac:dyDescent="0.4">
      <c r="A7" s="319"/>
      <c r="B7" s="981"/>
      <c r="C7" s="981"/>
      <c r="D7" s="981"/>
      <c r="E7" s="981"/>
      <c r="F7" s="279"/>
      <c r="G7" s="321" t="s">
        <v>659</v>
      </c>
      <c r="H7" s="321"/>
      <c r="I7" s="322" t="s">
        <v>659</v>
      </c>
      <c r="J7" s="289" t="s">
        <v>659</v>
      </c>
      <c r="K7" s="279" t="s">
        <v>659</v>
      </c>
    </row>
    <row r="8" spans="1:27" ht="15" thickBot="1" x14ac:dyDescent="0.4">
      <c r="A8" s="319"/>
      <c r="B8" s="981"/>
      <c r="C8" s="981"/>
      <c r="D8" s="981"/>
      <c r="E8" s="981"/>
      <c r="F8" s="279"/>
      <c r="G8" s="976" t="str">
        <f>'I-Project Contingency'!G8</f>
        <v>Contingency on Base Schedule</v>
      </c>
      <c r="H8" s="977"/>
      <c r="I8" s="1002">
        <f>'I-Project Contingency'!I8</f>
        <v>0.8</v>
      </c>
      <c r="J8" s="1003"/>
      <c r="K8" s="279"/>
    </row>
    <row r="9" spans="1:27" x14ac:dyDescent="0.35">
      <c r="A9" s="319"/>
      <c r="B9" s="981"/>
      <c r="C9" s="981"/>
      <c r="D9" s="981"/>
      <c r="E9" s="981"/>
      <c r="F9" s="279"/>
      <c r="G9" s="964" t="str">
        <f>'I-Project Contingency'!G9</f>
        <v>Base Schedule Start Date</v>
      </c>
      <c r="H9" s="965"/>
      <c r="I9" s="248">
        <f>'I-Project Contingency'!I9</f>
        <v>45200</v>
      </c>
      <c r="J9" s="249" t="str">
        <f>'I-Project Contingency'!J9</f>
        <v xml:space="preserve"> </v>
      </c>
      <c r="K9" s="279"/>
    </row>
    <row r="10" spans="1:27" x14ac:dyDescent="0.35">
      <c r="A10" s="319"/>
      <c r="B10" s="981"/>
      <c r="C10" s="981"/>
      <c r="D10" s="981"/>
      <c r="E10" s="981"/>
      <c r="F10" s="279"/>
      <c r="G10" s="966" t="str">
        <f>'I-Project Contingency'!G10</f>
        <v>Base Schedule Finish Date</v>
      </c>
      <c r="H10" s="967"/>
      <c r="I10" s="250">
        <f>'I-Project Contingency'!I10</f>
        <v>45566</v>
      </c>
      <c r="J10" s="251"/>
      <c r="K10" s="279"/>
    </row>
    <row r="11" spans="1:27" x14ac:dyDescent="0.35">
      <c r="A11" s="319"/>
      <c r="B11" s="981"/>
      <c r="C11" s="981"/>
      <c r="D11" s="981"/>
      <c r="E11" s="981"/>
      <c r="F11" s="279"/>
      <c r="G11" s="966" t="str">
        <f>'I-Project Contingency'!G11</f>
        <v>Base Schedule Duration</v>
      </c>
      <c r="H11" s="967"/>
      <c r="I11" s="252">
        <f>'I-Project Contingency'!I11</f>
        <v>12</v>
      </c>
      <c r="J11" s="251"/>
      <c r="K11" s="279"/>
    </row>
    <row r="12" spans="1:27" x14ac:dyDescent="0.35">
      <c r="A12" s="319"/>
      <c r="B12" s="981"/>
      <c r="C12" s="981"/>
      <c r="D12" s="981"/>
      <c r="E12" s="981"/>
      <c r="F12" s="279"/>
      <c r="G12" s="966" t="str">
        <f>'I-Project Contingency'!G12</f>
        <v>Schedule Contingency Duration</v>
      </c>
      <c r="H12" s="967"/>
      <c r="I12" s="252">
        <f>'I-Project Contingency'!I12</f>
        <v>6.12</v>
      </c>
      <c r="J12" s="253">
        <f>'I-Project Contingency'!J12</f>
        <v>0.51</v>
      </c>
      <c r="K12" s="279"/>
    </row>
    <row r="13" spans="1:27" x14ac:dyDescent="0.35">
      <c r="A13" s="319"/>
      <c r="B13" s="981"/>
      <c r="C13" s="981"/>
      <c r="D13" s="981"/>
      <c r="E13" s="981"/>
      <c r="F13" s="279"/>
      <c r="G13" s="997">
        <f>'I-Project Contingency'!G13</f>
        <v>0.8</v>
      </c>
      <c r="H13" s="998"/>
      <c r="I13" s="252">
        <f>'I-Project Contingency'!I13</f>
        <v>18.12</v>
      </c>
      <c r="J13" s="251"/>
      <c r="K13" s="279"/>
    </row>
    <row r="14" spans="1:27" ht="15" thickBot="1" x14ac:dyDescent="0.4">
      <c r="A14" s="319"/>
      <c r="B14" s="981"/>
      <c r="C14" s="981"/>
      <c r="D14" s="981"/>
      <c r="E14" s="981"/>
      <c r="F14" s="279"/>
      <c r="G14" s="999">
        <f>'I-Project Contingency'!G14</f>
        <v>0.8</v>
      </c>
      <c r="H14" s="1000"/>
      <c r="I14" s="254">
        <f>'I-Project Contingency'!I14</f>
        <v>45752</v>
      </c>
      <c r="J14" s="255"/>
      <c r="K14" s="279"/>
    </row>
    <row r="15" spans="1:27" ht="15" thickBot="1" x14ac:dyDescent="0.4">
      <c r="A15" s="319"/>
      <c r="B15" s="279"/>
      <c r="C15" s="279"/>
      <c r="D15" s="279"/>
      <c r="E15" s="279"/>
      <c r="F15" s="279"/>
      <c r="G15" s="321"/>
      <c r="H15" s="321"/>
      <c r="I15" s="322"/>
      <c r="J15" s="279"/>
      <c r="K15" s="279"/>
      <c r="Q15" s="1013" t="s">
        <v>861</v>
      </c>
      <c r="R15" s="1014"/>
      <c r="S15" s="1014"/>
      <c r="T15" s="1014"/>
      <c r="U15" s="1014"/>
      <c r="V15" s="1014"/>
      <c r="W15" s="1014"/>
      <c r="X15" s="1015"/>
    </row>
    <row r="16" spans="1:27" ht="29.5" thickBot="1" x14ac:dyDescent="0.4">
      <c r="A16" s="289"/>
      <c r="B16" s="1004" t="s">
        <v>862</v>
      </c>
      <c r="C16" s="1005"/>
      <c r="D16" s="1005"/>
      <c r="E16" s="1005"/>
      <c r="F16" s="1005"/>
      <c r="G16" s="1005"/>
      <c r="H16" s="1005"/>
      <c r="I16" s="1005"/>
      <c r="J16" s="1006"/>
      <c r="K16" s="279"/>
      <c r="Q16" s="267" t="s">
        <v>860</v>
      </c>
      <c r="R16" s="268" t="str">
        <f>'H-Risk Register-Model'!$BS$17</f>
        <v>Risk Item for Lookup</v>
      </c>
      <c r="S16" s="268" t="str">
        <f>'H-Risk Register-Model'!BT17</f>
        <v>Risk Item Name for Chart</v>
      </c>
      <c r="T16" s="268" t="str">
        <f>'H-Risk Register-Model'!BU17</f>
        <v>Cost LV</v>
      </c>
      <c r="U16" s="268" t="str">
        <f>'H-Risk Register-Model'!BV17</f>
        <v>Cost HV</v>
      </c>
      <c r="V16" s="268" t="str">
        <f>'H-Risk Register-Model'!BK17</f>
        <v>ROM Cost Risk @ 50%</v>
      </c>
      <c r="W16" s="268" t="str">
        <f>'H-Risk Register-Model'!BL17</f>
        <v>ROM Cost Risk @ 80%</v>
      </c>
      <c r="X16" s="269" t="str">
        <f>'H-Risk Register-Model'!BM17</f>
        <v>ROM Cost Risk @ 90%</v>
      </c>
      <c r="Y16" s="8"/>
      <c r="Z16" s="8"/>
      <c r="AA16" s="260"/>
    </row>
    <row r="17" spans="1:30" x14ac:dyDescent="0.35">
      <c r="A17" s="289"/>
      <c r="B17" s="570"/>
      <c r="C17" s="323"/>
      <c r="D17" s="323"/>
      <c r="E17" s="323"/>
      <c r="F17" s="323"/>
      <c r="G17" s="323"/>
      <c r="H17" s="323"/>
      <c r="I17" s="323"/>
      <c r="J17" s="571"/>
      <c r="K17" s="279"/>
      <c r="Q17" s="270">
        <v>1</v>
      </c>
      <c r="R17" s="487">
        <f>IFERROR(IF((ABS(T17)+ABS(U17))=0,"N/A",VLOOKUP($Q17,'H-Risk Register-Model'!$BJ:$BX,MATCH(R$16,'H-Risk Register-Model'!$BJ$17:$BX$17,0),FALSE)),"N/A")</f>
        <v>1</v>
      </c>
      <c r="S17" s="8" t="str">
        <f>IFERROR(IF((U17+V17)=0,"N/A",VLOOKUP($Q17,'H-Risk Register-Model'!$BJ:$BX,MATCH(S$16,'H-Risk Register-Model'!$BJ$17:$BX$17,0),FALSE)),"N/A")</f>
        <v>1 - PLEASE TYPE FIRST RISK OVER THE TOP OF THIS ONE</v>
      </c>
      <c r="T17" s="490">
        <f>IFERROR(VLOOKUP($Q17,'H-Risk Register-Model'!$BJ:$BX,MATCH(T$16,'H-Risk Register-Model'!$BJ$17:$BX$17,0),FALSE),"N/A")</f>
        <v>-250000</v>
      </c>
      <c r="U17" s="490">
        <f>IFERROR(VLOOKUP($Q17,'H-Risk Register-Model'!$BJ:$BX,MATCH(U$16,'H-Risk Register-Model'!$BJ$17:$BX$17,0),FALSE),"N/A")</f>
        <v>3300000</v>
      </c>
      <c r="V17" s="490">
        <f>IFERROR(VLOOKUP($Q17,'H-Risk Register-Model'!$BJ:$BX,MATCH(V$16,'H-Risk Register-Model'!$BJ$17:$BX$17,0),FALSE),"N/A")</f>
        <v>1740000.0000000002</v>
      </c>
      <c r="W17" s="490">
        <f>IFERROR(VLOOKUP($Q17,'H-Risk Register-Model'!$BJ:$BX,MATCH(W$16,'H-Risk Register-Model'!$BJ$17:$BX$17,0),FALSE),"N/A")</f>
        <v>3335000</v>
      </c>
      <c r="X17" s="271">
        <f>IFERROR(VLOOKUP($Q17,'H-Risk Register-Model'!$BJ:$BX,MATCH(X$16,'H-Risk Register-Model'!$BJ$17:$BX$17,0),FALSE),"N/A")</f>
        <v>4205000</v>
      </c>
      <c r="Y17" s="8"/>
      <c r="AB17" s="200"/>
      <c r="AC17" s="200"/>
    </row>
    <row r="18" spans="1:30" x14ac:dyDescent="0.35">
      <c r="A18" s="323"/>
      <c r="B18" s="572"/>
      <c r="C18" s="289"/>
      <c r="D18" s="289"/>
      <c r="E18" s="279"/>
      <c r="F18" s="323"/>
      <c r="G18" s="279"/>
      <c r="H18" s="279"/>
      <c r="I18" s="89"/>
      <c r="J18" s="573"/>
      <c r="K18" s="279"/>
      <c r="M18" s="261" t="s">
        <v>859</v>
      </c>
      <c r="N18" s="200"/>
      <c r="O18" s="200"/>
      <c r="P18" s="200"/>
      <c r="Q18" s="270">
        <f t="shared" ref="Q18:Q26" si="0">Q17+1</f>
        <v>2</v>
      </c>
      <c r="R18" s="487" t="str">
        <f>IFERROR(IF((ABS(T18)+ABS(U18))=0,"N/A",VLOOKUP($Q18,'H-Risk Register-Model'!$BJ:$BX,MATCH(R$16,'H-Risk Register-Model'!$BJ$17:$BX$17,0),FALSE)),"N/A")</f>
        <v>N/A</v>
      </c>
      <c r="S18" s="8" t="str">
        <f>IFERROR(IF((U18+V18)=0,"N/A",VLOOKUP($Q18,'H-Risk Register-Model'!$BJ:$BX,MATCH(S$16,'H-Risk Register-Model'!$BJ$17:$BX$17,0),FALSE)),"N/A")</f>
        <v>N/A</v>
      </c>
      <c r="T18" s="490">
        <f>IFERROR(VLOOKUP($Q18,'H-Risk Register-Model'!$BJ:$BX,MATCH(T$16,'H-Risk Register-Model'!$BJ$17:$BX$17,0),FALSE),"N/A")</f>
        <v>0</v>
      </c>
      <c r="U18" s="490">
        <f>IFERROR(VLOOKUP($Q18,'H-Risk Register-Model'!$BJ:$BX,MATCH(U$16,'H-Risk Register-Model'!$BJ$17:$BX$17,0),FALSE),"N/A")</f>
        <v>0</v>
      </c>
      <c r="V18" s="490">
        <f>IFERROR(VLOOKUP($Q18,'H-Risk Register-Model'!$BJ:$BX,MATCH(V$16,'H-Risk Register-Model'!$BJ$17:$BX$17,0),FALSE),"N/A")</f>
        <v>0</v>
      </c>
      <c r="W18" s="490">
        <f>IFERROR(VLOOKUP($Q18,'H-Risk Register-Model'!$BJ:$BX,MATCH(W$16,'H-Risk Register-Model'!$BJ$17:$BX$17,0),FALSE),"N/A")</f>
        <v>0</v>
      </c>
      <c r="X18" s="271">
        <f>IFERROR(VLOOKUP($Q18,'H-Risk Register-Model'!$BJ:$BX,MATCH(X$16,'H-Risk Register-Model'!$BJ$17:$BX$17,0),FALSE),"N/A")</f>
        <v>0</v>
      </c>
      <c r="Y18" s="8"/>
      <c r="Z18" s="1001" t="s">
        <v>1059</v>
      </c>
      <c r="AA18" s="1001"/>
      <c r="AB18" s="200"/>
      <c r="AC18" s="200"/>
      <c r="AD18" s="200"/>
    </row>
    <row r="19" spans="1:30" x14ac:dyDescent="0.35">
      <c r="A19" s="323"/>
      <c r="B19" s="572"/>
      <c r="C19" s="574"/>
      <c r="D19" s="574"/>
      <c r="E19" s="279"/>
      <c r="F19" s="323"/>
      <c r="G19" s="279"/>
      <c r="H19" s="279"/>
      <c r="I19" s="89"/>
      <c r="J19" s="573"/>
      <c r="K19" s="279"/>
      <c r="M19" s="777">
        <f t="shared" ref="M19:M28" si="1">R17</f>
        <v>1</v>
      </c>
      <c r="N19" s="263"/>
      <c r="O19" s="264"/>
      <c r="P19" s="200"/>
      <c r="Q19" s="270">
        <f t="shared" si="0"/>
        <v>3</v>
      </c>
      <c r="R19" s="487" t="str">
        <f>IFERROR(IF((ABS(T19)+ABS(U19))=0,"N/A",VLOOKUP($Q19,'H-Risk Register-Model'!$BJ:$BX,MATCH(R$16,'H-Risk Register-Model'!$BJ$17:$BX$17,0),FALSE)),"N/A")</f>
        <v>N/A</v>
      </c>
      <c r="S19" s="8" t="str">
        <f>IFERROR(IF((U19+V19)=0,"N/A",VLOOKUP($Q19,'H-Risk Register-Model'!$BJ:$BX,MATCH(S$16,'H-Risk Register-Model'!$BJ$17:$BX$17,0),FALSE)),"N/A")</f>
        <v>N/A</v>
      </c>
      <c r="T19" s="490">
        <f>IFERROR(VLOOKUP($Q19,'H-Risk Register-Model'!$BJ:$BX,MATCH(T$16,'H-Risk Register-Model'!$BJ$17:$BX$17,0),FALSE),"N/A")</f>
        <v>0</v>
      </c>
      <c r="U19" s="490">
        <f>IFERROR(VLOOKUP($Q19,'H-Risk Register-Model'!$BJ:$BX,MATCH(U$16,'H-Risk Register-Model'!$BJ$17:$BX$17,0),FALSE),"N/A")</f>
        <v>0</v>
      </c>
      <c r="V19" s="490">
        <f>IFERROR(VLOOKUP($Q19,'H-Risk Register-Model'!$BJ:$BX,MATCH(V$16,'H-Risk Register-Model'!$BJ$17:$BX$17,0),FALSE),"N/A")</f>
        <v>0</v>
      </c>
      <c r="W19" s="490">
        <f>IFERROR(VLOOKUP($Q19,'H-Risk Register-Model'!$BJ:$BX,MATCH(W$16,'H-Risk Register-Model'!$BJ$17:$BX$17,0),FALSE),"N/A")</f>
        <v>0</v>
      </c>
      <c r="X19" s="271">
        <f>IFERROR(VLOOKUP($Q19,'H-Risk Register-Model'!$BJ:$BX,MATCH(X$16,'H-Risk Register-Model'!$BJ$17:$BX$17,0),FALSE),"N/A")</f>
        <v>0</v>
      </c>
      <c r="Y19" s="8"/>
      <c r="Z19" s="262">
        <f>'J-Sensitivity Charts'!Z41</f>
        <v>0.8</v>
      </c>
      <c r="AA19" s="260" t="s">
        <v>843</v>
      </c>
      <c r="AB19" s="200"/>
      <c r="AC19" s="200"/>
      <c r="AD19" s="200"/>
    </row>
    <row r="20" spans="1:30" x14ac:dyDescent="0.35">
      <c r="A20" s="323"/>
      <c r="B20" s="575"/>
      <c r="C20" s="574"/>
      <c r="D20" s="574"/>
      <c r="E20" s="279"/>
      <c r="F20" s="323"/>
      <c r="G20" s="279"/>
      <c r="H20" s="279"/>
      <c r="I20" s="89"/>
      <c r="J20" s="573"/>
      <c r="K20" s="279"/>
      <c r="M20" s="777" t="str">
        <f t="shared" si="1"/>
        <v>N/A</v>
      </c>
      <c r="N20" s="263"/>
      <c r="O20" s="264"/>
      <c r="P20" s="200"/>
      <c r="Q20" s="270">
        <f t="shared" si="0"/>
        <v>4</v>
      </c>
      <c r="R20" s="487" t="str">
        <f>IFERROR(IF((ABS(T20)+ABS(U20))=0,"N/A",VLOOKUP($Q20,'H-Risk Register-Model'!$BJ:$BX,MATCH(R$16,'H-Risk Register-Model'!$BJ$17:$BX$17,0),FALSE)),"N/A")</f>
        <v>N/A</v>
      </c>
      <c r="S20" s="8" t="str">
        <f>IFERROR(IF((U20+V20)=0,"N/A",VLOOKUP($Q20,'H-Risk Register-Model'!$BJ:$BX,MATCH(S$16,'H-Risk Register-Model'!$BJ$17:$BX$17,0),FALSE)),"N/A")</f>
        <v>N/A</v>
      </c>
      <c r="T20" s="490">
        <f>IFERROR(VLOOKUP($Q20,'H-Risk Register-Model'!$BJ:$BX,MATCH(T$16,'H-Risk Register-Model'!$BJ$17:$BX$17,0),FALSE),"N/A")</f>
        <v>0</v>
      </c>
      <c r="U20" s="490">
        <f>IFERROR(VLOOKUP($Q20,'H-Risk Register-Model'!$BJ:$BX,MATCH(U$16,'H-Risk Register-Model'!$BJ$17:$BX$17,0),FALSE),"N/A")</f>
        <v>0</v>
      </c>
      <c r="V20" s="490">
        <f>IFERROR(VLOOKUP($Q20,'H-Risk Register-Model'!$BJ:$BX,MATCH(V$16,'H-Risk Register-Model'!$BJ$17:$BX$17,0),FALSE),"N/A")</f>
        <v>0</v>
      </c>
      <c r="W20" s="490">
        <f>IFERROR(VLOOKUP($Q20,'H-Risk Register-Model'!$BJ:$BX,MATCH(W$16,'H-Risk Register-Model'!$BJ$17:$BX$17,0),FALSE),"N/A")</f>
        <v>0</v>
      </c>
      <c r="X20" s="271">
        <f>IFERROR(VLOOKUP($Q20,'H-Risk Register-Model'!$BJ:$BX,MATCH(X$16,'H-Risk Register-Model'!$BJ$17:$BX$17,0),FALSE),"N/A")</f>
        <v>0</v>
      </c>
      <c r="Y20" s="8"/>
      <c r="Z20" s="265">
        <f>IF('J-Sensitivity Charts'!Z41=50%,SUM(V17:V26),IF('J-Sensitivity Charts'!Z41=80%,SUM(W17:W26),IF('J-Sensitivity Charts'!Z41=90%,SUM(X17:X26))))</f>
        <v>3335000</v>
      </c>
      <c r="AA20" s="260" t="s">
        <v>1057</v>
      </c>
      <c r="AB20" s="200"/>
      <c r="AC20" s="200"/>
      <c r="AD20" s="200"/>
    </row>
    <row r="21" spans="1:30" x14ac:dyDescent="0.35">
      <c r="A21" s="323"/>
      <c r="B21" s="575"/>
      <c r="C21" s="574"/>
      <c r="D21" s="574"/>
      <c r="E21" s="279"/>
      <c r="F21" s="323"/>
      <c r="G21" s="279"/>
      <c r="H21" s="279"/>
      <c r="I21" s="89"/>
      <c r="J21" s="573"/>
      <c r="K21" s="279"/>
      <c r="M21" s="777" t="str">
        <f t="shared" si="1"/>
        <v>N/A</v>
      </c>
      <c r="N21" s="263"/>
      <c r="O21" s="264"/>
      <c r="P21" s="200"/>
      <c r="Q21" s="270">
        <f t="shared" si="0"/>
        <v>5</v>
      </c>
      <c r="R21" s="487" t="str">
        <f>IFERROR(IF((ABS(T21)+ABS(U21))=0,"N/A",VLOOKUP($Q21,'H-Risk Register-Model'!$BJ:$BX,MATCH(R$16,'H-Risk Register-Model'!$BJ$17:$BX$17,0),FALSE)),"N/A")</f>
        <v>N/A</v>
      </c>
      <c r="S21" s="8" t="str">
        <f>IFERROR(IF((U21+V21)=0,"N/A",VLOOKUP($Q21,'H-Risk Register-Model'!$BJ:$BX,MATCH(S$16,'H-Risk Register-Model'!$BJ$17:$BX$17,0),FALSE)),"N/A")</f>
        <v>N/A</v>
      </c>
      <c r="T21" s="490">
        <f>IFERROR(VLOOKUP($Q21,'H-Risk Register-Model'!$BJ:$BX,MATCH(T$16,'H-Risk Register-Model'!$BJ$17:$BX$17,0),FALSE),"N/A")</f>
        <v>0</v>
      </c>
      <c r="U21" s="490">
        <f>IFERROR(VLOOKUP($Q21,'H-Risk Register-Model'!$BJ:$BX,MATCH(U$16,'H-Risk Register-Model'!$BJ$17:$BX$17,0),FALSE),"N/A")</f>
        <v>0</v>
      </c>
      <c r="V21" s="490">
        <f>IFERROR(VLOOKUP($Q21,'H-Risk Register-Model'!$BJ:$BX,MATCH(V$16,'H-Risk Register-Model'!$BJ$17:$BX$17,0),FALSE),"N/A")</f>
        <v>0</v>
      </c>
      <c r="W21" s="490">
        <f>IFERROR(VLOOKUP($Q21,'H-Risk Register-Model'!$BJ:$BX,MATCH(W$16,'H-Risk Register-Model'!$BJ$17:$BX$17,0),FALSE),"N/A")</f>
        <v>0</v>
      </c>
      <c r="X21" s="271">
        <f>IFERROR(VLOOKUP($Q21,'H-Risk Register-Model'!$BJ:$BX,MATCH(X$16,'H-Risk Register-Model'!$BJ$17:$BX$17,0),FALSE),"N/A")</f>
        <v>0</v>
      </c>
      <c r="Y21" s="8"/>
      <c r="Z21" s="265">
        <f>'J-Sensitivity Charts'!I5</f>
        <v>3335000</v>
      </c>
      <c r="AA21" s="260" t="s">
        <v>1056</v>
      </c>
      <c r="AB21" s="200"/>
      <c r="AC21" s="200"/>
      <c r="AD21" s="200"/>
    </row>
    <row r="22" spans="1:30" x14ac:dyDescent="0.35">
      <c r="A22" s="323"/>
      <c r="B22" s="575"/>
      <c r="C22" s="574"/>
      <c r="D22" s="574"/>
      <c r="E22" s="279"/>
      <c r="F22" s="323"/>
      <c r="G22" s="279"/>
      <c r="H22" s="279"/>
      <c r="I22" s="89"/>
      <c r="J22" s="573"/>
      <c r="K22" s="279"/>
      <c r="M22" s="777" t="str">
        <f t="shared" si="1"/>
        <v>N/A</v>
      </c>
      <c r="N22" s="263"/>
      <c r="O22" s="264"/>
      <c r="P22" s="200"/>
      <c r="Q22" s="270">
        <f t="shared" si="0"/>
        <v>6</v>
      </c>
      <c r="R22" s="487" t="str">
        <f>IFERROR(IF((ABS(T22)+ABS(U22))=0,"N/A",VLOOKUP($Q22,'H-Risk Register-Model'!$BJ:$BX,MATCH(R$16,'H-Risk Register-Model'!$BJ$17:$BX$17,0),FALSE)),"N/A")</f>
        <v>N/A</v>
      </c>
      <c r="S22" s="8" t="str">
        <f>IFERROR(IF((U22+V22)=0,"N/A",VLOOKUP($Q22,'H-Risk Register-Model'!$BJ:$BX,MATCH(S$16,'H-Risk Register-Model'!$BJ$17:$BX$17,0),FALSE)),"N/A")</f>
        <v>N/A</v>
      </c>
      <c r="T22" s="490">
        <f>IFERROR(VLOOKUP($Q22,'H-Risk Register-Model'!$BJ:$BX,MATCH(T$16,'H-Risk Register-Model'!$BJ$17:$BX$17,0),FALSE),"N/A")</f>
        <v>0</v>
      </c>
      <c r="U22" s="490">
        <f>IFERROR(VLOOKUP($Q22,'H-Risk Register-Model'!$BJ:$BX,MATCH(U$16,'H-Risk Register-Model'!$BJ$17:$BX$17,0),FALSE),"N/A")</f>
        <v>0</v>
      </c>
      <c r="V22" s="490">
        <f>IFERROR(VLOOKUP($Q22,'H-Risk Register-Model'!$BJ:$BX,MATCH(V$16,'H-Risk Register-Model'!$BJ$17:$BX$17,0),FALSE),"N/A")</f>
        <v>0</v>
      </c>
      <c r="W22" s="490">
        <f>IFERROR(VLOOKUP($Q22,'H-Risk Register-Model'!$BJ:$BX,MATCH(W$16,'H-Risk Register-Model'!$BJ$17:$BX$17,0),FALSE),"N/A")</f>
        <v>0</v>
      </c>
      <c r="X22" s="271">
        <f>IFERROR(VLOOKUP($Q22,'H-Risk Register-Model'!$BJ:$BX,MATCH(X$16,'H-Risk Register-Model'!$BJ$17:$BX$17,0),FALSE),"N/A")</f>
        <v>0</v>
      </c>
      <c r="Y22" s="8"/>
      <c r="Z22" s="256">
        <f>Z20/Z21</f>
        <v>1</v>
      </c>
      <c r="AA22" s="260" t="s">
        <v>1058</v>
      </c>
      <c r="AB22" s="200"/>
      <c r="AC22" s="200"/>
      <c r="AD22" s="200"/>
    </row>
    <row r="23" spans="1:30" x14ac:dyDescent="0.35">
      <c r="A23" s="323"/>
      <c r="B23" s="575"/>
      <c r="C23" s="574"/>
      <c r="D23" s="574"/>
      <c r="E23" s="279"/>
      <c r="F23" s="323"/>
      <c r="G23" s="279"/>
      <c r="H23" s="279"/>
      <c r="I23" s="89"/>
      <c r="J23" s="573"/>
      <c r="K23" s="279"/>
      <c r="M23" s="777" t="str">
        <f t="shared" si="1"/>
        <v>N/A</v>
      </c>
      <c r="N23" s="263"/>
      <c r="O23" s="264"/>
      <c r="P23" s="200"/>
      <c r="Q23" s="270">
        <f t="shared" si="0"/>
        <v>7</v>
      </c>
      <c r="R23" s="487" t="str">
        <f>IFERROR(IF((ABS(T23)+ABS(U23))=0,"N/A",VLOOKUP($Q23,'H-Risk Register-Model'!$BJ:$BX,MATCH(R$16,'H-Risk Register-Model'!$BJ$17:$BX$17,0),FALSE)),"N/A")</f>
        <v>N/A</v>
      </c>
      <c r="S23" s="8" t="str">
        <f>IFERROR(IF((U23+V23)=0,"N/A",VLOOKUP($Q23,'H-Risk Register-Model'!$BJ:$BX,MATCH(S$16,'H-Risk Register-Model'!$BJ$17:$BX$17,0),FALSE)),"N/A")</f>
        <v>N/A</v>
      </c>
      <c r="T23" s="490">
        <f>IFERROR(VLOOKUP($Q23,'H-Risk Register-Model'!$BJ:$BX,MATCH(T$16,'H-Risk Register-Model'!$BJ$17:$BX$17,0),FALSE),"N/A")</f>
        <v>0</v>
      </c>
      <c r="U23" s="490">
        <f>IFERROR(VLOOKUP($Q23,'H-Risk Register-Model'!$BJ:$BX,MATCH(U$16,'H-Risk Register-Model'!$BJ$17:$BX$17,0),FALSE),"N/A")</f>
        <v>0</v>
      </c>
      <c r="V23" s="490">
        <f>IFERROR(VLOOKUP($Q23,'H-Risk Register-Model'!$BJ:$BX,MATCH(V$16,'H-Risk Register-Model'!$BJ$17:$BX$17,0),FALSE),"N/A")</f>
        <v>0</v>
      </c>
      <c r="W23" s="490">
        <f>IFERROR(VLOOKUP($Q23,'H-Risk Register-Model'!$BJ:$BX,MATCH(W$16,'H-Risk Register-Model'!$BJ$17:$BX$17,0),FALSE),"N/A")</f>
        <v>0</v>
      </c>
      <c r="X23" s="271">
        <f>IFERROR(VLOOKUP($Q23,'H-Risk Register-Model'!$BJ:$BX,MATCH(X$16,'H-Risk Register-Model'!$BJ$17:$BX$17,0),FALSE),"N/A")</f>
        <v>0</v>
      </c>
      <c r="Y23" s="8"/>
      <c r="Z23" s="8"/>
      <c r="AA23" s="260"/>
      <c r="AB23" s="200"/>
      <c r="AC23" s="200"/>
      <c r="AD23" s="200"/>
    </row>
    <row r="24" spans="1:30" x14ac:dyDescent="0.35">
      <c r="A24" s="323"/>
      <c r="B24" s="575"/>
      <c r="C24" s="574"/>
      <c r="D24" s="574"/>
      <c r="E24" s="279"/>
      <c r="F24" s="323"/>
      <c r="G24" s="279"/>
      <c r="H24" s="279"/>
      <c r="I24" s="89"/>
      <c r="J24" s="573"/>
      <c r="K24" s="279"/>
      <c r="M24" s="777" t="str">
        <f t="shared" si="1"/>
        <v>N/A</v>
      </c>
      <c r="N24" s="263"/>
      <c r="O24" s="264"/>
      <c r="P24" s="200"/>
      <c r="Q24" s="270">
        <f t="shared" si="0"/>
        <v>8</v>
      </c>
      <c r="R24" s="487" t="str">
        <f>IFERROR(IF((ABS(T24)+ABS(U24))=0,"N/A",VLOOKUP($Q24,'H-Risk Register-Model'!$BJ:$BX,MATCH(R$16,'H-Risk Register-Model'!$BJ$17:$BX$17,0),FALSE)),"N/A")</f>
        <v>N/A</v>
      </c>
      <c r="S24" s="8" t="str">
        <f>IFERROR(IF((U24+V24)=0,"N/A",VLOOKUP($Q24,'H-Risk Register-Model'!$BJ:$BX,MATCH(S$16,'H-Risk Register-Model'!$BJ$17:$BX$17,0),FALSE)),"N/A")</f>
        <v>N/A</v>
      </c>
      <c r="T24" s="490">
        <f>IFERROR(VLOOKUP($Q24,'H-Risk Register-Model'!$BJ:$BX,MATCH(T$16,'H-Risk Register-Model'!$BJ$17:$BX$17,0),FALSE),"N/A")</f>
        <v>0</v>
      </c>
      <c r="U24" s="490">
        <f>IFERROR(VLOOKUP($Q24,'H-Risk Register-Model'!$BJ:$BX,MATCH(U$16,'H-Risk Register-Model'!$BJ$17:$BX$17,0),FALSE),"N/A")</f>
        <v>0</v>
      </c>
      <c r="V24" s="490">
        <f>IFERROR(VLOOKUP($Q24,'H-Risk Register-Model'!$BJ:$BX,MATCH(V$16,'H-Risk Register-Model'!$BJ$17:$BX$17,0),FALSE),"N/A")</f>
        <v>0</v>
      </c>
      <c r="W24" s="490">
        <f>IFERROR(VLOOKUP($Q24,'H-Risk Register-Model'!$BJ:$BX,MATCH(W$16,'H-Risk Register-Model'!$BJ$17:$BX$17,0),FALSE),"N/A")</f>
        <v>0</v>
      </c>
      <c r="X24" s="271">
        <f>IFERROR(VLOOKUP($Q24,'H-Risk Register-Model'!$BJ:$BX,MATCH(X$16,'H-Risk Register-Model'!$BJ$17:$BX$17,0),FALSE),"N/A")</f>
        <v>0</v>
      </c>
      <c r="Y24" s="8"/>
      <c r="Z24" s="8"/>
      <c r="AA24" s="260"/>
      <c r="AB24" s="200"/>
      <c r="AC24" s="200"/>
      <c r="AD24" s="200"/>
    </row>
    <row r="25" spans="1:30" x14ac:dyDescent="0.35">
      <c r="A25" s="323"/>
      <c r="B25" s="575"/>
      <c r="C25" s="574"/>
      <c r="D25" s="574"/>
      <c r="E25" s="279"/>
      <c r="F25" s="323"/>
      <c r="G25" s="279"/>
      <c r="H25" s="279"/>
      <c r="I25" s="89"/>
      <c r="J25" s="573"/>
      <c r="K25" s="279"/>
      <c r="M25" s="777" t="str">
        <f t="shared" si="1"/>
        <v>N/A</v>
      </c>
      <c r="N25" s="263"/>
      <c r="O25" s="264"/>
      <c r="P25" s="200"/>
      <c r="Q25" s="270">
        <f t="shared" si="0"/>
        <v>9</v>
      </c>
      <c r="R25" s="487" t="str">
        <f>IFERROR(IF((ABS(T25)+ABS(U25))=0,"N/A",VLOOKUP($Q25,'H-Risk Register-Model'!$BJ:$BX,MATCH(R$16,'H-Risk Register-Model'!$BJ$17:$BX$17,0),FALSE)),"N/A")</f>
        <v>N/A</v>
      </c>
      <c r="S25" s="8" t="str">
        <f>IFERROR(IF((U25+V25)=0,"N/A",VLOOKUP($Q25,'H-Risk Register-Model'!$BJ:$BX,MATCH(S$16,'H-Risk Register-Model'!$BJ$17:$BX$17,0),FALSE)),"N/A")</f>
        <v>N/A</v>
      </c>
      <c r="T25" s="490">
        <f>IFERROR(VLOOKUP($Q25,'H-Risk Register-Model'!$BJ:$BX,MATCH(T$16,'H-Risk Register-Model'!$BJ$17:$BX$17,0),FALSE),"N/A")</f>
        <v>0</v>
      </c>
      <c r="U25" s="490">
        <f>IFERROR(VLOOKUP($Q25,'H-Risk Register-Model'!$BJ:$BX,MATCH(U$16,'H-Risk Register-Model'!$BJ$17:$BX$17,0),FALSE),"N/A")</f>
        <v>0</v>
      </c>
      <c r="V25" s="490">
        <f>IFERROR(VLOOKUP($Q25,'H-Risk Register-Model'!$BJ:$BX,MATCH(V$16,'H-Risk Register-Model'!$BJ$17:$BX$17,0),FALSE),"N/A")</f>
        <v>0</v>
      </c>
      <c r="W25" s="490">
        <f>IFERROR(VLOOKUP($Q25,'H-Risk Register-Model'!$BJ:$BX,MATCH(W$16,'H-Risk Register-Model'!$BJ$17:$BX$17,0),FALSE),"N/A")</f>
        <v>0</v>
      </c>
      <c r="X25" s="271">
        <f>IFERROR(VLOOKUP($Q25,'H-Risk Register-Model'!$BJ:$BX,MATCH(X$16,'H-Risk Register-Model'!$BJ$17:$BX$17,0),FALSE),"N/A")</f>
        <v>0</v>
      </c>
      <c r="Y25" s="8"/>
      <c r="Z25" s="8"/>
      <c r="AA25" s="260"/>
      <c r="AB25" s="200"/>
      <c r="AC25" s="200"/>
      <c r="AD25" s="200"/>
    </row>
    <row r="26" spans="1:30" x14ac:dyDescent="0.35">
      <c r="A26" s="323"/>
      <c r="B26" s="575"/>
      <c r="C26" s="574"/>
      <c r="D26" s="574"/>
      <c r="E26" s="323"/>
      <c r="F26" s="323"/>
      <c r="G26" s="279"/>
      <c r="H26" s="279"/>
      <c r="I26" s="89"/>
      <c r="J26" s="573"/>
      <c r="K26" s="279"/>
      <c r="M26" s="777" t="str">
        <f t="shared" si="1"/>
        <v>N/A</v>
      </c>
      <c r="N26" s="263"/>
      <c r="O26" s="264"/>
      <c r="P26" s="200"/>
      <c r="Q26" s="270">
        <f t="shared" si="0"/>
        <v>10</v>
      </c>
      <c r="R26" s="487" t="str">
        <f>IFERROR(IF((ABS(T26)+ABS(U26))=0,"N/A",VLOOKUP($Q26,'H-Risk Register-Model'!$BJ:$BX,MATCH(R$16,'H-Risk Register-Model'!$BJ$17:$BX$17,0),FALSE)),"N/A")</f>
        <v>N/A</v>
      </c>
      <c r="S26" s="8" t="str">
        <f>IFERROR(IF((U26+V26)=0,"N/A",VLOOKUP($Q26,'H-Risk Register-Model'!$BJ:$BX,MATCH(S$16,'H-Risk Register-Model'!$BJ$17:$BX$17,0),FALSE)),"N/A")</f>
        <v>N/A</v>
      </c>
      <c r="T26" s="490">
        <f>IFERROR(VLOOKUP($Q26,'H-Risk Register-Model'!$BJ:$BX,MATCH(T$16,'H-Risk Register-Model'!$BJ$17:$BX$17,0),FALSE),"N/A")</f>
        <v>0</v>
      </c>
      <c r="U26" s="490">
        <f>IFERROR(VLOOKUP($Q26,'H-Risk Register-Model'!$BJ:$BX,MATCH(U$16,'H-Risk Register-Model'!$BJ$17:$BX$17,0),FALSE),"N/A")</f>
        <v>0</v>
      </c>
      <c r="V26" s="490">
        <f>IFERROR(VLOOKUP($Q26,'H-Risk Register-Model'!$BJ:$BX,MATCH(V$16,'H-Risk Register-Model'!$BJ$17:$BX$17,0),FALSE),"N/A")</f>
        <v>0</v>
      </c>
      <c r="W26" s="490">
        <f>IFERROR(VLOOKUP($Q26,'H-Risk Register-Model'!$BJ:$BX,MATCH(W$16,'H-Risk Register-Model'!$BJ$17:$BX$17,0),FALSE),"N/A")</f>
        <v>0</v>
      </c>
      <c r="X26" s="271">
        <f>IFERROR(VLOOKUP($Q26,'H-Risk Register-Model'!$BJ:$BX,MATCH(X$16,'H-Risk Register-Model'!$BJ$17:$BX$17,0),FALSE),"N/A")</f>
        <v>0</v>
      </c>
      <c r="Y26" s="8"/>
      <c r="Z26" s="8"/>
      <c r="AA26" s="260"/>
      <c r="AB26" s="200"/>
      <c r="AC26" s="200"/>
      <c r="AD26" s="200"/>
    </row>
    <row r="27" spans="1:30" ht="15" thickBot="1" x14ac:dyDescent="0.4">
      <c r="A27" s="323"/>
      <c r="B27" s="575"/>
      <c r="C27" s="576"/>
      <c r="D27" s="576"/>
      <c r="E27" s="323"/>
      <c r="F27" s="323"/>
      <c r="G27" s="279"/>
      <c r="H27" s="279"/>
      <c r="I27" s="89"/>
      <c r="J27" s="573"/>
      <c r="K27" s="279"/>
      <c r="M27" s="777" t="str">
        <f t="shared" si="1"/>
        <v>N/A</v>
      </c>
      <c r="N27" s="263"/>
      <c r="O27" s="264"/>
      <c r="P27" s="200"/>
      <c r="Q27" s="272"/>
      <c r="R27" s="273"/>
      <c r="S27" s="274" t="str">
        <f>IF(M30="Yes","Remaining Contingency","")</f>
        <v>Remaining Contingency</v>
      </c>
      <c r="T27" s="275"/>
      <c r="U27" s="275"/>
      <c r="V27" s="275">
        <f>IF(M30="Yes",SUM('H-Risk Register-Model'!$BK:$BK)-SUM(V17:V26),"")</f>
        <v>0</v>
      </c>
      <c r="W27" s="275">
        <f>IF(M30="Yes",SUM('H-Risk Register-Model'!$BL:$BL)-SUM(W17:W26),"")</f>
        <v>0</v>
      </c>
      <c r="X27" s="276">
        <f>IF(M30="Yes",SUM('H-Risk Register-Model'!$BM:$BM)-SUM(X17:X26),"")</f>
        <v>0</v>
      </c>
      <c r="Y27" s="8"/>
      <c r="Z27" s="8"/>
      <c r="AA27" s="260"/>
      <c r="AB27" s="200"/>
      <c r="AC27" s="200"/>
      <c r="AD27" s="200"/>
    </row>
    <row r="28" spans="1:30" x14ac:dyDescent="0.35">
      <c r="A28" s="323"/>
      <c r="B28" s="575"/>
      <c r="C28" s="576"/>
      <c r="D28" s="576"/>
      <c r="E28" s="323"/>
      <c r="F28" s="323"/>
      <c r="G28" s="279"/>
      <c r="H28" s="279"/>
      <c r="I28" s="89"/>
      <c r="J28" s="573"/>
      <c r="K28" s="279"/>
      <c r="M28" s="777" t="str">
        <f t="shared" si="1"/>
        <v>N/A</v>
      </c>
      <c r="N28" s="263"/>
      <c r="O28" s="264"/>
      <c r="P28" s="200"/>
      <c r="Q28" s="8"/>
      <c r="R28" s="8"/>
      <c r="S28" s="8"/>
      <c r="T28" s="8"/>
      <c r="U28" s="8"/>
      <c r="V28" s="8"/>
      <c r="W28" s="8"/>
      <c r="X28" s="8"/>
      <c r="Y28" s="8"/>
      <c r="Z28" s="8"/>
      <c r="AA28" s="260"/>
      <c r="AB28" s="200"/>
      <c r="AC28" s="200"/>
      <c r="AD28" s="200"/>
    </row>
    <row r="29" spans="1:30" x14ac:dyDescent="0.35">
      <c r="A29" s="323"/>
      <c r="B29" s="575"/>
      <c r="C29" s="576"/>
      <c r="D29" s="576"/>
      <c r="E29" s="323"/>
      <c r="F29" s="323"/>
      <c r="G29" s="279"/>
      <c r="H29" s="279"/>
      <c r="I29" s="89"/>
      <c r="J29" s="573"/>
      <c r="K29" s="279"/>
      <c r="M29" s="200"/>
      <c r="N29" s="200"/>
      <c r="O29" s="200"/>
      <c r="P29" s="200"/>
      <c r="Q29" s="8"/>
      <c r="R29" s="8"/>
      <c r="S29" s="8"/>
      <c r="T29" s="8"/>
      <c r="U29" s="8"/>
      <c r="V29" s="8"/>
      <c r="W29" s="8"/>
      <c r="X29" s="8"/>
      <c r="Y29" s="8"/>
      <c r="Z29" s="8"/>
      <c r="AA29" s="260"/>
      <c r="AB29" s="200"/>
      <c r="AC29" s="200"/>
      <c r="AD29" s="200"/>
    </row>
    <row r="30" spans="1:30" x14ac:dyDescent="0.35">
      <c r="A30" s="323"/>
      <c r="B30" s="575"/>
      <c r="C30" s="576"/>
      <c r="D30" s="576"/>
      <c r="E30" s="323"/>
      <c r="F30" s="323"/>
      <c r="G30" s="279"/>
      <c r="H30" s="279"/>
      <c r="I30" s="89"/>
      <c r="J30" s="573"/>
      <c r="K30" s="279"/>
      <c r="M30" s="776" t="s">
        <v>1294</v>
      </c>
      <c r="N30" s="200"/>
      <c r="O30" s="200"/>
      <c r="P30" s="200"/>
      <c r="Q30" s="8"/>
      <c r="R30" s="8"/>
      <c r="S30" s="8"/>
      <c r="T30" s="8"/>
      <c r="U30" s="8"/>
      <c r="V30" s="8"/>
      <c r="W30" s="8"/>
      <c r="X30" s="8"/>
      <c r="Y30" s="8"/>
      <c r="Z30" s="8"/>
      <c r="AA30" s="260"/>
      <c r="AB30" s="200"/>
      <c r="AC30" s="200"/>
      <c r="AD30" s="200"/>
    </row>
    <row r="31" spans="1:30" x14ac:dyDescent="0.35">
      <c r="A31" s="323"/>
      <c r="B31" s="575"/>
      <c r="C31" s="576"/>
      <c r="D31" s="576"/>
      <c r="E31" s="323"/>
      <c r="F31" s="323"/>
      <c r="G31" s="279"/>
      <c r="H31" s="279"/>
      <c r="I31" s="89"/>
      <c r="J31" s="573"/>
      <c r="K31" s="279"/>
      <c r="M31" s="200"/>
      <c r="N31" s="200"/>
      <c r="O31" s="200"/>
      <c r="P31" s="200"/>
      <c r="Q31" s="8"/>
      <c r="R31" s="8"/>
      <c r="S31" s="8"/>
      <c r="T31" s="8"/>
      <c r="U31" s="8"/>
      <c r="V31" s="8"/>
      <c r="W31" s="8"/>
      <c r="X31" s="8"/>
      <c r="Y31" s="8"/>
      <c r="Z31" s="8"/>
      <c r="AA31" s="260"/>
      <c r="AB31" s="200"/>
      <c r="AC31" s="200"/>
      <c r="AD31" s="200"/>
    </row>
    <row r="32" spans="1:30" x14ac:dyDescent="0.35">
      <c r="A32" s="323"/>
      <c r="B32" s="575"/>
      <c r="C32" s="576"/>
      <c r="D32" s="576"/>
      <c r="E32" s="323"/>
      <c r="F32" s="323"/>
      <c r="G32" s="279"/>
      <c r="H32" s="279"/>
      <c r="I32" s="89"/>
      <c r="J32" s="573"/>
      <c r="K32" s="279"/>
      <c r="M32" s="200"/>
      <c r="N32" s="200"/>
      <c r="O32" s="200"/>
      <c r="P32" s="200"/>
      <c r="Q32" s="8"/>
      <c r="R32" s="8"/>
      <c r="S32" s="8"/>
      <c r="T32" s="8"/>
      <c r="U32" s="8"/>
      <c r="V32" s="8"/>
      <c r="W32" s="8"/>
      <c r="X32" s="8"/>
      <c r="Y32" s="8"/>
      <c r="Z32" s="8"/>
      <c r="AA32" s="260"/>
      <c r="AB32" s="200"/>
      <c r="AC32" s="200"/>
      <c r="AD32" s="200"/>
    </row>
    <row r="33" spans="1:30" x14ac:dyDescent="0.35">
      <c r="A33" s="323"/>
      <c r="B33" s="575"/>
      <c r="C33" s="576"/>
      <c r="D33" s="576"/>
      <c r="E33" s="323"/>
      <c r="F33" s="323"/>
      <c r="G33" s="279"/>
      <c r="H33" s="279"/>
      <c r="I33" s="89"/>
      <c r="J33" s="573"/>
      <c r="K33" s="279"/>
      <c r="M33" s="200"/>
      <c r="N33" s="200"/>
      <c r="O33" s="200"/>
      <c r="P33" s="200"/>
      <c r="Q33" s="8"/>
      <c r="R33" s="8"/>
      <c r="S33" s="8"/>
      <c r="T33" s="8"/>
      <c r="U33" s="8"/>
      <c r="V33" s="8"/>
      <c r="W33" s="8"/>
      <c r="X33" s="8"/>
      <c r="Y33" s="8"/>
      <c r="Z33" s="8"/>
      <c r="AA33" s="260"/>
      <c r="AB33" s="200"/>
      <c r="AC33" s="200"/>
      <c r="AD33" s="200"/>
    </row>
    <row r="34" spans="1:30" x14ac:dyDescent="0.35">
      <c r="A34" s="323"/>
      <c r="B34" s="575"/>
      <c r="C34" s="576"/>
      <c r="D34" s="576"/>
      <c r="E34" s="323"/>
      <c r="F34" s="323"/>
      <c r="G34" s="279"/>
      <c r="H34" s="279"/>
      <c r="I34" s="89"/>
      <c r="J34" s="573"/>
      <c r="K34" s="279"/>
      <c r="M34" s="200"/>
      <c r="N34" s="200"/>
      <c r="O34" s="200"/>
      <c r="P34" s="200"/>
      <c r="Q34" s="200"/>
      <c r="R34" s="200"/>
      <c r="S34" s="200"/>
      <c r="T34" s="200"/>
      <c r="U34" s="200"/>
      <c r="V34" s="200"/>
      <c r="W34" s="200"/>
      <c r="X34" s="200"/>
      <c r="Y34" s="200"/>
      <c r="Z34" s="200"/>
      <c r="AA34" s="200"/>
      <c r="AB34" s="200"/>
      <c r="AC34" s="200"/>
      <c r="AD34" s="200"/>
    </row>
    <row r="35" spans="1:30" x14ac:dyDescent="0.35">
      <c r="A35" s="323"/>
      <c r="B35" s="575"/>
      <c r="C35" s="576"/>
      <c r="D35" s="576"/>
      <c r="E35" s="323"/>
      <c r="F35" s="323"/>
      <c r="G35" s="279"/>
      <c r="H35" s="279"/>
      <c r="I35" s="89"/>
      <c r="J35" s="573"/>
      <c r="K35" s="279"/>
      <c r="N35" s="200"/>
      <c r="O35" s="200"/>
      <c r="P35" s="200"/>
      <c r="Q35" s="200"/>
      <c r="R35" s="200"/>
      <c r="S35" s="200"/>
      <c r="T35" s="200"/>
      <c r="U35" s="200"/>
      <c r="V35" s="200"/>
      <c r="W35" s="200"/>
      <c r="X35" s="200"/>
      <c r="Y35" s="200"/>
      <c r="Z35" s="200"/>
      <c r="AA35" s="200"/>
      <c r="AB35" s="200"/>
      <c r="AC35" s="200"/>
      <c r="AD35" s="200"/>
    </row>
    <row r="36" spans="1:30" ht="15" thickBot="1" x14ac:dyDescent="0.4">
      <c r="A36" s="323"/>
      <c r="B36" s="575"/>
      <c r="C36" s="576"/>
      <c r="D36" s="576"/>
      <c r="E36" s="323"/>
      <c r="F36" s="323"/>
      <c r="G36" s="279"/>
      <c r="H36" s="279"/>
      <c r="I36" s="89"/>
      <c r="J36" s="573"/>
      <c r="K36" s="279"/>
      <c r="N36" s="200"/>
      <c r="O36" s="200"/>
      <c r="P36" s="200"/>
      <c r="AD36" s="200"/>
    </row>
    <row r="37" spans="1:30" ht="15" thickBot="1" x14ac:dyDescent="0.4">
      <c r="A37" s="319"/>
      <c r="B37" s="577"/>
      <c r="C37" s="578"/>
      <c r="D37" s="578"/>
      <c r="E37" s="578"/>
      <c r="F37" s="578"/>
      <c r="G37" s="579"/>
      <c r="H37" s="579"/>
      <c r="I37" s="578"/>
      <c r="J37" s="580"/>
      <c r="K37" s="279"/>
      <c r="Q37" s="1016" t="s">
        <v>857</v>
      </c>
      <c r="R37" s="1017"/>
      <c r="S37" s="1017"/>
      <c r="T37" s="1017"/>
      <c r="U37" s="1017"/>
      <c r="V37" s="1017"/>
      <c r="W37" s="1017"/>
      <c r="X37" s="1018"/>
      <c r="AC37" s="200"/>
    </row>
    <row r="38" spans="1:30" ht="29.5" thickBot="1" x14ac:dyDescent="0.4">
      <c r="A38" s="289"/>
      <c r="B38" s="971" t="s">
        <v>858</v>
      </c>
      <c r="C38" s="969"/>
      <c r="D38" s="969"/>
      <c r="E38" s="969"/>
      <c r="F38" s="969"/>
      <c r="G38" s="969"/>
      <c r="H38" s="969"/>
      <c r="I38" s="969"/>
      <c r="J38" s="970"/>
      <c r="K38" s="279"/>
      <c r="Q38" s="267" t="str">
        <f>Q16</f>
        <v>Rank</v>
      </c>
      <c r="R38" s="268" t="str">
        <f>R16</f>
        <v>Risk Item for Lookup</v>
      </c>
      <c r="S38" s="268" t="str">
        <f>S16</f>
        <v>Risk Item Name for Chart</v>
      </c>
      <c r="T38" s="268" t="str">
        <f>'H-Risk Register-Model'!BW17</f>
        <v>Schedule LV</v>
      </c>
      <c r="U38" s="268" t="str">
        <f>'H-Risk Register-Model'!BX17</f>
        <v>Schedule HV</v>
      </c>
      <c r="V38" s="268" t="str">
        <f>'H-Risk Register-Model'!BP17</f>
        <v>ROM Schedule Risk @ 50%</v>
      </c>
      <c r="W38" s="268" t="str">
        <f>'H-Risk Register-Model'!BQ17</f>
        <v>ROM Schedule Risk @ 80%</v>
      </c>
      <c r="X38" s="269" t="str">
        <f>'H-Risk Register-Model'!BR17</f>
        <v>ROM Schedule Risk @ 90%</v>
      </c>
      <c r="Y38" s="8"/>
      <c r="Z38" s="8"/>
      <c r="AA38" s="260"/>
      <c r="AB38" s="200"/>
      <c r="AC38" s="200"/>
      <c r="AD38" s="200"/>
    </row>
    <row r="39" spans="1:30" x14ac:dyDescent="0.35">
      <c r="A39" s="323"/>
      <c r="B39" s="572"/>
      <c r="C39" s="289"/>
      <c r="D39" s="289"/>
      <c r="E39" s="279"/>
      <c r="F39" s="323"/>
      <c r="G39" s="279"/>
      <c r="H39" s="279"/>
      <c r="I39" s="89"/>
      <c r="J39" s="573"/>
      <c r="K39" s="279"/>
      <c r="N39" s="200"/>
      <c r="O39" s="200"/>
      <c r="P39" s="200"/>
      <c r="Q39" s="270">
        <v>1</v>
      </c>
      <c r="R39" s="487">
        <f>IFERROR(IF((ABS(T39)+ABS(U39))=0,"N/A",VLOOKUP($Q39,'H-Risk Register-Model'!$BO:$BX,MATCH(R$16,'H-Risk Register-Model'!$BO$17:$BX$17,0),FALSE)),"N/A")</f>
        <v>1</v>
      </c>
      <c r="S39" s="8" t="str">
        <f>IFERROR(IF((U39+V39)=0,"N/A",VLOOKUP($Q39,'H-Risk Register-Model'!$BO:$BX,MATCH(S$16,'H-Risk Register-Model'!$BO$17:$BX$17,0),FALSE)),"N/A")</f>
        <v>1 - PLEASE TYPE FIRST RISK OVER THE TOP OF THIS ONE</v>
      </c>
      <c r="T39" s="491">
        <f>IFERROR(VLOOKUP($Q39,'H-Risk Register-Model'!$BO:$BX,MATCH(T$38,'H-Risk Register-Model'!$BO$17:$BX$17,0),FALSE),"N/A")</f>
        <v>-1</v>
      </c>
      <c r="U39" s="491">
        <f>IFERROR(VLOOKUP($Q39,'H-Risk Register-Model'!$BO:$BX,MATCH(U$38,'H-Risk Register-Model'!$BO$17:$BX$17,0),FALSE),"N/A")</f>
        <v>6</v>
      </c>
      <c r="V39" s="491">
        <f>IFERROR(VLOOKUP($Q39,'H-Risk Register-Model'!$BO:$BX,MATCH(V$38,'H-Risk Register-Model'!$BO$17:$BX$17,0),FALSE),"N/A")</f>
        <v>3</v>
      </c>
      <c r="W39" s="491">
        <f>IFERROR(VLOOKUP($Q39,'H-Risk Register-Model'!$BO:$BX,MATCH(W$38,'H-Risk Register-Model'!$BO$17:$BX$17,0),FALSE),"N/A")</f>
        <v>6.12</v>
      </c>
      <c r="X39" s="277">
        <f>IFERROR(VLOOKUP($Q39,'H-Risk Register-Model'!$BO:$BX,MATCH(X$38,'H-Risk Register-Model'!$BO$17:$BX$17,0),FALSE),"N/A")</f>
        <v>7.68</v>
      </c>
      <c r="Y39" s="8"/>
      <c r="AB39" s="200"/>
      <c r="AC39" s="200"/>
      <c r="AD39" s="200"/>
    </row>
    <row r="40" spans="1:30" x14ac:dyDescent="0.35">
      <c r="A40" s="323"/>
      <c r="B40" s="572"/>
      <c r="C40" s="574"/>
      <c r="D40" s="574"/>
      <c r="E40" s="279"/>
      <c r="F40" s="323"/>
      <c r="G40" s="279"/>
      <c r="H40" s="279"/>
      <c r="I40" s="89"/>
      <c r="J40" s="573"/>
      <c r="K40" s="279"/>
      <c r="M40" s="261" t="s">
        <v>856</v>
      </c>
      <c r="N40" s="200"/>
      <c r="O40" s="200"/>
      <c r="P40" s="200"/>
      <c r="Q40" s="270">
        <f t="shared" ref="Q40:Q48" si="2">Q39+1</f>
        <v>2</v>
      </c>
      <c r="R40" s="487" t="str">
        <f>IFERROR(IF((ABS(T40)+ABS(U40))=0,"N/A",VLOOKUP($Q40,'H-Risk Register-Model'!$BO:$BX,MATCH(R$16,'H-Risk Register-Model'!$BO$17:$BX$17,0),FALSE)),"N/A")</f>
        <v>N/A</v>
      </c>
      <c r="S40" s="8" t="str">
        <f>IFERROR(IF((U40+V40)=0,"N/A",VLOOKUP($Q40,'H-Risk Register-Model'!$BO:$BX,MATCH(S$16,'H-Risk Register-Model'!$BO$17:$BX$17,0),FALSE)),"N/A")</f>
        <v>N/A</v>
      </c>
      <c r="T40" s="491">
        <f>IFERROR(VLOOKUP($Q40,'H-Risk Register-Model'!$BO:$BX,MATCH(T$38,'H-Risk Register-Model'!$BO$17:$BX$17,0),FALSE),"N/A")</f>
        <v>0</v>
      </c>
      <c r="U40" s="491">
        <f>IFERROR(VLOOKUP($Q40,'H-Risk Register-Model'!$BO:$BX,MATCH(U$38,'H-Risk Register-Model'!$BO$17:$BX$17,0),FALSE),"N/A")</f>
        <v>0</v>
      </c>
      <c r="V40" s="491">
        <f>IFERROR(VLOOKUP($Q40,'H-Risk Register-Model'!$BO:$BX,MATCH(V$38,'H-Risk Register-Model'!$BO$17:$BX$17,0),FALSE),"N/A")</f>
        <v>0</v>
      </c>
      <c r="W40" s="491">
        <f>IFERROR(VLOOKUP($Q40,'H-Risk Register-Model'!$BO:$BX,MATCH(W$38,'H-Risk Register-Model'!$BO$17:$BX$17,0),FALSE),"N/A")</f>
        <v>0</v>
      </c>
      <c r="X40" s="277">
        <f>IFERROR(VLOOKUP($Q40,'H-Risk Register-Model'!$BO:$BX,MATCH(X$38,'H-Risk Register-Model'!$BO$17:$BX$17,0),FALSE),"N/A")</f>
        <v>0</v>
      </c>
      <c r="Y40" s="8"/>
      <c r="Z40" s="1001" t="s">
        <v>1059</v>
      </c>
      <c r="AA40" s="1001"/>
      <c r="AB40" s="200"/>
      <c r="AC40" s="200"/>
      <c r="AD40" s="200"/>
    </row>
    <row r="41" spans="1:30" x14ac:dyDescent="0.35">
      <c r="A41" s="323"/>
      <c r="B41" s="575"/>
      <c r="C41" s="574"/>
      <c r="D41" s="574"/>
      <c r="E41" s="279"/>
      <c r="F41" s="323"/>
      <c r="G41" s="279"/>
      <c r="H41" s="279"/>
      <c r="I41" s="89"/>
      <c r="J41" s="573"/>
      <c r="K41" s="279"/>
      <c r="M41" s="777">
        <f t="shared" ref="M41:M50" si="3">R39</f>
        <v>1</v>
      </c>
      <c r="N41" s="263"/>
      <c r="O41" s="264"/>
      <c r="P41" s="200"/>
      <c r="Q41" s="270">
        <f t="shared" si="2"/>
        <v>3</v>
      </c>
      <c r="R41" s="487" t="str">
        <f>IFERROR(IF((ABS(T41)+ABS(U41))=0,"N/A",VLOOKUP($Q41,'H-Risk Register-Model'!$BO:$BX,MATCH(R$16,'H-Risk Register-Model'!$BO$17:$BX$17,0),FALSE)),"N/A")</f>
        <v>N/A</v>
      </c>
      <c r="S41" s="8" t="str">
        <f>IFERROR(IF((U41+V41)=0,"N/A",VLOOKUP($Q41,'H-Risk Register-Model'!$BO:$BX,MATCH(S$16,'H-Risk Register-Model'!$BO$17:$BX$17,0),FALSE)),"N/A")</f>
        <v>N/A</v>
      </c>
      <c r="T41" s="491">
        <f>IFERROR(VLOOKUP($Q41,'H-Risk Register-Model'!$BO:$BX,MATCH(T$38,'H-Risk Register-Model'!$BO$17:$BX$17,0),FALSE),"N/A")</f>
        <v>0</v>
      </c>
      <c r="U41" s="491">
        <f>IFERROR(VLOOKUP($Q41,'H-Risk Register-Model'!$BO:$BX,MATCH(U$38,'H-Risk Register-Model'!$BO$17:$BX$17,0),FALSE),"N/A")</f>
        <v>0</v>
      </c>
      <c r="V41" s="491">
        <f>IFERROR(VLOOKUP($Q41,'H-Risk Register-Model'!$BO:$BX,MATCH(V$38,'H-Risk Register-Model'!$BO$17:$BX$17,0),FALSE),"N/A")</f>
        <v>0</v>
      </c>
      <c r="W41" s="491">
        <f>IFERROR(VLOOKUP($Q41,'H-Risk Register-Model'!$BO:$BX,MATCH(W$38,'H-Risk Register-Model'!$BO$17:$BX$17,0),FALSE),"N/A")</f>
        <v>0</v>
      </c>
      <c r="X41" s="277">
        <f>IFERROR(VLOOKUP($Q41,'H-Risk Register-Model'!$BO:$BX,MATCH(X$38,'H-Risk Register-Model'!$BO$17:$BX$17,0),FALSE),"N/A")</f>
        <v>0</v>
      </c>
      <c r="Y41" s="8"/>
      <c r="Z41" s="262">
        <f>'D-Project Data'!$C$6</f>
        <v>0.8</v>
      </c>
      <c r="AA41" s="260" t="str">
        <f>AA19</f>
        <v>Confidence Level</v>
      </c>
      <c r="AB41" s="200"/>
      <c r="AC41" s="200"/>
      <c r="AD41" s="200"/>
    </row>
    <row r="42" spans="1:30" x14ac:dyDescent="0.35">
      <c r="A42" s="323"/>
      <c r="B42" s="575"/>
      <c r="C42" s="574"/>
      <c r="D42" s="574"/>
      <c r="E42" s="279"/>
      <c r="F42" s="323"/>
      <c r="G42" s="279"/>
      <c r="H42" s="279"/>
      <c r="I42" s="89"/>
      <c r="J42" s="573"/>
      <c r="K42" s="279"/>
      <c r="M42" s="777" t="str">
        <f t="shared" si="3"/>
        <v>N/A</v>
      </c>
      <c r="N42" s="263"/>
      <c r="O42" s="264"/>
      <c r="P42" s="200"/>
      <c r="Q42" s="270">
        <f t="shared" si="2"/>
        <v>4</v>
      </c>
      <c r="R42" s="487" t="str">
        <f>IFERROR(IF((ABS(T42)+ABS(U42))=0,"N/A",VLOOKUP($Q42,'H-Risk Register-Model'!$BO:$BX,MATCH(R$16,'H-Risk Register-Model'!$BO$17:$BX$17,0),FALSE)),"N/A")</f>
        <v>N/A</v>
      </c>
      <c r="S42" s="8" t="str">
        <f>IFERROR(IF((U42+V42)=0,"N/A",VLOOKUP($Q42,'H-Risk Register-Model'!$BO:$BX,MATCH(S$16,'H-Risk Register-Model'!$BO$17:$BX$17,0),FALSE)),"N/A")</f>
        <v>N/A</v>
      </c>
      <c r="T42" s="491">
        <f>IFERROR(VLOOKUP($Q42,'H-Risk Register-Model'!$BO:$BX,MATCH(T$38,'H-Risk Register-Model'!$BO$17:$BX$17,0),FALSE),"N/A")</f>
        <v>0</v>
      </c>
      <c r="U42" s="491">
        <f>IFERROR(VLOOKUP($Q42,'H-Risk Register-Model'!$BO:$BX,MATCH(U$38,'H-Risk Register-Model'!$BO$17:$BX$17,0),FALSE),"N/A")</f>
        <v>0</v>
      </c>
      <c r="V42" s="491">
        <f>IFERROR(VLOOKUP($Q42,'H-Risk Register-Model'!$BO:$BX,MATCH(V$38,'H-Risk Register-Model'!$BO$17:$BX$17,0),FALSE),"N/A")</f>
        <v>0</v>
      </c>
      <c r="W42" s="491">
        <f>IFERROR(VLOOKUP($Q42,'H-Risk Register-Model'!$BO:$BX,MATCH(W$38,'H-Risk Register-Model'!$BO$17:$BX$17,0),FALSE),"N/A")</f>
        <v>0</v>
      </c>
      <c r="X42" s="277">
        <f>IFERROR(VLOOKUP($Q42,'H-Risk Register-Model'!$BO:$BX,MATCH(X$38,'H-Risk Register-Model'!$BO$17:$BX$17,0),FALSE),"N/A")</f>
        <v>0</v>
      </c>
      <c r="Y42" s="8"/>
      <c r="Z42" s="266">
        <f>IF(Z41=50%,SUM(V39:V48),IF(Z41=80%,SUM(W39:W48),IF(Z41=90%,SUM(X39:X48))))</f>
        <v>6.12</v>
      </c>
      <c r="AA42" s="260" t="str">
        <f>AA20</f>
        <v>Sum of Contingency in Table to the Left</v>
      </c>
      <c r="AB42" s="200"/>
      <c r="AC42" s="200"/>
      <c r="AD42" s="200"/>
    </row>
    <row r="43" spans="1:30" x14ac:dyDescent="0.35">
      <c r="A43" s="323"/>
      <c r="B43" s="575"/>
      <c r="C43" s="574"/>
      <c r="D43" s="574"/>
      <c r="E43" s="279"/>
      <c r="F43" s="323"/>
      <c r="G43" s="279"/>
      <c r="H43" s="279"/>
      <c r="I43" s="89"/>
      <c r="J43" s="573"/>
      <c r="K43" s="279"/>
      <c r="M43" s="777" t="str">
        <f t="shared" si="3"/>
        <v>N/A</v>
      </c>
      <c r="N43" s="263"/>
      <c r="O43" s="264"/>
      <c r="P43" s="200"/>
      <c r="Q43" s="270">
        <f t="shared" si="2"/>
        <v>5</v>
      </c>
      <c r="R43" s="487" t="str">
        <f>IFERROR(IF((ABS(T43)+ABS(U43))=0,"N/A",VLOOKUP($Q43,'H-Risk Register-Model'!$BO:$BX,MATCH(R$16,'H-Risk Register-Model'!$BO$17:$BX$17,0),FALSE)),"N/A")</f>
        <v>N/A</v>
      </c>
      <c r="S43" s="8" t="str">
        <f>IFERROR(IF((U43+V43)=0,"N/A",VLOOKUP($Q43,'H-Risk Register-Model'!$BO:$BX,MATCH(S$16,'H-Risk Register-Model'!$BO$17:$BX$17,0),FALSE)),"N/A")</f>
        <v>N/A</v>
      </c>
      <c r="T43" s="491">
        <f>IFERROR(VLOOKUP($Q43,'H-Risk Register-Model'!$BO:$BX,MATCH(T$38,'H-Risk Register-Model'!$BO$17:$BX$17,0),FALSE),"N/A")</f>
        <v>0</v>
      </c>
      <c r="U43" s="491">
        <f>IFERROR(VLOOKUP($Q43,'H-Risk Register-Model'!$BO:$BX,MATCH(U$38,'H-Risk Register-Model'!$BO$17:$BX$17,0),FALSE),"N/A")</f>
        <v>0</v>
      </c>
      <c r="V43" s="491">
        <f>IFERROR(VLOOKUP($Q43,'H-Risk Register-Model'!$BO:$BX,MATCH(V$38,'H-Risk Register-Model'!$BO$17:$BX$17,0),FALSE),"N/A")</f>
        <v>0</v>
      </c>
      <c r="W43" s="491">
        <f>IFERROR(VLOOKUP($Q43,'H-Risk Register-Model'!$BO:$BX,MATCH(W$38,'H-Risk Register-Model'!$BO$17:$BX$17,0),FALSE),"N/A")</f>
        <v>0</v>
      </c>
      <c r="X43" s="277">
        <f>IFERROR(VLOOKUP($Q43,'H-Risk Register-Model'!$BO:$BX,MATCH(X$38,'H-Risk Register-Model'!$BO$17:$BX$17,0),FALSE),"N/A")</f>
        <v>0</v>
      </c>
      <c r="Y43" s="8"/>
      <c r="Z43" s="266">
        <f>'J-Sensitivity Charts'!I12</f>
        <v>6.12</v>
      </c>
      <c r="AA43" s="260" t="str">
        <f>AA21</f>
        <v>Check with Project Contingency Total</v>
      </c>
      <c r="AB43" s="200"/>
      <c r="AC43" s="200"/>
      <c r="AD43" s="200"/>
    </row>
    <row r="44" spans="1:30" x14ac:dyDescent="0.35">
      <c r="A44" s="323"/>
      <c r="B44" s="575"/>
      <c r="C44" s="574"/>
      <c r="D44" s="574"/>
      <c r="E44" s="279"/>
      <c r="F44" s="323"/>
      <c r="G44" s="279"/>
      <c r="H44" s="279"/>
      <c r="I44" s="89"/>
      <c r="J44" s="573"/>
      <c r="K44" s="279"/>
      <c r="M44" s="777" t="str">
        <f t="shared" si="3"/>
        <v>N/A</v>
      </c>
      <c r="N44" s="263"/>
      <c r="O44" s="264"/>
      <c r="P44" s="200"/>
      <c r="Q44" s="270">
        <f t="shared" si="2"/>
        <v>6</v>
      </c>
      <c r="R44" s="487" t="str">
        <f>IFERROR(IF((ABS(T44)+ABS(U44))=0,"N/A",VLOOKUP($Q44,'H-Risk Register-Model'!$BO:$BX,MATCH(R$16,'H-Risk Register-Model'!$BO$17:$BX$17,0),FALSE)),"N/A")</f>
        <v>N/A</v>
      </c>
      <c r="S44" s="8" t="str">
        <f>IFERROR(IF((U44+V44)=0,"N/A",VLOOKUP($Q44,'H-Risk Register-Model'!$BO:$BX,MATCH(S$16,'H-Risk Register-Model'!$BO$17:$BX$17,0),FALSE)),"N/A")</f>
        <v>N/A</v>
      </c>
      <c r="T44" s="491">
        <f>IFERROR(VLOOKUP($Q44,'H-Risk Register-Model'!$BO:$BX,MATCH(T$38,'H-Risk Register-Model'!$BO$17:$BX$17,0),FALSE),"N/A")</f>
        <v>0</v>
      </c>
      <c r="U44" s="491">
        <f>IFERROR(VLOOKUP($Q44,'H-Risk Register-Model'!$BO:$BX,MATCH(U$38,'H-Risk Register-Model'!$BO$17:$BX$17,0),FALSE),"N/A")</f>
        <v>0</v>
      </c>
      <c r="V44" s="491">
        <f>IFERROR(VLOOKUP($Q44,'H-Risk Register-Model'!$BO:$BX,MATCH(V$38,'H-Risk Register-Model'!$BO$17:$BX$17,0),FALSE),"N/A")</f>
        <v>0</v>
      </c>
      <c r="W44" s="491">
        <f>IFERROR(VLOOKUP($Q44,'H-Risk Register-Model'!$BO:$BX,MATCH(W$38,'H-Risk Register-Model'!$BO$17:$BX$17,0),FALSE),"N/A")</f>
        <v>0</v>
      </c>
      <c r="X44" s="277">
        <f>IFERROR(VLOOKUP($Q44,'H-Risk Register-Model'!$BO:$BX,MATCH(X$38,'H-Risk Register-Model'!$BO$17:$BX$17,0),FALSE),"N/A")</f>
        <v>0</v>
      </c>
      <c r="Y44" s="8"/>
      <c r="Z44" s="256">
        <f>Z42/Z43</f>
        <v>1</v>
      </c>
      <c r="AA44" s="260" t="str">
        <f>AA22</f>
        <v>of Total Risk</v>
      </c>
      <c r="AB44" s="200"/>
      <c r="AC44" s="200"/>
      <c r="AD44" s="200"/>
    </row>
    <row r="45" spans="1:30" x14ac:dyDescent="0.35">
      <c r="A45" s="323"/>
      <c r="B45" s="575"/>
      <c r="C45" s="574"/>
      <c r="D45" s="574"/>
      <c r="E45" s="279"/>
      <c r="F45" s="323"/>
      <c r="G45" s="279"/>
      <c r="H45" s="279"/>
      <c r="I45" s="89"/>
      <c r="J45" s="573"/>
      <c r="K45" s="279"/>
      <c r="M45" s="777" t="str">
        <f t="shared" si="3"/>
        <v>N/A</v>
      </c>
      <c r="N45" s="263"/>
      <c r="O45" s="264"/>
      <c r="P45" s="200"/>
      <c r="Q45" s="270">
        <f t="shared" si="2"/>
        <v>7</v>
      </c>
      <c r="R45" s="487" t="str">
        <f>IFERROR(IF((ABS(T45)+ABS(U45))=0,"N/A",VLOOKUP($Q45,'H-Risk Register-Model'!$BO:$BX,MATCH(R$16,'H-Risk Register-Model'!$BO$17:$BX$17,0),FALSE)),"N/A")</f>
        <v>N/A</v>
      </c>
      <c r="S45" s="8" t="str">
        <f>IFERROR(IF((U45+V45)=0,"N/A",VLOOKUP($Q45,'H-Risk Register-Model'!$BO:$BX,MATCH(S$16,'H-Risk Register-Model'!$BO$17:$BX$17,0),FALSE)),"N/A")</f>
        <v>N/A</v>
      </c>
      <c r="T45" s="491">
        <f>IFERROR(VLOOKUP($Q45,'H-Risk Register-Model'!$BO:$BX,MATCH(T$38,'H-Risk Register-Model'!$BO$17:$BX$17,0),FALSE),"N/A")</f>
        <v>0</v>
      </c>
      <c r="U45" s="491">
        <f>IFERROR(VLOOKUP($Q45,'H-Risk Register-Model'!$BO:$BX,MATCH(U$38,'H-Risk Register-Model'!$BO$17:$BX$17,0),FALSE),"N/A")</f>
        <v>0</v>
      </c>
      <c r="V45" s="491">
        <f>IFERROR(VLOOKUP($Q45,'H-Risk Register-Model'!$BO:$BX,MATCH(V$38,'H-Risk Register-Model'!$BO$17:$BX$17,0),FALSE),"N/A")</f>
        <v>0</v>
      </c>
      <c r="W45" s="491">
        <f>IFERROR(VLOOKUP($Q45,'H-Risk Register-Model'!$BO:$BX,MATCH(W$38,'H-Risk Register-Model'!$BO$17:$BX$17,0),FALSE),"N/A")</f>
        <v>0</v>
      </c>
      <c r="X45" s="277">
        <f>IFERROR(VLOOKUP($Q45,'H-Risk Register-Model'!$BO:$BX,MATCH(X$38,'H-Risk Register-Model'!$BO$17:$BX$17,0),FALSE),"N/A")</f>
        <v>0</v>
      </c>
      <c r="Y45" s="8"/>
      <c r="Z45" s="8"/>
      <c r="AA45" s="260"/>
      <c r="AB45" s="200"/>
      <c r="AC45" s="200"/>
      <c r="AD45" s="200"/>
    </row>
    <row r="46" spans="1:30" x14ac:dyDescent="0.35">
      <c r="A46" s="323"/>
      <c r="B46" s="575"/>
      <c r="C46" s="574"/>
      <c r="D46" s="574"/>
      <c r="E46" s="279"/>
      <c r="F46" s="323"/>
      <c r="G46" s="279"/>
      <c r="H46" s="279"/>
      <c r="I46" s="89"/>
      <c r="J46" s="573"/>
      <c r="K46" s="279"/>
      <c r="M46" s="777" t="str">
        <f t="shared" si="3"/>
        <v>N/A</v>
      </c>
      <c r="N46" s="263"/>
      <c r="O46" s="264"/>
      <c r="P46" s="200"/>
      <c r="Q46" s="270">
        <f t="shared" si="2"/>
        <v>8</v>
      </c>
      <c r="R46" s="487" t="str">
        <f>IFERROR(IF((ABS(T46)+ABS(U46))=0,"N/A",VLOOKUP($Q46,'H-Risk Register-Model'!$BO:$BX,MATCH(R$16,'H-Risk Register-Model'!$BO$17:$BX$17,0),FALSE)),"N/A")</f>
        <v>N/A</v>
      </c>
      <c r="S46" s="8" t="str">
        <f>IFERROR(IF((U46+V46)=0,"N/A",VLOOKUP($Q46,'H-Risk Register-Model'!$BO:$BX,MATCH(S$16,'H-Risk Register-Model'!$BO$17:$BX$17,0),FALSE)),"N/A")</f>
        <v>N/A</v>
      </c>
      <c r="T46" s="491">
        <f>IFERROR(VLOOKUP($Q46,'H-Risk Register-Model'!$BO:$BX,MATCH(T$38,'H-Risk Register-Model'!$BO$17:$BX$17,0),FALSE),"N/A")</f>
        <v>0</v>
      </c>
      <c r="U46" s="491">
        <f>IFERROR(VLOOKUP($Q46,'H-Risk Register-Model'!$BO:$BX,MATCH(U$38,'H-Risk Register-Model'!$BO$17:$BX$17,0),FALSE),"N/A")</f>
        <v>0</v>
      </c>
      <c r="V46" s="491">
        <f>IFERROR(VLOOKUP($Q46,'H-Risk Register-Model'!$BO:$BX,MATCH(V$38,'H-Risk Register-Model'!$BO$17:$BX$17,0),FALSE),"N/A")</f>
        <v>0</v>
      </c>
      <c r="W46" s="491">
        <f>IFERROR(VLOOKUP($Q46,'H-Risk Register-Model'!$BO:$BX,MATCH(W$38,'H-Risk Register-Model'!$BO$17:$BX$17,0),FALSE),"N/A")</f>
        <v>0</v>
      </c>
      <c r="X46" s="277">
        <f>IFERROR(VLOOKUP($Q46,'H-Risk Register-Model'!$BO:$BX,MATCH(X$38,'H-Risk Register-Model'!$BO$17:$BX$17,0),FALSE),"N/A")</f>
        <v>0</v>
      </c>
      <c r="Y46" s="8"/>
      <c r="Z46" s="8"/>
      <c r="AA46" s="260"/>
      <c r="AB46" s="200"/>
      <c r="AC46" s="200"/>
      <c r="AD46" s="200"/>
    </row>
    <row r="47" spans="1:30" x14ac:dyDescent="0.35">
      <c r="A47" s="323"/>
      <c r="B47" s="575"/>
      <c r="C47" s="574"/>
      <c r="D47" s="574"/>
      <c r="E47" s="323"/>
      <c r="F47" s="323"/>
      <c r="G47" s="279"/>
      <c r="H47" s="279"/>
      <c r="I47" s="89"/>
      <c r="J47" s="573"/>
      <c r="K47" s="279"/>
      <c r="M47" s="777" t="str">
        <f t="shared" si="3"/>
        <v>N/A</v>
      </c>
      <c r="N47" s="263"/>
      <c r="O47" s="264"/>
      <c r="P47" s="200"/>
      <c r="Q47" s="270">
        <f t="shared" si="2"/>
        <v>9</v>
      </c>
      <c r="R47" s="487" t="str">
        <f>IFERROR(IF((ABS(T47)+ABS(U47))=0,"N/A",VLOOKUP($Q47,'H-Risk Register-Model'!$BO:$BX,MATCH(R$16,'H-Risk Register-Model'!$BO$17:$BX$17,0),FALSE)),"N/A")</f>
        <v>N/A</v>
      </c>
      <c r="S47" s="8" t="str">
        <f>IFERROR(IF((U47+V47)=0,"N/A",VLOOKUP($Q47,'H-Risk Register-Model'!$BO:$BX,MATCH(S$16,'H-Risk Register-Model'!$BO$17:$BX$17,0),FALSE)),"N/A")</f>
        <v>N/A</v>
      </c>
      <c r="T47" s="491">
        <f>IFERROR(VLOOKUP($Q47,'H-Risk Register-Model'!$BO:$BX,MATCH(T$38,'H-Risk Register-Model'!$BO$17:$BX$17,0),FALSE),"N/A")</f>
        <v>0</v>
      </c>
      <c r="U47" s="491">
        <f>IFERROR(VLOOKUP($Q47,'H-Risk Register-Model'!$BO:$BX,MATCH(U$38,'H-Risk Register-Model'!$BO$17:$BX$17,0),FALSE),"N/A")</f>
        <v>0</v>
      </c>
      <c r="V47" s="491">
        <f>IFERROR(VLOOKUP($Q47,'H-Risk Register-Model'!$BO:$BX,MATCH(V$38,'H-Risk Register-Model'!$BO$17:$BX$17,0),FALSE),"N/A")</f>
        <v>0</v>
      </c>
      <c r="W47" s="491">
        <f>IFERROR(VLOOKUP($Q47,'H-Risk Register-Model'!$BO:$BX,MATCH(W$38,'H-Risk Register-Model'!$BO$17:$BX$17,0),FALSE),"N/A")</f>
        <v>0</v>
      </c>
      <c r="X47" s="277">
        <f>IFERROR(VLOOKUP($Q47,'H-Risk Register-Model'!$BO:$BX,MATCH(X$38,'H-Risk Register-Model'!$BO$17:$BX$17,0),FALSE),"N/A")</f>
        <v>0</v>
      </c>
      <c r="Y47" s="8"/>
      <c r="Z47" s="8"/>
      <c r="AA47" s="260"/>
      <c r="AB47" s="200"/>
      <c r="AC47" s="200"/>
      <c r="AD47" s="200"/>
    </row>
    <row r="48" spans="1:30" x14ac:dyDescent="0.35">
      <c r="A48" s="323"/>
      <c r="B48" s="575"/>
      <c r="C48" s="576"/>
      <c r="D48" s="576"/>
      <c r="E48" s="323"/>
      <c r="F48" s="323"/>
      <c r="G48" s="279"/>
      <c r="H48" s="279"/>
      <c r="I48" s="89"/>
      <c r="J48" s="573"/>
      <c r="K48" s="279"/>
      <c r="M48" s="777" t="str">
        <f t="shared" si="3"/>
        <v>N/A</v>
      </c>
      <c r="N48" s="263"/>
      <c r="O48" s="264"/>
      <c r="P48" s="200"/>
      <c r="Q48" s="270">
        <f t="shared" si="2"/>
        <v>10</v>
      </c>
      <c r="R48" s="487" t="str">
        <f>IFERROR(IF((ABS(T48)+ABS(U48))=0,"N/A",VLOOKUP($Q48,'H-Risk Register-Model'!$BO:$BX,MATCH(R$16,'H-Risk Register-Model'!$BO$17:$BX$17,0),FALSE)),"N/A")</f>
        <v>N/A</v>
      </c>
      <c r="S48" s="8" t="str">
        <f>IFERROR(IF((U48+V48)=0,"N/A",VLOOKUP($Q48,'H-Risk Register-Model'!$BO:$BX,MATCH(S$16,'H-Risk Register-Model'!$BO$17:$BX$17,0),FALSE)),"N/A")</f>
        <v>N/A</v>
      </c>
      <c r="T48" s="491">
        <f>IFERROR(VLOOKUP($Q48,'H-Risk Register-Model'!$BO:$BX,MATCH(T$38,'H-Risk Register-Model'!$BO$17:$BX$17,0),FALSE),"N/A")</f>
        <v>0</v>
      </c>
      <c r="U48" s="491">
        <f>IFERROR(VLOOKUP($Q48,'H-Risk Register-Model'!$BO:$BX,MATCH(U$38,'H-Risk Register-Model'!$BO$17:$BX$17,0),FALSE),"N/A")</f>
        <v>0</v>
      </c>
      <c r="V48" s="491">
        <f>IFERROR(VLOOKUP($Q48,'H-Risk Register-Model'!$BO:$BX,MATCH(V$38,'H-Risk Register-Model'!$BO$17:$BX$17,0),FALSE),"N/A")</f>
        <v>0</v>
      </c>
      <c r="W48" s="491">
        <f>IFERROR(VLOOKUP($Q48,'H-Risk Register-Model'!$BO:$BX,MATCH(W$38,'H-Risk Register-Model'!$BO$17:$BX$17,0),FALSE),"N/A")</f>
        <v>0</v>
      </c>
      <c r="X48" s="277">
        <f>IFERROR(VLOOKUP($Q48,'H-Risk Register-Model'!$BO:$BX,MATCH(X$38,'H-Risk Register-Model'!$BO$17:$BX$17,0),FALSE),"N/A")</f>
        <v>0</v>
      </c>
      <c r="Y48" s="8"/>
      <c r="Z48" s="8"/>
      <c r="AA48" s="260"/>
      <c r="AB48" s="200"/>
      <c r="AC48" s="200"/>
      <c r="AD48" s="200"/>
    </row>
    <row r="49" spans="1:30" ht="15" thickBot="1" x14ac:dyDescent="0.4">
      <c r="A49" s="323"/>
      <c r="B49" s="575"/>
      <c r="C49" s="576"/>
      <c r="D49" s="576"/>
      <c r="E49" s="323"/>
      <c r="F49" s="323"/>
      <c r="G49" s="279"/>
      <c r="H49" s="279"/>
      <c r="I49" s="89"/>
      <c r="J49" s="573"/>
      <c r="K49" s="279"/>
      <c r="M49" s="777" t="str">
        <f t="shared" si="3"/>
        <v>N/A</v>
      </c>
      <c r="N49" s="263"/>
      <c r="O49" s="264"/>
      <c r="P49" s="200"/>
      <c r="Q49" s="272"/>
      <c r="R49" s="273"/>
      <c r="S49" s="274" t="str">
        <f>IF(M52="Yes","Remaining Contingency","")</f>
        <v>Remaining Contingency</v>
      </c>
      <c r="T49" s="278"/>
      <c r="U49" s="278"/>
      <c r="V49" s="278">
        <f>IF(M52="Yes",SUM('H-Risk Register-Model'!$BP:$BP)-SUM(V39:V48),"")</f>
        <v>0</v>
      </c>
      <c r="W49" s="278">
        <f>IF(M52="Yes",SUM('H-Risk Register-Model'!$BQ:$BQ)-SUM(W39:W48),"")</f>
        <v>0</v>
      </c>
      <c r="X49" s="492">
        <f>IF(M52="Yes",SUM('H-Risk Register-Model'!$BR:$BR)-SUM(X39:X48),"")</f>
        <v>0</v>
      </c>
      <c r="Y49" s="8"/>
      <c r="Z49" s="8"/>
      <c r="AA49" s="260"/>
      <c r="AB49" s="200"/>
      <c r="AC49" s="200"/>
      <c r="AD49" s="200"/>
    </row>
    <row r="50" spans="1:30" x14ac:dyDescent="0.35">
      <c r="A50" s="323"/>
      <c r="B50" s="575"/>
      <c r="C50" s="576"/>
      <c r="D50" s="576"/>
      <c r="E50" s="323"/>
      <c r="F50" s="323"/>
      <c r="G50" s="279"/>
      <c r="H50" s="279"/>
      <c r="I50" s="89"/>
      <c r="J50" s="573"/>
      <c r="K50" s="279"/>
      <c r="M50" s="777" t="str">
        <f t="shared" si="3"/>
        <v>N/A</v>
      </c>
      <c r="N50" s="263"/>
      <c r="O50" s="264"/>
      <c r="P50" s="200"/>
      <c r="Q50" s="200"/>
      <c r="R50" s="200"/>
      <c r="S50" s="200"/>
      <c r="T50" s="200"/>
      <c r="U50" s="200"/>
      <c r="V50" s="200"/>
      <c r="W50" s="200"/>
      <c r="X50" s="200"/>
      <c r="Y50" s="200"/>
      <c r="Z50" s="200"/>
      <c r="AA50" s="200"/>
      <c r="AB50" s="200"/>
      <c r="AC50" s="200"/>
      <c r="AD50" s="200"/>
    </row>
    <row r="51" spans="1:30" x14ac:dyDescent="0.35">
      <c r="A51" s="323"/>
      <c r="B51" s="575"/>
      <c r="C51" s="576"/>
      <c r="D51" s="576"/>
      <c r="E51" s="323"/>
      <c r="F51" s="323"/>
      <c r="G51" s="279"/>
      <c r="H51" s="279"/>
      <c r="I51" s="89"/>
      <c r="J51" s="573"/>
      <c r="K51" s="279"/>
      <c r="M51" s="200"/>
      <c r="N51" s="200"/>
      <c r="O51" s="200"/>
      <c r="P51" s="200"/>
      <c r="Q51" s="200"/>
      <c r="R51" s="200"/>
      <c r="S51" s="200"/>
      <c r="T51" s="200"/>
      <c r="U51" s="200"/>
      <c r="V51" s="200"/>
      <c r="W51" s="200"/>
      <c r="X51" s="200"/>
      <c r="Y51" s="200"/>
      <c r="Z51" s="200"/>
      <c r="AA51" s="200"/>
      <c r="AB51" s="200"/>
      <c r="AC51" s="200"/>
      <c r="AD51" s="200"/>
    </row>
    <row r="52" spans="1:30" x14ac:dyDescent="0.35">
      <c r="A52" s="323"/>
      <c r="B52" s="575"/>
      <c r="C52" s="576"/>
      <c r="D52" s="576"/>
      <c r="E52" s="323"/>
      <c r="F52" s="323"/>
      <c r="G52" s="279"/>
      <c r="H52" s="279"/>
      <c r="I52" s="89"/>
      <c r="J52" s="573"/>
      <c r="K52" s="279"/>
      <c r="M52" s="776" t="str">
        <f>M30</f>
        <v>Yes</v>
      </c>
      <c r="N52" s="200"/>
      <c r="O52" s="200"/>
      <c r="P52" s="200"/>
      <c r="Q52" s="200"/>
      <c r="R52" s="200"/>
      <c r="S52" s="200"/>
      <c r="T52" s="200"/>
      <c r="U52" s="200"/>
      <c r="V52" s="200"/>
      <c r="W52" s="200"/>
      <c r="X52" s="200"/>
      <c r="Y52" s="200"/>
      <c r="Z52" s="200"/>
      <c r="AA52" s="200"/>
      <c r="AB52" s="200"/>
      <c r="AC52" s="200"/>
      <c r="AD52" s="200"/>
    </row>
    <row r="53" spans="1:30" x14ac:dyDescent="0.35">
      <c r="A53" s="323"/>
      <c r="B53" s="575"/>
      <c r="C53" s="576"/>
      <c r="D53" s="576"/>
      <c r="E53" s="323"/>
      <c r="F53" s="323"/>
      <c r="G53" s="279"/>
      <c r="H53" s="279"/>
      <c r="I53" s="89"/>
      <c r="J53" s="573"/>
      <c r="K53" s="279"/>
      <c r="M53" s="200"/>
      <c r="N53" s="200"/>
      <c r="O53" s="200"/>
      <c r="P53" s="200"/>
      <c r="Q53" s="200"/>
      <c r="R53" s="200"/>
      <c r="S53" s="200"/>
      <c r="T53" s="200"/>
      <c r="U53" s="200"/>
      <c r="V53" s="200"/>
      <c r="W53" s="200"/>
      <c r="X53" s="200"/>
      <c r="Y53" s="200"/>
      <c r="Z53" s="200"/>
      <c r="AA53" s="200"/>
      <c r="AB53" s="200"/>
      <c r="AC53" s="200"/>
      <c r="AD53" s="200"/>
    </row>
    <row r="54" spans="1:30" x14ac:dyDescent="0.35">
      <c r="A54" s="323"/>
      <c r="B54" s="575"/>
      <c r="C54" s="576"/>
      <c r="D54" s="576"/>
      <c r="E54" s="323"/>
      <c r="F54" s="323"/>
      <c r="G54" s="279"/>
      <c r="H54" s="279"/>
      <c r="I54" s="89"/>
      <c r="J54" s="573"/>
      <c r="K54" s="279"/>
      <c r="M54" s="200"/>
      <c r="N54" s="200"/>
      <c r="O54" s="200"/>
      <c r="P54" s="200"/>
      <c r="Q54" s="200"/>
      <c r="R54" s="200"/>
      <c r="S54" s="200"/>
      <c r="T54" s="200"/>
      <c r="U54" s="200"/>
      <c r="V54" s="200"/>
      <c r="W54" s="200"/>
      <c r="X54" s="200"/>
      <c r="Y54" s="200"/>
      <c r="Z54" s="200"/>
      <c r="AA54" s="200"/>
      <c r="AB54" s="200"/>
      <c r="AC54" s="200"/>
      <c r="AD54" s="200"/>
    </row>
    <row r="55" spans="1:30" x14ac:dyDescent="0.35">
      <c r="A55" s="323"/>
      <c r="B55" s="575"/>
      <c r="C55" s="576"/>
      <c r="D55" s="576"/>
      <c r="E55" s="323"/>
      <c r="F55" s="323"/>
      <c r="G55" s="279"/>
      <c r="H55" s="279"/>
      <c r="I55" s="89"/>
      <c r="J55" s="573"/>
      <c r="K55" s="279"/>
      <c r="M55" s="200"/>
      <c r="N55" s="200"/>
      <c r="O55" s="200"/>
      <c r="P55" s="200"/>
      <c r="Q55" s="200"/>
      <c r="R55" s="200"/>
      <c r="S55" s="200"/>
      <c r="T55" s="200"/>
      <c r="U55" s="200"/>
      <c r="V55" s="200"/>
      <c r="W55" s="200"/>
      <c r="X55" s="200"/>
      <c r="Y55" s="200"/>
      <c r="Z55" s="200"/>
      <c r="AA55" s="200"/>
      <c r="AB55" s="200"/>
      <c r="AC55" s="200"/>
      <c r="AD55" s="200"/>
    </row>
    <row r="56" spans="1:30" x14ac:dyDescent="0.35">
      <c r="A56" s="323"/>
      <c r="B56" s="575"/>
      <c r="C56" s="576"/>
      <c r="D56" s="576"/>
      <c r="E56" s="323"/>
      <c r="F56" s="323"/>
      <c r="G56" s="279"/>
      <c r="H56" s="279"/>
      <c r="I56" s="89"/>
      <c r="J56" s="573"/>
      <c r="K56" s="279"/>
      <c r="M56" s="200"/>
      <c r="N56" s="200"/>
      <c r="O56" s="200"/>
      <c r="P56" s="200"/>
      <c r="Q56" s="200"/>
      <c r="R56" s="200"/>
      <c r="S56" s="200"/>
      <c r="T56" s="200"/>
      <c r="U56" s="200"/>
      <c r="V56" s="200"/>
      <c r="W56" s="200"/>
      <c r="X56" s="200"/>
      <c r="Y56" s="200"/>
      <c r="Z56" s="200"/>
      <c r="AA56" s="200"/>
      <c r="AB56" s="200"/>
      <c r="AC56" s="200"/>
      <c r="AD56" s="200"/>
    </row>
    <row r="57" spans="1:30" x14ac:dyDescent="0.35">
      <c r="A57" s="323"/>
      <c r="B57" s="575"/>
      <c r="C57" s="576"/>
      <c r="D57" s="576"/>
      <c r="E57" s="323"/>
      <c r="F57" s="323"/>
      <c r="G57" s="279"/>
      <c r="H57" s="279"/>
      <c r="I57" s="89"/>
      <c r="J57" s="573"/>
      <c r="K57" s="279"/>
      <c r="M57" s="200"/>
      <c r="N57" s="200"/>
      <c r="O57" s="200"/>
      <c r="P57" s="200"/>
      <c r="Q57" s="200"/>
      <c r="R57" s="200"/>
      <c r="S57" s="200"/>
      <c r="T57" s="200"/>
      <c r="U57" s="200"/>
      <c r="V57" s="200"/>
      <c r="W57" s="200"/>
      <c r="X57" s="200"/>
      <c r="Y57" s="200"/>
      <c r="Z57" s="200"/>
      <c r="AA57" s="200"/>
      <c r="AB57" s="200"/>
      <c r="AC57" s="200"/>
      <c r="AD57" s="200"/>
    </row>
    <row r="58" spans="1:30" x14ac:dyDescent="0.35">
      <c r="A58" s="323"/>
      <c r="B58" s="575"/>
      <c r="C58" s="576"/>
      <c r="D58" s="576"/>
      <c r="E58" s="323"/>
      <c r="F58" s="323"/>
      <c r="G58" s="279"/>
      <c r="H58" s="279"/>
      <c r="I58" s="89"/>
      <c r="J58" s="573"/>
      <c r="K58" s="279"/>
      <c r="M58" s="200"/>
      <c r="N58" s="200"/>
      <c r="O58" s="200"/>
      <c r="P58" s="200"/>
      <c r="AC58" s="200"/>
      <c r="AD58" s="200"/>
    </row>
    <row r="59" spans="1:30" ht="15" thickBot="1" x14ac:dyDescent="0.4">
      <c r="A59" s="323"/>
      <c r="B59" s="581"/>
      <c r="C59" s="582"/>
      <c r="D59" s="582"/>
      <c r="E59" s="583"/>
      <c r="F59" s="583"/>
      <c r="G59" s="578"/>
      <c r="H59" s="578"/>
      <c r="I59" s="584"/>
      <c r="J59" s="585"/>
      <c r="K59" s="279"/>
      <c r="M59" s="200"/>
      <c r="N59" s="200"/>
      <c r="O59" s="200"/>
      <c r="P59" s="200"/>
      <c r="AC59" s="200"/>
      <c r="AD59" s="200"/>
    </row>
    <row r="60" spans="1:30" ht="29.5" customHeight="1" x14ac:dyDescent="0.35">
      <c r="A60" s="323"/>
      <c r="B60" s="1004" t="s">
        <v>855</v>
      </c>
      <c r="C60" s="1005"/>
      <c r="D60" s="1005"/>
      <c r="E60" s="1005"/>
      <c r="F60" s="1005"/>
      <c r="G60" s="1005"/>
      <c r="H60" s="1005"/>
      <c r="I60" s="1005"/>
      <c r="J60" s="1006"/>
      <c r="K60" s="89"/>
      <c r="L60" s="200"/>
      <c r="M60" s="200"/>
      <c r="N60" s="200"/>
      <c r="O60" s="200"/>
      <c r="P60" s="200"/>
      <c r="Q60" s="200"/>
      <c r="R60" s="200"/>
      <c r="S60" s="200"/>
      <c r="T60" s="200"/>
      <c r="U60" s="200"/>
      <c r="V60" s="200"/>
      <c r="W60" s="200"/>
      <c r="X60" s="200"/>
      <c r="Y60" s="200"/>
      <c r="Z60" s="200"/>
      <c r="AA60" s="200"/>
      <c r="AB60" s="200"/>
      <c r="AC60" s="200"/>
      <c r="AD60" s="200"/>
    </row>
    <row r="61" spans="1:30" x14ac:dyDescent="0.35">
      <c r="A61" s="323"/>
      <c r="B61" s="570"/>
      <c r="C61" s="323"/>
      <c r="D61" s="323"/>
      <c r="E61" s="323"/>
      <c r="F61" s="323"/>
      <c r="G61" s="323"/>
      <c r="H61" s="323"/>
      <c r="I61" s="323"/>
      <c r="J61" s="571"/>
      <c r="K61" s="279"/>
      <c r="M61" s="200"/>
      <c r="N61" s="200"/>
      <c r="O61" s="200"/>
      <c r="P61" s="200"/>
      <c r="Q61" s="200"/>
      <c r="R61" s="200"/>
      <c r="S61" s="200"/>
      <c r="T61" s="200"/>
      <c r="U61" s="200"/>
      <c r="V61" s="200"/>
      <c r="W61" s="200"/>
      <c r="X61" s="200"/>
      <c r="Y61" s="200"/>
      <c r="Z61" s="200"/>
      <c r="AA61" s="200"/>
      <c r="AB61" s="200"/>
      <c r="AC61" s="200"/>
      <c r="AD61" s="200"/>
    </row>
    <row r="62" spans="1:30" x14ac:dyDescent="0.35">
      <c r="A62" s="323"/>
      <c r="B62" s="572"/>
      <c r="C62" s="289"/>
      <c r="D62" s="289"/>
      <c r="E62" s="279"/>
      <c r="F62" s="323"/>
      <c r="G62" s="279"/>
      <c r="H62" s="279"/>
      <c r="I62" s="89"/>
      <c r="J62" s="573"/>
      <c r="K62" s="279"/>
      <c r="M62" s="200"/>
      <c r="N62" s="200"/>
      <c r="O62" s="200"/>
      <c r="P62" s="200"/>
      <c r="Q62" s="200"/>
      <c r="R62" s="200"/>
      <c r="S62" s="200"/>
      <c r="T62" s="200"/>
      <c r="U62" s="200"/>
      <c r="V62" s="200"/>
      <c r="W62" s="200"/>
      <c r="X62" s="200"/>
      <c r="Y62" s="200"/>
      <c r="Z62" s="200"/>
      <c r="AA62" s="200"/>
      <c r="AB62" s="200"/>
      <c r="AC62" s="200"/>
      <c r="AD62" s="200"/>
    </row>
    <row r="63" spans="1:30" x14ac:dyDescent="0.35">
      <c r="A63" s="323"/>
      <c r="B63" s="572"/>
      <c r="C63" s="574"/>
      <c r="D63" s="574"/>
      <c r="E63" s="279"/>
      <c r="F63" s="323"/>
      <c r="G63" s="279"/>
      <c r="H63" s="279"/>
      <c r="I63" s="89"/>
      <c r="J63" s="573"/>
      <c r="K63" s="279"/>
      <c r="M63" s="200"/>
      <c r="N63" s="200"/>
      <c r="O63" s="200"/>
      <c r="P63" s="200"/>
      <c r="Q63" s="200"/>
      <c r="R63" s="200"/>
      <c r="S63" s="200"/>
      <c r="T63" s="200"/>
      <c r="U63" s="200"/>
      <c r="V63" s="200"/>
      <c r="W63" s="200"/>
      <c r="X63" s="200"/>
      <c r="Y63" s="200"/>
      <c r="Z63" s="200"/>
      <c r="AA63" s="200"/>
      <c r="AB63" s="200"/>
      <c r="AC63" s="200"/>
      <c r="AD63" s="200"/>
    </row>
    <row r="64" spans="1:30" x14ac:dyDescent="0.35">
      <c r="A64" s="323"/>
      <c r="B64" s="575"/>
      <c r="C64" s="574"/>
      <c r="D64" s="574"/>
      <c r="E64" s="279"/>
      <c r="F64" s="323"/>
      <c r="G64" s="279"/>
      <c r="H64" s="279"/>
      <c r="I64" s="89"/>
      <c r="J64" s="573"/>
      <c r="K64" s="279"/>
      <c r="M64" s="200"/>
      <c r="N64" s="200"/>
      <c r="O64" s="200"/>
      <c r="P64" s="200"/>
      <c r="Q64" s="200"/>
      <c r="R64" s="200"/>
      <c r="S64" s="200"/>
      <c r="T64" s="200"/>
      <c r="U64" s="200"/>
      <c r="V64" s="200"/>
      <c r="W64" s="200"/>
      <c r="X64" s="200"/>
      <c r="Y64" s="200"/>
      <c r="Z64" s="200"/>
      <c r="AA64" s="200"/>
      <c r="AB64" s="200"/>
      <c r="AC64" s="200"/>
      <c r="AD64" s="200"/>
    </row>
    <row r="65" spans="1:30" x14ac:dyDescent="0.35">
      <c r="A65" s="323"/>
      <c r="B65" s="575"/>
      <c r="C65" s="574"/>
      <c r="D65" s="574"/>
      <c r="E65" s="279"/>
      <c r="F65" s="323"/>
      <c r="G65" s="279"/>
      <c r="H65" s="279"/>
      <c r="I65" s="89"/>
      <c r="J65" s="573"/>
      <c r="K65" s="279"/>
      <c r="M65" s="200"/>
      <c r="N65" s="200"/>
      <c r="O65" s="200"/>
      <c r="P65" s="200"/>
      <c r="Q65" s="200"/>
      <c r="R65" s="200"/>
      <c r="S65" s="200"/>
      <c r="T65" s="200"/>
      <c r="U65" s="200"/>
      <c r="V65" s="200"/>
      <c r="W65" s="200"/>
      <c r="X65" s="200"/>
      <c r="Y65" s="200"/>
      <c r="Z65" s="200"/>
      <c r="AA65" s="200"/>
      <c r="AB65" s="200"/>
      <c r="AC65" s="200"/>
      <c r="AD65" s="200"/>
    </row>
    <row r="66" spans="1:30" x14ac:dyDescent="0.35">
      <c r="A66" s="323"/>
      <c r="B66" s="575"/>
      <c r="C66" s="574"/>
      <c r="D66" s="574"/>
      <c r="E66" s="279"/>
      <c r="F66" s="323"/>
      <c r="G66" s="279"/>
      <c r="H66" s="279"/>
      <c r="I66" s="89"/>
      <c r="J66" s="573"/>
      <c r="K66" s="279"/>
      <c r="M66" s="200"/>
      <c r="N66" s="200"/>
      <c r="O66" s="200"/>
      <c r="P66" s="200"/>
      <c r="Q66" s="200"/>
      <c r="R66" s="200"/>
      <c r="S66" s="200"/>
      <c r="T66" s="200"/>
      <c r="U66" s="200"/>
      <c r="V66" s="200"/>
      <c r="W66" s="200"/>
      <c r="X66" s="200"/>
      <c r="Y66" s="200"/>
      <c r="Z66" s="200"/>
      <c r="AA66" s="200"/>
      <c r="AB66" s="200"/>
      <c r="AC66" s="200"/>
      <c r="AD66" s="200"/>
    </row>
    <row r="67" spans="1:30" x14ac:dyDescent="0.35">
      <c r="A67" s="323"/>
      <c r="B67" s="575"/>
      <c r="C67" s="574"/>
      <c r="D67" s="574"/>
      <c r="E67" s="279"/>
      <c r="F67" s="323"/>
      <c r="G67" s="279"/>
      <c r="H67" s="279"/>
      <c r="I67" s="89"/>
      <c r="J67" s="573"/>
      <c r="K67" s="279"/>
      <c r="M67" s="200"/>
      <c r="N67" s="200"/>
      <c r="O67" s="200"/>
      <c r="P67" s="200"/>
      <c r="Q67" s="200"/>
      <c r="R67" s="200"/>
      <c r="S67" s="200"/>
      <c r="T67" s="200"/>
      <c r="U67" s="200"/>
      <c r="V67" s="200"/>
      <c r="W67" s="200"/>
      <c r="X67" s="200"/>
      <c r="Y67" s="200"/>
      <c r="Z67" s="200"/>
      <c r="AA67" s="200"/>
      <c r="AB67" s="200"/>
      <c r="AC67" s="200"/>
      <c r="AD67" s="200"/>
    </row>
    <row r="68" spans="1:30" x14ac:dyDescent="0.35">
      <c r="A68" s="323"/>
      <c r="B68" s="575"/>
      <c r="C68" s="574"/>
      <c r="D68" s="574"/>
      <c r="E68" s="279"/>
      <c r="F68" s="323"/>
      <c r="G68" s="279"/>
      <c r="H68" s="279"/>
      <c r="I68" s="89"/>
      <c r="J68" s="573"/>
      <c r="K68" s="279"/>
      <c r="M68" s="200"/>
      <c r="N68" s="200"/>
      <c r="O68" s="200"/>
      <c r="P68" s="200"/>
      <c r="Q68" s="200"/>
      <c r="R68" s="200"/>
      <c r="S68" s="200"/>
      <c r="T68" s="200"/>
      <c r="U68" s="200"/>
      <c r="V68" s="200"/>
      <c r="W68" s="200"/>
      <c r="X68" s="200"/>
      <c r="Y68" s="200"/>
      <c r="Z68" s="200"/>
      <c r="AA68" s="200"/>
      <c r="AB68" s="200"/>
      <c r="AC68" s="200"/>
      <c r="AD68" s="200"/>
    </row>
    <row r="69" spans="1:30" x14ac:dyDescent="0.35">
      <c r="A69" s="323"/>
      <c r="B69" s="575"/>
      <c r="C69" s="574"/>
      <c r="D69" s="574"/>
      <c r="E69" s="279"/>
      <c r="F69" s="323"/>
      <c r="G69" s="279"/>
      <c r="H69" s="279"/>
      <c r="I69" s="89"/>
      <c r="J69" s="573"/>
      <c r="K69" s="279"/>
      <c r="M69" s="200"/>
      <c r="N69" s="200"/>
      <c r="O69" s="200"/>
      <c r="P69" s="200"/>
      <c r="Q69" s="200"/>
      <c r="R69" s="200"/>
      <c r="S69" s="200"/>
      <c r="T69" s="200"/>
      <c r="U69" s="200"/>
      <c r="V69" s="200"/>
      <c r="W69" s="200"/>
      <c r="X69" s="200"/>
      <c r="Y69" s="200"/>
      <c r="Z69" s="200"/>
      <c r="AA69" s="200"/>
      <c r="AB69" s="200"/>
      <c r="AC69" s="200"/>
      <c r="AD69" s="200"/>
    </row>
    <row r="70" spans="1:30" x14ac:dyDescent="0.35">
      <c r="A70" s="323"/>
      <c r="B70" s="575"/>
      <c r="C70" s="574"/>
      <c r="D70" s="574"/>
      <c r="E70" s="279"/>
      <c r="F70" s="323"/>
      <c r="G70" s="279"/>
      <c r="H70" s="279"/>
      <c r="I70" s="89"/>
      <c r="J70" s="573"/>
      <c r="K70" s="279"/>
      <c r="M70" s="200"/>
      <c r="N70" s="200"/>
      <c r="O70" s="200"/>
      <c r="P70" s="200"/>
      <c r="Q70" s="200"/>
      <c r="R70" s="200"/>
      <c r="S70" s="200"/>
      <c r="T70" s="200"/>
      <c r="U70" s="200"/>
      <c r="V70" s="200"/>
      <c r="W70" s="200"/>
      <c r="X70" s="200"/>
      <c r="Y70" s="200"/>
      <c r="Z70" s="200"/>
      <c r="AA70" s="200"/>
      <c r="AB70" s="200"/>
      <c r="AC70" s="200"/>
      <c r="AD70" s="200"/>
    </row>
    <row r="71" spans="1:30" x14ac:dyDescent="0.35">
      <c r="A71" s="323"/>
      <c r="B71" s="575"/>
      <c r="C71" s="574"/>
      <c r="D71" s="574"/>
      <c r="E71" s="279"/>
      <c r="F71" s="323"/>
      <c r="G71" s="279"/>
      <c r="H71" s="279"/>
      <c r="I71" s="89"/>
      <c r="J71" s="573"/>
      <c r="K71" s="279"/>
      <c r="M71" s="200"/>
      <c r="N71" s="200"/>
      <c r="O71" s="200"/>
      <c r="P71" s="200"/>
      <c r="Q71" s="200"/>
      <c r="R71" s="200"/>
      <c r="S71" s="200"/>
      <c r="T71" s="200"/>
      <c r="U71" s="200"/>
      <c r="V71" s="200"/>
      <c r="W71" s="200"/>
      <c r="X71" s="200"/>
      <c r="Y71" s="200"/>
      <c r="Z71" s="200"/>
      <c r="AA71" s="200"/>
      <c r="AB71" s="200"/>
      <c r="AC71" s="200"/>
      <c r="AD71" s="200"/>
    </row>
    <row r="72" spans="1:30" x14ac:dyDescent="0.35">
      <c r="A72" s="323"/>
      <c r="B72" s="575"/>
      <c r="C72" s="574"/>
      <c r="D72" s="574"/>
      <c r="E72" s="279"/>
      <c r="F72" s="323"/>
      <c r="G72" s="279"/>
      <c r="H72" s="279"/>
      <c r="I72" s="89"/>
      <c r="J72" s="573"/>
      <c r="K72" s="279"/>
      <c r="M72" s="200"/>
      <c r="N72" s="200"/>
      <c r="O72" s="200"/>
      <c r="P72" s="200"/>
      <c r="Q72" s="200"/>
      <c r="R72" s="200"/>
      <c r="S72" s="200"/>
      <c r="T72" s="200"/>
      <c r="U72" s="200"/>
      <c r="V72" s="200"/>
      <c r="W72" s="200"/>
      <c r="X72" s="200"/>
      <c r="Y72" s="200"/>
      <c r="Z72" s="200"/>
      <c r="AA72" s="200"/>
      <c r="AB72" s="200"/>
      <c r="AC72" s="200"/>
      <c r="AD72" s="200"/>
    </row>
    <row r="73" spans="1:30" x14ac:dyDescent="0.35">
      <c r="A73" s="323"/>
      <c r="B73" s="575"/>
      <c r="C73" s="574"/>
      <c r="D73" s="574"/>
      <c r="E73" s="279"/>
      <c r="F73" s="323"/>
      <c r="G73" s="279"/>
      <c r="H73" s="279"/>
      <c r="I73" s="89"/>
      <c r="J73" s="573"/>
      <c r="K73" s="279"/>
      <c r="M73" s="200"/>
      <c r="N73" s="200"/>
      <c r="O73" s="200"/>
      <c r="P73" s="200"/>
      <c r="Q73" s="200"/>
      <c r="R73" s="200"/>
      <c r="S73" s="200"/>
      <c r="T73" s="200"/>
      <c r="U73" s="200"/>
      <c r="V73" s="200"/>
      <c r="W73" s="200"/>
      <c r="X73" s="200"/>
      <c r="Y73" s="200"/>
      <c r="Z73" s="200"/>
      <c r="AA73" s="200"/>
      <c r="AB73" s="200"/>
      <c r="AC73" s="200"/>
      <c r="AD73" s="200"/>
    </row>
    <row r="74" spans="1:30" x14ac:dyDescent="0.35">
      <c r="A74" s="323"/>
      <c r="B74" s="575"/>
      <c r="C74" s="574"/>
      <c r="D74" s="574"/>
      <c r="E74" s="279"/>
      <c r="F74" s="323"/>
      <c r="G74" s="279"/>
      <c r="H74" s="279"/>
      <c r="I74" s="89"/>
      <c r="J74" s="573"/>
      <c r="K74" s="279"/>
      <c r="M74" s="200"/>
      <c r="N74" s="200"/>
      <c r="O74" s="200"/>
      <c r="P74" s="200"/>
      <c r="Q74" s="200"/>
      <c r="R74" s="200"/>
      <c r="S74" s="200"/>
      <c r="T74" s="200"/>
      <c r="U74" s="200"/>
      <c r="V74" s="200"/>
      <c r="W74" s="200"/>
      <c r="X74" s="200"/>
      <c r="Y74" s="200"/>
      <c r="Z74" s="200"/>
      <c r="AA74" s="200"/>
      <c r="AB74" s="200"/>
      <c r="AC74" s="200"/>
      <c r="AD74" s="200"/>
    </row>
    <row r="75" spans="1:30" x14ac:dyDescent="0.35">
      <c r="A75" s="323"/>
      <c r="B75" s="575"/>
      <c r="C75" s="574"/>
      <c r="D75" s="574"/>
      <c r="E75" s="279"/>
      <c r="F75" s="323"/>
      <c r="G75" s="279"/>
      <c r="H75" s="279"/>
      <c r="I75" s="89"/>
      <c r="J75" s="573"/>
      <c r="K75" s="279"/>
      <c r="M75" s="200"/>
      <c r="N75" s="200"/>
      <c r="O75" s="200"/>
      <c r="P75" s="200"/>
      <c r="Q75" s="200"/>
      <c r="R75" s="200"/>
      <c r="S75" s="200"/>
      <c r="T75" s="200"/>
      <c r="U75" s="200"/>
      <c r="V75" s="200"/>
      <c r="W75" s="200"/>
      <c r="X75" s="200"/>
      <c r="Y75" s="200"/>
      <c r="Z75" s="200"/>
      <c r="AA75" s="200"/>
      <c r="AB75" s="200"/>
      <c r="AC75" s="200"/>
      <c r="AD75" s="200"/>
    </row>
    <row r="76" spans="1:30" x14ac:dyDescent="0.35">
      <c r="A76" s="323"/>
      <c r="B76" s="575"/>
      <c r="C76" s="574"/>
      <c r="D76" s="574"/>
      <c r="E76" s="279"/>
      <c r="F76" s="323"/>
      <c r="G76" s="279"/>
      <c r="H76" s="279"/>
      <c r="I76" s="89"/>
      <c r="J76" s="573"/>
      <c r="K76" s="279"/>
      <c r="M76" s="200"/>
      <c r="N76" s="200"/>
      <c r="O76" s="200"/>
      <c r="P76" s="200"/>
      <c r="Q76" s="200"/>
      <c r="R76" s="200"/>
      <c r="S76" s="200"/>
      <c r="T76" s="200"/>
      <c r="U76" s="200"/>
      <c r="V76" s="200"/>
      <c r="W76" s="200"/>
      <c r="X76" s="200"/>
      <c r="Y76" s="200"/>
      <c r="Z76" s="200"/>
      <c r="AA76" s="200"/>
      <c r="AB76" s="200"/>
      <c r="AC76" s="200"/>
      <c r="AD76" s="200"/>
    </row>
    <row r="77" spans="1:30" x14ac:dyDescent="0.35">
      <c r="A77" s="323"/>
      <c r="B77" s="575"/>
      <c r="C77" s="574"/>
      <c r="D77" s="574"/>
      <c r="E77" s="279"/>
      <c r="F77" s="323"/>
      <c r="G77" s="279"/>
      <c r="H77" s="279"/>
      <c r="I77" s="89"/>
      <c r="J77" s="573"/>
      <c r="K77" s="279"/>
      <c r="M77" s="200"/>
      <c r="N77" s="200"/>
      <c r="O77" s="200"/>
      <c r="P77" s="200"/>
      <c r="Q77" s="200"/>
      <c r="R77" s="200"/>
      <c r="S77" s="200"/>
      <c r="T77" s="200"/>
      <c r="U77" s="200"/>
      <c r="V77" s="200"/>
      <c r="W77" s="200"/>
      <c r="X77" s="200"/>
      <c r="Y77" s="200"/>
      <c r="Z77" s="200"/>
      <c r="AA77" s="200"/>
      <c r="AB77" s="200"/>
      <c r="AC77" s="200"/>
      <c r="AD77" s="200"/>
    </row>
    <row r="78" spans="1:30" x14ac:dyDescent="0.35">
      <c r="A78" s="323"/>
      <c r="B78" s="575"/>
      <c r="C78" s="574"/>
      <c r="D78" s="574"/>
      <c r="E78" s="279"/>
      <c r="F78" s="323"/>
      <c r="G78" s="279"/>
      <c r="H78" s="279"/>
      <c r="I78" s="89"/>
      <c r="J78" s="573"/>
      <c r="K78" s="279"/>
      <c r="M78" s="200"/>
      <c r="N78" s="200"/>
      <c r="O78" s="200"/>
      <c r="P78" s="200"/>
      <c r="Q78" s="200"/>
      <c r="R78" s="200"/>
      <c r="S78" s="200"/>
      <c r="T78" s="200"/>
      <c r="U78" s="200"/>
      <c r="V78" s="200"/>
      <c r="W78" s="200"/>
      <c r="X78" s="200"/>
      <c r="Y78" s="200"/>
      <c r="Z78" s="200"/>
      <c r="AA78" s="200"/>
      <c r="AB78" s="200"/>
      <c r="AC78" s="200"/>
      <c r="AD78" s="200"/>
    </row>
    <row r="79" spans="1:30" x14ac:dyDescent="0.35">
      <c r="A79" s="323"/>
      <c r="B79" s="575"/>
      <c r="C79" s="574"/>
      <c r="D79" s="574"/>
      <c r="E79" s="279"/>
      <c r="F79" s="323"/>
      <c r="G79" s="279"/>
      <c r="H79" s="279"/>
      <c r="I79" s="89"/>
      <c r="J79" s="573"/>
      <c r="K79" s="279"/>
      <c r="M79" s="200"/>
      <c r="N79" s="200"/>
      <c r="O79" s="200"/>
      <c r="P79" s="200"/>
      <c r="Q79" s="200"/>
      <c r="R79" s="200"/>
      <c r="S79" s="200"/>
      <c r="T79" s="200"/>
      <c r="U79" s="200"/>
      <c r="V79" s="200"/>
      <c r="W79" s="200"/>
      <c r="X79" s="200"/>
      <c r="Y79" s="200"/>
      <c r="Z79" s="200"/>
      <c r="AA79" s="200"/>
      <c r="AB79" s="200"/>
      <c r="AC79" s="200"/>
      <c r="AD79" s="200"/>
    </row>
    <row r="80" spans="1:30" x14ac:dyDescent="0.35">
      <c r="A80" s="323"/>
      <c r="B80" s="575"/>
      <c r="C80" s="574"/>
      <c r="D80" s="574"/>
      <c r="E80" s="279"/>
      <c r="F80" s="323"/>
      <c r="G80" s="279"/>
      <c r="H80" s="279"/>
      <c r="I80" s="89"/>
      <c r="J80" s="573"/>
      <c r="K80" s="279"/>
      <c r="M80" s="200"/>
      <c r="N80" s="200"/>
      <c r="O80" s="200"/>
      <c r="P80" s="200"/>
      <c r="Q80" s="200"/>
      <c r="R80" s="200"/>
      <c r="S80" s="200"/>
      <c r="T80" s="200"/>
      <c r="U80" s="200"/>
      <c r="V80" s="200"/>
      <c r="W80" s="200"/>
      <c r="X80" s="200"/>
      <c r="Y80" s="200"/>
      <c r="Z80" s="200"/>
      <c r="AA80" s="200"/>
      <c r="AB80" s="200"/>
      <c r="AC80" s="200"/>
      <c r="AD80" s="200"/>
    </row>
    <row r="81" spans="1:16" ht="15" thickBot="1" x14ac:dyDescent="0.4">
      <c r="A81" s="323"/>
      <c r="B81" s="577"/>
      <c r="C81" s="578"/>
      <c r="D81" s="578"/>
      <c r="E81" s="578"/>
      <c r="F81" s="578"/>
      <c r="G81" s="579"/>
      <c r="H81" s="579"/>
      <c r="I81" s="578"/>
      <c r="J81" s="580"/>
      <c r="K81" s="279"/>
      <c r="M81" s="200"/>
      <c r="N81" s="200"/>
      <c r="O81" s="200"/>
      <c r="P81" s="200"/>
    </row>
    <row r="82" spans="1:16" ht="29.5" customHeight="1" thickBot="1" x14ac:dyDescent="0.4">
      <c r="A82" s="319"/>
      <c r="B82" s="971" t="s">
        <v>854</v>
      </c>
      <c r="C82" s="969"/>
      <c r="D82" s="969"/>
      <c r="E82" s="969"/>
      <c r="F82" s="969"/>
      <c r="G82" s="969"/>
      <c r="H82" s="969"/>
      <c r="I82" s="969"/>
      <c r="J82" s="970"/>
      <c r="K82" s="279"/>
    </row>
    <row r="83" spans="1:16" x14ac:dyDescent="0.35">
      <c r="A83" s="319"/>
      <c r="B83" s="572"/>
      <c r="C83" s="289"/>
      <c r="D83" s="289"/>
      <c r="E83" s="279"/>
      <c r="F83" s="323"/>
      <c r="G83" s="279"/>
      <c r="H83" s="279"/>
      <c r="I83" s="89"/>
      <c r="J83" s="573"/>
      <c r="K83" s="279"/>
    </row>
    <row r="84" spans="1:16" x14ac:dyDescent="0.35">
      <c r="A84" s="319"/>
      <c r="B84" s="572"/>
      <c r="C84" s="574"/>
      <c r="D84" s="574"/>
      <c r="E84" s="279"/>
      <c r="F84" s="323"/>
      <c r="G84" s="279"/>
      <c r="H84" s="279"/>
      <c r="I84" s="89"/>
      <c r="J84" s="573"/>
      <c r="K84" s="279"/>
    </row>
    <row r="85" spans="1:16" x14ac:dyDescent="0.35">
      <c r="A85" s="319"/>
      <c r="B85" s="575"/>
      <c r="C85" s="574"/>
      <c r="D85" s="574"/>
      <c r="E85" s="279"/>
      <c r="F85" s="323"/>
      <c r="G85" s="279"/>
      <c r="H85" s="279"/>
      <c r="I85" s="89"/>
      <c r="J85" s="573"/>
      <c r="K85" s="279"/>
    </row>
    <row r="86" spans="1:16" x14ac:dyDescent="0.35">
      <c r="A86" s="319"/>
      <c r="B86" s="575"/>
      <c r="C86" s="574"/>
      <c r="D86" s="574"/>
      <c r="E86" s="279"/>
      <c r="F86" s="323"/>
      <c r="G86" s="279"/>
      <c r="H86" s="279"/>
      <c r="I86" s="89"/>
      <c r="J86" s="573"/>
      <c r="K86" s="279"/>
    </row>
    <row r="87" spans="1:16" x14ac:dyDescent="0.35">
      <c r="A87" s="319"/>
      <c r="B87" s="575"/>
      <c r="C87" s="574"/>
      <c r="D87" s="574"/>
      <c r="E87" s="279"/>
      <c r="F87" s="323"/>
      <c r="G87" s="279"/>
      <c r="H87" s="279"/>
      <c r="I87" s="89"/>
      <c r="J87" s="573"/>
      <c r="K87" s="279"/>
    </row>
    <row r="88" spans="1:16" x14ac:dyDescent="0.35">
      <c r="A88" s="319"/>
      <c r="B88" s="575"/>
      <c r="C88" s="574"/>
      <c r="D88" s="574"/>
      <c r="E88" s="279"/>
      <c r="F88" s="323"/>
      <c r="G88" s="279"/>
      <c r="H88" s="279"/>
      <c r="I88" s="89"/>
      <c r="J88" s="573"/>
      <c r="K88" s="279"/>
    </row>
    <row r="89" spans="1:16" x14ac:dyDescent="0.35">
      <c r="A89" s="319"/>
      <c r="B89" s="575"/>
      <c r="C89" s="574"/>
      <c r="D89" s="574"/>
      <c r="E89" s="279"/>
      <c r="F89" s="323"/>
      <c r="G89" s="279"/>
      <c r="H89" s="279"/>
      <c r="I89" s="89"/>
      <c r="J89" s="573"/>
      <c r="K89" s="279"/>
    </row>
    <row r="90" spans="1:16" x14ac:dyDescent="0.35">
      <c r="A90" s="319"/>
      <c r="B90" s="575"/>
      <c r="C90" s="574"/>
      <c r="D90" s="574"/>
      <c r="E90" s="279"/>
      <c r="F90" s="323"/>
      <c r="G90" s="279"/>
      <c r="H90" s="279"/>
      <c r="I90" s="89"/>
      <c r="J90" s="573"/>
      <c r="K90" s="279"/>
    </row>
    <row r="91" spans="1:16" x14ac:dyDescent="0.35">
      <c r="A91" s="319"/>
      <c r="B91" s="575"/>
      <c r="C91" s="574"/>
      <c r="D91" s="574"/>
      <c r="E91" s="279"/>
      <c r="F91" s="323"/>
      <c r="G91" s="279"/>
      <c r="H91" s="279"/>
      <c r="I91" s="89"/>
      <c r="J91" s="573"/>
      <c r="K91" s="279"/>
    </row>
    <row r="92" spans="1:16" x14ac:dyDescent="0.35">
      <c r="A92" s="319"/>
      <c r="B92" s="575"/>
      <c r="C92" s="574"/>
      <c r="D92" s="574"/>
      <c r="E92" s="279"/>
      <c r="F92" s="323"/>
      <c r="G92" s="279"/>
      <c r="H92" s="279"/>
      <c r="I92" s="89"/>
      <c r="J92" s="573"/>
      <c r="K92" s="279"/>
    </row>
    <row r="93" spans="1:16" x14ac:dyDescent="0.35">
      <c r="A93" s="319"/>
      <c r="B93" s="575"/>
      <c r="C93" s="574"/>
      <c r="D93" s="574"/>
      <c r="E93" s="279"/>
      <c r="F93" s="323"/>
      <c r="G93" s="279"/>
      <c r="H93" s="279"/>
      <c r="I93" s="89"/>
      <c r="J93" s="573"/>
      <c r="K93" s="279"/>
    </row>
    <row r="94" spans="1:16" x14ac:dyDescent="0.35">
      <c r="A94" s="319"/>
      <c r="B94" s="575"/>
      <c r="C94" s="574"/>
      <c r="D94" s="574"/>
      <c r="E94" s="279"/>
      <c r="F94" s="323"/>
      <c r="G94" s="279"/>
      <c r="H94" s="279"/>
      <c r="I94" s="89"/>
      <c r="J94" s="573"/>
      <c r="K94" s="279"/>
    </row>
    <row r="95" spans="1:16" x14ac:dyDescent="0.35">
      <c r="A95" s="319"/>
      <c r="B95" s="575"/>
      <c r="C95" s="574"/>
      <c r="D95" s="574"/>
      <c r="E95" s="279"/>
      <c r="F95" s="323"/>
      <c r="G95" s="279"/>
      <c r="H95" s="279"/>
      <c r="I95" s="89"/>
      <c r="J95" s="573"/>
      <c r="K95" s="279"/>
    </row>
    <row r="96" spans="1:16" x14ac:dyDescent="0.35">
      <c r="A96" s="319"/>
      <c r="B96" s="575"/>
      <c r="C96" s="574"/>
      <c r="D96" s="574"/>
      <c r="E96" s="279"/>
      <c r="F96" s="323"/>
      <c r="G96" s="279"/>
      <c r="H96" s="279"/>
      <c r="I96" s="89"/>
      <c r="J96" s="573"/>
      <c r="K96" s="279"/>
    </row>
    <row r="97" spans="1:30" x14ac:dyDescent="0.35">
      <c r="A97" s="319"/>
      <c r="B97" s="575"/>
      <c r="C97" s="574"/>
      <c r="D97" s="574"/>
      <c r="E97" s="279"/>
      <c r="F97" s="323"/>
      <c r="G97" s="279"/>
      <c r="H97" s="279"/>
      <c r="I97" s="89"/>
      <c r="J97" s="573"/>
      <c r="K97" s="279"/>
    </row>
    <row r="98" spans="1:30" x14ac:dyDescent="0.35">
      <c r="A98" s="319"/>
      <c r="B98" s="575"/>
      <c r="C98" s="574"/>
      <c r="D98" s="574"/>
      <c r="E98" s="279"/>
      <c r="F98" s="323"/>
      <c r="G98" s="279"/>
      <c r="H98" s="279"/>
      <c r="I98" s="89"/>
      <c r="J98" s="573"/>
      <c r="K98" s="279"/>
    </row>
    <row r="99" spans="1:30" x14ac:dyDescent="0.35">
      <c r="A99" s="319"/>
      <c r="B99" s="575"/>
      <c r="C99" s="574"/>
      <c r="D99" s="574"/>
      <c r="E99" s="279"/>
      <c r="F99" s="323"/>
      <c r="G99" s="279"/>
      <c r="H99" s="279"/>
      <c r="I99" s="89"/>
      <c r="J99" s="573"/>
      <c r="K99" s="279"/>
    </row>
    <row r="100" spans="1:30" x14ac:dyDescent="0.35">
      <c r="A100" s="319"/>
      <c r="B100" s="575"/>
      <c r="C100" s="574"/>
      <c r="D100" s="574"/>
      <c r="E100" s="279"/>
      <c r="F100" s="323"/>
      <c r="G100" s="279"/>
      <c r="H100" s="279"/>
      <c r="I100" s="89"/>
      <c r="J100" s="573"/>
      <c r="K100" s="279"/>
    </row>
    <row r="101" spans="1:30" x14ac:dyDescent="0.35">
      <c r="A101" s="319"/>
      <c r="B101" s="575"/>
      <c r="C101" s="574"/>
      <c r="D101" s="574"/>
      <c r="E101" s="279"/>
      <c r="F101" s="323"/>
      <c r="G101" s="279"/>
      <c r="H101" s="279"/>
      <c r="I101" s="89"/>
      <c r="J101" s="573"/>
      <c r="K101" s="279"/>
    </row>
    <row r="102" spans="1:30" x14ac:dyDescent="0.35">
      <c r="A102" s="319"/>
      <c r="B102" s="575"/>
      <c r="C102" s="574"/>
      <c r="D102" s="574"/>
      <c r="E102" s="279"/>
      <c r="F102" s="323"/>
      <c r="G102" s="279"/>
      <c r="H102" s="279"/>
      <c r="I102" s="89"/>
      <c r="J102" s="573"/>
      <c r="K102" s="279"/>
    </row>
    <row r="103" spans="1:30" ht="15" thickBot="1" x14ac:dyDescent="0.4">
      <c r="A103" s="319"/>
      <c r="B103" s="581"/>
      <c r="C103" s="582"/>
      <c r="D103" s="582"/>
      <c r="E103" s="583"/>
      <c r="F103" s="583"/>
      <c r="G103" s="578"/>
      <c r="H103" s="578"/>
      <c r="I103" s="584"/>
      <c r="J103" s="585"/>
      <c r="K103" s="279"/>
    </row>
    <row r="104" spans="1:30" ht="29.5" customHeight="1" x14ac:dyDescent="0.35">
      <c r="A104" s="323"/>
      <c r="B104" s="1004" t="s">
        <v>1279</v>
      </c>
      <c r="C104" s="1005"/>
      <c r="D104" s="1005"/>
      <c r="E104" s="1005"/>
      <c r="F104" s="1005"/>
      <c r="G104" s="1005"/>
      <c r="H104" s="1005"/>
      <c r="I104" s="1005"/>
      <c r="J104" s="1006"/>
      <c r="K104" s="89"/>
      <c r="L104" s="200"/>
      <c r="M104" s="200"/>
      <c r="N104" s="200"/>
      <c r="O104" s="200"/>
      <c r="P104" s="200"/>
      <c r="Q104" s="200"/>
      <c r="R104" s="200"/>
      <c r="S104" s="200"/>
      <c r="T104" s="200"/>
      <c r="U104" s="200"/>
      <c r="V104" s="200"/>
      <c r="W104" s="200"/>
      <c r="X104" s="200"/>
      <c r="Y104" s="200"/>
      <c r="Z104" s="200"/>
      <c r="AA104" s="200"/>
      <c r="AB104" s="200"/>
      <c r="AC104" s="200"/>
      <c r="AD104" s="200"/>
    </row>
    <row r="105" spans="1:30" x14ac:dyDescent="0.35">
      <c r="A105" s="323"/>
      <c r="B105" s="570"/>
      <c r="C105" s="323"/>
      <c r="D105" s="323"/>
      <c r="E105" s="323"/>
      <c r="F105" s="323"/>
      <c r="G105" s="323"/>
      <c r="H105" s="323"/>
      <c r="I105" s="323"/>
      <c r="J105" s="571"/>
      <c r="K105" s="279"/>
      <c r="M105" s="200"/>
      <c r="N105" s="200"/>
      <c r="O105" s="200"/>
      <c r="P105" s="200"/>
      <c r="Q105" s="200"/>
      <c r="R105" s="200"/>
      <c r="S105" s="200"/>
      <c r="T105" s="200"/>
      <c r="U105" s="200"/>
      <c r="V105" s="200"/>
      <c r="W105" s="200"/>
      <c r="X105" s="200"/>
      <c r="Y105" s="200"/>
      <c r="Z105" s="200"/>
      <c r="AA105" s="200"/>
      <c r="AB105" s="200"/>
      <c r="AC105" s="200"/>
      <c r="AD105" s="200"/>
    </row>
    <row r="106" spans="1:30" x14ac:dyDescent="0.35">
      <c r="A106" s="323"/>
      <c r="B106" s="572"/>
      <c r="C106" s="289"/>
      <c r="D106" s="289"/>
      <c r="E106" s="279"/>
      <c r="F106" s="323"/>
      <c r="G106" s="279"/>
      <c r="H106" s="279"/>
      <c r="I106" s="89"/>
      <c r="J106" s="573"/>
      <c r="K106" s="279"/>
      <c r="M106" s="200"/>
      <c r="N106" s="200"/>
      <c r="O106" s="200"/>
      <c r="P106" s="200"/>
      <c r="Q106" s="200"/>
      <c r="R106" s="200"/>
      <c r="S106" s="200"/>
      <c r="T106" s="200"/>
      <c r="U106" s="200"/>
      <c r="V106" s="200"/>
      <c r="W106" s="200"/>
      <c r="X106" s="200"/>
      <c r="Y106" s="200"/>
      <c r="Z106" s="200"/>
      <c r="AA106" s="200"/>
      <c r="AB106" s="200"/>
      <c r="AC106" s="200"/>
      <c r="AD106" s="200"/>
    </row>
    <row r="107" spans="1:30" x14ac:dyDescent="0.35">
      <c r="A107" s="323"/>
      <c r="B107" s="572"/>
      <c r="C107" s="574"/>
      <c r="D107" s="574"/>
      <c r="E107" s="279"/>
      <c r="F107" s="323"/>
      <c r="G107" s="279"/>
      <c r="H107" s="279"/>
      <c r="I107" s="89"/>
      <c r="J107" s="573"/>
      <c r="K107" s="279"/>
      <c r="M107" s="200"/>
      <c r="N107" s="200"/>
      <c r="O107" s="200"/>
      <c r="P107" s="200"/>
      <c r="Q107" s="200"/>
      <c r="R107" s="200"/>
      <c r="S107" s="200"/>
      <c r="T107" s="200"/>
      <c r="U107" s="200"/>
      <c r="V107" s="200"/>
      <c r="W107" s="200"/>
      <c r="X107" s="200"/>
      <c r="Y107" s="200"/>
      <c r="Z107" s="200"/>
      <c r="AA107" s="200"/>
      <c r="AB107" s="200"/>
      <c r="AC107" s="200"/>
      <c r="AD107" s="200"/>
    </row>
    <row r="108" spans="1:30" x14ac:dyDescent="0.35">
      <c r="A108" s="323"/>
      <c r="B108" s="575"/>
      <c r="C108" s="574"/>
      <c r="D108" s="574"/>
      <c r="E108" s="279"/>
      <c r="F108" s="323"/>
      <c r="G108" s="279"/>
      <c r="H108" s="279"/>
      <c r="I108" s="89"/>
      <c r="J108" s="573"/>
      <c r="K108" s="279"/>
      <c r="M108" s="200"/>
      <c r="N108" s="200"/>
      <c r="O108" s="200"/>
      <c r="P108" s="200"/>
      <c r="Q108" s="200"/>
      <c r="R108" s="200"/>
      <c r="S108" s="200"/>
      <c r="T108" s="200"/>
      <c r="U108" s="200"/>
      <c r="V108" s="200"/>
      <c r="W108" s="200"/>
      <c r="X108" s="200"/>
      <c r="Y108" s="200"/>
      <c r="Z108" s="200"/>
      <c r="AA108" s="200"/>
      <c r="AB108" s="200"/>
      <c r="AC108" s="200"/>
      <c r="AD108" s="200"/>
    </row>
    <row r="109" spans="1:30" x14ac:dyDescent="0.35">
      <c r="A109" s="323"/>
      <c r="B109" s="575"/>
      <c r="C109" s="574"/>
      <c r="D109" s="574"/>
      <c r="E109" s="279"/>
      <c r="F109" s="323"/>
      <c r="G109" s="279"/>
      <c r="H109" s="279"/>
      <c r="I109" s="89"/>
      <c r="J109" s="573"/>
      <c r="K109" s="279"/>
      <c r="M109" s="200"/>
      <c r="N109" s="200"/>
      <c r="O109" s="200"/>
      <c r="P109" s="200"/>
      <c r="Q109" s="200"/>
      <c r="R109" s="200"/>
      <c r="S109" s="200"/>
      <c r="T109" s="200"/>
      <c r="U109" s="200"/>
      <c r="V109" s="200"/>
      <c r="W109" s="200"/>
      <c r="X109" s="200"/>
      <c r="Y109" s="200"/>
      <c r="Z109" s="200"/>
      <c r="AA109" s="200"/>
      <c r="AB109" s="200"/>
      <c r="AC109" s="200"/>
      <c r="AD109" s="200"/>
    </row>
    <row r="110" spans="1:30" x14ac:dyDescent="0.35">
      <c r="A110" s="323"/>
      <c r="B110" s="575"/>
      <c r="C110" s="574"/>
      <c r="D110" s="574"/>
      <c r="E110" s="279"/>
      <c r="F110" s="323"/>
      <c r="G110" s="279"/>
      <c r="H110" s="279"/>
      <c r="I110" s="89"/>
      <c r="J110" s="573"/>
      <c r="K110" s="279"/>
      <c r="M110" s="200"/>
      <c r="N110" s="200"/>
      <c r="O110" s="200"/>
      <c r="P110" s="200"/>
      <c r="Q110" s="200"/>
      <c r="R110" s="200"/>
      <c r="S110" s="200"/>
      <c r="T110" s="200"/>
      <c r="U110" s="200"/>
      <c r="V110" s="200"/>
      <c r="W110" s="200"/>
      <c r="X110" s="200"/>
      <c r="Y110" s="200"/>
      <c r="Z110" s="200"/>
      <c r="AA110" s="200"/>
      <c r="AB110" s="200"/>
      <c r="AC110" s="200"/>
      <c r="AD110" s="200"/>
    </row>
    <row r="111" spans="1:30" x14ac:dyDescent="0.35">
      <c r="A111" s="323"/>
      <c r="B111" s="575"/>
      <c r="C111" s="574"/>
      <c r="D111" s="574"/>
      <c r="E111" s="279"/>
      <c r="F111" s="323"/>
      <c r="G111" s="279"/>
      <c r="H111" s="279"/>
      <c r="I111" s="89"/>
      <c r="J111" s="573"/>
      <c r="K111" s="279"/>
      <c r="M111" s="200"/>
      <c r="N111" s="200"/>
      <c r="O111" s="200"/>
      <c r="P111" s="200"/>
      <c r="Q111" s="200"/>
      <c r="R111" s="200"/>
      <c r="S111" s="200"/>
      <c r="T111" s="200"/>
      <c r="U111" s="200"/>
      <c r="V111" s="200"/>
      <c r="W111" s="200"/>
      <c r="X111" s="200"/>
      <c r="Y111" s="200"/>
      <c r="Z111" s="200"/>
      <c r="AA111" s="200"/>
      <c r="AB111" s="200"/>
      <c r="AC111" s="200"/>
      <c r="AD111" s="200"/>
    </row>
    <row r="112" spans="1:30" x14ac:dyDescent="0.35">
      <c r="A112" s="323"/>
      <c r="B112" s="575"/>
      <c r="C112" s="574"/>
      <c r="D112" s="574"/>
      <c r="E112" s="279"/>
      <c r="F112" s="323"/>
      <c r="G112" s="279"/>
      <c r="H112" s="279"/>
      <c r="I112" s="89"/>
      <c r="J112" s="573"/>
      <c r="K112" s="279"/>
      <c r="M112" s="200"/>
      <c r="N112" s="200"/>
      <c r="O112" s="200"/>
      <c r="P112" s="200"/>
      <c r="Q112" s="200"/>
      <c r="R112" s="200"/>
      <c r="S112" s="200"/>
      <c r="T112" s="200"/>
      <c r="U112" s="200"/>
      <c r="V112" s="200"/>
      <c r="W112" s="200"/>
      <c r="X112" s="200"/>
      <c r="Y112" s="200"/>
      <c r="Z112" s="200"/>
      <c r="AA112" s="200"/>
      <c r="AB112" s="200"/>
      <c r="AC112" s="200"/>
      <c r="AD112" s="200"/>
    </row>
    <row r="113" spans="1:30" x14ac:dyDescent="0.35">
      <c r="A113" s="323"/>
      <c r="B113" s="575"/>
      <c r="C113" s="574"/>
      <c r="D113" s="574"/>
      <c r="E113" s="279"/>
      <c r="F113" s="323"/>
      <c r="G113" s="279"/>
      <c r="H113" s="279"/>
      <c r="I113" s="89"/>
      <c r="J113" s="573"/>
      <c r="K113" s="279"/>
      <c r="M113" s="200"/>
      <c r="N113" s="200"/>
      <c r="O113" s="200"/>
      <c r="P113" s="200"/>
      <c r="Q113" s="200"/>
      <c r="R113" s="200"/>
      <c r="S113" s="200"/>
      <c r="T113" s="200"/>
      <c r="U113" s="200"/>
      <c r="V113" s="200"/>
      <c r="W113" s="200"/>
      <c r="X113" s="200"/>
      <c r="Y113" s="200"/>
      <c r="Z113" s="200"/>
      <c r="AA113" s="200"/>
      <c r="AB113" s="200"/>
      <c r="AC113" s="200"/>
      <c r="AD113" s="200"/>
    </row>
    <row r="114" spans="1:30" x14ac:dyDescent="0.35">
      <c r="A114" s="323"/>
      <c r="B114" s="575"/>
      <c r="C114" s="574"/>
      <c r="D114" s="574"/>
      <c r="E114" s="279"/>
      <c r="F114" s="323"/>
      <c r="G114" s="279"/>
      <c r="H114" s="279"/>
      <c r="I114" s="89"/>
      <c r="J114" s="573"/>
      <c r="K114" s="279"/>
      <c r="M114" s="200"/>
      <c r="N114" s="200"/>
      <c r="O114" s="200"/>
      <c r="P114" s="200"/>
      <c r="Q114" s="200"/>
      <c r="R114" s="200"/>
      <c r="S114" s="200"/>
      <c r="T114" s="200"/>
      <c r="U114" s="200"/>
      <c r="V114" s="200"/>
      <c r="W114" s="200"/>
      <c r="X114" s="200"/>
      <c r="Y114" s="200"/>
      <c r="Z114" s="200"/>
      <c r="AA114" s="200"/>
      <c r="AB114" s="200"/>
      <c r="AC114" s="200"/>
      <c r="AD114" s="200"/>
    </row>
    <row r="115" spans="1:30" x14ac:dyDescent="0.35">
      <c r="A115" s="323"/>
      <c r="B115" s="575"/>
      <c r="C115" s="574"/>
      <c r="D115" s="574"/>
      <c r="E115" s="279"/>
      <c r="F115" s="323"/>
      <c r="G115" s="279"/>
      <c r="H115" s="279"/>
      <c r="I115" s="89"/>
      <c r="J115" s="573"/>
      <c r="K115" s="279"/>
      <c r="M115" s="200"/>
      <c r="N115" s="200"/>
      <c r="O115" s="200"/>
      <c r="P115" s="200"/>
      <c r="Q115" s="200"/>
      <c r="R115" s="200"/>
      <c r="S115" s="200"/>
      <c r="T115" s="200"/>
      <c r="U115" s="200"/>
      <c r="V115" s="200"/>
      <c r="W115" s="200"/>
      <c r="X115" s="200"/>
      <c r="Y115" s="200"/>
      <c r="Z115" s="200"/>
      <c r="AA115" s="200"/>
      <c r="AB115" s="200"/>
      <c r="AC115" s="200"/>
      <c r="AD115" s="200"/>
    </row>
    <row r="116" spans="1:30" x14ac:dyDescent="0.35">
      <c r="A116" s="323"/>
      <c r="B116" s="575"/>
      <c r="C116" s="574"/>
      <c r="D116" s="574"/>
      <c r="E116" s="279"/>
      <c r="F116" s="323"/>
      <c r="G116" s="279"/>
      <c r="H116" s="279"/>
      <c r="I116" s="89"/>
      <c r="J116" s="573"/>
      <c r="K116" s="279"/>
      <c r="M116" s="200"/>
      <c r="N116" s="200"/>
      <c r="O116" s="200"/>
      <c r="P116" s="200"/>
      <c r="Q116" s="200"/>
      <c r="R116" s="200"/>
      <c r="S116" s="200"/>
      <c r="T116" s="200"/>
      <c r="U116" s="200"/>
      <c r="V116" s="200"/>
      <c r="W116" s="200"/>
      <c r="X116" s="200"/>
      <c r="Y116" s="200"/>
      <c r="Z116" s="200"/>
      <c r="AA116" s="200"/>
      <c r="AB116" s="200"/>
      <c r="AC116" s="200"/>
      <c r="AD116" s="200"/>
    </row>
    <row r="117" spans="1:30" x14ac:dyDescent="0.35">
      <c r="A117" s="323"/>
      <c r="B117" s="575"/>
      <c r="C117" s="574"/>
      <c r="D117" s="574"/>
      <c r="E117" s="279"/>
      <c r="F117" s="323"/>
      <c r="G117" s="279"/>
      <c r="H117" s="279"/>
      <c r="I117" s="89"/>
      <c r="J117" s="573"/>
      <c r="K117" s="279"/>
      <c r="M117" s="200"/>
      <c r="N117" s="200"/>
      <c r="O117" s="200"/>
      <c r="P117" s="200"/>
      <c r="Q117" s="200"/>
      <c r="R117" s="200"/>
      <c r="S117" s="200"/>
      <c r="T117" s="200"/>
      <c r="U117" s="200"/>
      <c r="V117" s="200"/>
      <c r="W117" s="200"/>
      <c r="X117" s="200"/>
      <c r="Y117" s="200"/>
      <c r="Z117" s="200"/>
      <c r="AA117" s="200"/>
      <c r="AB117" s="200"/>
      <c r="AC117" s="200"/>
      <c r="AD117" s="200"/>
    </row>
    <row r="118" spans="1:30" x14ac:dyDescent="0.35">
      <c r="A118" s="323"/>
      <c r="B118" s="575"/>
      <c r="C118" s="574"/>
      <c r="D118" s="574"/>
      <c r="E118" s="279"/>
      <c r="F118" s="323"/>
      <c r="G118" s="279"/>
      <c r="H118" s="279"/>
      <c r="I118" s="89"/>
      <c r="J118" s="573"/>
      <c r="K118" s="279"/>
      <c r="M118" s="200"/>
      <c r="N118" s="200"/>
      <c r="O118" s="200"/>
      <c r="P118" s="200"/>
      <c r="Q118" s="200"/>
      <c r="R118" s="200"/>
      <c r="S118" s="200"/>
      <c r="T118" s="200"/>
      <c r="U118" s="200"/>
      <c r="V118" s="200"/>
      <c r="W118" s="200"/>
      <c r="X118" s="200"/>
      <c r="Y118" s="200"/>
      <c r="Z118" s="200"/>
      <c r="AA118" s="200"/>
      <c r="AB118" s="200"/>
      <c r="AC118" s="200"/>
      <c r="AD118" s="200"/>
    </row>
    <row r="119" spans="1:30" x14ac:dyDescent="0.35">
      <c r="A119" s="323"/>
      <c r="B119" s="575"/>
      <c r="C119" s="574"/>
      <c r="D119" s="574"/>
      <c r="E119" s="279"/>
      <c r="F119" s="323"/>
      <c r="G119" s="279"/>
      <c r="H119" s="279"/>
      <c r="I119" s="89"/>
      <c r="J119" s="573"/>
      <c r="K119" s="279"/>
      <c r="M119" s="200"/>
      <c r="N119" s="200"/>
      <c r="O119" s="200"/>
      <c r="P119" s="200"/>
      <c r="Q119" s="200"/>
      <c r="R119" s="200"/>
      <c r="S119" s="200"/>
      <c r="T119" s="200"/>
      <c r="U119" s="200"/>
      <c r="V119" s="200"/>
      <c r="W119" s="200"/>
      <c r="X119" s="200"/>
      <c r="Y119" s="200"/>
      <c r="Z119" s="200"/>
      <c r="AA119" s="200"/>
      <c r="AB119" s="200"/>
      <c r="AC119" s="200"/>
      <c r="AD119" s="200"/>
    </row>
    <row r="120" spans="1:30" x14ac:dyDescent="0.35">
      <c r="A120" s="323"/>
      <c r="B120" s="575"/>
      <c r="C120" s="574"/>
      <c r="D120" s="574"/>
      <c r="E120" s="279"/>
      <c r="F120" s="323"/>
      <c r="G120" s="279"/>
      <c r="H120" s="279"/>
      <c r="I120" s="89"/>
      <c r="J120" s="573"/>
      <c r="K120" s="279"/>
      <c r="M120" s="200"/>
      <c r="N120" s="200"/>
      <c r="O120" s="200"/>
      <c r="P120" s="200"/>
      <c r="Q120" s="200"/>
      <c r="R120" s="200"/>
      <c r="S120" s="200"/>
      <c r="T120" s="200"/>
      <c r="U120" s="200"/>
      <c r="V120" s="200"/>
      <c r="W120" s="200"/>
      <c r="X120" s="200"/>
      <c r="Y120" s="200"/>
      <c r="Z120" s="200"/>
      <c r="AA120" s="200"/>
      <c r="AB120" s="200"/>
      <c r="AC120" s="200"/>
      <c r="AD120" s="200"/>
    </row>
    <row r="121" spans="1:30" x14ac:dyDescent="0.35">
      <c r="A121" s="323"/>
      <c r="B121" s="575"/>
      <c r="C121" s="574"/>
      <c r="D121" s="574"/>
      <c r="E121" s="279"/>
      <c r="F121" s="323"/>
      <c r="G121" s="279"/>
      <c r="H121" s="279"/>
      <c r="I121" s="89"/>
      <c r="J121" s="573"/>
      <c r="K121" s="279"/>
      <c r="M121" s="200"/>
      <c r="N121" s="200"/>
      <c r="O121" s="200"/>
      <c r="P121" s="200"/>
      <c r="Q121" s="200"/>
      <c r="R121" s="200"/>
      <c r="S121" s="200"/>
      <c r="T121" s="200"/>
      <c r="U121" s="200"/>
      <c r="V121" s="200"/>
      <c r="W121" s="200"/>
      <c r="X121" s="200"/>
      <c r="Y121" s="200"/>
      <c r="Z121" s="200"/>
      <c r="AA121" s="200"/>
      <c r="AB121" s="200"/>
      <c r="AC121" s="200"/>
      <c r="AD121" s="200"/>
    </row>
    <row r="122" spans="1:30" x14ac:dyDescent="0.35">
      <c r="A122" s="323"/>
      <c r="B122" s="575"/>
      <c r="C122" s="574"/>
      <c r="D122" s="574"/>
      <c r="E122" s="279"/>
      <c r="F122" s="323"/>
      <c r="G122" s="279"/>
      <c r="H122" s="279"/>
      <c r="I122" s="89"/>
      <c r="J122" s="573"/>
      <c r="K122" s="279"/>
      <c r="M122" s="200"/>
      <c r="N122" s="200"/>
      <c r="O122" s="200"/>
      <c r="P122" s="200"/>
      <c r="Q122" s="200"/>
      <c r="R122" s="200"/>
      <c r="S122" s="200"/>
      <c r="T122" s="200"/>
      <c r="U122" s="200"/>
      <c r="V122" s="200"/>
      <c r="W122" s="200"/>
      <c r="X122" s="200"/>
      <c r="Y122" s="200"/>
      <c r="Z122" s="200"/>
      <c r="AA122" s="200"/>
      <c r="AB122" s="200"/>
      <c r="AC122" s="200"/>
      <c r="AD122" s="200"/>
    </row>
    <row r="123" spans="1:30" x14ac:dyDescent="0.35">
      <c r="A123" s="323"/>
      <c r="B123" s="575"/>
      <c r="C123" s="574"/>
      <c r="D123" s="574"/>
      <c r="E123" s="279"/>
      <c r="F123" s="323"/>
      <c r="G123" s="279"/>
      <c r="H123" s="279"/>
      <c r="I123" s="89"/>
      <c r="J123" s="573"/>
      <c r="K123" s="279"/>
      <c r="M123" s="200"/>
      <c r="N123" s="200"/>
      <c r="O123" s="200"/>
      <c r="P123" s="200"/>
      <c r="Q123" s="200"/>
      <c r="R123" s="200"/>
      <c r="S123" s="200"/>
      <c r="T123" s="200"/>
      <c r="U123" s="200"/>
      <c r="V123" s="200"/>
      <c r="W123" s="200"/>
      <c r="X123" s="200"/>
      <c r="Y123" s="200"/>
      <c r="Z123" s="200"/>
      <c r="AA123" s="200"/>
      <c r="AB123" s="200"/>
      <c r="AC123" s="200"/>
      <c r="AD123" s="200"/>
    </row>
    <row r="124" spans="1:30" x14ac:dyDescent="0.35">
      <c r="A124" s="323"/>
      <c r="B124" s="575"/>
      <c r="C124" s="574"/>
      <c r="D124" s="574"/>
      <c r="E124" s="279"/>
      <c r="F124" s="323"/>
      <c r="G124" s="279"/>
      <c r="H124" s="279"/>
      <c r="I124" s="89"/>
      <c r="J124" s="573"/>
      <c r="K124" s="279"/>
      <c r="M124" s="200"/>
      <c r="N124" s="200"/>
      <c r="O124" s="200"/>
      <c r="P124" s="200"/>
      <c r="Q124" s="200"/>
      <c r="R124" s="200"/>
      <c r="S124" s="200"/>
      <c r="T124" s="200"/>
      <c r="U124" s="200"/>
      <c r="V124" s="200"/>
      <c r="W124" s="200"/>
      <c r="X124" s="200"/>
      <c r="Y124" s="200"/>
      <c r="Z124" s="200"/>
      <c r="AA124" s="200"/>
      <c r="AB124" s="200"/>
      <c r="AC124" s="200"/>
      <c r="AD124" s="200"/>
    </row>
    <row r="125" spans="1:30" ht="15" thickBot="1" x14ac:dyDescent="0.4">
      <c r="A125" s="323"/>
      <c r="B125" s="577"/>
      <c r="C125" s="578"/>
      <c r="D125" s="578"/>
      <c r="E125" s="578"/>
      <c r="F125" s="578"/>
      <c r="G125" s="579"/>
      <c r="H125" s="579"/>
      <c r="I125" s="578"/>
      <c r="J125" s="580"/>
      <c r="K125" s="279"/>
      <c r="M125" s="200"/>
      <c r="N125" s="200"/>
      <c r="O125" s="200"/>
      <c r="P125" s="200"/>
    </row>
    <row r="126" spans="1:30" ht="29.5" customHeight="1" x14ac:dyDescent="0.35">
      <c r="A126" s="319"/>
      <c r="B126" s="1004" t="s">
        <v>1280</v>
      </c>
      <c r="C126" s="1005"/>
      <c r="D126" s="1005"/>
      <c r="E126" s="1005"/>
      <c r="F126" s="1005"/>
      <c r="G126" s="1005"/>
      <c r="H126" s="1005"/>
      <c r="I126" s="1005"/>
      <c r="J126" s="1006"/>
      <c r="K126" s="279"/>
    </row>
    <row r="127" spans="1:30" x14ac:dyDescent="0.35">
      <c r="A127" s="319"/>
      <c r="B127" s="572"/>
      <c r="C127" s="289"/>
      <c r="D127" s="289"/>
      <c r="E127" s="279"/>
      <c r="F127" s="323"/>
      <c r="G127" s="279"/>
      <c r="H127" s="279"/>
      <c r="I127" s="89"/>
      <c r="J127" s="573"/>
      <c r="K127" s="279"/>
    </row>
    <row r="128" spans="1:30" x14ac:dyDescent="0.35">
      <c r="A128" s="319"/>
      <c r="B128" s="572"/>
      <c r="C128" s="574"/>
      <c r="D128" s="574"/>
      <c r="E128" s="279"/>
      <c r="F128" s="323"/>
      <c r="G128" s="279"/>
      <c r="H128" s="279"/>
      <c r="I128" s="89"/>
      <c r="J128" s="573"/>
      <c r="K128" s="279"/>
    </row>
    <row r="129" spans="1:11" x14ac:dyDescent="0.35">
      <c r="A129" s="319"/>
      <c r="B129" s="575"/>
      <c r="C129" s="574"/>
      <c r="D129" s="574"/>
      <c r="E129" s="279"/>
      <c r="F129" s="323"/>
      <c r="G129" s="279"/>
      <c r="H129" s="279"/>
      <c r="I129" s="89"/>
      <c r="J129" s="573"/>
      <c r="K129" s="279"/>
    </row>
    <row r="130" spans="1:11" x14ac:dyDescent="0.35">
      <c r="A130" s="319"/>
      <c r="B130" s="575"/>
      <c r="C130" s="574"/>
      <c r="D130" s="574"/>
      <c r="E130" s="279"/>
      <c r="F130" s="323"/>
      <c r="G130" s="279"/>
      <c r="H130" s="279"/>
      <c r="I130" s="89"/>
      <c r="J130" s="573"/>
      <c r="K130" s="279"/>
    </row>
    <row r="131" spans="1:11" x14ac:dyDescent="0.35">
      <c r="A131" s="319"/>
      <c r="B131" s="575"/>
      <c r="C131" s="574"/>
      <c r="D131" s="574"/>
      <c r="E131" s="279"/>
      <c r="F131" s="323"/>
      <c r="G131" s="279"/>
      <c r="H131" s="279"/>
      <c r="I131" s="89"/>
      <c r="J131" s="573"/>
      <c r="K131" s="279"/>
    </row>
    <row r="132" spans="1:11" x14ac:dyDescent="0.35">
      <c r="A132" s="319"/>
      <c r="B132" s="575"/>
      <c r="C132" s="574"/>
      <c r="D132" s="574"/>
      <c r="E132" s="279"/>
      <c r="F132" s="323"/>
      <c r="G132" s="279"/>
      <c r="H132" s="279"/>
      <c r="I132" s="89"/>
      <c r="J132" s="573"/>
      <c r="K132" s="279"/>
    </row>
    <row r="133" spans="1:11" x14ac:dyDescent="0.35">
      <c r="A133" s="319"/>
      <c r="B133" s="575"/>
      <c r="C133" s="574"/>
      <c r="D133" s="574"/>
      <c r="E133" s="279"/>
      <c r="F133" s="323"/>
      <c r="G133" s="279"/>
      <c r="H133" s="279"/>
      <c r="I133" s="89"/>
      <c r="J133" s="573"/>
      <c r="K133" s="279"/>
    </row>
    <row r="134" spans="1:11" x14ac:dyDescent="0.35">
      <c r="A134" s="319"/>
      <c r="B134" s="575"/>
      <c r="C134" s="574"/>
      <c r="D134" s="574"/>
      <c r="E134" s="279"/>
      <c r="F134" s="323"/>
      <c r="G134" s="279"/>
      <c r="H134" s="279"/>
      <c r="I134" s="89"/>
      <c r="J134" s="573"/>
      <c r="K134" s="279"/>
    </row>
    <row r="135" spans="1:11" x14ac:dyDescent="0.35">
      <c r="A135" s="319"/>
      <c r="B135" s="575"/>
      <c r="C135" s="574"/>
      <c r="D135" s="574"/>
      <c r="E135" s="279"/>
      <c r="F135" s="323"/>
      <c r="G135" s="279"/>
      <c r="H135" s="279"/>
      <c r="I135" s="89"/>
      <c r="J135" s="573"/>
      <c r="K135" s="279"/>
    </row>
    <row r="136" spans="1:11" x14ac:dyDescent="0.35">
      <c r="A136" s="319"/>
      <c r="B136" s="575"/>
      <c r="C136" s="574"/>
      <c r="D136" s="574"/>
      <c r="E136" s="279"/>
      <c r="F136" s="323"/>
      <c r="G136" s="279"/>
      <c r="H136" s="279"/>
      <c r="I136" s="89"/>
      <c r="J136" s="573"/>
      <c r="K136" s="279"/>
    </row>
    <row r="137" spans="1:11" x14ac:dyDescent="0.35">
      <c r="A137" s="319"/>
      <c r="B137" s="575"/>
      <c r="C137" s="574"/>
      <c r="D137" s="574"/>
      <c r="E137" s="279"/>
      <c r="F137" s="323"/>
      <c r="G137" s="279"/>
      <c r="H137" s="279"/>
      <c r="I137" s="89"/>
      <c r="J137" s="573"/>
      <c r="K137" s="279"/>
    </row>
    <row r="138" spans="1:11" x14ac:dyDescent="0.35">
      <c r="A138" s="319"/>
      <c r="B138" s="575"/>
      <c r="C138" s="574"/>
      <c r="D138" s="574"/>
      <c r="E138" s="279"/>
      <c r="F138" s="323"/>
      <c r="G138" s="279"/>
      <c r="H138" s="279"/>
      <c r="I138" s="89"/>
      <c r="J138" s="573"/>
      <c r="K138" s="279"/>
    </row>
    <row r="139" spans="1:11" x14ac:dyDescent="0.35">
      <c r="A139" s="319"/>
      <c r="B139" s="575"/>
      <c r="C139" s="574"/>
      <c r="D139" s="574"/>
      <c r="E139" s="279"/>
      <c r="F139" s="323"/>
      <c r="G139" s="279"/>
      <c r="H139" s="279"/>
      <c r="I139" s="89"/>
      <c r="J139" s="573"/>
      <c r="K139" s="279"/>
    </row>
    <row r="140" spans="1:11" x14ac:dyDescent="0.35">
      <c r="A140" s="319"/>
      <c r="B140" s="575"/>
      <c r="C140" s="574"/>
      <c r="D140" s="574"/>
      <c r="E140" s="279"/>
      <c r="F140" s="323"/>
      <c r="G140" s="279"/>
      <c r="H140" s="279"/>
      <c r="I140" s="89"/>
      <c r="J140" s="573"/>
      <c r="K140" s="279"/>
    </row>
    <row r="141" spans="1:11" x14ac:dyDescent="0.35">
      <c r="A141" s="319"/>
      <c r="B141" s="575"/>
      <c r="C141" s="574"/>
      <c r="D141" s="574"/>
      <c r="E141" s="279"/>
      <c r="F141" s="323"/>
      <c r="G141" s="279"/>
      <c r="H141" s="279"/>
      <c r="I141" s="89"/>
      <c r="J141" s="573"/>
      <c r="K141" s="279"/>
    </row>
    <row r="142" spans="1:11" x14ac:dyDescent="0.35">
      <c r="A142" s="319"/>
      <c r="B142" s="575"/>
      <c r="C142" s="574"/>
      <c r="D142" s="574"/>
      <c r="E142" s="279"/>
      <c r="F142" s="323"/>
      <c r="G142" s="279"/>
      <c r="H142" s="279"/>
      <c r="I142" s="89"/>
      <c r="J142" s="573"/>
      <c r="K142" s="279"/>
    </row>
    <row r="143" spans="1:11" x14ac:dyDescent="0.35">
      <c r="A143" s="319"/>
      <c r="B143" s="575"/>
      <c r="C143" s="574"/>
      <c r="D143" s="574"/>
      <c r="E143" s="279"/>
      <c r="F143" s="323"/>
      <c r="G143" s="279"/>
      <c r="H143" s="279"/>
      <c r="I143" s="89"/>
      <c r="J143" s="573"/>
      <c r="K143" s="279"/>
    </row>
    <row r="144" spans="1:11" x14ac:dyDescent="0.35">
      <c r="A144" s="319"/>
      <c r="B144" s="575"/>
      <c r="C144" s="574"/>
      <c r="D144" s="574"/>
      <c r="E144" s="279"/>
      <c r="F144" s="323"/>
      <c r="G144" s="279"/>
      <c r="H144" s="279"/>
      <c r="I144" s="89"/>
      <c r="J144" s="573"/>
      <c r="K144" s="279"/>
    </row>
    <row r="145" spans="1:11" x14ac:dyDescent="0.35">
      <c r="A145" s="319"/>
      <c r="B145" s="575"/>
      <c r="C145" s="574"/>
      <c r="D145" s="574"/>
      <c r="E145" s="279"/>
      <c r="F145" s="323"/>
      <c r="G145" s="279"/>
      <c r="H145" s="279"/>
      <c r="I145" s="89"/>
      <c r="J145" s="573"/>
      <c r="K145" s="279"/>
    </row>
    <row r="146" spans="1:11" x14ac:dyDescent="0.35">
      <c r="A146" s="319"/>
      <c r="B146" s="575"/>
      <c r="C146" s="574"/>
      <c r="D146" s="574"/>
      <c r="E146" s="279"/>
      <c r="F146" s="323"/>
      <c r="G146" s="279"/>
      <c r="H146" s="279"/>
      <c r="I146" s="89"/>
      <c r="J146" s="573"/>
      <c r="K146" s="279"/>
    </row>
    <row r="147" spans="1:11" ht="15" thickBot="1" x14ac:dyDescent="0.4">
      <c r="A147" s="319"/>
      <c r="B147" s="581"/>
      <c r="C147" s="582"/>
      <c r="D147" s="582"/>
      <c r="E147" s="583"/>
      <c r="F147" s="583"/>
      <c r="G147" s="578"/>
      <c r="H147" s="578"/>
      <c r="I147" s="584"/>
      <c r="J147" s="585"/>
      <c r="K147" s="279"/>
    </row>
  </sheetData>
  <mergeCells count="25">
    <mergeCell ref="A1:K1"/>
    <mergeCell ref="B82:J82"/>
    <mergeCell ref="B38:J38"/>
    <mergeCell ref="G11:H11"/>
    <mergeCell ref="B126:J126"/>
    <mergeCell ref="B60:J60"/>
    <mergeCell ref="B3:E14"/>
    <mergeCell ref="G10:H10"/>
    <mergeCell ref="B104:J104"/>
    <mergeCell ref="G8:H8"/>
    <mergeCell ref="G9:H9"/>
    <mergeCell ref="Z40:AA40"/>
    <mergeCell ref="Z18:AA18"/>
    <mergeCell ref="I3:J3"/>
    <mergeCell ref="I8:J8"/>
    <mergeCell ref="B16:J16"/>
    <mergeCell ref="G4:H4"/>
    <mergeCell ref="G5:H5"/>
    <mergeCell ref="G12:H12"/>
    <mergeCell ref="G13:H13"/>
    <mergeCell ref="G14:H14"/>
    <mergeCell ref="G6:H6"/>
    <mergeCell ref="G3:H3"/>
    <mergeCell ref="Q15:X15"/>
    <mergeCell ref="Q37:X37"/>
  </mergeCells>
  <dataValidations disablePrompts="1" count="1">
    <dataValidation type="list" allowBlank="1" showInputMessage="1" showErrorMessage="1" sqref="M30 M52">
      <formula1>"Yes,No"</formula1>
    </dataValidation>
  </dataValidations>
  <pageMargins left="0.25" right="0.25" top="0.25" bottom="0.5" header="0.25" footer="0.25"/>
  <pageSetup scale="26" fitToHeight="0" orientation="portrait" horizontalDpi="1200" verticalDpi="1200" r:id="rId1"/>
  <headerFooter>
    <oddFooter>&amp;CPage &amp;P of &amp;N</oddFooter>
  </headerFooter>
  <rowBreaks count="2" manualBreakCount="2">
    <brk id="59" max="10" man="1"/>
    <brk id="103" max="10"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V50"/>
  <sheetViews>
    <sheetView showGridLines="0" zoomScale="85" zoomScaleNormal="85" workbookViewId="0">
      <pane ySplit="7" topLeftCell="A8" activePane="bottomLeft" state="frozen"/>
      <selection pane="bottomLeft" activeCell="A8" sqref="A8"/>
    </sheetView>
  </sheetViews>
  <sheetFormatPr defaultRowHeight="14.5" x14ac:dyDescent="0.35"/>
  <cols>
    <col min="1" max="1" width="2.81640625" customWidth="1"/>
    <col min="2" max="2" width="10.54296875" customWidth="1"/>
    <col min="3" max="3" width="25.54296875" customWidth="1"/>
    <col min="4" max="4" width="35.54296875" customWidth="1"/>
    <col min="5" max="5" width="60.54296875" customWidth="1"/>
    <col min="6" max="6" width="18.453125" bestFit="1" customWidth="1"/>
    <col min="7" max="8" width="15.81640625" customWidth="1"/>
    <col min="9" max="9" width="20.81640625" customWidth="1"/>
    <col min="10" max="10" width="25.81640625" customWidth="1"/>
    <col min="11" max="11" width="10.81640625" customWidth="1"/>
    <col min="12" max="12" width="20.54296875" customWidth="1"/>
    <col min="13" max="13" width="2.81640625" customWidth="1"/>
  </cols>
  <sheetData>
    <row r="1" spans="1:13" ht="21" x14ac:dyDescent="0.5">
      <c r="A1" s="980" t="s">
        <v>1164</v>
      </c>
      <c r="B1" s="980"/>
      <c r="C1" s="980"/>
      <c r="D1" s="980"/>
      <c r="E1" s="980"/>
      <c r="F1" s="980"/>
      <c r="G1" s="980"/>
      <c r="H1" s="980"/>
      <c r="I1" s="980"/>
      <c r="J1" s="980"/>
      <c r="K1" s="980"/>
      <c r="L1" s="980"/>
      <c r="M1" s="980"/>
    </row>
    <row r="2" spans="1:13" ht="15" thickBot="1" x14ac:dyDescent="0.4">
      <c r="A2" s="279"/>
      <c r="B2" s="279"/>
      <c r="C2" s="279"/>
      <c r="D2" s="279"/>
      <c r="E2" s="279"/>
      <c r="F2" s="279"/>
      <c r="G2" s="279"/>
      <c r="H2" s="279"/>
      <c r="I2" s="279"/>
      <c r="J2" s="279"/>
      <c r="K2" s="279"/>
      <c r="L2" s="279"/>
      <c r="M2" s="279"/>
    </row>
    <row r="3" spans="1:13" ht="15" thickBot="1" x14ac:dyDescent="0.4">
      <c r="A3" s="280"/>
      <c r="B3" s="284" t="s">
        <v>638</v>
      </c>
      <c r="C3" s="1025" t="str">
        <f>'D-Project Data'!C9</f>
        <v>Project Name</v>
      </c>
      <c r="D3" s="1025"/>
      <c r="E3" s="1025"/>
      <c r="F3" s="535"/>
      <c r="G3" s="438" t="str">
        <f>'J-Sensitivity Charts'!G3</f>
        <v>Contingency on Base Estimate</v>
      </c>
      <c r="H3" s="396"/>
      <c r="I3" s="431"/>
      <c r="J3" s="1036">
        <f>'J-Sensitivity Charts'!I3</f>
        <v>0.8</v>
      </c>
      <c r="K3" s="1037"/>
      <c r="L3" s="279"/>
      <c r="M3" s="279"/>
    </row>
    <row r="4" spans="1:13" x14ac:dyDescent="0.35">
      <c r="A4" s="280"/>
      <c r="B4" s="284" t="s">
        <v>868</v>
      </c>
      <c r="C4" s="1025" t="str">
        <f>'D-Project Data'!$C$10</f>
        <v>Walla Walla, WA</v>
      </c>
      <c r="D4" s="1025"/>
      <c r="E4" s="1025"/>
      <c r="F4" s="535"/>
      <c r="G4" s="300"/>
      <c r="H4" s="301"/>
      <c r="I4" s="302" t="str">
        <f>'J-Sensitivity Charts'!G4</f>
        <v>Base Estimate</v>
      </c>
      <c r="J4" s="244">
        <f>'J-Sensitivity Charts'!I4</f>
        <v>7250000</v>
      </c>
      <c r="K4" s="1026">
        <f>'J-Sensitivity Charts'!J5</f>
        <v>0.46</v>
      </c>
      <c r="L4" s="279"/>
      <c r="M4" s="279"/>
    </row>
    <row r="5" spans="1:13" x14ac:dyDescent="0.35">
      <c r="A5" s="280"/>
      <c r="B5" s="280"/>
      <c r="C5" s="280"/>
      <c r="D5" s="280"/>
      <c r="E5" s="280"/>
      <c r="F5" s="280"/>
      <c r="G5" s="300"/>
      <c r="H5" s="301"/>
      <c r="I5" s="302" t="str">
        <f>'J-Sensitivity Charts'!G5</f>
        <v>Estimate Contingency</v>
      </c>
      <c r="J5" s="244">
        <f>'J-Sensitivity Charts'!I5</f>
        <v>3335000</v>
      </c>
      <c r="K5" s="1026"/>
      <c r="L5" s="279"/>
      <c r="M5" s="279"/>
    </row>
    <row r="6" spans="1:13" ht="15" thickBot="1" x14ac:dyDescent="0.4">
      <c r="A6" s="280"/>
      <c r="B6" s="280"/>
      <c r="C6" s="280"/>
      <c r="D6" s="280"/>
      <c r="E6" s="280"/>
      <c r="F6" s="280"/>
      <c r="G6" s="995">
        <f>'J-Sensitivity Charts'!G6</f>
        <v>0.8</v>
      </c>
      <c r="H6" s="996"/>
      <c r="I6" s="996"/>
      <c r="J6" s="246">
        <f>'J-Sensitivity Charts'!I6</f>
        <v>10585000</v>
      </c>
      <c r="K6" s="1027"/>
      <c r="L6" s="279"/>
      <c r="M6" s="279"/>
    </row>
    <row r="7" spans="1:13" ht="4.9000000000000004" customHeight="1" x14ac:dyDescent="0.35">
      <c r="A7" s="280"/>
      <c r="B7" s="280"/>
      <c r="C7" s="280"/>
      <c r="D7" s="280"/>
      <c r="E7" s="280"/>
      <c r="F7" s="280"/>
      <c r="G7" s="279"/>
      <c r="H7" s="279"/>
      <c r="I7" s="279"/>
      <c r="J7" s="279"/>
      <c r="K7" s="279"/>
      <c r="L7" s="279"/>
      <c r="M7" s="279"/>
    </row>
    <row r="8" spans="1:13" x14ac:dyDescent="0.35">
      <c r="A8" s="280"/>
      <c r="B8" s="280"/>
      <c r="C8" s="280"/>
      <c r="D8" s="280"/>
      <c r="E8" s="280"/>
      <c r="F8" s="280"/>
      <c r="G8" s="279"/>
      <c r="H8" s="279"/>
      <c r="I8" s="279"/>
      <c r="J8" s="279"/>
      <c r="K8" s="279"/>
      <c r="L8" s="279"/>
      <c r="M8" s="279"/>
    </row>
    <row r="9" spans="1:13" x14ac:dyDescent="0.35">
      <c r="A9" s="280"/>
      <c r="B9" s="280"/>
      <c r="C9" s="280"/>
      <c r="D9" s="280"/>
      <c r="E9" s="280"/>
      <c r="F9" s="280"/>
      <c r="G9" s="279"/>
      <c r="H9" s="279"/>
      <c r="I9" s="279"/>
      <c r="J9" s="279"/>
      <c r="K9" s="279"/>
      <c r="L9" s="279"/>
      <c r="M9" s="279"/>
    </row>
    <row r="10" spans="1:13" x14ac:dyDescent="0.35">
      <c r="A10" s="280"/>
      <c r="B10" s="280"/>
      <c r="C10" s="280"/>
      <c r="D10" s="280"/>
      <c r="E10" s="280"/>
      <c r="F10" s="280"/>
      <c r="G10" s="279"/>
      <c r="H10" s="279"/>
      <c r="I10" s="279"/>
      <c r="J10" s="279"/>
      <c r="K10" s="279"/>
      <c r="L10" s="279"/>
      <c r="M10" s="279"/>
    </row>
    <row r="11" spans="1:13" x14ac:dyDescent="0.35">
      <c r="A11" s="280"/>
      <c r="B11" s="280"/>
      <c r="C11" s="280"/>
      <c r="D11" s="280"/>
      <c r="E11" s="280"/>
      <c r="F11" s="280"/>
      <c r="G11" s="280"/>
      <c r="H11" s="280"/>
      <c r="I11" s="280"/>
      <c r="J11" s="281"/>
      <c r="K11" s="280"/>
      <c r="L11" s="279"/>
      <c r="M11" s="279"/>
    </row>
    <row r="12" spans="1:13" x14ac:dyDescent="0.35">
      <c r="A12" s="280"/>
      <c r="B12" s="280"/>
      <c r="C12" s="280"/>
      <c r="D12" s="280"/>
      <c r="E12" s="280"/>
      <c r="F12" s="279"/>
      <c r="G12" s="279"/>
      <c r="H12" s="279"/>
      <c r="I12" s="279"/>
      <c r="J12" s="279"/>
      <c r="K12" s="279"/>
      <c r="L12" s="279"/>
      <c r="M12" s="279"/>
    </row>
    <row r="13" spans="1:13" x14ac:dyDescent="0.35">
      <c r="A13" s="280"/>
      <c r="B13" s="280"/>
      <c r="C13" s="280"/>
      <c r="D13" s="280"/>
      <c r="E13" s="280"/>
      <c r="F13" s="279"/>
      <c r="G13" s="279"/>
      <c r="H13" s="279"/>
      <c r="I13" s="279"/>
      <c r="J13" s="279"/>
      <c r="K13" s="279"/>
      <c r="L13" s="279"/>
      <c r="M13" s="279"/>
    </row>
    <row r="14" spans="1:13" x14ac:dyDescent="0.35">
      <c r="A14" s="280"/>
      <c r="B14" s="280"/>
      <c r="C14" s="280"/>
      <c r="D14" s="280"/>
      <c r="E14" s="280"/>
      <c r="F14" s="279"/>
      <c r="G14" s="279"/>
      <c r="H14" s="279"/>
      <c r="I14" s="279"/>
      <c r="J14" s="279"/>
      <c r="K14" s="279"/>
      <c r="L14" s="279"/>
      <c r="M14" s="279"/>
    </row>
    <row r="15" spans="1:13" x14ac:dyDescent="0.35">
      <c r="A15" s="280"/>
      <c r="B15" s="280"/>
      <c r="C15" s="280"/>
      <c r="D15" s="280"/>
      <c r="E15" s="280"/>
      <c r="F15" s="279"/>
      <c r="G15" s="279"/>
      <c r="H15" s="279"/>
      <c r="I15" s="279"/>
      <c r="J15" s="279"/>
      <c r="K15" s="279"/>
      <c r="L15" s="279"/>
      <c r="M15" s="279"/>
    </row>
    <row r="16" spans="1:13" x14ac:dyDescent="0.35">
      <c r="A16" s="280"/>
      <c r="B16" s="280"/>
      <c r="C16" s="280"/>
      <c r="D16" s="280"/>
      <c r="E16" s="280"/>
      <c r="F16" s="279"/>
      <c r="G16" s="279"/>
      <c r="H16" s="279"/>
      <c r="I16" s="279"/>
      <c r="J16" s="279"/>
      <c r="K16" s="279"/>
      <c r="L16" s="279"/>
      <c r="M16" s="279"/>
    </row>
    <row r="17" spans="1:13" x14ac:dyDescent="0.35">
      <c r="A17" s="280"/>
      <c r="B17" s="280"/>
      <c r="C17" s="280"/>
      <c r="D17" s="280"/>
      <c r="E17" s="280"/>
      <c r="F17" s="279"/>
      <c r="G17" s="279"/>
      <c r="H17" s="279"/>
      <c r="I17" s="279"/>
      <c r="J17" s="279"/>
      <c r="K17" s="279"/>
      <c r="L17" s="279"/>
      <c r="M17" s="279"/>
    </row>
    <row r="18" spans="1:13" x14ac:dyDescent="0.35">
      <c r="A18" s="280"/>
      <c r="B18" s="280"/>
      <c r="C18" s="280"/>
      <c r="D18" s="280"/>
      <c r="E18" s="280"/>
      <c r="F18" s="279"/>
      <c r="G18" s="279"/>
      <c r="H18" s="279"/>
      <c r="I18" s="279"/>
      <c r="J18" s="279"/>
      <c r="K18" s="279"/>
      <c r="L18" s="279"/>
      <c r="M18" s="279"/>
    </row>
    <row r="19" spans="1:13" x14ac:dyDescent="0.35">
      <c r="A19" s="280"/>
      <c r="B19" s="280"/>
      <c r="C19" s="280"/>
      <c r="D19" s="280"/>
      <c r="E19" s="280"/>
      <c r="F19" s="279"/>
      <c r="G19" s="279"/>
      <c r="H19" s="279"/>
      <c r="I19" s="279"/>
      <c r="J19" s="279"/>
      <c r="K19" s="279"/>
      <c r="L19" s="279"/>
      <c r="M19" s="279"/>
    </row>
    <row r="20" spans="1:13" x14ac:dyDescent="0.35">
      <c r="A20" s="280"/>
      <c r="B20" s="280"/>
      <c r="C20" s="280"/>
      <c r="D20" s="280"/>
      <c r="E20" s="280"/>
      <c r="F20" s="279"/>
      <c r="G20" s="279"/>
      <c r="H20" s="279"/>
      <c r="I20" s="279"/>
      <c r="J20" s="279"/>
      <c r="K20" s="279"/>
      <c r="L20" s="279"/>
      <c r="M20" s="279"/>
    </row>
    <row r="21" spans="1:13" x14ac:dyDescent="0.35">
      <c r="A21" s="280"/>
      <c r="B21" s="280"/>
      <c r="C21" s="280"/>
      <c r="D21" s="280"/>
      <c r="E21" s="280"/>
      <c r="F21" s="279"/>
      <c r="G21" s="279"/>
      <c r="H21" s="279"/>
      <c r="I21" s="279"/>
      <c r="J21" s="279"/>
      <c r="K21" s="279"/>
      <c r="L21" s="279"/>
      <c r="M21" s="279"/>
    </row>
    <row r="22" spans="1:13" x14ac:dyDescent="0.35">
      <c r="A22" s="280"/>
      <c r="B22" s="280"/>
      <c r="C22" s="280"/>
      <c r="D22" s="280"/>
      <c r="E22" s="280"/>
      <c r="F22" s="279"/>
      <c r="G22" s="279"/>
      <c r="H22" s="279"/>
      <c r="I22" s="279"/>
      <c r="J22" s="279"/>
      <c r="K22" s="279"/>
      <c r="L22" s="279"/>
      <c r="M22" s="279"/>
    </row>
    <row r="23" spans="1:13" x14ac:dyDescent="0.35">
      <c r="A23" s="280"/>
      <c r="B23" s="280"/>
      <c r="C23" s="280"/>
      <c r="D23" s="280"/>
      <c r="E23" s="280"/>
      <c r="F23" s="279"/>
      <c r="G23" s="279"/>
      <c r="H23" s="279"/>
      <c r="I23" s="279"/>
      <c r="J23" s="279"/>
      <c r="K23" s="279"/>
      <c r="L23" s="279"/>
      <c r="M23" s="279"/>
    </row>
    <row r="24" spans="1:13" x14ac:dyDescent="0.35">
      <c r="A24" s="280"/>
      <c r="B24" s="280"/>
      <c r="C24" s="280"/>
      <c r="D24" s="280"/>
      <c r="E24" s="280"/>
      <c r="F24" s="279"/>
      <c r="G24" s="279"/>
      <c r="H24" s="279"/>
      <c r="I24" s="279"/>
      <c r="J24" s="279"/>
      <c r="K24" s="279"/>
      <c r="L24" s="279"/>
      <c r="M24" s="279"/>
    </row>
    <row r="25" spans="1:13" x14ac:dyDescent="0.35">
      <c r="A25" s="280"/>
      <c r="B25" s="280"/>
      <c r="C25" s="280"/>
      <c r="D25" s="280"/>
      <c r="E25" s="280"/>
      <c r="F25" s="279"/>
      <c r="G25" s="279"/>
      <c r="H25" s="279"/>
      <c r="I25" s="279"/>
      <c r="J25" s="279"/>
      <c r="K25" s="279"/>
      <c r="L25" s="279"/>
      <c r="M25" s="279"/>
    </row>
    <row r="26" spans="1:13" x14ac:dyDescent="0.35">
      <c r="A26" s="280"/>
      <c r="B26" s="280"/>
      <c r="C26" s="280"/>
      <c r="D26" s="280"/>
      <c r="E26" s="280"/>
      <c r="F26" s="280"/>
      <c r="G26" s="279"/>
      <c r="H26" s="279"/>
      <c r="I26" s="279"/>
      <c r="J26" s="279"/>
      <c r="K26" s="279"/>
      <c r="L26" s="279"/>
      <c r="M26" s="279"/>
    </row>
    <row r="27" spans="1:13" ht="14.5" customHeight="1" x14ac:dyDescent="0.35">
      <c r="A27" s="280"/>
      <c r="B27" s="280"/>
      <c r="C27" s="280"/>
      <c r="D27" s="280"/>
      <c r="E27" s="280"/>
      <c r="F27" s="280"/>
      <c r="G27" s="279"/>
      <c r="H27" s="279"/>
      <c r="I27" s="279"/>
      <c r="J27" s="279"/>
      <c r="K27" s="279"/>
      <c r="L27" s="279"/>
      <c r="M27" s="279"/>
    </row>
    <row r="28" spans="1:13" x14ac:dyDescent="0.35">
      <c r="A28" s="280"/>
      <c r="B28" s="280"/>
      <c r="C28" s="280"/>
      <c r="D28" s="280"/>
      <c r="E28" s="280"/>
      <c r="F28" s="280"/>
      <c r="G28" s="279"/>
      <c r="H28" s="279"/>
      <c r="I28" s="279"/>
      <c r="J28" s="279"/>
      <c r="K28" s="279"/>
      <c r="L28" s="279"/>
      <c r="M28" s="279"/>
    </row>
    <row r="29" spans="1:13" x14ac:dyDescent="0.35">
      <c r="A29" s="280"/>
      <c r="B29" s="280"/>
      <c r="C29" s="280"/>
      <c r="D29" s="280"/>
      <c r="E29" s="280"/>
      <c r="F29" s="280"/>
      <c r="G29" s="279"/>
      <c r="H29" s="279"/>
      <c r="I29" s="279"/>
      <c r="J29" s="279"/>
      <c r="K29" s="279"/>
      <c r="L29" s="279"/>
      <c r="M29" s="279"/>
    </row>
    <row r="30" spans="1:13" x14ac:dyDescent="0.35">
      <c r="A30" s="280"/>
      <c r="B30" s="280"/>
      <c r="C30" s="280"/>
      <c r="D30" s="280"/>
      <c r="E30" s="280"/>
      <c r="F30" s="280"/>
      <c r="G30" s="279"/>
      <c r="H30" s="279"/>
      <c r="I30" s="279"/>
      <c r="J30" s="279"/>
      <c r="K30" s="279"/>
      <c r="L30" s="279"/>
      <c r="M30" s="279"/>
    </row>
    <row r="31" spans="1:13" x14ac:dyDescent="0.35">
      <c r="A31" s="280"/>
      <c r="B31" s="280"/>
      <c r="C31" s="280"/>
      <c r="D31" s="280"/>
      <c r="E31" s="280"/>
      <c r="F31" s="280"/>
      <c r="G31" s="279"/>
      <c r="H31" s="279"/>
      <c r="I31" s="279"/>
      <c r="J31" s="279"/>
      <c r="K31" s="279"/>
      <c r="L31" s="279"/>
      <c r="M31" s="279"/>
    </row>
    <row r="32" spans="1:13" x14ac:dyDescent="0.35">
      <c r="A32" s="280"/>
      <c r="B32" s="280"/>
      <c r="C32" s="280"/>
      <c r="D32" s="280"/>
      <c r="E32" s="280"/>
      <c r="F32" s="280"/>
      <c r="G32" s="279"/>
      <c r="H32" s="279"/>
      <c r="I32" s="279"/>
      <c r="J32" s="279"/>
      <c r="K32" s="279"/>
      <c r="L32" s="279"/>
      <c r="M32" s="279"/>
    </row>
    <row r="33" spans="1:22" x14ac:dyDescent="0.35">
      <c r="A33" s="280"/>
      <c r="B33" s="280"/>
      <c r="C33" s="280"/>
      <c r="D33" s="280"/>
      <c r="E33" s="280"/>
      <c r="F33" s="280"/>
      <c r="G33" s="279"/>
      <c r="H33" s="279"/>
      <c r="I33" s="279"/>
      <c r="J33" s="279"/>
      <c r="K33" s="279"/>
      <c r="L33" s="279"/>
      <c r="M33" s="279"/>
    </row>
    <row r="34" spans="1:22" x14ac:dyDescent="0.35">
      <c r="A34" s="280"/>
      <c r="B34" s="280"/>
      <c r="C34" s="280"/>
      <c r="D34" s="280"/>
      <c r="E34" s="280"/>
      <c r="F34" s="280"/>
      <c r="G34" s="279"/>
      <c r="H34" s="279"/>
      <c r="I34" s="279"/>
      <c r="J34" s="279"/>
      <c r="K34" s="279"/>
      <c r="L34" s="279"/>
      <c r="M34" s="279"/>
    </row>
    <row r="35" spans="1:22" x14ac:dyDescent="0.35">
      <c r="A35" s="280"/>
      <c r="B35" s="280"/>
      <c r="C35" s="280"/>
      <c r="D35" s="280"/>
      <c r="E35" s="280"/>
      <c r="F35" s="280"/>
      <c r="G35" s="279"/>
      <c r="H35" s="279"/>
      <c r="I35" s="279"/>
      <c r="J35" s="279"/>
      <c r="K35" s="279"/>
      <c r="L35" s="279"/>
      <c r="M35" s="279"/>
    </row>
    <row r="36" spans="1:22" x14ac:dyDescent="0.35">
      <c r="A36" s="280"/>
      <c r="B36" s="280"/>
      <c r="C36" s="280"/>
      <c r="D36" s="280"/>
      <c r="E36" s="280"/>
      <c r="F36" s="280"/>
      <c r="G36" s="285"/>
      <c r="H36" s="285"/>
      <c r="I36" s="285"/>
      <c r="J36" s="285"/>
      <c r="K36" s="285"/>
      <c r="L36" s="279"/>
      <c r="M36" s="279"/>
    </row>
    <row r="37" spans="1:22" s="31" customFormat="1" ht="19" thickBot="1" x14ac:dyDescent="0.5">
      <c r="A37" s="303"/>
      <c r="B37" s="282" t="s">
        <v>867</v>
      </c>
      <c r="C37" s="282"/>
      <c r="D37" s="282"/>
      <c r="E37" s="282"/>
      <c r="F37" s="282"/>
      <c r="G37" s="304" t="str">
        <f>'H-Risk Register-Model'!H17</f>
        <v>Risk Level (C)</v>
      </c>
      <c r="H37" s="304" t="str">
        <f>'H-Risk Register-Model'!J17</f>
        <v>Risk Level (S)</v>
      </c>
      <c r="I37" s="282"/>
      <c r="J37" s="303"/>
      <c r="K37" s="305"/>
      <c r="L37" s="305"/>
      <c r="M37" s="305"/>
    </row>
    <row r="38" spans="1:22" ht="15" thickBot="1" x14ac:dyDescent="0.4">
      <c r="A38" s="280"/>
      <c r="B38" s="1038" t="str">
        <f>'H-Risk Register-Model'!C17</f>
        <v>Risk/Opportunity Event</v>
      </c>
      <c r="C38" s="1040"/>
      <c r="D38" s="1038" t="str">
        <f>'H-Risk Register-Model'!D17</f>
        <v>Risk Event Description</v>
      </c>
      <c r="E38" s="1038" t="str">
        <f>'H-Risk Register-Model'!E17</f>
        <v>Team Discussions on Impact and Likelihood</v>
      </c>
      <c r="F38" s="1038" t="str">
        <f>'H-Risk Register-Model'!$N$17</f>
        <v>Responsibility/ POC</v>
      </c>
      <c r="G38" s="1028" t="s">
        <v>865</v>
      </c>
      <c r="H38" s="1029"/>
      <c r="I38" s="1030" t="str">
        <f>'H-Risk Register-Model'!AI17</f>
        <v>Suggested Risk Reduction Measures
(Avoid, Escalate, Exploit, Transfer/Share, Mitigate/Enhance, or Accept)</v>
      </c>
      <c r="J38" s="1031"/>
      <c r="K38" s="1031"/>
      <c r="L38" s="1032"/>
      <c r="M38" s="286"/>
      <c r="V38" s="290"/>
    </row>
    <row r="39" spans="1:22" ht="15" thickBot="1" x14ac:dyDescent="0.4">
      <c r="A39" s="287" t="s">
        <v>659</v>
      </c>
      <c r="B39" s="1039"/>
      <c r="C39" s="1041"/>
      <c r="D39" s="1039"/>
      <c r="E39" s="1039"/>
      <c r="F39" s="1039"/>
      <c r="G39" s="595" t="s">
        <v>864</v>
      </c>
      <c r="H39" s="588" t="s">
        <v>863</v>
      </c>
      <c r="I39" s="1033"/>
      <c r="J39" s="1034"/>
      <c r="K39" s="1034"/>
      <c r="L39" s="1035"/>
      <c r="M39" s="286"/>
    </row>
    <row r="40" spans="1:22" ht="72" x14ac:dyDescent="0.35">
      <c r="A40" s="288"/>
      <c r="B40" s="596">
        <f>IF('J-Sensitivity Charts'!M19="","",'J-Sensitivity Charts'!M19)</f>
        <v>1</v>
      </c>
      <c r="C40" s="597" t="str">
        <f>IFERROR(VLOOKUP($B40,'H-Risk Register-Model'!$A$17:$AI$952,MATCH(B$38,'H-Risk Register-Model'!$17:$17,0),FALSE),"")</f>
        <v>PLEASE TYPE FIRST RISK OVER THE TOP OF THIS ONE</v>
      </c>
      <c r="D40" s="598" t="str">
        <f>IFERROR(VLOOKUP($B40,'H-Risk Register-Model'!$A$17:$AI$952,MATCH(D$38,'H-Risk Register-Model'!$17:$17,0),FALSE),"")</f>
        <v>This is a test risk.
Recommended best practices is to document what the risk is if it happens (if/then statement).</v>
      </c>
      <c r="E40" s="599" t="str">
        <f>IFERROR(VLOOKUP($B40,'H-Risk Register-Model'!$A$17:$AI$952,MATCH(E$38,'H-Risk Register-Model'!$17:$17,0),FALSE),"")</f>
        <v>Enter first risk in this row .. IF YOU DELETE THIS ROW IT COULD MAKE SOME OF THE FORMULAS NOT WORK.
Recommended best practice is to state what the current design, estimate, and schedule assumptions are and challenge your team on the Low Variance (LV) and High Variance (HV) ranges.</v>
      </c>
      <c r="F40" s="600" t="str">
        <f>IFERROR(VLOOKUP($B40,'H-Risk Register-Model'!$A$17:$AI$952,MATCH(F$38,'H-Risk Register-Model'!$17:$17,0),FALSE),"")</f>
        <v>Select From List</v>
      </c>
      <c r="G40" s="601" t="str">
        <f>IF(IFERROR(VLOOKUP($B40,'H-Risk Register-Model'!$A$17:$AI$952,MATCH(G$37,'H-Risk Register-Model'!$17:$17,0),FALSE),"")="","",IFERROR(VLOOKUP($B40,'H-Risk Register-Model'!$A$17:$AI$952,MATCH(G$37,'H-Risk Register-Model'!$17:$17,0),FALSE),""))</f>
        <v>Medium</v>
      </c>
      <c r="H40" s="601" t="str">
        <f>IF(IFERROR(VLOOKUP($B40,'H-Risk Register-Model'!$A$17:$AI$952,MATCH(H$37,'H-Risk Register-Model'!$17:$17,0),FALSE),"")="","",IFERROR(VLOOKUP($B40,'H-Risk Register-Model'!$A$17:$AI$952,MATCH(H$37,'H-Risk Register-Model'!$17:$17,0),FALSE),""))</f>
        <v>Medium</v>
      </c>
      <c r="I40" s="1023" t="str">
        <f>IF(IFERROR(VLOOKUP($B40,'H-Risk Register-Model'!$A$17:$AI$952,MATCH(I$38,'H-Risk Register-Model'!$17:$17,0),FALSE),"")="","",IFERROR(VLOOKUP($B40,'H-Risk Register-Model'!$A$17:$AI$952,MATCH(I$38,'H-Risk Register-Model'!$17:$17,0),FALSE),""))</f>
        <v>The team needs to identify suggested risk reduction measures...Avoid, Escalate, Exploit, Transfer/Share, Mitigate/Enhance, or Accept.</v>
      </c>
      <c r="J40" s="1023"/>
      <c r="K40" s="1023"/>
      <c r="L40" s="1024"/>
      <c r="M40" s="286"/>
    </row>
    <row r="41" spans="1:22" x14ac:dyDescent="0.35">
      <c r="A41" s="280"/>
      <c r="B41" s="536" t="str">
        <f>IF('J-Sensitivity Charts'!M20="","",'J-Sensitivity Charts'!M20)</f>
        <v>N/A</v>
      </c>
      <c r="C41" s="589" t="str">
        <f>IFERROR(VLOOKUP($B41,'H-Risk Register-Model'!$A$17:$AI$952,MATCH(B$38,'H-Risk Register-Model'!$17:$17,0),FALSE),"")</f>
        <v/>
      </c>
      <c r="D41" s="537" t="str">
        <f>IFERROR(VLOOKUP($B41,'H-Risk Register-Model'!$A$17:$AI$952,MATCH(D$38,'H-Risk Register-Model'!$17:$17,0),FALSE),"")</f>
        <v/>
      </c>
      <c r="E41" s="590" t="str">
        <f>IFERROR(VLOOKUP($B41,'H-Risk Register-Model'!$A$17:$AI$952,MATCH(E$38,'H-Risk Register-Model'!$17:$17,0),FALSE),"")</f>
        <v/>
      </c>
      <c r="F41" s="591" t="str">
        <f>IFERROR(VLOOKUP($B41,'H-Risk Register-Model'!$A$17:$AI$952,MATCH(F$38,'H-Risk Register-Model'!$17:$17,0),FALSE),"")</f>
        <v/>
      </c>
      <c r="G41" s="538" t="str">
        <f>IF(IFERROR(VLOOKUP($B41,'H-Risk Register-Model'!$A$17:$AI$952,MATCH(G$37,'H-Risk Register-Model'!$17:$17,0),FALSE),"")="","",IFERROR(VLOOKUP($B41,'H-Risk Register-Model'!$A$17:$AI$952,MATCH(G$37,'H-Risk Register-Model'!$17:$17,0),FALSE),""))</f>
        <v/>
      </c>
      <c r="H41" s="538" t="str">
        <f>IF(IFERROR(VLOOKUP($B41,'H-Risk Register-Model'!$A$17:$AI$952,MATCH(H$37,'H-Risk Register-Model'!$17:$17,0),FALSE),"")="","",IFERROR(VLOOKUP($B41,'H-Risk Register-Model'!$A$17:$AI$952,MATCH(H$37,'H-Risk Register-Model'!$17:$17,0),FALSE),""))</f>
        <v/>
      </c>
      <c r="I41" s="1019" t="str">
        <f>IF(IFERROR(VLOOKUP($B41,'H-Risk Register-Model'!$A$17:$AI$952,MATCH(I$38,'H-Risk Register-Model'!$17:$17,0),FALSE),"")="","",IFERROR(VLOOKUP($B41,'H-Risk Register-Model'!$A$17:$AI$952,MATCH(I$38,'H-Risk Register-Model'!$17:$17,0),FALSE),""))</f>
        <v/>
      </c>
      <c r="J41" s="1019"/>
      <c r="K41" s="1019"/>
      <c r="L41" s="1020"/>
      <c r="M41" s="286"/>
    </row>
    <row r="42" spans="1:22" x14ac:dyDescent="0.35">
      <c r="A42" s="280"/>
      <c r="B42" s="536" t="str">
        <f>IF('J-Sensitivity Charts'!M21="","",'J-Sensitivity Charts'!M21)</f>
        <v>N/A</v>
      </c>
      <c r="C42" s="589" t="str">
        <f>IFERROR(VLOOKUP($B42,'H-Risk Register-Model'!$A$17:$AI$952,MATCH(B$38,'H-Risk Register-Model'!$17:$17,0),FALSE),"")</f>
        <v/>
      </c>
      <c r="D42" s="537" t="str">
        <f>IFERROR(VLOOKUP($B42,'H-Risk Register-Model'!$A$17:$AI$952,MATCH(D$38,'H-Risk Register-Model'!$17:$17,0),FALSE),"")</f>
        <v/>
      </c>
      <c r="E42" s="590" t="str">
        <f>IFERROR(VLOOKUP($B42,'H-Risk Register-Model'!$A$17:$AI$952,MATCH(E$38,'H-Risk Register-Model'!$17:$17,0),FALSE),"")</f>
        <v/>
      </c>
      <c r="F42" s="591" t="str">
        <f>IFERROR(VLOOKUP($B42,'H-Risk Register-Model'!$A$17:$AI$952,MATCH(F$38,'H-Risk Register-Model'!$17:$17,0),FALSE),"")</f>
        <v/>
      </c>
      <c r="G42" s="538" t="str">
        <f>IF(IFERROR(VLOOKUP($B42,'H-Risk Register-Model'!$A$17:$AI$952,MATCH(G$37,'H-Risk Register-Model'!$17:$17,0),FALSE),"")="","",IFERROR(VLOOKUP($B42,'H-Risk Register-Model'!$A$17:$AI$952,MATCH(G$37,'H-Risk Register-Model'!$17:$17,0),FALSE),""))</f>
        <v/>
      </c>
      <c r="H42" s="538" t="str">
        <f>IF(IFERROR(VLOOKUP($B42,'H-Risk Register-Model'!$A$17:$AI$952,MATCH(H$37,'H-Risk Register-Model'!$17:$17,0),FALSE),"")="","",IFERROR(VLOOKUP($B42,'H-Risk Register-Model'!$A$17:$AI$952,MATCH(H$37,'H-Risk Register-Model'!$17:$17,0),FALSE),""))</f>
        <v/>
      </c>
      <c r="I42" s="1019" t="str">
        <f>IF(IFERROR(VLOOKUP($B42,'H-Risk Register-Model'!$A$17:$AI$952,MATCH(I$38,'H-Risk Register-Model'!$17:$17,0),FALSE),"")="","",IFERROR(VLOOKUP($B42,'H-Risk Register-Model'!$A$17:$AI$952,MATCH(I$38,'H-Risk Register-Model'!$17:$17,0),FALSE),""))</f>
        <v/>
      </c>
      <c r="J42" s="1019"/>
      <c r="K42" s="1019"/>
      <c r="L42" s="1020"/>
      <c r="M42" s="286"/>
    </row>
    <row r="43" spans="1:22" x14ac:dyDescent="0.35">
      <c r="A43" s="280"/>
      <c r="B43" s="536" t="str">
        <f>IF('J-Sensitivity Charts'!M22="","",'J-Sensitivity Charts'!M22)</f>
        <v>N/A</v>
      </c>
      <c r="C43" s="589" t="str">
        <f>IFERROR(VLOOKUP($B43,'H-Risk Register-Model'!$A$17:$AI$952,MATCH(B$38,'H-Risk Register-Model'!$17:$17,0),FALSE),"")</f>
        <v/>
      </c>
      <c r="D43" s="537" t="str">
        <f>IFERROR(VLOOKUP($B43,'H-Risk Register-Model'!$A$17:$AI$952,MATCH(D$38,'H-Risk Register-Model'!$17:$17,0),FALSE),"")</f>
        <v/>
      </c>
      <c r="E43" s="590" t="str">
        <f>IFERROR(VLOOKUP($B43,'H-Risk Register-Model'!$A$17:$AI$952,MATCH(E$38,'H-Risk Register-Model'!$17:$17,0),FALSE),"")</f>
        <v/>
      </c>
      <c r="F43" s="591" t="str">
        <f>IFERROR(VLOOKUP($B43,'H-Risk Register-Model'!$A$17:$AI$952,MATCH(F$38,'H-Risk Register-Model'!$17:$17,0),FALSE),"")</f>
        <v/>
      </c>
      <c r="G43" s="538" t="str">
        <f>IF(IFERROR(VLOOKUP($B43,'H-Risk Register-Model'!$A$17:$AI$952,MATCH(G$37,'H-Risk Register-Model'!$17:$17,0),FALSE),"")="","",IFERROR(VLOOKUP($B43,'H-Risk Register-Model'!$A$17:$AI$952,MATCH(G$37,'H-Risk Register-Model'!$17:$17,0),FALSE),""))</f>
        <v/>
      </c>
      <c r="H43" s="538" t="str">
        <f>IF(IFERROR(VLOOKUP($B43,'H-Risk Register-Model'!$A$17:$AI$952,MATCH(H$37,'H-Risk Register-Model'!$17:$17,0),FALSE),"")="","",IFERROR(VLOOKUP($B43,'H-Risk Register-Model'!$A$17:$AI$952,MATCH(H$37,'H-Risk Register-Model'!$17:$17,0),FALSE),""))</f>
        <v/>
      </c>
      <c r="I43" s="1019" t="str">
        <f>IF(IFERROR(VLOOKUP($B43,'H-Risk Register-Model'!$A$17:$AI$952,MATCH(I$38,'H-Risk Register-Model'!$17:$17,0),FALSE),"")="","",IFERROR(VLOOKUP($B43,'H-Risk Register-Model'!$A$17:$AI$952,MATCH(I$38,'H-Risk Register-Model'!$17:$17,0),FALSE),""))</f>
        <v/>
      </c>
      <c r="J43" s="1019"/>
      <c r="K43" s="1019"/>
      <c r="L43" s="1020"/>
      <c r="M43" s="286"/>
    </row>
    <row r="44" spans="1:22" x14ac:dyDescent="0.35">
      <c r="A44" s="280"/>
      <c r="B44" s="536" t="str">
        <f>IF('J-Sensitivity Charts'!M23="","",'J-Sensitivity Charts'!M23)</f>
        <v>N/A</v>
      </c>
      <c r="C44" s="589" t="str">
        <f>IFERROR(VLOOKUP($B44,'H-Risk Register-Model'!$A$17:$AI$952,MATCH(B$38,'H-Risk Register-Model'!$17:$17,0),FALSE),"")</f>
        <v/>
      </c>
      <c r="D44" s="537" t="str">
        <f>IFERROR(VLOOKUP($B44,'H-Risk Register-Model'!$A$17:$AI$952,MATCH(D$38,'H-Risk Register-Model'!$17:$17,0),FALSE),"")</f>
        <v/>
      </c>
      <c r="E44" s="590" t="str">
        <f>IFERROR(VLOOKUP($B44,'H-Risk Register-Model'!$A$17:$AI$952,MATCH(E$38,'H-Risk Register-Model'!$17:$17,0),FALSE),"")</f>
        <v/>
      </c>
      <c r="F44" s="591" t="str">
        <f>IFERROR(VLOOKUP($B44,'H-Risk Register-Model'!$A$17:$AI$952,MATCH(F$38,'H-Risk Register-Model'!$17:$17,0),FALSE),"")</f>
        <v/>
      </c>
      <c r="G44" s="538" t="str">
        <f>IF(IFERROR(VLOOKUP($B44,'H-Risk Register-Model'!$A$17:$AI$952,MATCH(G$37,'H-Risk Register-Model'!$17:$17,0),FALSE),"")="","",IFERROR(VLOOKUP($B44,'H-Risk Register-Model'!$A$17:$AI$952,MATCH(G$37,'H-Risk Register-Model'!$17:$17,0),FALSE),""))</f>
        <v/>
      </c>
      <c r="H44" s="538" t="str">
        <f>IF(IFERROR(VLOOKUP($B44,'H-Risk Register-Model'!$A$17:$AI$952,MATCH(H$37,'H-Risk Register-Model'!$17:$17,0),FALSE),"")="","",IFERROR(VLOOKUP($B44,'H-Risk Register-Model'!$A$17:$AI$952,MATCH(H$37,'H-Risk Register-Model'!$17:$17,0),FALSE),""))</f>
        <v/>
      </c>
      <c r="I44" s="1019" t="str">
        <f>IF(IFERROR(VLOOKUP($B44,'H-Risk Register-Model'!$A$17:$AI$952,MATCH(I$38,'H-Risk Register-Model'!$17:$17,0),FALSE),"")="","",IFERROR(VLOOKUP($B44,'H-Risk Register-Model'!$A$17:$AI$952,MATCH(I$38,'H-Risk Register-Model'!$17:$17,0),FALSE),""))</f>
        <v/>
      </c>
      <c r="J44" s="1019"/>
      <c r="K44" s="1019"/>
      <c r="L44" s="1020"/>
      <c r="M44" s="286"/>
    </row>
    <row r="45" spans="1:22" x14ac:dyDescent="0.35">
      <c r="A45" s="288"/>
      <c r="B45" s="536" t="str">
        <f>IF('J-Sensitivity Charts'!M24="","",'J-Sensitivity Charts'!M24)</f>
        <v>N/A</v>
      </c>
      <c r="C45" s="589" t="str">
        <f>IFERROR(VLOOKUP($B45,'H-Risk Register-Model'!$A$17:$AI$952,MATCH(B$38,'H-Risk Register-Model'!$17:$17,0),FALSE),"")</f>
        <v/>
      </c>
      <c r="D45" s="537" t="str">
        <f>IFERROR(VLOOKUP($B45,'H-Risk Register-Model'!$A$17:$AI$952,MATCH(D$38,'H-Risk Register-Model'!$17:$17,0),FALSE),"")</f>
        <v/>
      </c>
      <c r="E45" s="590" t="str">
        <f>IFERROR(VLOOKUP($B45,'H-Risk Register-Model'!$A$17:$AI$952,MATCH(E$38,'H-Risk Register-Model'!$17:$17,0),FALSE),"")</f>
        <v/>
      </c>
      <c r="F45" s="591" t="str">
        <f>IFERROR(VLOOKUP($B45,'H-Risk Register-Model'!$A$17:$AI$952,MATCH(F$38,'H-Risk Register-Model'!$17:$17,0),FALSE),"")</f>
        <v/>
      </c>
      <c r="G45" s="538" t="str">
        <f>IF(IFERROR(VLOOKUP($B45,'H-Risk Register-Model'!$A$17:$AI$952,MATCH(G$37,'H-Risk Register-Model'!$17:$17,0),FALSE),"")="","",IFERROR(VLOOKUP($B45,'H-Risk Register-Model'!$A$17:$AI$952,MATCH(G$37,'H-Risk Register-Model'!$17:$17,0),FALSE),""))</f>
        <v/>
      </c>
      <c r="H45" s="538" t="str">
        <f>IF(IFERROR(VLOOKUP($B45,'H-Risk Register-Model'!$A$17:$AI$952,MATCH(H$37,'H-Risk Register-Model'!$17:$17,0),FALSE),"")="","",IFERROR(VLOOKUP($B45,'H-Risk Register-Model'!$A$17:$AI$952,MATCH(H$37,'H-Risk Register-Model'!$17:$17,0),FALSE),""))</f>
        <v/>
      </c>
      <c r="I45" s="1019" t="str">
        <f>IF(IFERROR(VLOOKUP($B45,'H-Risk Register-Model'!$A$17:$AI$952,MATCH(I$38,'H-Risk Register-Model'!$17:$17,0),FALSE),"")="","",IFERROR(VLOOKUP($B45,'H-Risk Register-Model'!$A$17:$AI$952,MATCH(I$38,'H-Risk Register-Model'!$17:$17,0),FALSE),""))</f>
        <v/>
      </c>
      <c r="J45" s="1019"/>
      <c r="K45" s="1019"/>
      <c r="L45" s="1020"/>
      <c r="M45" s="286"/>
    </row>
    <row r="46" spans="1:22" x14ac:dyDescent="0.35">
      <c r="A46" s="280"/>
      <c r="B46" s="536" t="str">
        <f>IF('J-Sensitivity Charts'!M25="","",'J-Sensitivity Charts'!M25)</f>
        <v>N/A</v>
      </c>
      <c r="C46" s="589" t="str">
        <f>IFERROR(VLOOKUP($B46,'H-Risk Register-Model'!$A$17:$AI$952,MATCH(B$38,'H-Risk Register-Model'!$17:$17,0),FALSE),"")</f>
        <v/>
      </c>
      <c r="D46" s="537" t="str">
        <f>IFERROR(VLOOKUP($B46,'H-Risk Register-Model'!$A$17:$AI$952,MATCH(D$38,'H-Risk Register-Model'!$17:$17,0),FALSE),"")</f>
        <v/>
      </c>
      <c r="E46" s="590" t="str">
        <f>IFERROR(VLOOKUP($B46,'H-Risk Register-Model'!$A$17:$AI$952,MATCH(E$38,'H-Risk Register-Model'!$17:$17,0),FALSE),"")</f>
        <v/>
      </c>
      <c r="F46" s="591" t="str">
        <f>IFERROR(VLOOKUP($B46,'H-Risk Register-Model'!$A$17:$AI$952,MATCH(F$38,'H-Risk Register-Model'!$17:$17,0),FALSE),"")</f>
        <v/>
      </c>
      <c r="G46" s="538" t="str">
        <f>IF(IFERROR(VLOOKUP($B46,'H-Risk Register-Model'!$A$17:$AI$952,MATCH(G$37,'H-Risk Register-Model'!$17:$17,0),FALSE),"")="","",IFERROR(VLOOKUP($B46,'H-Risk Register-Model'!$A$17:$AI$952,MATCH(G$37,'H-Risk Register-Model'!$17:$17,0),FALSE),""))</f>
        <v/>
      </c>
      <c r="H46" s="538" t="str">
        <f>IF(IFERROR(VLOOKUP($B46,'H-Risk Register-Model'!$A$17:$AI$952,MATCH(H$37,'H-Risk Register-Model'!$17:$17,0),FALSE),"")="","",IFERROR(VLOOKUP($B46,'H-Risk Register-Model'!$A$17:$AI$952,MATCH(H$37,'H-Risk Register-Model'!$17:$17,0),FALSE),""))</f>
        <v/>
      </c>
      <c r="I46" s="1019" t="str">
        <f>IF(IFERROR(VLOOKUP($B46,'H-Risk Register-Model'!$A$17:$AI$952,MATCH(I$38,'H-Risk Register-Model'!$17:$17,0),FALSE),"")="","",IFERROR(VLOOKUP($B46,'H-Risk Register-Model'!$A$17:$AI$952,MATCH(I$38,'H-Risk Register-Model'!$17:$17,0),FALSE),""))</f>
        <v/>
      </c>
      <c r="J46" s="1019"/>
      <c r="K46" s="1019"/>
      <c r="L46" s="1020"/>
      <c r="M46" s="286"/>
    </row>
    <row r="47" spans="1:22" x14ac:dyDescent="0.35">
      <c r="A47" s="280"/>
      <c r="B47" s="536" t="str">
        <f>IF('J-Sensitivity Charts'!M26="","",'J-Sensitivity Charts'!M26)</f>
        <v>N/A</v>
      </c>
      <c r="C47" s="589" t="str">
        <f>IFERROR(VLOOKUP($B47,'H-Risk Register-Model'!$A$17:$AI$952,MATCH(B$38,'H-Risk Register-Model'!$17:$17,0),FALSE),"")</f>
        <v/>
      </c>
      <c r="D47" s="537" t="str">
        <f>IFERROR(VLOOKUP($B47,'H-Risk Register-Model'!$A$17:$AI$952,MATCH(D$38,'H-Risk Register-Model'!$17:$17,0),FALSE),"")</f>
        <v/>
      </c>
      <c r="E47" s="590" t="str">
        <f>IFERROR(VLOOKUP($B47,'H-Risk Register-Model'!$A$17:$AI$952,MATCH(E$38,'H-Risk Register-Model'!$17:$17,0),FALSE),"")</f>
        <v/>
      </c>
      <c r="F47" s="591" t="str">
        <f>IFERROR(VLOOKUP($B47,'H-Risk Register-Model'!$A$17:$AI$952,MATCH(F$38,'H-Risk Register-Model'!$17:$17,0),FALSE),"")</f>
        <v/>
      </c>
      <c r="G47" s="538" t="str">
        <f>IF(IFERROR(VLOOKUP($B47,'H-Risk Register-Model'!$A$17:$AI$952,MATCH(G$37,'H-Risk Register-Model'!$17:$17,0),FALSE),"")="","",IFERROR(VLOOKUP($B47,'H-Risk Register-Model'!$A$17:$AI$952,MATCH(G$37,'H-Risk Register-Model'!$17:$17,0),FALSE),""))</f>
        <v/>
      </c>
      <c r="H47" s="538" t="str">
        <f>IF(IFERROR(VLOOKUP($B47,'H-Risk Register-Model'!$A$17:$AI$952,MATCH(H$37,'H-Risk Register-Model'!$17:$17,0),FALSE),"")="","",IFERROR(VLOOKUP($B47,'H-Risk Register-Model'!$A$17:$AI$952,MATCH(H$37,'H-Risk Register-Model'!$17:$17,0),FALSE),""))</f>
        <v/>
      </c>
      <c r="I47" s="1019" t="str">
        <f>IF(IFERROR(VLOOKUP($B47,'H-Risk Register-Model'!$A$17:$AI$952,MATCH(I$38,'H-Risk Register-Model'!$17:$17,0),FALSE),"")="","",IFERROR(VLOOKUP($B47,'H-Risk Register-Model'!$A$17:$AI$952,MATCH(I$38,'H-Risk Register-Model'!$17:$17,0),FALSE),""))</f>
        <v/>
      </c>
      <c r="J47" s="1019"/>
      <c r="K47" s="1019"/>
      <c r="L47" s="1020"/>
      <c r="M47" s="286"/>
    </row>
    <row r="48" spans="1:22" x14ac:dyDescent="0.35">
      <c r="A48" s="280"/>
      <c r="B48" s="536" t="str">
        <f>IF('J-Sensitivity Charts'!M27="","",'J-Sensitivity Charts'!M27)</f>
        <v>N/A</v>
      </c>
      <c r="C48" s="589" t="str">
        <f>IFERROR(VLOOKUP($B48,'H-Risk Register-Model'!$A$17:$AI$952,MATCH(B$38,'H-Risk Register-Model'!$17:$17,0),FALSE),"")</f>
        <v/>
      </c>
      <c r="D48" s="537" t="str">
        <f>IFERROR(VLOOKUP($B48,'H-Risk Register-Model'!$A$17:$AI$952,MATCH(D$38,'H-Risk Register-Model'!$17:$17,0),FALSE),"")</f>
        <v/>
      </c>
      <c r="E48" s="590" t="str">
        <f>IFERROR(VLOOKUP($B48,'H-Risk Register-Model'!$A$17:$AI$952,MATCH(E$38,'H-Risk Register-Model'!$17:$17,0),FALSE),"")</f>
        <v/>
      </c>
      <c r="F48" s="591" t="str">
        <f>IFERROR(VLOOKUP($B48,'H-Risk Register-Model'!$A$17:$AI$952,MATCH(F$38,'H-Risk Register-Model'!$17:$17,0),FALSE),"")</f>
        <v/>
      </c>
      <c r="G48" s="538" t="str">
        <f>IF(IFERROR(VLOOKUP($B48,'H-Risk Register-Model'!$A$17:$AI$952,MATCH(G$37,'H-Risk Register-Model'!$17:$17,0),FALSE),"")="","",IFERROR(VLOOKUP($B48,'H-Risk Register-Model'!$A$17:$AI$952,MATCH(G$37,'H-Risk Register-Model'!$17:$17,0),FALSE),""))</f>
        <v/>
      </c>
      <c r="H48" s="538" t="str">
        <f>IF(IFERROR(VLOOKUP($B48,'H-Risk Register-Model'!$A$17:$AI$952,MATCH(H$37,'H-Risk Register-Model'!$17:$17,0),FALSE),"")="","",IFERROR(VLOOKUP($B48,'H-Risk Register-Model'!$A$17:$AI$952,MATCH(H$37,'H-Risk Register-Model'!$17:$17,0),FALSE),""))</f>
        <v/>
      </c>
      <c r="I48" s="1019" t="str">
        <f>IF(IFERROR(VLOOKUP($B48,'H-Risk Register-Model'!$A$17:$AI$952,MATCH(I$38,'H-Risk Register-Model'!$17:$17,0),FALSE),"")="","",IFERROR(VLOOKUP($B48,'H-Risk Register-Model'!$A$17:$AI$952,MATCH(I$38,'H-Risk Register-Model'!$17:$17,0),FALSE),""))</f>
        <v/>
      </c>
      <c r="J48" s="1019"/>
      <c r="K48" s="1019"/>
      <c r="L48" s="1020"/>
      <c r="M48" s="286"/>
    </row>
    <row r="49" spans="1:13" ht="15" thickBot="1" x14ac:dyDescent="0.4">
      <c r="A49" s="280"/>
      <c r="B49" s="291" t="str">
        <f>IF('J-Sensitivity Charts'!M28="","",'J-Sensitivity Charts'!M28)</f>
        <v>N/A</v>
      </c>
      <c r="C49" s="592" t="str">
        <f>IFERROR(VLOOKUP($B49,'H-Risk Register-Model'!$A$17:$AI$952,MATCH(B$38,'H-Risk Register-Model'!$17:$17,0),FALSE),"")</f>
        <v/>
      </c>
      <c r="D49" s="308" t="str">
        <f>IFERROR(VLOOKUP($B49,'H-Risk Register-Model'!$A$17:$AI$952,MATCH(D$38,'H-Risk Register-Model'!$17:$17,0),FALSE),"")</f>
        <v/>
      </c>
      <c r="E49" s="593" t="str">
        <f>IFERROR(VLOOKUP($B49,'H-Risk Register-Model'!$A$17:$AI$952,MATCH(E$38,'H-Risk Register-Model'!$17:$17,0),FALSE),"")</f>
        <v/>
      </c>
      <c r="F49" s="594" t="str">
        <f>IFERROR(VLOOKUP($B49,'H-Risk Register-Model'!$A$17:$AI$952,MATCH(F$38,'H-Risk Register-Model'!$17:$17,0),FALSE),"")</f>
        <v/>
      </c>
      <c r="G49" s="161" t="str">
        <f>IF(IFERROR(VLOOKUP($B49,'H-Risk Register-Model'!$A$17:$AI$952,MATCH(G$37,'H-Risk Register-Model'!$17:$17,0),FALSE),"")="","",IFERROR(VLOOKUP($B49,'H-Risk Register-Model'!$A$17:$AI$952,MATCH(G$37,'H-Risk Register-Model'!$17:$17,0),FALSE),""))</f>
        <v/>
      </c>
      <c r="H49" s="161" t="str">
        <f>IF(IFERROR(VLOOKUP($B49,'H-Risk Register-Model'!$A$17:$AI$952,MATCH(H$37,'H-Risk Register-Model'!$17:$17,0),FALSE),"")="","",IFERROR(VLOOKUP($B49,'H-Risk Register-Model'!$A$17:$AI$952,MATCH(H$37,'H-Risk Register-Model'!$17:$17,0),FALSE),""))</f>
        <v/>
      </c>
      <c r="I49" s="1021" t="str">
        <f>IF(IFERROR(VLOOKUP($B49,'H-Risk Register-Model'!$A$17:$AI$952,MATCH(I$38,'H-Risk Register-Model'!$17:$17,0),FALSE),"")="","",IFERROR(VLOOKUP($B49,'H-Risk Register-Model'!$A$17:$AI$952,MATCH(I$38,'H-Risk Register-Model'!$17:$17,0),FALSE),""))</f>
        <v/>
      </c>
      <c r="J49" s="1021"/>
      <c r="K49" s="1021"/>
      <c r="L49" s="1022"/>
      <c r="M49" s="286"/>
    </row>
    <row r="50" spans="1:13" x14ac:dyDescent="0.35">
      <c r="A50" s="280"/>
      <c r="B50" s="280"/>
      <c r="C50" s="280"/>
      <c r="D50" s="280"/>
      <c r="E50" s="280"/>
      <c r="F50" s="280"/>
      <c r="G50" s="280"/>
      <c r="H50" s="280"/>
      <c r="I50" s="280"/>
      <c r="J50" s="280"/>
      <c r="K50" s="280"/>
      <c r="L50" s="280"/>
      <c r="M50" s="280"/>
    </row>
  </sheetData>
  <mergeCells count="22">
    <mergeCell ref="A1:M1"/>
    <mergeCell ref="C3:E3"/>
    <mergeCell ref="C4:E4"/>
    <mergeCell ref="K4:K6"/>
    <mergeCell ref="G38:H38"/>
    <mergeCell ref="I38:L39"/>
    <mergeCell ref="J3:K3"/>
    <mergeCell ref="G6:I6"/>
    <mergeCell ref="F38:F39"/>
    <mergeCell ref="B38:C39"/>
    <mergeCell ref="D38:D39"/>
    <mergeCell ref="E38:E39"/>
    <mergeCell ref="I40:L40"/>
    <mergeCell ref="I41:L41"/>
    <mergeCell ref="I42:L42"/>
    <mergeCell ref="I43:L43"/>
    <mergeCell ref="I44:L44"/>
    <mergeCell ref="I45:L45"/>
    <mergeCell ref="I46:L46"/>
    <mergeCell ref="I47:L47"/>
    <mergeCell ref="I48:L48"/>
    <mergeCell ref="I49:L49"/>
  </mergeCells>
  <conditionalFormatting sqref="G40:H49">
    <cfRule type="expression" dxfId="19" priority="5" stopIfTrue="1">
      <formula>LEFT(D40,3)="Cer"</formula>
    </cfRule>
    <cfRule type="expression" dxfId="18" priority="6" stopIfTrue="1">
      <formula>LEFT(G40,1)="H"</formula>
    </cfRule>
    <cfRule type="expression" dxfId="17" priority="7" stopIfTrue="1">
      <formula>LEFT(G40,1)="M"</formula>
    </cfRule>
    <cfRule type="expression" dxfId="16" priority="8" stopIfTrue="1">
      <formula>LEFT(G40,1)="L"</formula>
    </cfRule>
  </conditionalFormatting>
  <pageMargins left="0.25" right="0.25" top="0.25" bottom="0.5" header="0.25" footer="0.25"/>
  <pageSetup scale="50" fitToHeight="0" orientation="landscape" horizontalDpi="1200" verticalDpi="1200" r:id="rId1"/>
  <headerFooter>
    <oddFooter>&amp;CPage &amp;P of &amp;N</oddFooter>
  </headerFooter>
  <colBreaks count="1" manualBreakCount="1">
    <brk id="1" max="5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M50"/>
  <sheetViews>
    <sheetView showGridLines="0" zoomScale="85" zoomScaleNormal="85" workbookViewId="0">
      <pane xSplit="4" ySplit="10" topLeftCell="E11" activePane="bottomRight" state="frozen"/>
      <selection pane="topRight" activeCell="E1" sqref="E1"/>
      <selection pane="bottomLeft" activeCell="A11" sqref="A11"/>
      <selection pane="bottomRight" activeCell="E11" sqref="E11"/>
    </sheetView>
  </sheetViews>
  <sheetFormatPr defaultRowHeight="14.5" x14ac:dyDescent="0.35"/>
  <cols>
    <col min="1" max="1" width="2.81640625" customWidth="1"/>
    <col min="2" max="2" width="10.54296875" customWidth="1"/>
    <col min="3" max="3" width="25.54296875" customWidth="1"/>
    <col min="4" max="4" width="35.54296875" customWidth="1"/>
    <col min="5" max="5" width="60.54296875" customWidth="1"/>
    <col min="6" max="6" width="18.453125" bestFit="1" customWidth="1"/>
    <col min="7" max="8" width="15.81640625" customWidth="1"/>
    <col min="9" max="9" width="20.81640625" customWidth="1"/>
    <col min="10" max="10" width="25.81640625" customWidth="1"/>
    <col min="11" max="11" width="10.81640625" customWidth="1"/>
    <col min="12" max="12" width="20.54296875" customWidth="1"/>
    <col min="13" max="13" width="2.81640625" customWidth="1"/>
  </cols>
  <sheetData>
    <row r="1" spans="1:13" ht="21" x14ac:dyDescent="0.5">
      <c r="A1" s="980" t="s">
        <v>1165</v>
      </c>
      <c r="B1" s="980"/>
      <c r="C1" s="980"/>
      <c r="D1" s="980"/>
      <c r="E1" s="980"/>
      <c r="F1" s="980"/>
      <c r="G1" s="980"/>
      <c r="H1" s="980"/>
      <c r="I1" s="980"/>
      <c r="J1" s="980"/>
      <c r="K1" s="980"/>
      <c r="L1" s="980"/>
      <c r="M1" s="980"/>
    </row>
    <row r="2" spans="1:13" ht="15" thickBot="1" x14ac:dyDescent="0.4">
      <c r="A2" s="279"/>
      <c r="B2" s="279"/>
      <c r="C2" s="279"/>
      <c r="D2" s="279"/>
      <c r="E2" s="279"/>
      <c r="F2" s="279"/>
      <c r="G2" s="279"/>
      <c r="H2" s="279"/>
      <c r="I2" s="279"/>
      <c r="J2" s="279"/>
      <c r="K2" s="279"/>
      <c r="L2" s="279"/>
      <c r="M2" s="279"/>
    </row>
    <row r="3" spans="1:13" ht="15" thickBot="1" x14ac:dyDescent="0.4">
      <c r="A3" s="280"/>
      <c r="B3" s="284" t="s">
        <v>638</v>
      </c>
      <c r="C3" s="1025" t="str">
        <f>'D-Project Data'!C9</f>
        <v>Project Name</v>
      </c>
      <c r="D3" s="1025"/>
      <c r="E3" s="1025"/>
      <c r="F3" s="535"/>
      <c r="G3" s="438" t="str">
        <f>'J-Sensitivity Charts'!G8</f>
        <v>Contingency on Base Schedule</v>
      </c>
      <c r="H3" s="396"/>
      <c r="I3" s="431"/>
      <c r="J3" s="1058">
        <f>'J-Sensitivity Charts'!I8</f>
        <v>0.8</v>
      </c>
      <c r="K3" s="1059"/>
      <c r="L3" s="279"/>
      <c r="M3" s="279"/>
    </row>
    <row r="4" spans="1:13" x14ac:dyDescent="0.35">
      <c r="A4" s="280"/>
      <c r="B4" s="284" t="s">
        <v>868</v>
      </c>
      <c r="C4" s="1025" t="str">
        <f>'D-Project Data'!$C$10</f>
        <v>Walla Walla, WA</v>
      </c>
      <c r="D4" s="1025"/>
      <c r="E4" s="1025"/>
      <c r="F4" s="535"/>
      <c r="G4" s="292"/>
      <c r="H4" s="293"/>
      <c r="I4" s="294" t="str">
        <f>'J-Sensitivity Charts'!G9</f>
        <v>Base Schedule Start Date</v>
      </c>
      <c r="J4" s="295">
        <f>'J-Sensitivity Charts'!I9</f>
        <v>45200</v>
      </c>
      <c r="K4" s="1052">
        <f>'J-Sensitivity Charts'!J12</f>
        <v>0.51</v>
      </c>
      <c r="L4" s="279"/>
      <c r="M4" s="279"/>
    </row>
    <row r="5" spans="1:13" x14ac:dyDescent="0.35">
      <c r="A5" s="280"/>
      <c r="B5" s="280"/>
      <c r="C5" s="280"/>
      <c r="D5" s="280"/>
      <c r="E5" s="280"/>
      <c r="F5" s="280"/>
      <c r="G5" s="292"/>
      <c r="H5" s="296"/>
      <c r="I5" s="294" t="str">
        <f>'J-Sensitivity Charts'!G10</f>
        <v>Base Schedule Finish Date</v>
      </c>
      <c r="J5" s="297">
        <f>'J-Sensitivity Charts'!I10</f>
        <v>45566</v>
      </c>
      <c r="K5" s="1052"/>
      <c r="L5" s="279"/>
      <c r="M5" s="279"/>
    </row>
    <row r="6" spans="1:13" x14ac:dyDescent="0.35">
      <c r="A6" s="280"/>
      <c r="B6" s="280"/>
      <c r="C6" s="280"/>
      <c r="D6" s="280"/>
      <c r="E6" s="280"/>
      <c r="F6" s="280"/>
      <c r="G6" s="292"/>
      <c r="H6" s="293"/>
      <c r="I6" s="294" t="str">
        <f>'J-Sensitivity Charts'!G11</f>
        <v>Base Schedule Duration</v>
      </c>
      <c r="J6" s="298">
        <f>'J-Sensitivity Charts'!I11</f>
        <v>12</v>
      </c>
      <c r="K6" s="1052"/>
      <c r="L6" s="279"/>
      <c r="M6" s="279"/>
    </row>
    <row r="7" spans="1:13" x14ac:dyDescent="0.35">
      <c r="A7" s="280"/>
      <c r="B7" s="280"/>
      <c r="C7" s="280"/>
      <c r="D7" s="280"/>
      <c r="E7" s="280"/>
      <c r="F7" s="280"/>
      <c r="G7" s="292"/>
      <c r="H7" s="293"/>
      <c r="I7" s="294" t="str">
        <f>'J-Sensitivity Charts'!G12</f>
        <v>Schedule Contingency Duration</v>
      </c>
      <c r="J7" s="298">
        <f>'J-Sensitivity Charts'!I12</f>
        <v>6.12</v>
      </c>
      <c r="K7" s="1052"/>
      <c r="L7" s="279"/>
      <c r="M7" s="279"/>
    </row>
    <row r="8" spans="1:13" x14ac:dyDescent="0.35">
      <c r="A8" s="280"/>
      <c r="B8" s="280"/>
      <c r="C8" s="280"/>
      <c r="D8" s="280"/>
      <c r="E8" s="280"/>
      <c r="F8" s="280"/>
      <c r="G8" s="1054">
        <f>'J-Sensitivity Charts'!G13</f>
        <v>0.8</v>
      </c>
      <c r="H8" s="1055"/>
      <c r="I8" s="1055"/>
      <c r="J8" s="298">
        <f>'J-Sensitivity Charts'!I13</f>
        <v>18.12</v>
      </c>
      <c r="K8" s="1052"/>
      <c r="L8" s="279"/>
      <c r="M8" s="279"/>
    </row>
    <row r="9" spans="1:13" ht="15" thickBot="1" x14ac:dyDescent="0.4">
      <c r="A9" s="280"/>
      <c r="B9" s="280"/>
      <c r="C9" s="280"/>
      <c r="D9" s="280"/>
      <c r="E9" s="280"/>
      <c r="F9" s="280"/>
      <c r="G9" s="1056">
        <f>'J-Sensitivity Charts'!G14</f>
        <v>0.8</v>
      </c>
      <c r="H9" s="1057"/>
      <c r="I9" s="1057"/>
      <c r="J9" s="299">
        <f>'J-Sensitivity Charts'!I14</f>
        <v>45752</v>
      </c>
      <c r="K9" s="1053"/>
      <c r="L9" s="279"/>
      <c r="M9" s="279"/>
    </row>
    <row r="10" spans="1:13" ht="4.9000000000000004" customHeight="1" x14ac:dyDescent="0.35">
      <c r="A10" s="280"/>
      <c r="B10" s="280"/>
      <c r="C10" s="280"/>
      <c r="D10" s="280"/>
      <c r="E10" s="280"/>
      <c r="F10" s="280"/>
      <c r="G10" s="280"/>
      <c r="H10" s="280"/>
      <c r="I10" s="280"/>
      <c r="J10" s="280"/>
      <c r="K10" s="280"/>
      <c r="L10" s="279"/>
      <c r="M10" s="279"/>
    </row>
    <row r="11" spans="1:13" x14ac:dyDescent="0.35">
      <c r="A11" s="280"/>
      <c r="B11" s="280"/>
      <c r="C11" s="280"/>
      <c r="D11" s="280"/>
      <c r="E11" s="280"/>
      <c r="F11" s="280"/>
      <c r="G11" s="280"/>
      <c r="H11" s="280"/>
      <c r="I11" s="280"/>
      <c r="J11" s="280"/>
      <c r="K11" s="280"/>
      <c r="L11" s="279"/>
      <c r="M11" s="279"/>
    </row>
    <row r="12" spans="1:13" x14ac:dyDescent="0.35">
      <c r="A12" s="280"/>
      <c r="B12" s="280"/>
      <c r="C12" s="280"/>
      <c r="D12" s="280"/>
      <c r="E12" s="280"/>
      <c r="F12" s="280"/>
      <c r="G12" s="280"/>
      <c r="H12" s="280"/>
      <c r="I12" s="280"/>
      <c r="J12" s="280"/>
      <c r="K12" s="280"/>
      <c r="L12" s="279"/>
      <c r="M12" s="279"/>
    </row>
    <row r="13" spans="1:13" x14ac:dyDescent="0.35">
      <c r="A13" s="280"/>
      <c r="B13" s="280"/>
      <c r="C13" s="280"/>
      <c r="D13" s="280"/>
      <c r="E13" s="280"/>
      <c r="F13" s="280"/>
      <c r="G13" s="279"/>
      <c r="H13" s="279"/>
      <c r="I13" s="279"/>
      <c r="J13" s="279"/>
      <c r="K13" s="279"/>
      <c r="L13" s="279"/>
      <c r="M13" s="279"/>
    </row>
    <row r="14" spans="1:13" x14ac:dyDescent="0.35">
      <c r="A14" s="280"/>
      <c r="B14" s="280"/>
      <c r="C14" s="280"/>
      <c r="D14" s="280"/>
      <c r="E14" s="280"/>
      <c r="F14" s="280"/>
      <c r="G14" s="279"/>
      <c r="H14" s="279"/>
      <c r="I14" s="279"/>
      <c r="J14" s="279"/>
      <c r="K14" s="279"/>
      <c r="L14" s="279"/>
      <c r="M14" s="279"/>
    </row>
    <row r="15" spans="1:13" x14ac:dyDescent="0.35">
      <c r="A15" s="280"/>
      <c r="B15" s="280"/>
      <c r="C15" s="280"/>
      <c r="D15" s="280"/>
      <c r="E15" s="280"/>
      <c r="F15" s="280"/>
      <c r="G15" s="279"/>
      <c r="H15" s="279"/>
      <c r="I15" s="279"/>
      <c r="J15" s="279"/>
      <c r="K15" s="279"/>
      <c r="L15" s="279"/>
      <c r="M15" s="279"/>
    </row>
    <row r="16" spans="1:13" x14ac:dyDescent="0.35">
      <c r="A16" s="280"/>
      <c r="B16" s="280"/>
      <c r="C16" s="280"/>
      <c r="D16" s="280"/>
      <c r="E16" s="280"/>
      <c r="F16" s="280"/>
      <c r="G16" s="279"/>
      <c r="H16" s="279"/>
      <c r="I16" s="279"/>
      <c r="J16" s="279"/>
      <c r="K16" s="279"/>
      <c r="L16" s="279"/>
      <c r="M16" s="279"/>
    </row>
    <row r="17" spans="1:13" x14ac:dyDescent="0.35">
      <c r="A17" s="280"/>
      <c r="B17" s="280"/>
      <c r="C17" s="280"/>
      <c r="D17" s="280"/>
      <c r="E17" s="280"/>
      <c r="F17" s="280"/>
      <c r="G17" s="279"/>
      <c r="H17" s="279"/>
      <c r="I17" s="279"/>
      <c r="J17" s="279"/>
      <c r="K17" s="279"/>
      <c r="L17" s="279"/>
      <c r="M17" s="279"/>
    </row>
    <row r="18" spans="1:13" x14ac:dyDescent="0.35">
      <c r="A18" s="280"/>
      <c r="B18" s="280"/>
      <c r="C18" s="280"/>
      <c r="D18" s="280"/>
      <c r="E18" s="280"/>
      <c r="F18" s="280"/>
      <c r="G18" s="279"/>
      <c r="H18" s="279"/>
      <c r="I18" s="279"/>
      <c r="J18" s="279"/>
      <c r="K18" s="279"/>
      <c r="L18" s="279"/>
      <c r="M18" s="279"/>
    </row>
    <row r="19" spans="1:13" x14ac:dyDescent="0.35">
      <c r="A19" s="280"/>
      <c r="B19" s="280"/>
      <c r="C19" s="280"/>
      <c r="D19" s="280"/>
      <c r="E19" s="280"/>
      <c r="F19" s="280"/>
      <c r="G19" s="279"/>
      <c r="H19" s="279"/>
      <c r="I19" s="279"/>
      <c r="J19" s="279"/>
      <c r="K19" s="279"/>
      <c r="L19" s="279"/>
      <c r="M19" s="279"/>
    </row>
    <row r="20" spans="1:13" ht="14.5" customHeight="1" x14ac:dyDescent="0.35">
      <c r="A20" s="280"/>
      <c r="B20" s="280"/>
      <c r="C20" s="280"/>
      <c r="D20" s="280"/>
      <c r="E20" s="280"/>
      <c r="F20" s="280"/>
      <c r="G20" s="279"/>
      <c r="H20" s="279"/>
      <c r="I20" s="279"/>
      <c r="J20" s="279"/>
      <c r="K20" s="279"/>
      <c r="L20" s="279"/>
      <c r="M20" s="279"/>
    </row>
    <row r="21" spans="1:13" x14ac:dyDescent="0.35">
      <c r="A21" s="280"/>
      <c r="B21" s="280"/>
      <c r="C21" s="280"/>
      <c r="D21" s="280"/>
      <c r="E21" s="280"/>
      <c r="F21" s="280"/>
      <c r="G21" s="279"/>
      <c r="H21" s="279"/>
      <c r="I21" s="279"/>
      <c r="J21" s="279"/>
      <c r="K21" s="279"/>
      <c r="L21" s="279"/>
      <c r="M21" s="279"/>
    </row>
    <row r="22" spans="1:13" x14ac:dyDescent="0.35">
      <c r="A22" s="280"/>
      <c r="B22" s="280"/>
      <c r="C22" s="280"/>
      <c r="D22" s="280"/>
      <c r="E22" s="280"/>
      <c r="F22" s="280"/>
      <c r="G22" s="279"/>
      <c r="H22" s="279"/>
      <c r="I22" s="279"/>
      <c r="J22" s="279"/>
      <c r="K22" s="279"/>
      <c r="L22" s="279"/>
      <c r="M22" s="279"/>
    </row>
    <row r="23" spans="1:13" x14ac:dyDescent="0.35">
      <c r="A23" s="280"/>
      <c r="B23" s="280"/>
      <c r="C23" s="280"/>
      <c r="D23" s="280"/>
      <c r="E23" s="280"/>
      <c r="F23" s="280"/>
      <c r="G23" s="279"/>
      <c r="H23" s="279"/>
      <c r="I23" s="279"/>
      <c r="J23" s="279"/>
      <c r="K23" s="279"/>
      <c r="L23" s="279"/>
      <c r="M23" s="279"/>
    </row>
    <row r="24" spans="1:13" x14ac:dyDescent="0.35">
      <c r="A24" s="280"/>
      <c r="B24" s="280"/>
      <c r="C24" s="280"/>
      <c r="D24" s="280"/>
      <c r="E24" s="280"/>
      <c r="F24" s="280"/>
      <c r="G24" s="279"/>
      <c r="H24" s="279"/>
      <c r="I24" s="279"/>
      <c r="J24" s="279"/>
      <c r="K24" s="279"/>
      <c r="L24" s="279"/>
      <c r="M24" s="279"/>
    </row>
    <row r="25" spans="1:13" x14ac:dyDescent="0.35">
      <c r="A25" s="280"/>
      <c r="B25" s="280"/>
      <c r="C25" s="280"/>
      <c r="D25" s="280"/>
      <c r="E25" s="280"/>
      <c r="F25" s="280"/>
      <c r="G25" s="279"/>
      <c r="H25" s="279"/>
      <c r="I25" s="279"/>
      <c r="J25" s="279"/>
      <c r="K25" s="279"/>
      <c r="L25" s="279"/>
      <c r="M25" s="279"/>
    </row>
    <row r="26" spans="1:13" x14ac:dyDescent="0.35">
      <c r="A26" s="280"/>
      <c r="B26" s="280"/>
      <c r="C26" s="280"/>
      <c r="D26" s="280"/>
      <c r="E26" s="280"/>
      <c r="F26" s="280"/>
      <c r="G26" s="279"/>
      <c r="H26" s="279"/>
      <c r="I26" s="279"/>
      <c r="J26" s="279"/>
      <c r="K26" s="279"/>
      <c r="L26" s="279"/>
      <c r="M26" s="279"/>
    </row>
    <row r="27" spans="1:13" x14ac:dyDescent="0.35">
      <c r="A27" s="280"/>
      <c r="B27" s="280"/>
      <c r="C27" s="280"/>
      <c r="D27" s="280"/>
      <c r="E27" s="280"/>
      <c r="F27" s="280"/>
      <c r="G27" s="279"/>
      <c r="H27" s="279"/>
      <c r="I27" s="279"/>
      <c r="J27" s="279"/>
      <c r="K27" s="279"/>
      <c r="L27" s="279"/>
      <c r="M27" s="279"/>
    </row>
    <row r="28" spans="1:13" x14ac:dyDescent="0.35">
      <c r="A28" s="280"/>
      <c r="B28" s="280"/>
      <c r="C28" s="280"/>
      <c r="D28" s="280"/>
      <c r="E28" s="280"/>
      <c r="F28" s="280"/>
      <c r="G28" s="279"/>
      <c r="H28" s="279"/>
      <c r="I28" s="279"/>
      <c r="J28" s="279"/>
      <c r="K28" s="279"/>
      <c r="L28" s="279"/>
      <c r="M28" s="279"/>
    </row>
    <row r="29" spans="1:13" x14ac:dyDescent="0.35">
      <c r="A29" s="280"/>
      <c r="B29" s="280"/>
      <c r="C29" s="280"/>
      <c r="D29" s="280"/>
      <c r="E29" s="280"/>
      <c r="F29" s="280"/>
      <c r="G29" s="279"/>
      <c r="H29" s="279"/>
      <c r="I29" s="279"/>
      <c r="J29" s="279"/>
      <c r="K29" s="279"/>
      <c r="L29" s="279"/>
      <c r="M29" s="279"/>
    </row>
    <row r="30" spans="1:13" x14ac:dyDescent="0.35">
      <c r="A30" s="280"/>
      <c r="B30" s="280"/>
      <c r="C30" s="280"/>
      <c r="D30" s="280"/>
      <c r="E30" s="280"/>
      <c r="F30" s="280"/>
      <c r="G30" s="279"/>
      <c r="H30" s="279"/>
      <c r="I30" s="279"/>
      <c r="J30" s="279"/>
      <c r="K30" s="279"/>
      <c r="L30" s="279"/>
      <c r="M30" s="279"/>
    </row>
    <row r="31" spans="1:13" x14ac:dyDescent="0.35">
      <c r="A31" s="280"/>
      <c r="B31" s="280"/>
      <c r="C31" s="280"/>
      <c r="D31" s="280"/>
      <c r="E31" s="280"/>
      <c r="F31" s="280"/>
      <c r="G31" s="279"/>
      <c r="H31" s="279"/>
      <c r="I31" s="279"/>
      <c r="J31" s="279"/>
      <c r="K31" s="279"/>
      <c r="L31" s="279"/>
      <c r="M31" s="279"/>
    </row>
    <row r="32" spans="1:13" x14ac:dyDescent="0.35">
      <c r="A32" s="280"/>
      <c r="B32" s="280"/>
      <c r="C32" s="280"/>
      <c r="D32" s="280"/>
      <c r="E32" s="280"/>
      <c r="F32" s="280"/>
      <c r="G32" s="279"/>
      <c r="H32" s="279"/>
      <c r="I32" s="279"/>
      <c r="J32" s="279"/>
      <c r="K32" s="279"/>
      <c r="L32" s="279"/>
      <c r="M32" s="279"/>
    </row>
    <row r="33" spans="1:13" x14ac:dyDescent="0.35">
      <c r="A33" s="280"/>
      <c r="B33" s="280"/>
      <c r="C33" s="280"/>
      <c r="D33" s="280"/>
      <c r="E33" s="280"/>
      <c r="F33" s="280"/>
      <c r="G33" s="279"/>
      <c r="H33" s="279"/>
      <c r="I33" s="279"/>
      <c r="J33" s="279"/>
      <c r="K33" s="279"/>
      <c r="L33" s="279"/>
      <c r="M33" s="279"/>
    </row>
    <row r="34" spans="1:13" x14ac:dyDescent="0.35">
      <c r="A34" s="280"/>
      <c r="B34" s="280"/>
      <c r="C34" s="280"/>
      <c r="D34" s="280"/>
      <c r="E34" s="280"/>
      <c r="F34" s="280"/>
      <c r="G34" s="279"/>
      <c r="H34" s="279"/>
      <c r="I34" s="279"/>
      <c r="J34" s="279"/>
      <c r="K34" s="279"/>
      <c r="L34" s="279"/>
      <c r="M34" s="279"/>
    </row>
    <row r="35" spans="1:13" x14ac:dyDescent="0.35">
      <c r="A35" s="280"/>
      <c r="B35" s="280"/>
      <c r="C35" s="280"/>
      <c r="D35" s="280"/>
      <c r="E35" s="280"/>
      <c r="F35" s="280"/>
      <c r="G35" s="285"/>
      <c r="H35" s="285"/>
      <c r="I35" s="285"/>
      <c r="J35" s="285"/>
      <c r="K35" s="285"/>
      <c r="L35" s="279"/>
      <c r="M35" s="279"/>
    </row>
    <row r="36" spans="1:13" x14ac:dyDescent="0.35">
      <c r="A36" s="280"/>
      <c r="B36" s="280"/>
      <c r="C36" s="280"/>
      <c r="D36" s="280"/>
      <c r="E36" s="280"/>
      <c r="F36" s="280"/>
      <c r="G36" s="285"/>
      <c r="H36" s="285"/>
      <c r="I36" s="285"/>
      <c r="J36" s="285"/>
      <c r="K36" s="285"/>
      <c r="L36" s="279"/>
      <c r="M36" s="279"/>
    </row>
    <row r="37" spans="1:13" s="31" customFormat="1" ht="19" thickBot="1" x14ac:dyDescent="0.5">
      <c r="A37" s="306"/>
      <c r="B37" s="283" t="s">
        <v>866</v>
      </c>
      <c r="C37" s="283"/>
      <c r="D37" s="283"/>
      <c r="E37" s="283"/>
      <c r="F37" s="283"/>
      <c r="G37" s="304" t="str">
        <f>'K1-Risk Dashboard (Cost)'!G37</f>
        <v>Risk Level (C)</v>
      </c>
      <c r="H37" s="304" t="str">
        <f>'K1-Risk Dashboard (Cost)'!H37</f>
        <v>Risk Level (S)</v>
      </c>
      <c r="I37" s="303"/>
      <c r="J37" s="303"/>
      <c r="K37" s="303"/>
      <c r="L37" s="303"/>
      <c r="M37" s="303"/>
    </row>
    <row r="38" spans="1:13" ht="15" thickBot="1" x14ac:dyDescent="0.4">
      <c r="A38" s="280"/>
      <c r="B38" s="1042" t="str">
        <f>'K1-Risk Dashboard (Cost)'!B38</f>
        <v>Risk/Opportunity Event</v>
      </c>
      <c r="C38" s="1043"/>
      <c r="D38" s="1046" t="str">
        <f>'K1-Risk Dashboard (Cost)'!D38</f>
        <v>Risk Event Description</v>
      </c>
      <c r="E38" s="1046" t="str">
        <f>'K1-Risk Dashboard (Cost)'!E38</f>
        <v>Team Discussions on Impact and Likelihood</v>
      </c>
      <c r="F38" s="1038" t="str">
        <f>'K1-Risk Dashboard (Cost)'!F38</f>
        <v>Responsibility/ POC</v>
      </c>
      <c r="G38" s="1028" t="str">
        <f>'K1-Risk Dashboard (Cost)'!G38</f>
        <v>Risk Level</v>
      </c>
      <c r="H38" s="1029"/>
      <c r="I38" s="1048" t="str">
        <f>'K1-Risk Dashboard (Cost)'!I38</f>
        <v>Suggested Risk Reduction Measures
(Avoid, Escalate, Exploit, Transfer/Share, Mitigate/Enhance, or Accept)</v>
      </c>
      <c r="J38" s="1048"/>
      <c r="K38" s="1048"/>
      <c r="L38" s="1049"/>
      <c r="M38" s="286"/>
    </row>
    <row r="39" spans="1:13" ht="15" thickBot="1" x14ac:dyDescent="0.4">
      <c r="A39" s="287" t="s">
        <v>659</v>
      </c>
      <c r="B39" s="1044"/>
      <c r="C39" s="1045"/>
      <c r="D39" s="1047"/>
      <c r="E39" s="1047"/>
      <c r="F39" s="1039"/>
      <c r="G39" s="587" t="str">
        <f>'K1-Risk Dashboard (Cost)'!G39</f>
        <v>Cost</v>
      </c>
      <c r="H39" s="588" t="str">
        <f>'K1-Risk Dashboard (Cost)'!H39</f>
        <v>Schedule</v>
      </c>
      <c r="I39" s="1050"/>
      <c r="J39" s="1050"/>
      <c r="K39" s="1050"/>
      <c r="L39" s="1051"/>
      <c r="M39" s="286"/>
    </row>
    <row r="40" spans="1:13" ht="72" x14ac:dyDescent="0.35">
      <c r="A40" s="288"/>
      <c r="B40" s="596">
        <f>IF('J-Sensitivity Charts'!M41="","",'J-Sensitivity Charts'!M41)</f>
        <v>1</v>
      </c>
      <c r="C40" s="597" t="str">
        <f>IFERROR(VLOOKUP($B40,'H-Risk Register-Model'!$A$17:$AI$952,MATCH(B$38,'H-Risk Register-Model'!$17:$17,0),FALSE),"")</f>
        <v>PLEASE TYPE FIRST RISK OVER THE TOP OF THIS ONE</v>
      </c>
      <c r="D40" s="598" t="str">
        <f>IFERROR(VLOOKUP($B40,'H-Risk Register-Model'!$A$17:$AI$952,MATCH(D$38,'H-Risk Register-Model'!$17:$17,0),FALSE),"")</f>
        <v>This is a test risk.
Recommended best practices is to document what the risk is if it happens (if/then statement).</v>
      </c>
      <c r="E40" s="599" t="str">
        <f>IFERROR(VLOOKUP($B40,'H-Risk Register-Model'!$A$17:$AI$952,MATCH(E$38,'H-Risk Register-Model'!$17:$17,0),FALSE),"")</f>
        <v>Enter first risk in this row .. IF YOU DELETE THIS ROW IT COULD MAKE SOME OF THE FORMULAS NOT WORK.
Recommended best practice is to state what the current design, estimate, and schedule assumptions are and challenge your team on the Low Variance (LV) and High Variance (HV) ranges.</v>
      </c>
      <c r="F40" s="600" t="str">
        <f>IFERROR(VLOOKUP($B40,'H-Risk Register-Model'!$A$17:$AI$952,MATCH(F$38,'H-Risk Register-Model'!$17:$17,0),FALSE),"")</f>
        <v>Select From List</v>
      </c>
      <c r="G40" s="601" t="str">
        <f>IF(IFERROR(VLOOKUP($B40,'H-Risk Register-Model'!$A$17:$AI$952,MATCH(G$37,'H-Risk Register-Model'!$17:$17,0),FALSE),"")="","",IFERROR(VLOOKUP($B40,'H-Risk Register-Model'!$A$17:$AI$952,MATCH(G$37,'H-Risk Register-Model'!$17:$17,0),FALSE),""))</f>
        <v>Medium</v>
      </c>
      <c r="H40" s="601" t="str">
        <f>IF(IFERROR(VLOOKUP($B40,'H-Risk Register-Model'!$A$17:$AI$952,MATCH(H$37,'H-Risk Register-Model'!$17:$17,0),FALSE),"")="","",IFERROR(VLOOKUP($B40,'H-Risk Register-Model'!$A$17:$AI$952,MATCH(H$37,'H-Risk Register-Model'!$17:$17,0),FALSE),""))</f>
        <v>Medium</v>
      </c>
      <c r="I40" s="1023" t="str">
        <f>IF(IFERROR(VLOOKUP($B40,'H-Risk Register-Model'!$A$17:$AI$952,MATCH(I$38,'H-Risk Register-Model'!$17:$17,0),FALSE),"")="","",IFERROR(VLOOKUP($B40,'H-Risk Register-Model'!$A$17:$AI$952,MATCH(I$38,'H-Risk Register-Model'!$17:$17,0),FALSE),""))</f>
        <v>The team needs to identify suggested risk reduction measures...Avoid, Escalate, Exploit, Transfer/Share, Mitigate/Enhance, or Accept.</v>
      </c>
      <c r="J40" s="1023"/>
      <c r="K40" s="1023"/>
      <c r="L40" s="1024"/>
      <c r="M40" s="286"/>
    </row>
    <row r="41" spans="1:13" x14ac:dyDescent="0.35">
      <c r="A41" s="280"/>
      <c r="B41" s="536" t="str">
        <f>IF('J-Sensitivity Charts'!M42="","",'J-Sensitivity Charts'!M42)</f>
        <v>N/A</v>
      </c>
      <c r="C41" s="589" t="str">
        <f>IFERROR(VLOOKUP($B41,'H-Risk Register-Model'!$A$17:$AI$952,MATCH(B$38,'H-Risk Register-Model'!$17:$17,0),FALSE),"")</f>
        <v/>
      </c>
      <c r="D41" s="537" t="str">
        <f>IFERROR(VLOOKUP($B41,'H-Risk Register-Model'!$A$17:$AI$952,MATCH(D$38,'H-Risk Register-Model'!$17:$17,0),FALSE),"")</f>
        <v/>
      </c>
      <c r="E41" s="590" t="str">
        <f>IFERROR(VLOOKUP($B41,'H-Risk Register-Model'!$A$17:$AI$952,MATCH(E$38,'H-Risk Register-Model'!$17:$17,0),FALSE),"")</f>
        <v/>
      </c>
      <c r="F41" s="591" t="str">
        <f>IFERROR(VLOOKUP($B41,'H-Risk Register-Model'!$A$17:$AI$952,MATCH(F$38,'H-Risk Register-Model'!$17:$17,0),FALSE),"")</f>
        <v/>
      </c>
      <c r="G41" s="538" t="str">
        <f>IF(IFERROR(VLOOKUP($B41,'H-Risk Register-Model'!$A$17:$AI$952,MATCH(G$37,'H-Risk Register-Model'!$17:$17,0),FALSE),"")="","",IFERROR(VLOOKUP($B41,'H-Risk Register-Model'!$A$17:$AI$952,MATCH(G$37,'H-Risk Register-Model'!$17:$17,0),FALSE),""))</f>
        <v/>
      </c>
      <c r="H41" s="538" t="str">
        <f>IF(IFERROR(VLOOKUP($B41,'H-Risk Register-Model'!$A$17:$AI$952,MATCH(H$37,'H-Risk Register-Model'!$17:$17,0),FALSE),"")="","",IFERROR(VLOOKUP($B41,'H-Risk Register-Model'!$A$17:$AI$952,MATCH(H$37,'H-Risk Register-Model'!$17:$17,0),FALSE),""))</f>
        <v/>
      </c>
      <c r="I41" s="1019" t="str">
        <f>IF(IFERROR(VLOOKUP($B41,'H-Risk Register-Model'!$A$17:$AI$952,MATCH(I$38,'H-Risk Register-Model'!$17:$17,0),FALSE),"")="","",IFERROR(VLOOKUP($B41,'H-Risk Register-Model'!$A$17:$AI$952,MATCH(I$38,'H-Risk Register-Model'!$17:$17,0),FALSE),""))</f>
        <v/>
      </c>
      <c r="J41" s="1019"/>
      <c r="K41" s="1019"/>
      <c r="L41" s="1020"/>
      <c r="M41" s="286"/>
    </row>
    <row r="42" spans="1:13" x14ac:dyDescent="0.35">
      <c r="A42" s="280"/>
      <c r="B42" s="536" t="str">
        <f>IF('J-Sensitivity Charts'!M43="","",'J-Sensitivity Charts'!M43)</f>
        <v>N/A</v>
      </c>
      <c r="C42" s="589" t="str">
        <f>IFERROR(VLOOKUP($B42,'H-Risk Register-Model'!$A$17:$AI$952,MATCH(B$38,'H-Risk Register-Model'!$17:$17,0),FALSE),"")</f>
        <v/>
      </c>
      <c r="D42" s="537" t="str">
        <f>IFERROR(VLOOKUP($B42,'H-Risk Register-Model'!$A$17:$AI$952,MATCH(D$38,'H-Risk Register-Model'!$17:$17,0),FALSE),"")</f>
        <v/>
      </c>
      <c r="E42" s="590" t="str">
        <f>IFERROR(VLOOKUP($B42,'H-Risk Register-Model'!$A$17:$AI$952,MATCH(E$38,'H-Risk Register-Model'!$17:$17,0),FALSE),"")</f>
        <v/>
      </c>
      <c r="F42" s="591" t="str">
        <f>IFERROR(VLOOKUP($B42,'H-Risk Register-Model'!$A$17:$AI$952,MATCH(F$38,'H-Risk Register-Model'!$17:$17,0),FALSE),"")</f>
        <v/>
      </c>
      <c r="G42" s="538" t="str">
        <f>IF(IFERROR(VLOOKUP($B42,'H-Risk Register-Model'!$A$17:$AI$952,MATCH(G$37,'H-Risk Register-Model'!$17:$17,0),FALSE),"")="","",IFERROR(VLOOKUP($B42,'H-Risk Register-Model'!$A$17:$AI$952,MATCH(G$37,'H-Risk Register-Model'!$17:$17,0),FALSE),""))</f>
        <v/>
      </c>
      <c r="H42" s="538" t="str">
        <f>IF(IFERROR(VLOOKUP($B42,'H-Risk Register-Model'!$A$17:$AI$952,MATCH(H$37,'H-Risk Register-Model'!$17:$17,0),FALSE),"")="","",IFERROR(VLOOKUP($B42,'H-Risk Register-Model'!$A$17:$AI$952,MATCH(H$37,'H-Risk Register-Model'!$17:$17,0),FALSE),""))</f>
        <v/>
      </c>
      <c r="I42" s="1019" t="str">
        <f>IF(IFERROR(VLOOKUP($B42,'H-Risk Register-Model'!$A$17:$AI$952,MATCH(I$38,'H-Risk Register-Model'!$17:$17,0),FALSE),"")="","",IFERROR(VLOOKUP($B42,'H-Risk Register-Model'!$A$17:$AI$952,MATCH(I$38,'H-Risk Register-Model'!$17:$17,0),FALSE),""))</f>
        <v/>
      </c>
      <c r="J42" s="1019"/>
      <c r="K42" s="1019"/>
      <c r="L42" s="1020"/>
      <c r="M42" s="286"/>
    </row>
    <row r="43" spans="1:13" x14ac:dyDescent="0.35">
      <c r="A43" s="280"/>
      <c r="B43" s="536" t="str">
        <f>IF('J-Sensitivity Charts'!M44="","",'J-Sensitivity Charts'!M44)</f>
        <v>N/A</v>
      </c>
      <c r="C43" s="589" t="str">
        <f>IFERROR(VLOOKUP($B43,'H-Risk Register-Model'!$A$17:$AI$952,MATCH(B$38,'H-Risk Register-Model'!$17:$17,0),FALSE),"")</f>
        <v/>
      </c>
      <c r="D43" s="537" t="str">
        <f>IFERROR(VLOOKUP($B43,'H-Risk Register-Model'!$A$17:$AI$952,MATCH(D$38,'H-Risk Register-Model'!$17:$17,0),FALSE),"")</f>
        <v/>
      </c>
      <c r="E43" s="590" t="str">
        <f>IFERROR(VLOOKUP($B43,'H-Risk Register-Model'!$A$17:$AI$952,MATCH(E$38,'H-Risk Register-Model'!$17:$17,0),FALSE),"")</f>
        <v/>
      </c>
      <c r="F43" s="591" t="str">
        <f>IFERROR(VLOOKUP($B43,'H-Risk Register-Model'!$A$17:$AI$952,MATCH(F$38,'H-Risk Register-Model'!$17:$17,0),FALSE),"")</f>
        <v/>
      </c>
      <c r="G43" s="538" t="str">
        <f>IF(IFERROR(VLOOKUP($B43,'H-Risk Register-Model'!$A$17:$AI$952,MATCH(G$37,'H-Risk Register-Model'!$17:$17,0),FALSE),"")="","",IFERROR(VLOOKUP($B43,'H-Risk Register-Model'!$A$17:$AI$952,MATCH(G$37,'H-Risk Register-Model'!$17:$17,0),FALSE),""))</f>
        <v/>
      </c>
      <c r="H43" s="538" t="str">
        <f>IF(IFERROR(VLOOKUP($B43,'H-Risk Register-Model'!$A$17:$AI$952,MATCH(H$37,'H-Risk Register-Model'!$17:$17,0),FALSE),"")="","",IFERROR(VLOOKUP($B43,'H-Risk Register-Model'!$A$17:$AI$952,MATCH(H$37,'H-Risk Register-Model'!$17:$17,0),FALSE),""))</f>
        <v/>
      </c>
      <c r="I43" s="1019" t="str">
        <f>IF(IFERROR(VLOOKUP($B43,'H-Risk Register-Model'!$A$17:$AI$952,MATCH(I$38,'H-Risk Register-Model'!$17:$17,0),FALSE),"")="","",IFERROR(VLOOKUP($B43,'H-Risk Register-Model'!$A$17:$AI$952,MATCH(I$38,'H-Risk Register-Model'!$17:$17,0),FALSE),""))</f>
        <v/>
      </c>
      <c r="J43" s="1019"/>
      <c r="K43" s="1019"/>
      <c r="L43" s="1020"/>
      <c r="M43" s="286"/>
    </row>
    <row r="44" spans="1:13" x14ac:dyDescent="0.35">
      <c r="A44" s="280"/>
      <c r="B44" s="536" t="str">
        <f>IF('J-Sensitivity Charts'!M45="","",'J-Sensitivity Charts'!M45)</f>
        <v>N/A</v>
      </c>
      <c r="C44" s="589" t="str">
        <f>IFERROR(VLOOKUP($B44,'H-Risk Register-Model'!$A$17:$AI$952,MATCH(B$38,'H-Risk Register-Model'!$17:$17,0),FALSE),"")</f>
        <v/>
      </c>
      <c r="D44" s="537" t="str">
        <f>IFERROR(VLOOKUP($B44,'H-Risk Register-Model'!$A$17:$AI$952,MATCH(D$38,'H-Risk Register-Model'!$17:$17,0),FALSE),"")</f>
        <v/>
      </c>
      <c r="E44" s="590" t="str">
        <f>IFERROR(VLOOKUP($B44,'H-Risk Register-Model'!$A$17:$AI$952,MATCH(E$38,'H-Risk Register-Model'!$17:$17,0),FALSE),"")</f>
        <v/>
      </c>
      <c r="F44" s="591" t="str">
        <f>IFERROR(VLOOKUP($B44,'H-Risk Register-Model'!$A$17:$AI$952,MATCH(F$38,'H-Risk Register-Model'!$17:$17,0),FALSE),"")</f>
        <v/>
      </c>
      <c r="G44" s="538" t="str">
        <f>IF(IFERROR(VLOOKUP($B44,'H-Risk Register-Model'!$A$17:$AI$952,MATCH(G$37,'H-Risk Register-Model'!$17:$17,0),FALSE),"")="","",IFERROR(VLOOKUP($B44,'H-Risk Register-Model'!$A$17:$AI$952,MATCH(G$37,'H-Risk Register-Model'!$17:$17,0),FALSE),""))</f>
        <v/>
      </c>
      <c r="H44" s="538" t="str">
        <f>IF(IFERROR(VLOOKUP($B44,'H-Risk Register-Model'!$A$17:$AI$952,MATCH(H$37,'H-Risk Register-Model'!$17:$17,0),FALSE),"")="","",IFERROR(VLOOKUP($B44,'H-Risk Register-Model'!$A$17:$AI$952,MATCH(H$37,'H-Risk Register-Model'!$17:$17,0),FALSE),""))</f>
        <v/>
      </c>
      <c r="I44" s="1019" t="str">
        <f>IF(IFERROR(VLOOKUP($B44,'H-Risk Register-Model'!$A$17:$AI$952,MATCH(I$38,'H-Risk Register-Model'!$17:$17,0),FALSE),"")="","",IFERROR(VLOOKUP($B44,'H-Risk Register-Model'!$A$17:$AI$952,MATCH(I$38,'H-Risk Register-Model'!$17:$17,0),FALSE),""))</f>
        <v/>
      </c>
      <c r="J44" s="1019"/>
      <c r="K44" s="1019"/>
      <c r="L44" s="1020"/>
      <c r="M44" s="286"/>
    </row>
    <row r="45" spans="1:13" x14ac:dyDescent="0.35">
      <c r="A45" s="288"/>
      <c r="B45" s="536" t="str">
        <f>IF('J-Sensitivity Charts'!M46="","",'J-Sensitivity Charts'!M46)</f>
        <v>N/A</v>
      </c>
      <c r="C45" s="589" t="str">
        <f>IFERROR(VLOOKUP($B45,'H-Risk Register-Model'!$A$17:$AI$952,MATCH(B$38,'H-Risk Register-Model'!$17:$17,0),FALSE),"")</f>
        <v/>
      </c>
      <c r="D45" s="537" t="str">
        <f>IFERROR(VLOOKUP($B45,'H-Risk Register-Model'!$A$17:$AI$952,MATCH(D$38,'H-Risk Register-Model'!$17:$17,0),FALSE),"")</f>
        <v/>
      </c>
      <c r="E45" s="590" t="str">
        <f>IFERROR(VLOOKUP($B45,'H-Risk Register-Model'!$A$17:$AI$952,MATCH(E$38,'H-Risk Register-Model'!$17:$17,0),FALSE),"")</f>
        <v/>
      </c>
      <c r="F45" s="591" t="str">
        <f>IFERROR(VLOOKUP($B45,'H-Risk Register-Model'!$A$17:$AI$952,MATCH(F$38,'H-Risk Register-Model'!$17:$17,0),FALSE),"")</f>
        <v/>
      </c>
      <c r="G45" s="538" t="str">
        <f>IF(IFERROR(VLOOKUP($B45,'H-Risk Register-Model'!$A$17:$AI$952,MATCH(G$37,'H-Risk Register-Model'!$17:$17,0),FALSE),"")="","",IFERROR(VLOOKUP($B45,'H-Risk Register-Model'!$A$17:$AI$952,MATCH(G$37,'H-Risk Register-Model'!$17:$17,0),FALSE),""))</f>
        <v/>
      </c>
      <c r="H45" s="538" t="str">
        <f>IF(IFERROR(VLOOKUP($B45,'H-Risk Register-Model'!$A$17:$AI$952,MATCH(H$37,'H-Risk Register-Model'!$17:$17,0),FALSE),"")="","",IFERROR(VLOOKUP($B45,'H-Risk Register-Model'!$A$17:$AI$952,MATCH(H$37,'H-Risk Register-Model'!$17:$17,0),FALSE),""))</f>
        <v/>
      </c>
      <c r="I45" s="1019" t="str">
        <f>IF(IFERROR(VLOOKUP($B45,'H-Risk Register-Model'!$A$17:$AI$952,MATCH(I$38,'H-Risk Register-Model'!$17:$17,0),FALSE),"")="","",IFERROR(VLOOKUP($B45,'H-Risk Register-Model'!$A$17:$AI$952,MATCH(I$38,'H-Risk Register-Model'!$17:$17,0),FALSE),""))</f>
        <v/>
      </c>
      <c r="J45" s="1019"/>
      <c r="K45" s="1019"/>
      <c r="L45" s="1020"/>
      <c r="M45" s="286"/>
    </row>
    <row r="46" spans="1:13" x14ac:dyDescent="0.35">
      <c r="A46" s="280"/>
      <c r="B46" s="536" t="str">
        <f>IF('J-Sensitivity Charts'!M47="","",'J-Sensitivity Charts'!M47)</f>
        <v>N/A</v>
      </c>
      <c r="C46" s="589" t="str">
        <f>IFERROR(VLOOKUP($B46,'H-Risk Register-Model'!$A$17:$AI$952,MATCH(B$38,'H-Risk Register-Model'!$17:$17,0),FALSE),"")</f>
        <v/>
      </c>
      <c r="D46" s="537" t="str">
        <f>IFERROR(VLOOKUP($B46,'H-Risk Register-Model'!$A$17:$AI$952,MATCH(D$38,'H-Risk Register-Model'!$17:$17,0),FALSE),"")</f>
        <v/>
      </c>
      <c r="E46" s="590" t="str">
        <f>IFERROR(VLOOKUP($B46,'H-Risk Register-Model'!$A$17:$AI$952,MATCH(E$38,'H-Risk Register-Model'!$17:$17,0),FALSE),"")</f>
        <v/>
      </c>
      <c r="F46" s="591" t="str">
        <f>IFERROR(VLOOKUP($B46,'H-Risk Register-Model'!$A$17:$AI$952,MATCH(F$38,'H-Risk Register-Model'!$17:$17,0),FALSE),"")</f>
        <v/>
      </c>
      <c r="G46" s="538" t="str">
        <f>IF(IFERROR(VLOOKUP($B46,'H-Risk Register-Model'!$A$17:$AI$952,MATCH(G$37,'H-Risk Register-Model'!$17:$17,0),FALSE),"")="","",IFERROR(VLOOKUP($B46,'H-Risk Register-Model'!$A$17:$AI$952,MATCH(G$37,'H-Risk Register-Model'!$17:$17,0),FALSE),""))</f>
        <v/>
      </c>
      <c r="H46" s="538" t="str">
        <f>IF(IFERROR(VLOOKUP($B46,'H-Risk Register-Model'!$A$17:$AI$952,MATCH(H$37,'H-Risk Register-Model'!$17:$17,0),FALSE),"")="","",IFERROR(VLOOKUP($B46,'H-Risk Register-Model'!$A$17:$AI$952,MATCH(H$37,'H-Risk Register-Model'!$17:$17,0),FALSE),""))</f>
        <v/>
      </c>
      <c r="I46" s="1019" t="str">
        <f>IF(IFERROR(VLOOKUP($B46,'H-Risk Register-Model'!$A$17:$AI$952,MATCH(I$38,'H-Risk Register-Model'!$17:$17,0),FALSE),"")="","",IFERROR(VLOOKUP($B46,'H-Risk Register-Model'!$A$17:$AI$952,MATCH(I$38,'H-Risk Register-Model'!$17:$17,0),FALSE),""))</f>
        <v/>
      </c>
      <c r="J46" s="1019"/>
      <c r="K46" s="1019"/>
      <c r="L46" s="1020"/>
      <c r="M46" s="286"/>
    </row>
    <row r="47" spans="1:13" x14ac:dyDescent="0.35">
      <c r="A47" s="280"/>
      <c r="B47" s="536" t="str">
        <f>IF('J-Sensitivity Charts'!M48="","",'J-Sensitivity Charts'!M48)</f>
        <v>N/A</v>
      </c>
      <c r="C47" s="589" t="str">
        <f>IFERROR(VLOOKUP($B47,'H-Risk Register-Model'!$A$17:$AI$952,MATCH(B$38,'H-Risk Register-Model'!$17:$17,0),FALSE),"")</f>
        <v/>
      </c>
      <c r="D47" s="537" t="str">
        <f>IFERROR(VLOOKUP($B47,'H-Risk Register-Model'!$A$17:$AI$952,MATCH(D$38,'H-Risk Register-Model'!$17:$17,0),FALSE),"")</f>
        <v/>
      </c>
      <c r="E47" s="590" t="str">
        <f>IFERROR(VLOOKUP($B47,'H-Risk Register-Model'!$A$17:$AI$952,MATCH(E$38,'H-Risk Register-Model'!$17:$17,0),FALSE),"")</f>
        <v/>
      </c>
      <c r="F47" s="591" t="str">
        <f>IFERROR(VLOOKUP($B47,'H-Risk Register-Model'!$A$17:$AI$952,MATCH(F$38,'H-Risk Register-Model'!$17:$17,0),FALSE),"")</f>
        <v/>
      </c>
      <c r="G47" s="538" t="str">
        <f>IF(IFERROR(VLOOKUP($B47,'H-Risk Register-Model'!$A$17:$AI$952,MATCH(G$37,'H-Risk Register-Model'!$17:$17,0),FALSE),"")="","",IFERROR(VLOOKUP($B47,'H-Risk Register-Model'!$A$17:$AI$952,MATCH(G$37,'H-Risk Register-Model'!$17:$17,0),FALSE),""))</f>
        <v/>
      </c>
      <c r="H47" s="538" t="str">
        <f>IF(IFERROR(VLOOKUP($B47,'H-Risk Register-Model'!$A$17:$AI$952,MATCH(H$37,'H-Risk Register-Model'!$17:$17,0),FALSE),"")="","",IFERROR(VLOOKUP($B47,'H-Risk Register-Model'!$A$17:$AI$952,MATCH(H$37,'H-Risk Register-Model'!$17:$17,0),FALSE),""))</f>
        <v/>
      </c>
      <c r="I47" s="1019" t="str">
        <f>IF(IFERROR(VLOOKUP($B47,'H-Risk Register-Model'!$A$17:$AI$952,MATCH(I$38,'H-Risk Register-Model'!$17:$17,0),FALSE),"")="","",IFERROR(VLOOKUP($B47,'H-Risk Register-Model'!$A$17:$AI$952,MATCH(I$38,'H-Risk Register-Model'!$17:$17,0),FALSE),""))</f>
        <v/>
      </c>
      <c r="J47" s="1019"/>
      <c r="K47" s="1019"/>
      <c r="L47" s="1020"/>
      <c r="M47" s="286"/>
    </row>
    <row r="48" spans="1:13" x14ac:dyDescent="0.35">
      <c r="A48" s="280"/>
      <c r="B48" s="536" t="str">
        <f>IF('J-Sensitivity Charts'!M49="","",'J-Sensitivity Charts'!M49)</f>
        <v>N/A</v>
      </c>
      <c r="C48" s="589" t="str">
        <f>IFERROR(VLOOKUP($B48,'H-Risk Register-Model'!$A$17:$AI$952,MATCH(B$38,'H-Risk Register-Model'!$17:$17,0),FALSE),"")</f>
        <v/>
      </c>
      <c r="D48" s="537" t="str">
        <f>IFERROR(VLOOKUP($B48,'H-Risk Register-Model'!$A$17:$AI$952,MATCH(D$38,'H-Risk Register-Model'!$17:$17,0),FALSE),"")</f>
        <v/>
      </c>
      <c r="E48" s="590" t="str">
        <f>IFERROR(VLOOKUP($B48,'H-Risk Register-Model'!$A$17:$AI$952,MATCH(E$38,'H-Risk Register-Model'!$17:$17,0),FALSE),"")</f>
        <v/>
      </c>
      <c r="F48" s="591" t="str">
        <f>IFERROR(VLOOKUP($B48,'H-Risk Register-Model'!$A$17:$AI$952,MATCH(F$38,'H-Risk Register-Model'!$17:$17,0),FALSE),"")</f>
        <v/>
      </c>
      <c r="G48" s="538" t="str">
        <f>IF(IFERROR(VLOOKUP($B48,'H-Risk Register-Model'!$A$17:$AI$952,MATCH(G$37,'H-Risk Register-Model'!$17:$17,0),FALSE),"")="","",IFERROR(VLOOKUP($B48,'H-Risk Register-Model'!$A$17:$AI$952,MATCH(G$37,'H-Risk Register-Model'!$17:$17,0),FALSE),""))</f>
        <v/>
      </c>
      <c r="H48" s="538" t="str">
        <f>IF(IFERROR(VLOOKUP($B48,'H-Risk Register-Model'!$A$17:$AI$952,MATCH(H$37,'H-Risk Register-Model'!$17:$17,0),FALSE),"")="","",IFERROR(VLOOKUP($B48,'H-Risk Register-Model'!$A$17:$AI$952,MATCH(H$37,'H-Risk Register-Model'!$17:$17,0),FALSE),""))</f>
        <v/>
      </c>
      <c r="I48" s="1019" t="str">
        <f>IF(IFERROR(VLOOKUP($B48,'H-Risk Register-Model'!$A$17:$AI$952,MATCH(I$38,'H-Risk Register-Model'!$17:$17,0),FALSE),"")="","",IFERROR(VLOOKUP($B48,'H-Risk Register-Model'!$A$17:$AI$952,MATCH(I$38,'H-Risk Register-Model'!$17:$17,0),FALSE),""))</f>
        <v/>
      </c>
      <c r="J48" s="1019"/>
      <c r="K48" s="1019"/>
      <c r="L48" s="1020"/>
      <c r="M48" s="286"/>
    </row>
    <row r="49" spans="1:13" ht="15" thickBot="1" x14ac:dyDescent="0.4">
      <c r="A49" s="280"/>
      <c r="B49" s="291" t="str">
        <f>IF('J-Sensitivity Charts'!M50="","",'J-Sensitivity Charts'!M50)</f>
        <v>N/A</v>
      </c>
      <c r="C49" s="592" t="str">
        <f>IFERROR(VLOOKUP($B49,'H-Risk Register-Model'!$A$17:$AI$952,MATCH(B$38,'H-Risk Register-Model'!$17:$17,0),FALSE),"")</f>
        <v/>
      </c>
      <c r="D49" s="308" t="str">
        <f>IFERROR(VLOOKUP($B49,'H-Risk Register-Model'!$A$17:$AI$952,MATCH(D$38,'H-Risk Register-Model'!$17:$17,0),FALSE),"")</f>
        <v/>
      </c>
      <c r="E49" s="593" t="str">
        <f>IFERROR(VLOOKUP($B49,'H-Risk Register-Model'!$A$17:$AI$952,MATCH(E$38,'H-Risk Register-Model'!$17:$17,0),FALSE),"")</f>
        <v/>
      </c>
      <c r="F49" s="594" t="str">
        <f>IFERROR(VLOOKUP($B49,'H-Risk Register-Model'!$A$17:$AI$952,MATCH(F$38,'H-Risk Register-Model'!$17:$17,0),FALSE),"")</f>
        <v/>
      </c>
      <c r="G49" s="161" t="str">
        <f>IF(IFERROR(VLOOKUP($B49,'H-Risk Register-Model'!$A$17:$AI$952,MATCH(G$37,'H-Risk Register-Model'!$17:$17,0),FALSE),"")="","",IFERROR(VLOOKUP($B49,'H-Risk Register-Model'!$A$17:$AI$952,MATCH(G$37,'H-Risk Register-Model'!$17:$17,0),FALSE),""))</f>
        <v/>
      </c>
      <c r="H49" s="161" t="str">
        <f>IF(IFERROR(VLOOKUP($B49,'H-Risk Register-Model'!$A$17:$AI$952,MATCH(H$37,'H-Risk Register-Model'!$17:$17,0),FALSE),"")="","",IFERROR(VLOOKUP($B49,'H-Risk Register-Model'!$A$17:$AI$952,MATCH(H$37,'H-Risk Register-Model'!$17:$17,0),FALSE),""))</f>
        <v/>
      </c>
      <c r="I49" s="1021" t="str">
        <f>IF(IFERROR(VLOOKUP($B49,'H-Risk Register-Model'!$A$17:$AI$952,MATCH(I$38,'H-Risk Register-Model'!$17:$17,0),FALSE),"")="","",IFERROR(VLOOKUP($B49,'H-Risk Register-Model'!$A$17:$AI$952,MATCH(I$38,'H-Risk Register-Model'!$17:$17,0),FALSE),""))</f>
        <v/>
      </c>
      <c r="J49" s="1021"/>
      <c r="K49" s="1021"/>
      <c r="L49" s="1022"/>
      <c r="M49" s="286"/>
    </row>
    <row r="50" spans="1:13" x14ac:dyDescent="0.35">
      <c r="A50" s="279"/>
      <c r="B50" s="279"/>
      <c r="C50" s="279"/>
      <c r="D50" s="279"/>
      <c r="E50" s="279"/>
      <c r="F50" s="279"/>
      <c r="G50" s="279"/>
      <c r="H50" s="279"/>
      <c r="I50" s="279"/>
      <c r="J50" s="279"/>
      <c r="K50" s="279"/>
      <c r="L50" s="279"/>
      <c r="M50" s="279"/>
    </row>
  </sheetData>
  <mergeCells count="23">
    <mergeCell ref="I45:L45"/>
    <mergeCell ref="I46:L46"/>
    <mergeCell ref="I47:L47"/>
    <mergeCell ref="I48:L48"/>
    <mergeCell ref="I49:L49"/>
    <mergeCell ref="A1:M1"/>
    <mergeCell ref="I38:L39"/>
    <mergeCell ref="I40:L40"/>
    <mergeCell ref="I41:L41"/>
    <mergeCell ref="I42:L42"/>
    <mergeCell ref="K4:K9"/>
    <mergeCell ref="G8:I8"/>
    <mergeCell ref="G9:I9"/>
    <mergeCell ref="C3:E3"/>
    <mergeCell ref="C4:E4"/>
    <mergeCell ref="J3:K3"/>
    <mergeCell ref="I43:L43"/>
    <mergeCell ref="I44:L44"/>
    <mergeCell ref="B38:C39"/>
    <mergeCell ref="D38:D39"/>
    <mergeCell ref="E38:E39"/>
    <mergeCell ref="F38:F39"/>
    <mergeCell ref="G38:H38"/>
  </mergeCells>
  <conditionalFormatting sqref="G40:H49">
    <cfRule type="expression" dxfId="15" priority="1" stopIfTrue="1">
      <formula>LEFT(D40,3)="Cer"</formula>
    </cfRule>
    <cfRule type="expression" dxfId="14" priority="2" stopIfTrue="1">
      <formula>LEFT(G40,1)="H"</formula>
    </cfRule>
    <cfRule type="expression" dxfId="13" priority="3" stopIfTrue="1">
      <formula>LEFT(G40,1)="M"</formula>
    </cfRule>
    <cfRule type="expression" dxfId="12" priority="4" stopIfTrue="1">
      <formula>LEFT(G40,1)="L"</formula>
    </cfRule>
  </conditionalFormatting>
  <pageMargins left="0.25" right="0.25" top="0.25" bottom="0.5" header="0.25" footer="0.25"/>
  <pageSetup scale="50" fitToHeight="0" orientation="landscape" horizontalDpi="1200" verticalDpi="1200" r:id="rId1"/>
  <headerFooter>
    <oddFooter>&amp;CPage &amp;P of &amp;N</oddFooter>
  </headerFooter>
  <colBreaks count="1" manualBreakCount="1">
    <brk id="1" max="4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tint="-0.499984740745262"/>
    <pageSetUpPr fitToPage="1"/>
  </sheetPr>
  <dimension ref="A1:L101"/>
  <sheetViews>
    <sheetView showGridLines="0" zoomScaleNormal="100" workbookViewId="0">
      <pane ySplit="4" topLeftCell="A5" activePane="bottomLeft" state="frozen"/>
      <selection activeCell="A3" sqref="A3"/>
      <selection pane="bottomLeft" activeCell="A5" sqref="A5"/>
    </sheetView>
  </sheetViews>
  <sheetFormatPr defaultColWidth="8.81640625" defaultRowHeight="14.5" x14ac:dyDescent="0.35"/>
  <cols>
    <col min="1" max="1" width="2.54296875" customWidth="1"/>
    <col min="2" max="4" width="17.453125" style="76" customWidth="1"/>
    <col min="5" max="5" width="20.453125" style="76" customWidth="1"/>
    <col min="6" max="6" width="19.54296875" style="76" bestFit="1" customWidth="1"/>
    <col min="7" max="7" width="30.54296875" style="76" customWidth="1"/>
    <col min="8" max="8" width="35.54296875" style="76" customWidth="1"/>
    <col min="9" max="9" width="50.81640625" style="76" customWidth="1"/>
    <col min="10" max="10" width="51.54296875" style="76" customWidth="1"/>
    <col min="11" max="12" width="81.54296875" customWidth="1"/>
  </cols>
  <sheetData>
    <row r="1" spans="1:12" x14ac:dyDescent="0.35">
      <c r="A1" s="173" t="s">
        <v>968</v>
      </c>
      <c r="B1" s="173"/>
      <c r="C1" s="173"/>
      <c r="D1" s="173"/>
      <c r="E1" s="173"/>
      <c r="F1" s="173"/>
      <c r="G1" s="173"/>
      <c r="H1" s="173"/>
      <c r="I1" s="173"/>
      <c r="J1" s="173"/>
      <c r="K1" s="173"/>
      <c r="L1" s="173"/>
    </row>
    <row r="2" spans="1:12" ht="15" thickBot="1" x14ac:dyDescent="0.4">
      <c r="A2" s="309"/>
      <c r="B2" s="313"/>
      <c r="C2" s="313"/>
      <c r="D2" s="313"/>
      <c r="E2" s="313"/>
      <c r="F2" s="313"/>
      <c r="G2" s="313"/>
      <c r="H2" s="313"/>
      <c r="I2" s="313"/>
      <c r="J2" s="313"/>
      <c r="K2" s="313"/>
      <c r="L2" s="313"/>
    </row>
    <row r="3" spans="1:12" x14ac:dyDescent="0.35">
      <c r="A3" s="309"/>
      <c r="B3" s="641" t="s">
        <v>964</v>
      </c>
      <c r="C3" s="642" t="s">
        <v>1197</v>
      </c>
      <c r="D3" s="642" t="s">
        <v>700</v>
      </c>
      <c r="E3" s="642" t="s">
        <v>691</v>
      </c>
      <c r="F3" s="642" t="s">
        <v>967</v>
      </c>
      <c r="G3" s="642" t="s">
        <v>966</v>
      </c>
      <c r="H3" s="642" t="s">
        <v>796</v>
      </c>
      <c r="I3" s="642" t="s">
        <v>806</v>
      </c>
      <c r="J3" s="642" t="s">
        <v>965</v>
      </c>
      <c r="K3" s="642" t="s">
        <v>1196</v>
      </c>
      <c r="L3" s="643" t="s">
        <v>1195</v>
      </c>
    </row>
    <row r="4" spans="1:12" x14ac:dyDescent="0.35">
      <c r="A4" s="309"/>
      <c r="B4" s="644" t="s">
        <v>964</v>
      </c>
      <c r="C4" s="551" t="s">
        <v>1197</v>
      </c>
      <c r="D4" s="551" t="s">
        <v>963</v>
      </c>
      <c r="E4" s="551" t="s">
        <v>691</v>
      </c>
      <c r="F4" s="551" t="s">
        <v>962</v>
      </c>
      <c r="G4" s="551" t="s">
        <v>961</v>
      </c>
      <c r="H4" s="551" t="s">
        <v>960</v>
      </c>
      <c r="I4" s="551" t="s">
        <v>478</v>
      </c>
      <c r="J4" s="551" t="s">
        <v>959</v>
      </c>
      <c r="K4" s="551" t="s">
        <v>1198</v>
      </c>
      <c r="L4" s="548" t="s">
        <v>1199</v>
      </c>
    </row>
    <row r="5" spans="1:12" x14ac:dyDescent="0.35">
      <c r="A5" s="309"/>
      <c r="B5" s="696" t="s">
        <v>958</v>
      </c>
      <c r="C5" s="697" t="s">
        <v>1193</v>
      </c>
      <c r="D5" s="697" t="s">
        <v>728</v>
      </c>
      <c r="E5" s="697" t="s">
        <v>728</v>
      </c>
      <c r="F5" s="697" t="s">
        <v>728</v>
      </c>
      <c r="G5" s="697" t="s">
        <v>728</v>
      </c>
      <c r="H5" s="697" t="s">
        <v>728</v>
      </c>
      <c r="I5" s="700" t="s">
        <v>728</v>
      </c>
      <c r="J5" s="701" t="s">
        <v>728</v>
      </c>
      <c r="K5" s="704" t="s">
        <v>1275</v>
      </c>
      <c r="L5" s="705" t="s">
        <v>1275</v>
      </c>
    </row>
    <row r="6" spans="1:12" x14ac:dyDescent="0.35">
      <c r="A6" s="309"/>
      <c r="B6" s="696" t="s">
        <v>32</v>
      </c>
      <c r="C6" s="697" t="s">
        <v>907</v>
      </c>
      <c r="D6" s="697" t="s">
        <v>697</v>
      </c>
      <c r="E6" s="697" t="s">
        <v>711</v>
      </c>
      <c r="F6" s="697" t="s">
        <v>731</v>
      </c>
      <c r="G6" s="697" t="s">
        <v>746</v>
      </c>
      <c r="H6" s="697" t="s">
        <v>731</v>
      </c>
      <c r="I6" s="700" t="s">
        <v>743</v>
      </c>
      <c r="J6" s="701" t="s">
        <v>956</v>
      </c>
      <c r="K6" s="702" t="s">
        <v>969</v>
      </c>
      <c r="L6" s="705" t="s">
        <v>1202</v>
      </c>
    </row>
    <row r="7" spans="1:12" x14ac:dyDescent="0.35">
      <c r="A7" s="309"/>
      <c r="B7" s="645"/>
      <c r="C7" s="697" t="s">
        <v>1281</v>
      </c>
      <c r="D7" s="697" t="s">
        <v>696</v>
      </c>
      <c r="E7" s="697" t="s">
        <v>710</v>
      </c>
      <c r="F7" s="697" t="s">
        <v>1297</v>
      </c>
      <c r="G7" s="697" t="s">
        <v>741</v>
      </c>
      <c r="H7" s="697" t="s">
        <v>957</v>
      </c>
      <c r="I7" s="700" t="s">
        <v>736</v>
      </c>
      <c r="J7" s="701" t="s">
        <v>953</v>
      </c>
      <c r="K7" s="702" t="s">
        <v>970</v>
      </c>
      <c r="L7" s="707" t="s">
        <v>1203</v>
      </c>
    </row>
    <row r="8" spans="1:12" x14ac:dyDescent="0.35">
      <c r="A8" s="309"/>
      <c r="B8" s="645"/>
      <c r="C8" s="636"/>
      <c r="D8" s="697" t="s">
        <v>695</v>
      </c>
      <c r="E8" s="697" t="s">
        <v>709</v>
      </c>
      <c r="F8" s="697" t="s">
        <v>1339</v>
      </c>
      <c r="G8" s="697" t="s">
        <v>737</v>
      </c>
      <c r="H8" s="699" t="s">
        <v>954</v>
      </c>
      <c r="I8" s="700" t="s">
        <v>947</v>
      </c>
      <c r="J8" s="701" t="s">
        <v>950</v>
      </c>
      <c r="K8" s="702" t="s">
        <v>971</v>
      </c>
      <c r="L8" s="708" t="s">
        <v>664</v>
      </c>
    </row>
    <row r="9" spans="1:12" x14ac:dyDescent="0.35">
      <c r="A9" s="309"/>
      <c r="B9" s="645"/>
      <c r="C9" s="636"/>
      <c r="D9" s="697" t="s">
        <v>694</v>
      </c>
      <c r="E9" s="697" t="s">
        <v>708</v>
      </c>
      <c r="F9" s="697" t="s">
        <v>738</v>
      </c>
      <c r="G9" s="697" t="s">
        <v>948</v>
      </c>
      <c r="H9" s="697" t="s">
        <v>951</v>
      </c>
      <c r="I9" s="700" t="s">
        <v>740</v>
      </c>
      <c r="J9" s="701" t="s">
        <v>1060</v>
      </c>
      <c r="K9" s="702" t="s">
        <v>972</v>
      </c>
      <c r="L9" s="706" t="s">
        <v>906</v>
      </c>
    </row>
    <row r="10" spans="1:12" x14ac:dyDescent="0.35">
      <c r="A10" s="309"/>
      <c r="B10" s="645"/>
      <c r="C10" s="636"/>
      <c r="D10" s="697" t="s">
        <v>693</v>
      </c>
      <c r="E10" s="697" t="s">
        <v>707</v>
      </c>
      <c r="F10" s="697" t="s">
        <v>946</v>
      </c>
      <c r="G10" s="697" t="s">
        <v>730</v>
      </c>
      <c r="H10" s="697" t="s">
        <v>729</v>
      </c>
      <c r="I10" s="700" t="s">
        <v>758</v>
      </c>
      <c r="J10" s="701" t="s">
        <v>1061</v>
      </c>
      <c r="K10" s="702" t="s">
        <v>973</v>
      </c>
      <c r="L10" s="706" t="s">
        <v>905</v>
      </c>
    </row>
    <row r="11" spans="1:12" x14ac:dyDescent="0.35">
      <c r="A11" s="309"/>
      <c r="B11" s="645"/>
      <c r="C11" s="636"/>
      <c r="D11" s="697" t="s">
        <v>944</v>
      </c>
      <c r="E11" s="636"/>
      <c r="F11" s="697" t="s">
        <v>924</v>
      </c>
      <c r="G11" s="697" t="s">
        <v>735</v>
      </c>
      <c r="H11" s="697" t="s">
        <v>809</v>
      </c>
      <c r="I11" s="700" t="s">
        <v>940</v>
      </c>
      <c r="J11" s="701" t="s">
        <v>945</v>
      </c>
      <c r="K11" s="702" t="s">
        <v>974</v>
      </c>
      <c r="L11" s="706" t="s">
        <v>904</v>
      </c>
    </row>
    <row r="12" spans="1:12" x14ac:dyDescent="0.35">
      <c r="A12" s="309"/>
      <c r="B12" s="645"/>
      <c r="C12" s="636"/>
      <c r="D12" s="636"/>
      <c r="E12" s="636"/>
      <c r="F12" s="697" t="s">
        <v>955</v>
      </c>
      <c r="G12" s="697" t="s">
        <v>757</v>
      </c>
      <c r="H12" s="697" t="s">
        <v>734</v>
      </c>
      <c r="I12" s="700" t="s">
        <v>733</v>
      </c>
      <c r="J12" s="701" t="s">
        <v>942</v>
      </c>
      <c r="K12" s="702" t="s">
        <v>975</v>
      </c>
      <c r="L12" s="706" t="s">
        <v>903</v>
      </c>
    </row>
    <row r="13" spans="1:12" x14ac:dyDescent="0.35">
      <c r="A13" s="309"/>
      <c r="B13" s="645"/>
      <c r="C13" s="636"/>
      <c r="D13" s="636"/>
      <c r="E13" s="636"/>
      <c r="F13" s="697" t="s">
        <v>952</v>
      </c>
      <c r="G13" s="697" t="s">
        <v>744</v>
      </c>
      <c r="H13" s="697" t="s">
        <v>941</v>
      </c>
      <c r="I13" s="700" t="s">
        <v>937</v>
      </c>
      <c r="J13" s="701" t="s">
        <v>939</v>
      </c>
      <c r="K13" s="702" t="s">
        <v>976</v>
      </c>
      <c r="L13" s="706" t="s">
        <v>902</v>
      </c>
    </row>
    <row r="14" spans="1:12" x14ac:dyDescent="0.35">
      <c r="A14" s="309"/>
      <c r="B14" s="645"/>
      <c r="C14" s="636"/>
      <c r="D14" s="636"/>
      <c r="E14" s="636"/>
      <c r="F14" s="697" t="s">
        <v>949</v>
      </c>
      <c r="G14" s="697" t="s">
        <v>753</v>
      </c>
      <c r="H14" s="636"/>
      <c r="I14" s="700" t="s">
        <v>935</v>
      </c>
      <c r="J14" s="701" t="s">
        <v>938</v>
      </c>
      <c r="K14" s="702" t="s">
        <v>978</v>
      </c>
      <c r="L14" s="708" t="s">
        <v>663</v>
      </c>
    </row>
    <row r="15" spans="1:12" x14ac:dyDescent="0.35">
      <c r="A15" s="309"/>
      <c r="B15" s="645"/>
      <c r="C15" s="636"/>
      <c r="D15" s="636"/>
      <c r="E15" s="636"/>
      <c r="F15" s="697" t="s">
        <v>943</v>
      </c>
      <c r="G15" s="697" t="s">
        <v>751</v>
      </c>
      <c r="H15" s="636"/>
      <c r="I15" s="700" t="s">
        <v>933</v>
      </c>
      <c r="J15" s="701" t="s">
        <v>936</v>
      </c>
      <c r="K15" s="702" t="s">
        <v>977</v>
      </c>
      <c r="L15" s="706" t="s">
        <v>901</v>
      </c>
    </row>
    <row r="16" spans="1:12" x14ac:dyDescent="0.35">
      <c r="A16" s="309"/>
      <c r="B16" s="645"/>
      <c r="C16" s="636"/>
      <c r="D16" s="636"/>
      <c r="E16" s="636"/>
      <c r="F16" s="697" t="s">
        <v>919</v>
      </c>
      <c r="G16" s="697" t="s">
        <v>934</v>
      </c>
      <c r="H16" s="636"/>
      <c r="I16" s="700" t="s">
        <v>747</v>
      </c>
      <c r="J16" s="701" t="s">
        <v>636</v>
      </c>
      <c r="K16" s="702" t="s">
        <v>979</v>
      </c>
      <c r="L16" s="706" t="s">
        <v>900</v>
      </c>
    </row>
    <row r="17" spans="1:12" x14ac:dyDescent="0.35">
      <c r="A17" s="309"/>
      <c r="B17" s="645"/>
      <c r="C17" s="636"/>
      <c r="D17" s="636"/>
      <c r="E17" s="636"/>
      <c r="F17" s="639"/>
      <c r="G17" s="697" t="s">
        <v>754</v>
      </c>
      <c r="H17" s="637"/>
      <c r="I17" s="700" t="s">
        <v>748</v>
      </c>
      <c r="J17" s="701" t="s">
        <v>932</v>
      </c>
      <c r="K17" s="702" t="s">
        <v>980</v>
      </c>
      <c r="L17" s="706" t="s">
        <v>899</v>
      </c>
    </row>
    <row r="18" spans="1:12" x14ac:dyDescent="0.35">
      <c r="A18" s="309"/>
      <c r="B18" s="645"/>
      <c r="C18" s="636"/>
      <c r="D18" s="636"/>
      <c r="E18" s="636"/>
      <c r="F18" s="639"/>
      <c r="G18" s="698" t="s">
        <v>930</v>
      </c>
      <c r="H18" s="637"/>
      <c r="I18" s="700" t="s">
        <v>739</v>
      </c>
      <c r="J18" s="701" t="s">
        <v>931</v>
      </c>
      <c r="K18" s="702" t="s">
        <v>981</v>
      </c>
      <c r="L18" s="708" t="s">
        <v>662</v>
      </c>
    </row>
    <row r="19" spans="1:12" x14ac:dyDescent="0.35">
      <c r="A19" s="309"/>
      <c r="B19" s="646"/>
      <c r="C19" s="638"/>
      <c r="D19" s="638"/>
      <c r="E19" s="638"/>
      <c r="F19" s="639"/>
      <c r="G19" s="698" t="s">
        <v>1241</v>
      </c>
      <c r="H19" s="637"/>
      <c r="I19" s="700" t="s">
        <v>732</v>
      </c>
      <c r="J19" s="701" t="s">
        <v>929</v>
      </c>
      <c r="K19" s="702" t="s">
        <v>982</v>
      </c>
      <c r="L19" s="706" t="s">
        <v>898</v>
      </c>
    </row>
    <row r="20" spans="1:12" x14ac:dyDescent="0.35">
      <c r="A20" s="309"/>
      <c r="B20" s="646"/>
      <c r="C20" s="638"/>
      <c r="D20" s="638"/>
      <c r="E20" s="638"/>
      <c r="F20" s="639"/>
      <c r="G20" s="699" t="s">
        <v>928</v>
      </c>
      <c r="H20" s="637"/>
      <c r="I20" s="700" t="s">
        <v>756</v>
      </c>
      <c r="J20" s="701" t="s">
        <v>927</v>
      </c>
      <c r="K20" s="702" t="s">
        <v>983</v>
      </c>
      <c r="L20" s="706" t="s">
        <v>897</v>
      </c>
    </row>
    <row r="21" spans="1:12" x14ac:dyDescent="0.35">
      <c r="A21" s="309"/>
      <c r="B21" s="646"/>
      <c r="C21" s="638"/>
      <c r="D21" s="638"/>
      <c r="E21" s="638"/>
      <c r="F21" s="639"/>
      <c r="G21" s="697" t="s">
        <v>926</v>
      </c>
      <c r="H21" s="636"/>
      <c r="I21" s="700" t="s">
        <v>755</v>
      </c>
      <c r="J21" s="639"/>
      <c r="K21" s="702" t="s">
        <v>984</v>
      </c>
      <c r="L21" s="708" t="s">
        <v>661</v>
      </c>
    </row>
    <row r="22" spans="1:12" x14ac:dyDescent="0.35">
      <c r="A22" s="309"/>
      <c r="B22" s="646"/>
      <c r="C22" s="638"/>
      <c r="D22" s="638"/>
      <c r="E22" s="638"/>
      <c r="F22" s="639"/>
      <c r="G22" s="697" t="s">
        <v>742</v>
      </c>
      <c r="H22" s="636"/>
      <c r="I22" s="700" t="s">
        <v>925</v>
      </c>
      <c r="J22" s="639"/>
      <c r="K22" s="702" t="s">
        <v>985</v>
      </c>
      <c r="L22" s="706" t="s">
        <v>896</v>
      </c>
    </row>
    <row r="23" spans="1:12" x14ac:dyDescent="0.35">
      <c r="A23" s="309"/>
      <c r="B23" s="645"/>
      <c r="C23" s="636"/>
      <c r="D23" s="636"/>
      <c r="E23" s="636"/>
      <c r="F23" s="639"/>
      <c r="G23" s="699" t="s">
        <v>651</v>
      </c>
      <c r="H23" s="636"/>
      <c r="I23" s="700" t="s">
        <v>922</v>
      </c>
      <c r="J23" s="639"/>
      <c r="K23" s="702" t="s">
        <v>986</v>
      </c>
      <c r="L23" s="706" t="s">
        <v>895</v>
      </c>
    </row>
    <row r="24" spans="1:12" x14ac:dyDescent="0.35">
      <c r="A24" s="309"/>
      <c r="B24" s="645"/>
      <c r="C24" s="636"/>
      <c r="D24" s="636"/>
      <c r="E24" s="636"/>
      <c r="F24" s="639"/>
      <c r="G24" s="697" t="s">
        <v>752</v>
      </c>
      <c r="H24" s="636"/>
      <c r="I24" s="700" t="s">
        <v>749</v>
      </c>
      <c r="J24" s="639"/>
      <c r="K24" s="702" t="s">
        <v>987</v>
      </c>
      <c r="L24" s="706" t="s">
        <v>894</v>
      </c>
    </row>
    <row r="25" spans="1:12" x14ac:dyDescent="0.35">
      <c r="A25" s="309"/>
      <c r="B25" s="645"/>
      <c r="C25" s="636"/>
      <c r="D25" s="636"/>
      <c r="E25" s="636"/>
      <c r="F25" s="639"/>
      <c r="G25" s="697" t="s">
        <v>923</v>
      </c>
      <c r="H25" s="636"/>
      <c r="I25" s="700" t="s">
        <v>921</v>
      </c>
      <c r="J25" s="640"/>
      <c r="K25" s="702" t="s">
        <v>988</v>
      </c>
      <c r="L25" s="706" t="s">
        <v>893</v>
      </c>
    </row>
    <row r="26" spans="1:12" x14ac:dyDescent="0.35">
      <c r="A26" s="309"/>
      <c r="B26" s="645"/>
      <c r="C26" s="636"/>
      <c r="D26" s="636"/>
      <c r="E26" s="636"/>
      <c r="F26" s="639"/>
      <c r="G26" s="697" t="s">
        <v>680</v>
      </c>
      <c r="H26" s="636"/>
      <c r="I26" s="700" t="s">
        <v>750</v>
      </c>
      <c r="J26" s="640"/>
      <c r="K26" s="702" t="s">
        <v>989</v>
      </c>
      <c r="L26" s="706" t="s">
        <v>892</v>
      </c>
    </row>
    <row r="27" spans="1:12" x14ac:dyDescent="0.35">
      <c r="A27" s="309"/>
      <c r="B27" s="645"/>
      <c r="C27" s="636"/>
      <c r="D27" s="636"/>
      <c r="E27" s="636"/>
      <c r="F27" s="639"/>
      <c r="G27" s="636"/>
      <c r="H27" s="636"/>
      <c r="I27" s="700" t="s">
        <v>920</v>
      </c>
      <c r="J27" s="639"/>
      <c r="K27" s="703" t="s">
        <v>990</v>
      </c>
      <c r="L27" s="706" t="s">
        <v>891</v>
      </c>
    </row>
    <row r="28" spans="1:12" x14ac:dyDescent="0.35">
      <c r="A28" s="309"/>
      <c r="B28" s="645"/>
      <c r="C28" s="636"/>
      <c r="D28" s="636"/>
      <c r="E28" s="636"/>
      <c r="F28" s="639"/>
      <c r="G28" s="636"/>
      <c r="H28" s="636"/>
      <c r="I28" s="700" t="s">
        <v>918</v>
      </c>
      <c r="J28" s="639"/>
      <c r="K28" s="703" t="s">
        <v>991</v>
      </c>
      <c r="L28" s="706" t="s">
        <v>890</v>
      </c>
    </row>
    <row r="29" spans="1:12" x14ac:dyDescent="0.35">
      <c r="A29" s="309"/>
      <c r="B29" s="647"/>
      <c r="C29" s="639"/>
      <c r="D29" s="639"/>
      <c r="E29" s="639"/>
      <c r="F29" s="639"/>
      <c r="G29" s="639"/>
      <c r="H29" s="639"/>
      <c r="I29" s="700" t="s">
        <v>917</v>
      </c>
      <c r="J29" s="639"/>
      <c r="K29" s="704" t="s">
        <v>655</v>
      </c>
      <c r="L29" s="706" t="s">
        <v>889</v>
      </c>
    </row>
    <row r="30" spans="1:12" x14ac:dyDescent="0.35">
      <c r="B30" s="647"/>
      <c r="C30" s="639"/>
      <c r="D30" s="639"/>
      <c r="E30" s="639"/>
      <c r="F30" s="639"/>
      <c r="G30" s="639"/>
      <c r="H30" s="639"/>
      <c r="I30" s="700" t="s">
        <v>916</v>
      </c>
      <c r="J30" s="639"/>
      <c r="K30" s="704" t="s">
        <v>654</v>
      </c>
      <c r="L30" s="708" t="s">
        <v>660</v>
      </c>
    </row>
    <row r="31" spans="1:12" x14ac:dyDescent="0.35">
      <c r="B31" s="647"/>
      <c r="C31" s="639"/>
      <c r="D31" s="639"/>
      <c r="E31" s="639"/>
      <c r="F31" s="639"/>
      <c r="G31" s="639"/>
      <c r="H31" s="639"/>
      <c r="I31" s="700" t="s">
        <v>915</v>
      </c>
      <c r="J31" s="639"/>
      <c r="K31" s="704" t="s">
        <v>877</v>
      </c>
      <c r="L31" s="706" t="s">
        <v>888</v>
      </c>
    </row>
    <row r="32" spans="1:12" x14ac:dyDescent="0.35">
      <c r="B32" s="647"/>
      <c r="C32" s="639"/>
      <c r="D32" s="639"/>
      <c r="E32" s="639"/>
      <c r="F32" s="639"/>
      <c r="G32" s="639"/>
      <c r="H32" s="639"/>
      <c r="I32" s="700" t="s">
        <v>914</v>
      </c>
      <c r="J32" s="639"/>
      <c r="K32" s="704" t="s">
        <v>876</v>
      </c>
      <c r="L32" s="706" t="s">
        <v>887</v>
      </c>
    </row>
    <row r="33" spans="2:12" x14ac:dyDescent="0.35">
      <c r="B33" s="647"/>
      <c r="C33" s="639"/>
      <c r="D33" s="639"/>
      <c r="E33" s="639"/>
      <c r="F33" s="639"/>
      <c r="G33" s="639"/>
      <c r="H33" s="639"/>
      <c r="I33" s="700" t="s">
        <v>913</v>
      </c>
      <c r="J33" s="639"/>
      <c r="K33" s="704" t="s">
        <v>875</v>
      </c>
      <c r="L33" s="708" t="s">
        <v>658</v>
      </c>
    </row>
    <row r="34" spans="2:12" x14ac:dyDescent="0.35">
      <c r="B34" s="647"/>
      <c r="C34" s="639"/>
      <c r="D34" s="639"/>
      <c r="E34" s="639"/>
      <c r="F34" s="639"/>
      <c r="G34" s="639"/>
      <c r="H34" s="639"/>
      <c r="I34" s="700" t="s">
        <v>912</v>
      </c>
      <c r="J34" s="639"/>
      <c r="K34" s="704" t="s">
        <v>1266</v>
      </c>
      <c r="L34" s="706" t="s">
        <v>886</v>
      </c>
    </row>
    <row r="35" spans="2:12" x14ac:dyDescent="0.35">
      <c r="B35" s="647"/>
      <c r="C35" s="639"/>
      <c r="D35" s="639"/>
      <c r="E35" s="639"/>
      <c r="F35" s="639"/>
      <c r="G35" s="639"/>
      <c r="H35" s="639"/>
      <c r="I35" s="700" t="s">
        <v>1265</v>
      </c>
      <c r="J35" s="639"/>
      <c r="K35" s="704" t="s">
        <v>656</v>
      </c>
      <c r="L35" s="706" t="s">
        <v>885</v>
      </c>
    </row>
    <row r="36" spans="2:12" x14ac:dyDescent="0.35">
      <c r="B36" s="647"/>
      <c r="C36" s="639"/>
      <c r="D36" s="639"/>
      <c r="E36" s="639"/>
      <c r="F36" s="639"/>
      <c r="G36" s="639"/>
      <c r="H36" s="639"/>
      <c r="I36" s="700" t="s">
        <v>911</v>
      </c>
      <c r="J36" s="639"/>
      <c r="K36" s="639"/>
      <c r="L36" s="706" t="s">
        <v>884</v>
      </c>
    </row>
    <row r="37" spans="2:12" x14ac:dyDescent="0.35">
      <c r="B37" s="647"/>
      <c r="C37" s="639"/>
      <c r="D37" s="639"/>
      <c r="E37" s="639"/>
      <c r="F37" s="639"/>
      <c r="G37" s="639"/>
      <c r="H37" s="639"/>
      <c r="I37" s="700" t="s">
        <v>910</v>
      </c>
      <c r="J37" s="639"/>
      <c r="K37" s="639"/>
      <c r="L37" s="709" t="s">
        <v>657</v>
      </c>
    </row>
    <row r="38" spans="2:12" x14ac:dyDescent="0.35">
      <c r="B38" s="647"/>
      <c r="C38" s="639"/>
      <c r="D38" s="639"/>
      <c r="E38" s="639"/>
      <c r="F38" s="639"/>
      <c r="G38" s="639"/>
      <c r="H38" s="639"/>
      <c r="I38" s="700" t="s">
        <v>745</v>
      </c>
      <c r="J38" s="639"/>
      <c r="K38" s="639"/>
      <c r="L38" s="706" t="s">
        <v>883</v>
      </c>
    </row>
    <row r="39" spans="2:12" x14ac:dyDescent="0.35">
      <c r="B39" s="647"/>
      <c r="C39" s="639"/>
      <c r="D39" s="639"/>
      <c r="E39" s="639"/>
      <c r="F39" s="639"/>
      <c r="G39" s="639"/>
      <c r="H39" s="639"/>
      <c r="I39" s="700" t="s">
        <v>909</v>
      </c>
      <c r="J39" s="639"/>
      <c r="K39" s="639"/>
      <c r="L39" s="706" t="s">
        <v>882</v>
      </c>
    </row>
    <row r="40" spans="2:12" x14ac:dyDescent="0.35">
      <c r="B40" s="647"/>
      <c r="C40" s="639"/>
      <c r="D40" s="639"/>
      <c r="E40" s="639"/>
      <c r="F40" s="639"/>
      <c r="G40" s="639"/>
      <c r="H40" s="639"/>
      <c r="I40" s="700" t="s">
        <v>908</v>
      </c>
      <c r="J40" s="639"/>
      <c r="K40" s="639"/>
      <c r="L40" s="706" t="s">
        <v>881</v>
      </c>
    </row>
    <row r="41" spans="2:12" x14ac:dyDescent="0.35">
      <c r="B41" s="647"/>
      <c r="C41" s="639"/>
      <c r="D41" s="639"/>
      <c r="E41" s="639"/>
      <c r="F41" s="639"/>
      <c r="G41" s="639"/>
      <c r="H41" s="639"/>
      <c r="I41" s="700" t="s">
        <v>1267</v>
      </c>
      <c r="J41" s="639"/>
      <c r="K41" s="639"/>
      <c r="L41" s="706" t="s">
        <v>880</v>
      </c>
    </row>
    <row r="42" spans="2:12" x14ac:dyDescent="0.35">
      <c r="B42" s="647"/>
      <c r="C42" s="639"/>
      <c r="D42" s="639"/>
      <c r="E42" s="639"/>
      <c r="F42" s="639"/>
      <c r="G42" s="639"/>
      <c r="H42" s="639"/>
      <c r="I42" s="639"/>
      <c r="J42" s="639"/>
      <c r="K42" s="639"/>
      <c r="L42" s="706" t="s">
        <v>879</v>
      </c>
    </row>
    <row r="43" spans="2:12" x14ac:dyDescent="0.35">
      <c r="B43" s="647"/>
      <c r="C43" s="639"/>
      <c r="D43" s="639"/>
      <c r="E43" s="639"/>
      <c r="F43" s="639"/>
      <c r="G43" s="639"/>
      <c r="H43" s="639"/>
      <c r="I43" s="639"/>
      <c r="J43" s="639"/>
      <c r="K43" s="639"/>
      <c r="L43" s="706" t="s">
        <v>878</v>
      </c>
    </row>
    <row r="44" spans="2:12" x14ac:dyDescent="0.35">
      <c r="B44" s="647"/>
      <c r="C44" s="639"/>
      <c r="D44" s="639"/>
      <c r="E44" s="639"/>
      <c r="F44" s="639"/>
      <c r="G44" s="639"/>
      <c r="H44" s="639"/>
      <c r="I44" s="639"/>
      <c r="J44" s="639"/>
      <c r="K44" s="639"/>
      <c r="L44" s="707" t="s">
        <v>655</v>
      </c>
    </row>
    <row r="45" spans="2:12" x14ac:dyDescent="0.35">
      <c r="B45" s="647"/>
      <c r="C45" s="639"/>
      <c r="D45" s="639"/>
      <c r="E45" s="639"/>
      <c r="F45" s="639"/>
      <c r="G45" s="639"/>
      <c r="H45" s="639"/>
      <c r="I45" s="639"/>
      <c r="J45" s="639"/>
      <c r="K45" s="639"/>
      <c r="L45" s="707" t="s">
        <v>1276</v>
      </c>
    </row>
    <row r="46" spans="2:12" x14ac:dyDescent="0.35">
      <c r="B46" s="647"/>
      <c r="C46" s="639"/>
      <c r="D46" s="639"/>
      <c r="E46" s="639"/>
      <c r="F46" s="639"/>
      <c r="G46" s="639"/>
      <c r="H46" s="639"/>
      <c r="I46" s="639"/>
      <c r="J46" s="639"/>
      <c r="K46" s="639"/>
      <c r="L46" s="707" t="s">
        <v>877</v>
      </c>
    </row>
    <row r="47" spans="2:12" x14ac:dyDescent="0.35">
      <c r="B47" s="647"/>
      <c r="C47" s="639"/>
      <c r="D47" s="639"/>
      <c r="E47" s="639"/>
      <c r="F47" s="639"/>
      <c r="G47" s="639"/>
      <c r="H47" s="639"/>
      <c r="I47" s="639"/>
      <c r="J47" s="639"/>
      <c r="K47" s="639"/>
      <c r="L47" s="707" t="s">
        <v>876</v>
      </c>
    </row>
    <row r="48" spans="2:12" x14ac:dyDescent="0.35">
      <c r="B48" s="647"/>
      <c r="C48" s="639"/>
      <c r="D48" s="639"/>
      <c r="E48" s="639"/>
      <c r="F48" s="639"/>
      <c r="G48" s="639"/>
      <c r="H48" s="639"/>
      <c r="I48" s="639"/>
      <c r="J48" s="639"/>
      <c r="K48" s="639"/>
      <c r="L48" s="707" t="s">
        <v>875</v>
      </c>
    </row>
    <row r="49" spans="2:12" x14ac:dyDescent="0.35">
      <c r="B49" s="647"/>
      <c r="C49" s="639"/>
      <c r="D49" s="639"/>
      <c r="E49" s="639"/>
      <c r="F49" s="639"/>
      <c r="G49" s="639"/>
      <c r="H49" s="639"/>
      <c r="I49" s="639"/>
      <c r="J49" s="639"/>
      <c r="K49" s="639"/>
      <c r="L49" s="707" t="s">
        <v>1266</v>
      </c>
    </row>
    <row r="50" spans="2:12" x14ac:dyDescent="0.35">
      <c r="B50" s="647"/>
      <c r="C50" s="639"/>
      <c r="D50" s="639"/>
      <c r="E50" s="639"/>
      <c r="F50" s="639"/>
      <c r="G50" s="639"/>
      <c r="H50" s="639"/>
      <c r="I50" s="639"/>
      <c r="J50" s="639"/>
      <c r="K50" s="639"/>
      <c r="L50" s="707" t="s">
        <v>656</v>
      </c>
    </row>
    <row r="51" spans="2:12" x14ac:dyDescent="0.35">
      <c r="B51" s="647"/>
      <c r="C51" s="639"/>
      <c r="D51" s="639"/>
      <c r="E51" s="639"/>
      <c r="F51" s="639"/>
      <c r="G51" s="639"/>
      <c r="H51" s="639"/>
      <c r="I51" s="639"/>
      <c r="J51" s="639"/>
      <c r="K51" s="639"/>
      <c r="L51" s="648"/>
    </row>
    <row r="52" spans="2:12" x14ac:dyDescent="0.35">
      <c r="B52" s="647"/>
      <c r="C52" s="639"/>
      <c r="D52" s="639"/>
      <c r="E52" s="639"/>
      <c r="F52" s="639"/>
      <c r="G52" s="639"/>
      <c r="H52" s="639"/>
      <c r="I52" s="639"/>
      <c r="J52" s="639"/>
      <c r="K52" s="639"/>
    </row>
    <row r="53" spans="2:12" x14ac:dyDescent="0.35">
      <c r="B53" s="647"/>
      <c r="C53" s="639"/>
      <c r="D53" s="639"/>
      <c r="E53" s="639"/>
      <c r="F53" s="639"/>
      <c r="G53" s="639"/>
      <c r="H53" s="639"/>
      <c r="I53" s="639"/>
      <c r="J53" s="639"/>
      <c r="K53" s="639"/>
      <c r="L53" s="648"/>
    </row>
    <row r="54" spans="2:12" x14ac:dyDescent="0.35">
      <c r="B54" s="647"/>
      <c r="C54" s="639"/>
      <c r="D54" s="639"/>
      <c r="E54" s="639"/>
      <c r="F54" s="639"/>
      <c r="G54" s="639"/>
      <c r="H54" s="639"/>
      <c r="I54" s="639"/>
      <c r="J54" s="639"/>
      <c r="K54" s="639"/>
      <c r="L54" s="648"/>
    </row>
    <row r="55" spans="2:12" x14ac:dyDescent="0.35">
      <c r="B55" s="647"/>
      <c r="C55" s="639"/>
      <c r="D55" s="639"/>
      <c r="E55" s="639"/>
      <c r="F55" s="639"/>
      <c r="G55" s="639"/>
      <c r="H55" s="639"/>
      <c r="I55" s="639"/>
      <c r="J55" s="639"/>
      <c r="K55" s="639"/>
      <c r="L55" s="648"/>
    </row>
    <row r="56" spans="2:12" x14ac:dyDescent="0.35">
      <c r="B56" s="647"/>
      <c r="C56" s="639"/>
      <c r="D56" s="639"/>
      <c r="E56" s="639"/>
      <c r="F56" s="639"/>
      <c r="G56" s="639"/>
      <c r="H56" s="639"/>
      <c r="I56" s="639"/>
      <c r="J56" s="639"/>
      <c r="K56" s="639"/>
      <c r="L56" s="648"/>
    </row>
    <row r="57" spans="2:12" x14ac:dyDescent="0.35">
      <c r="B57" s="647"/>
      <c r="C57" s="639"/>
      <c r="D57" s="639"/>
      <c r="E57" s="639"/>
      <c r="F57" s="639"/>
      <c r="G57" s="639"/>
      <c r="H57" s="639"/>
      <c r="I57" s="639"/>
      <c r="J57" s="639"/>
      <c r="K57" s="639"/>
      <c r="L57" s="648"/>
    </row>
    <row r="58" spans="2:12" x14ac:dyDescent="0.35">
      <c r="B58" s="647"/>
      <c r="C58" s="639"/>
      <c r="D58" s="639"/>
      <c r="E58" s="639"/>
      <c r="F58" s="639"/>
      <c r="G58" s="639"/>
      <c r="H58" s="639"/>
      <c r="I58" s="639"/>
      <c r="J58" s="639"/>
      <c r="K58" s="639"/>
      <c r="L58" s="648"/>
    </row>
    <row r="59" spans="2:12" x14ac:dyDescent="0.35">
      <c r="B59" s="647"/>
      <c r="C59" s="639"/>
      <c r="D59" s="639"/>
      <c r="E59" s="639"/>
      <c r="F59" s="639"/>
      <c r="G59" s="639"/>
      <c r="H59" s="639"/>
      <c r="I59" s="639"/>
      <c r="J59" s="639"/>
      <c r="K59" s="639"/>
      <c r="L59" s="648"/>
    </row>
    <row r="60" spans="2:12" x14ac:dyDescent="0.35">
      <c r="B60" s="647"/>
      <c r="C60" s="639"/>
      <c r="D60" s="639"/>
      <c r="E60" s="639"/>
      <c r="F60" s="639"/>
      <c r="G60" s="639"/>
      <c r="H60" s="639"/>
      <c r="I60" s="639"/>
      <c r="J60" s="639"/>
      <c r="K60" s="639"/>
      <c r="L60" s="648"/>
    </row>
    <row r="61" spans="2:12" x14ac:dyDescent="0.35">
      <c r="B61" s="647"/>
      <c r="C61" s="639"/>
      <c r="D61" s="639"/>
      <c r="E61" s="639"/>
      <c r="F61" s="639"/>
      <c r="G61" s="639"/>
      <c r="H61" s="639"/>
      <c r="I61" s="639"/>
      <c r="J61" s="639"/>
      <c r="K61" s="639"/>
      <c r="L61" s="648"/>
    </row>
    <row r="62" spans="2:12" x14ac:dyDescent="0.35">
      <c r="B62" s="647"/>
      <c r="C62" s="639"/>
      <c r="D62" s="639"/>
      <c r="E62" s="639"/>
      <c r="F62" s="639"/>
      <c r="G62" s="639"/>
      <c r="H62" s="639"/>
      <c r="I62" s="639"/>
      <c r="J62" s="639"/>
      <c r="K62" s="639"/>
      <c r="L62" s="648"/>
    </row>
    <row r="63" spans="2:12" x14ac:dyDescent="0.35">
      <c r="B63" s="647"/>
      <c r="C63" s="639"/>
      <c r="D63" s="639"/>
      <c r="E63" s="639"/>
      <c r="F63" s="639"/>
      <c r="G63" s="639"/>
      <c r="H63" s="639"/>
      <c r="I63" s="639"/>
      <c r="J63" s="639"/>
      <c r="K63" s="639"/>
      <c r="L63" s="648"/>
    </row>
    <row r="64" spans="2:12" x14ac:dyDescent="0.35">
      <c r="B64" s="647"/>
      <c r="C64" s="639"/>
      <c r="D64" s="639"/>
      <c r="E64" s="639"/>
      <c r="F64" s="639"/>
      <c r="G64" s="639"/>
      <c r="H64" s="639"/>
      <c r="I64" s="639"/>
      <c r="J64" s="639"/>
      <c r="K64" s="639"/>
      <c r="L64" s="648"/>
    </row>
    <row r="65" spans="2:12" x14ac:dyDescent="0.35">
      <c r="B65" s="647"/>
      <c r="C65" s="639"/>
      <c r="D65" s="639"/>
      <c r="E65" s="639"/>
      <c r="F65" s="639"/>
      <c r="G65" s="639"/>
      <c r="H65" s="639"/>
      <c r="I65" s="639"/>
      <c r="J65" s="639"/>
      <c r="K65" s="639"/>
      <c r="L65" s="648"/>
    </row>
    <row r="66" spans="2:12" x14ac:dyDescent="0.35">
      <c r="B66" s="647"/>
      <c r="C66" s="639"/>
      <c r="D66" s="639"/>
      <c r="E66" s="639"/>
      <c r="F66" s="639"/>
      <c r="G66" s="639"/>
      <c r="H66" s="639"/>
      <c r="I66" s="639"/>
      <c r="J66" s="639"/>
      <c r="K66" s="639"/>
      <c r="L66" s="648"/>
    </row>
    <row r="67" spans="2:12" x14ac:dyDescent="0.35">
      <c r="B67" s="647"/>
      <c r="C67" s="639"/>
      <c r="D67" s="639"/>
      <c r="E67" s="639"/>
      <c r="F67" s="639"/>
      <c r="G67" s="639"/>
      <c r="H67" s="639"/>
      <c r="I67" s="639"/>
      <c r="J67" s="639"/>
      <c r="K67" s="639"/>
      <c r="L67" s="648"/>
    </row>
    <row r="68" spans="2:12" x14ac:dyDescent="0.35">
      <c r="B68" s="647"/>
      <c r="C68" s="639"/>
      <c r="D68" s="639"/>
      <c r="E68" s="639"/>
      <c r="F68" s="639"/>
      <c r="G68" s="639"/>
      <c r="H68" s="639"/>
      <c r="I68" s="639"/>
      <c r="J68" s="639"/>
      <c r="K68" s="639"/>
      <c r="L68" s="648"/>
    </row>
    <row r="69" spans="2:12" x14ac:dyDescent="0.35">
      <c r="B69" s="647"/>
      <c r="C69" s="639"/>
      <c r="D69" s="639"/>
      <c r="E69" s="639"/>
      <c r="F69" s="639"/>
      <c r="G69" s="639"/>
      <c r="H69" s="639"/>
      <c r="I69" s="639"/>
      <c r="J69" s="639"/>
      <c r="K69" s="639"/>
      <c r="L69" s="648"/>
    </row>
    <row r="70" spans="2:12" x14ac:dyDescent="0.35">
      <c r="B70" s="647"/>
      <c r="C70" s="639"/>
      <c r="D70" s="639"/>
      <c r="E70" s="639"/>
      <c r="F70" s="639"/>
      <c r="G70" s="639"/>
      <c r="H70" s="639"/>
      <c r="I70" s="639"/>
      <c r="J70" s="639"/>
      <c r="K70" s="639"/>
      <c r="L70" s="648"/>
    </row>
    <row r="71" spans="2:12" x14ac:dyDescent="0.35">
      <c r="B71" s="647"/>
      <c r="C71" s="639"/>
      <c r="D71" s="639"/>
      <c r="E71" s="639"/>
      <c r="F71" s="639"/>
      <c r="G71" s="639"/>
      <c r="H71" s="639"/>
      <c r="I71" s="639"/>
      <c r="J71" s="639"/>
      <c r="K71" s="639"/>
      <c r="L71" s="648"/>
    </row>
    <row r="72" spans="2:12" x14ac:dyDescent="0.35">
      <c r="B72" s="647"/>
      <c r="C72" s="639"/>
      <c r="D72" s="639"/>
      <c r="E72" s="639"/>
      <c r="F72" s="639"/>
      <c r="G72" s="639"/>
      <c r="H72" s="639"/>
      <c r="I72" s="639"/>
      <c r="J72" s="639"/>
      <c r="K72" s="639"/>
      <c r="L72" s="648"/>
    </row>
    <row r="73" spans="2:12" x14ac:dyDescent="0.35">
      <c r="B73" s="647"/>
      <c r="C73" s="639"/>
      <c r="D73" s="639"/>
      <c r="E73" s="639"/>
      <c r="F73" s="639"/>
      <c r="G73" s="639"/>
      <c r="H73" s="639"/>
      <c r="I73" s="639"/>
      <c r="J73" s="639"/>
      <c r="K73" s="639"/>
      <c r="L73" s="648"/>
    </row>
    <row r="74" spans="2:12" x14ac:dyDescent="0.35">
      <c r="B74" s="647"/>
      <c r="C74" s="639"/>
      <c r="D74" s="639"/>
      <c r="E74" s="639"/>
      <c r="F74" s="639"/>
      <c r="G74" s="639"/>
      <c r="H74" s="639"/>
      <c r="I74" s="639"/>
      <c r="J74" s="639"/>
      <c r="K74" s="639"/>
      <c r="L74" s="648"/>
    </row>
    <row r="75" spans="2:12" x14ac:dyDescent="0.35">
      <c r="B75" s="647"/>
      <c r="C75" s="639"/>
      <c r="D75" s="639"/>
      <c r="E75" s="639"/>
      <c r="F75" s="639"/>
      <c r="G75" s="639"/>
      <c r="H75" s="639"/>
      <c r="I75" s="639"/>
      <c r="J75" s="639"/>
      <c r="K75" s="639"/>
      <c r="L75" s="648"/>
    </row>
    <row r="76" spans="2:12" x14ac:dyDescent="0.35">
      <c r="B76" s="647"/>
      <c r="C76" s="639"/>
      <c r="D76" s="639"/>
      <c r="E76" s="639"/>
      <c r="F76" s="639"/>
      <c r="G76" s="639"/>
      <c r="H76" s="639"/>
      <c r="I76" s="639"/>
      <c r="J76" s="639"/>
      <c r="K76" s="639"/>
      <c r="L76" s="648"/>
    </row>
    <row r="77" spans="2:12" x14ac:dyDescent="0.35">
      <c r="B77" s="647"/>
      <c r="C77" s="639"/>
      <c r="D77" s="639"/>
      <c r="E77" s="639"/>
      <c r="F77" s="639"/>
      <c r="G77" s="639"/>
      <c r="H77" s="639"/>
      <c r="I77" s="639"/>
      <c r="J77" s="639"/>
      <c r="K77" s="639"/>
      <c r="L77" s="648"/>
    </row>
    <row r="78" spans="2:12" x14ac:dyDescent="0.35">
      <c r="B78" s="647"/>
      <c r="C78" s="639"/>
      <c r="D78" s="639"/>
      <c r="E78" s="639"/>
      <c r="F78" s="639"/>
      <c r="G78" s="639"/>
      <c r="H78" s="639"/>
      <c r="I78" s="639"/>
      <c r="J78" s="639"/>
      <c r="K78" s="639"/>
      <c r="L78" s="648"/>
    </row>
    <row r="79" spans="2:12" x14ac:dyDescent="0.35">
      <c r="B79" s="647"/>
      <c r="C79" s="639"/>
      <c r="D79" s="639"/>
      <c r="E79" s="639"/>
      <c r="F79" s="639"/>
      <c r="G79" s="639"/>
      <c r="H79" s="639"/>
      <c r="I79" s="639"/>
      <c r="J79" s="639"/>
      <c r="K79" s="639"/>
      <c r="L79" s="648"/>
    </row>
    <row r="80" spans="2:12" x14ac:dyDescent="0.35">
      <c r="B80" s="647"/>
      <c r="C80" s="639"/>
      <c r="D80" s="639"/>
      <c r="E80" s="639"/>
      <c r="F80" s="639"/>
      <c r="G80" s="639"/>
      <c r="H80" s="639"/>
      <c r="I80" s="639"/>
      <c r="J80" s="639"/>
      <c r="K80" s="639"/>
      <c r="L80" s="648"/>
    </row>
    <row r="81" spans="2:12" x14ac:dyDescent="0.35">
      <c r="B81" s="647"/>
      <c r="C81" s="639"/>
      <c r="D81" s="639"/>
      <c r="E81" s="639"/>
      <c r="F81" s="639"/>
      <c r="G81" s="639"/>
      <c r="H81" s="639"/>
      <c r="I81" s="639"/>
      <c r="J81" s="639"/>
      <c r="K81" s="639"/>
      <c r="L81" s="648"/>
    </row>
    <row r="82" spans="2:12" x14ac:dyDescent="0.35">
      <c r="B82" s="647"/>
      <c r="C82" s="639"/>
      <c r="D82" s="639"/>
      <c r="E82" s="639"/>
      <c r="F82" s="639"/>
      <c r="G82" s="639"/>
      <c r="H82" s="639"/>
      <c r="I82" s="639"/>
      <c r="J82" s="639"/>
      <c r="K82" s="639"/>
      <c r="L82" s="648"/>
    </row>
    <row r="83" spans="2:12" x14ac:dyDescent="0.35">
      <c r="B83" s="647"/>
      <c r="C83" s="639"/>
      <c r="D83" s="639"/>
      <c r="E83" s="639"/>
      <c r="F83" s="639"/>
      <c r="G83" s="639"/>
      <c r="H83" s="639"/>
      <c r="I83" s="639"/>
      <c r="J83" s="639"/>
      <c r="K83" s="639"/>
      <c r="L83" s="648"/>
    </row>
    <row r="84" spans="2:12" x14ac:dyDescent="0.35">
      <c r="B84" s="647"/>
      <c r="C84" s="639"/>
      <c r="D84" s="639"/>
      <c r="E84" s="639"/>
      <c r="F84" s="639"/>
      <c r="G84" s="639"/>
      <c r="H84" s="639"/>
      <c r="I84" s="639"/>
      <c r="J84" s="639"/>
      <c r="K84" s="639"/>
      <c r="L84" s="648"/>
    </row>
    <row r="85" spans="2:12" ht="15" thickBot="1" x14ac:dyDescent="0.4">
      <c r="B85" s="647"/>
      <c r="C85" s="639"/>
      <c r="D85" s="639"/>
      <c r="E85" s="639"/>
      <c r="F85" s="311"/>
      <c r="G85" s="639"/>
      <c r="H85" s="639"/>
      <c r="I85" s="639"/>
      <c r="J85" s="639"/>
      <c r="K85" s="639"/>
      <c r="L85" s="648"/>
    </row>
    <row r="86" spans="2:12" x14ac:dyDescent="0.35">
      <c r="B86" s="647"/>
      <c r="C86" s="639"/>
      <c r="D86" s="639"/>
      <c r="E86" s="639"/>
      <c r="G86" s="639"/>
      <c r="H86" s="639"/>
      <c r="I86" s="639"/>
      <c r="J86" s="639"/>
      <c r="K86" s="639"/>
      <c r="L86" s="648"/>
    </row>
    <row r="87" spans="2:12" x14ac:dyDescent="0.35">
      <c r="B87" s="647"/>
      <c r="C87" s="639"/>
      <c r="D87" s="639"/>
      <c r="E87" s="639"/>
      <c r="G87" s="639"/>
      <c r="H87" s="639"/>
      <c r="I87" s="639"/>
      <c r="J87" s="639"/>
      <c r="K87" s="639"/>
      <c r="L87" s="648"/>
    </row>
    <row r="88" spans="2:12" x14ac:dyDescent="0.35">
      <c r="B88" s="647"/>
      <c r="C88" s="639"/>
      <c r="D88" s="639"/>
      <c r="E88" s="639"/>
      <c r="G88" s="639"/>
      <c r="H88" s="639"/>
      <c r="I88" s="639"/>
      <c r="J88" s="639"/>
      <c r="K88" s="639"/>
      <c r="L88" s="648"/>
    </row>
    <row r="89" spans="2:12" x14ac:dyDescent="0.35">
      <c r="B89" s="647"/>
      <c r="C89" s="639"/>
      <c r="D89" s="639"/>
      <c r="E89" s="639"/>
      <c r="G89" s="639"/>
      <c r="H89" s="639"/>
      <c r="I89" s="639"/>
      <c r="J89" s="639"/>
      <c r="K89" s="639"/>
      <c r="L89" s="648"/>
    </row>
    <row r="90" spans="2:12" x14ac:dyDescent="0.35">
      <c r="B90" s="647"/>
      <c r="C90" s="639"/>
      <c r="D90" s="639"/>
      <c r="E90" s="639"/>
      <c r="G90" s="639"/>
      <c r="H90" s="639"/>
      <c r="I90" s="639"/>
      <c r="J90" s="639"/>
      <c r="K90" s="639"/>
      <c r="L90" s="648"/>
    </row>
    <row r="91" spans="2:12" x14ac:dyDescent="0.35">
      <c r="B91" s="647"/>
      <c r="C91" s="639"/>
      <c r="D91" s="639"/>
      <c r="E91" s="639"/>
      <c r="G91" s="639"/>
      <c r="H91" s="639"/>
      <c r="I91" s="639"/>
      <c r="J91" s="639"/>
      <c r="K91" s="639"/>
      <c r="L91" s="648"/>
    </row>
    <row r="92" spans="2:12" x14ac:dyDescent="0.35">
      <c r="B92" s="647"/>
      <c r="C92" s="639"/>
      <c r="D92" s="639"/>
      <c r="E92" s="639"/>
      <c r="G92" s="639"/>
      <c r="H92" s="639"/>
      <c r="I92" s="639"/>
      <c r="J92" s="639"/>
      <c r="K92" s="639"/>
      <c r="L92" s="648"/>
    </row>
    <row r="93" spans="2:12" x14ac:dyDescent="0.35">
      <c r="B93" s="647"/>
      <c r="C93" s="639"/>
      <c r="D93" s="639"/>
      <c r="E93" s="639"/>
      <c r="G93" s="639"/>
      <c r="H93" s="639"/>
      <c r="I93" s="639"/>
      <c r="J93" s="639"/>
      <c r="K93" s="639"/>
      <c r="L93" s="648"/>
    </row>
    <row r="94" spans="2:12" x14ac:dyDescent="0.35">
      <c r="B94" s="647"/>
      <c r="C94" s="639"/>
      <c r="D94" s="639"/>
      <c r="E94" s="639"/>
      <c r="G94" s="639"/>
      <c r="H94" s="639"/>
      <c r="I94" s="639"/>
      <c r="J94" s="639"/>
      <c r="K94" s="639"/>
      <c r="L94" s="648"/>
    </row>
    <row r="95" spans="2:12" x14ac:dyDescent="0.35">
      <c r="B95" s="647"/>
      <c r="C95" s="639"/>
      <c r="D95" s="639"/>
      <c r="E95" s="639"/>
      <c r="G95" s="639"/>
      <c r="H95" s="639"/>
      <c r="I95" s="639"/>
      <c r="J95" s="639"/>
      <c r="K95" s="639"/>
      <c r="L95" s="648"/>
    </row>
    <row r="96" spans="2:12" x14ac:dyDescent="0.35">
      <c r="B96" s="647"/>
      <c r="C96" s="639"/>
      <c r="D96" s="639"/>
      <c r="E96" s="639"/>
      <c r="G96" s="639"/>
      <c r="H96" s="639"/>
      <c r="I96" s="639"/>
      <c r="J96" s="639"/>
      <c r="K96" s="639"/>
      <c r="L96" s="648"/>
    </row>
    <row r="97" spans="2:12" x14ac:dyDescent="0.35">
      <c r="B97" s="647"/>
      <c r="C97" s="639"/>
      <c r="D97" s="639"/>
      <c r="E97" s="639"/>
      <c r="G97" s="639"/>
      <c r="H97" s="639"/>
      <c r="I97" s="639"/>
      <c r="J97" s="639"/>
      <c r="K97" s="639"/>
      <c r="L97" s="648"/>
    </row>
    <row r="98" spans="2:12" x14ac:dyDescent="0.35">
      <c r="B98" s="647"/>
      <c r="C98" s="639"/>
      <c r="D98" s="639"/>
      <c r="E98" s="639"/>
      <c r="G98" s="639"/>
      <c r="H98" s="639"/>
      <c r="I98" s="639"/>
      <c r="J98" s="639"/>
      <c r="K98" s="639"/>
      <c r="L98" s="648"/>
    </row>
    <row r="99" spans="2:12" x14ac:dyDescent="0.35">
      <c r="B99" s="647"/>
      <c r="C99" s="639"/>
      <c r="D99" s="639"/>
      <c r="E99" s="639"/>
      <c r="G99" s="639"/>
      <c r="H99" s="639"/>
      <c r="I99" s="639"/>
      <c r="J99" s="639"/>
      <c r="K99" s="639"/>
      <c r="L99" s="648"/>
    </row>
    <row r="100" spans="2:12" x14ac:dyDescent="0.35">
      <c r="B100" s="647"/>
      <c r="C100" s="639"/>
      <c r="D100" s="639"/>
      <c r="E100" s="639"/>
      <c r="G100" s="639"/>
      <c r="H100" s="639"/>
      <c r="I100" s="639"/>
      <c r="J100" s="639"/>
      <c r="K100" s="639"/>
      <c r="L100" s="648"/>
    </row>
    <row r="101" spans="2:12" ht="15" thickBot="1" x14ac:dyDescent="0.4">
      <c r="B101" s="310"/>
      <c r="C101" s="311"/>
      <c r="D101" s="311"/>
      <c r="E101" s="311"/>
      <c r="G101" s="311"/>
      <c r="H101" s="311"/>
      <c r="I101" s="311"/>
      <c r="J101" s="311"/>
      <c r="K101" s="311"/>
      <c r="L101" s="312"/>
    </row>
  </sheetData>
  <sortState ref="F12:F16">
    <sortCondition ref="F12:F16"/>
  </sortState>
  <dataValidations disablePrompts="1" count="1">
    <dataValidation type="list" allowBlank="1" showInputMessage="1" showErrorMessage="1" sqref="N20 N7">
      <formula1>PROGRAM</formula1>
    </dataValidation>
  </dataValidations>
  <pageMargins left="0.25" right="0.25" top="0.25" bottom="0.5" header="0.25" footer="0.25"/>
  <pageSetup paperSize="3" scale="52" fitToHeight="0" orientation="landscape" horizontalDpi="1200"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1"/>
  </sheetPr>
  <dimension ref="A1"/>
  <sheetViews>
    <sheetView workbookViewId="0"/>
  </sheetViews>
  <sheetFormatPr defaultRowHeight="14.5" x14ac:dyDescent="0.35"/>
  <sheetData/>
  <pageMargins left="0.7" right="0.7" top="0.75" bottom="0.75" header="0.3" footer="0.3"/>
  <pageSetup orientation="portrait" verticalDpi="598"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A26"/>
  <sheetViews>
    <sheetView showGridLines="0" workbookViewId="0">
      <pane ySplit="2" topLeftCell="A3" activePane="bottomLeft" state="frozen"/>
      <selection pane="bottomLeft" activeCell="A3" sqref="A3"/>
    </sheetView>
  </sheetViews>
  <sheetFormatPr defaultRowHeight="14.5" x14ac:dyDescent="0.35"/>
  <cols>
    <col min="1" max="1" width="150.81640625" customWidth="1"/>
  </cols>
  <sheetData>
    <row r="1" spans="1:1" s="7" customFormat="1" ht="21" x14ac:dyDescent="0.5">
      <c r="A1" s="7" t="s">
        <v>874</v>
      </c>
    </row>
    <row r="3" spans="1:1" ht="15" thickBot="1" x14ac:dyDescent="0.4"/>
    <row r="4" spans="1:1" ht="15" thickBot="1" x14ac:dyDescent="0.4">
      <c r="A4" s="439" t="s">
        <v>992</v>
      </c>
    </row>
    <row r="5" spans="1:1" ht="43.5" x14ac:dyDescent="0.35">
      <c r="A5" s="315" t="str">
        <f>"Risk "&amp;'K1-Risk Dashboard (Cost)'!B40&amp;":  "&amp;'K1-Risk Dashboard (Cost)'!C40&amp;".  "&amp;'K1-Risk Dashboard (Cost)'!D40</f>
        <v>Risk 1:  PLEASE TYPE FIRST RISK OVER THE TOP OF THIS ONE.  This is a test risk.
Recommended best practices is to document what the risk is if it happens (if/then statement).</v>
      </c>
    </row>
    <row r="6" spans="1:1" x14ac:dyDescent="0.35">
      <c r="A6" s="316" t="str">
        <f>"Risk "&amp;'K1-Risk Dashboard (Cost)'!B41&amp;":  "&amp;'K1-Risk Dashboard (Cost)'!C41&amp;".  "&amp;'K1-Risk Dashboard (Cost)'!D41</f>
        <v xml:space="preserve">Risk N/A:  .  </v>
      </c>
    </row>
    <row r="7" spans="1:1" x14ac:dyDescent="0.35">
      <c r="A7" s="316" t="str">
        <f>"Risk "&amp;'K1-Risk Dashboard (Cost)'!B42&amp;":  "&amp;'K1-Risk Dashboard (Cost)'!C42&amp;".  "&amp;'K1-Risk Dashboard (Cost)'!D42</f>
        <v xml:space="preserve">Risk N/A:  .  </v>
      </c>
    </row>
    <row r="8" spans="1:1" x14ac:dyDescent="0.35">
      <c r="A8" s="316" t="str">
        <f>"Risk "&amp;'K1-Risk Dashboard (Cost)'!B43&amp;":  "&amp;'K1-Risk Dashboard (Cost)'!C43&amp;".  "&amp;'K1-Risk Dashboard (Cost)'!D43</f>
        <v xml:space="preserve">Risk N/A:  .  </v>
      </c>
    </row>
    <row r="9" spans="1:1" x14ac:dyDescent="0.35">
      <c r="A9" s="316" t="str">
        <f>"Risk "&amp;'K1-Risk Dashboard (Cost)'!B44&amp;":  "&amp;'K1-Risk Dashboard (Cost)'!C44&amp;".  "&amp;'K1-Risk Dashboard (Cost)'!D44</f>
        <v xml:space="preserve">Risk N/A:  .  </v>
      </c>
    </row>
    <row r="10" spans="1:1" x14ac:dyDescent="0.35">
      <c r="A10" s="316" t="str">
        <f>"Risk "&amp;'K1-Risk Dashboard (Cost)'!B45&amp;":  "&amp;'K1-Risk Dashboard (Cost)'!C45&amp;".  "&amp;'K1-Risk Dashboard (Cost)'!D45</f>
        <v xml:space="preserve">Risk N/A:  .  </v>
      </c>
    </row>
    <row r="11" spans="1:1" x14ac:dyDescent="0.35">
      <c r="A11" s="316" t="str">
        <f>"Risk "&amp;'K1-Risk Dashboard (Cost)'!B46&amp;":  "&amp;'K1-Risk Dashboard (Cost)'!C46&amp;".  "&amp;'K1-Risk Dashboard (Cost)'!D46</f>
        <v xml:space="preserve">Risk N/A:  .  </v>
      </c>
    </row>
    <row r="12" spans="1:1" x14ac:dyDescent="0.35">
      <c r="A12" s="316" t="str">
        <f>"Risk "&amp;'K1-Risk Dashboard (Cost)'!B47&amp;":  "&amp;'K1-Risk Dashboard (Cost)'!C47&amp;".  "&amp;'K1-Risk Dashboard (Cost)'!D47</f>
        <v xml:space="preserve">Risk N/A:  .  </v>
      </c>
    </row>
    <row r="13" spans="1:1" x14ac:dyDescent="0.35">
      <c r="A13" s="316" t="str">
        <f>"Risk "&amp;'K1-Risk Dashboard (Cost)'!B48&amp;":  "&amp;'K1-Risk Dashboard (Cost)'!C48&amp;".  "&amp;'K1-Risk Dashboard (Cost)'!D48</f>
        <v xml:space="preserve">Risk N/A:  .  </v>
      </c>
    </row>
    <row r="14" spans="1:1" ht="15" thickBot="1" x14ac:dyDescent="0.4">
      <c r="A14" s="317" t="str">
        <f>"Risk "&amp;'K1-Risk Dashboard (Cost)'!B49&amp;":  "&amp;'K1-Risk Dashboard (Cost)'!C49&amp;".  "&amp;'K1-Risk Dashboard (Cost)'!D49</f>
        <v xml:space="preserve">Risk N/A:  .  </v>
      </c>
    </row>
    <row r="15" spans="1:1" ht="15" thickBot="1" x14ac:dyDescent="0.4"/>
    <row r="16" spans="1:1" ht="15" thickBot="1" x14ac:dyDescent="0.4">
      <c r="A16" s="439" t="s">
        <v>993</v>
      </c>
    </row>
    <row r="17" spans="1:1" ht="43.5" x14ac:dyDescent="0.35">
      <c r="A17" s="315" t="str">
        <f>"Risk "&amp;'K2-Risk Dashboard (Schedule)'!B40&amp;":  "&amp;'K2-Risk Dashboard (Schedule)'!C40&amp;".  "&amp;'K2-Risk Dashboard (Schedule)'!D40</f>
        <v>Risk 1:  PLEASE TYPE FIRST RISK OVER THE TOP OF THIS ONE.  This is a test risk.
Recommended best practices is to document what the risk is if it happens (if/then statement).</v>
      </c>
    </row>
    <row r="18" spans="1:1" x14ac:dyDescent="0.35">
      <c r="A18" s="316" t="str">
        <f>"Risk "&amp;'K2-Risk Dashboard (Schedule)'!B41&amp;":  "&amp;'K2-Risk Dashboard (Schedule)'!C41&amp;".  "&amp;'K2-Risk Dashboard (Schedule)'!D41</f>
        <v xml:space="preserve">Risk N/A:  .  </v>
      </c>
    </row>
    <row r="19" spans="1:1" x14ac:dyDescent="0.35">
      <c r="A19" s="316" t="str">
        <f>"Risk "&amp;'K2-Risk Dashboard (Schedule)'!B42&amp;":  "&amp;'K2-Risk Dashboard (Schedule)'!C42&amp;".  "&amp;'K2-Risk Dashboard (Schedule)'!D42</f>
        <v xml:space="preserve">Risk N/A:  .  </v>
      </c>
    </row>
    <row r="20" spans="1:1" x14ac:dyDescent="0.35">
      <c r="A20" s="316" t="str">
        <f>"Risk "&amp;'K2-Risk Dashboard (Schedule)'!B43&amp;":  "&amp;'K2-Risk Dashboard (Schedule)'!C43&amp;".  "&amp;'K2-Risk Dashboard (Schedule)'!D43</f>
        <v xml:space="preserve">Risk N/A:  .  </v>
      </c>
    </row>
    <row r="21" spans="1:1" x14ac:dyDescent="0.35">
      <c r="A21" s="316" t="str">
        <f>"Risk "&amp;'K2-Risk Dashboard (Schedule)'!B44&amp;":  "&amp;'K2-Risk Dashboard (Schedule)'!C44&amp;".  "&amp;'K2-Risk Dashboard (Schedule)'!D44</f>
        <v xml:space="preserve">Risk N/A:  .  </v>
      </c>
    </row>
    <row r="22" spans="1:1" x14ac:dyDescent="0.35">
      <c r="A22" s="316" t="str">
        <f>"Risk "&amp;'K2-Risk Dashboard (Schedule)'!B45&amp;":  "&amp;'K2-Risk Dashboard (Schedule)'!C45&amp;".  "&amp;'K2-Risk Dashboard (Schedule)'!D45</f>
        <v xml:space="preserve">Risk N/A:  .  </v>
      </c>
    </row>
    <row r="23" spans="1:1" x14ac:dyDescent="0.35">
      <c r="A23" s="316" t="str">
        <f>"Risk "&amp;'K2-Risk Dashboard (Schedule)'!B46&amp;":  "&amp;'K2-Risk Dashboard (Schedule)'!C46&amp;".  "&amp;'K2-Risk Dashboard (Schedule)'!D46</f>
        <v xml:space="preserve">Risk N/A:  .  </v>
      </c>
    </row>
    <row r="24" spans="1:1" x14ac:dyDescent="0.35">
      <c r="A24" s="316" t="str">
        <f>"Risk "&amp;'K2-Risk Dashboard (Schedule)'!B47&amp;":  "&amp;'K2-Risk Dashboard (Schedule)'!C47&amp;".  "&amp;'K2-Risk Dashboard (Schedule)'!D47</f>
        <v xml:space="preserve">Risk N/A:  .  </v>
      </c>
    </row>
    <row r="25" spans="1:1" x14ac:dyDescent="0.35">
      <c r="A25" s="316" t="str">
        <f>"Risk "&amp;'K2-Risk Dashboard (Schedule)'!B48&amp;":  "&amp;'K2-Risk Dashboard (Schedule)'!C48&amp;".  "&amp;'K2-Risk Dashboard (Schedule)'!D48</f>
        <v xml:space="preserve">Risk N/A:  .  </v>
      </c>
    </row>
    <row r="26" spans="1:1" ht="15" thickBot="1" x14ac:dyDescent="0.4">
      <c r="A26" s="317" t="str">
        <f>"Risk "&amp;'K2-Risk Dashboard (Schedule)'!B49&amp;":  "&amp;'K2-Risk Dashboard (Schedule)'!C49&amp;".  "&amp;'K2-Risk Dashboard (Schedule)'!D49</f>
        <v xml:space="preserve">Risk N/A:  .  </v>
      </c>
    </row>
  </sheetData>
  <pageMargins left="0.25" right="0.25" top="0.25" bottom="0.5" header="0.25" footer="0.25"/>
  <pageSetup scale="84" fitToHeight="0" orientation="portrait" horizontalDpi="1200" verticalDpi="1200" r:id="rId1"/>
  <headerFooter>
    <oddFooter>&amp;CPage &amp;P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0" tint="-0.499984740745262"/>
    <pageSetUpPr fitToPage="1"/>
  </sheetPr>
  <dimension ref="A1:X80"/>
  <sheetViews>
    <sheetView showGridLines="0" zoomScaleNormal="100" workbookViewId="0">
      <pane ySplit="2" topLeftCell="A3" activePane="bottomLeft" state="frozen"/>
      <selection activeCell="A3" sqref="A3"/>
      <selection pane="bottomLeft" activeCell="A3" sqref="A3"/>
    </sheetView>
  </sheetViews>
  <sheetFormatPr defaultColWidth="8.81640625" defaultRowHeight="14.5" x14ac:dyDescent="0.35"/>
  <cols>
    <col min="1" max="1" width="6.1796875" style="78" bestFit="1" customWidth="1"/>
    <col min="2" max="2" width="42.81640625" style="78" bestFit="1" customWidth="1"/>
    <col min="3" max="3" width="9.453125" style="78" bestFit="1" customWidth="1"/>
    <col min="4" max="4" width="11.453125" style="78" bestFit="1" customWidth="1"/>
    <col min="5" max="5" width="14.81640625" style="78" bestFit="1" customWidth="1"/>
    <col min="6" max="6" width="17.54296875" style="78" bestFit="1" customWidth="1"/>
    <col min="7" max="7" width="14.1796875" style="78" bestFit="1" customWidth="1"/>
    <col min="8" max="8" width="13.1796875" style="78" bestFit="1" customWidth="1"/>
    <col min="9" max="16" width="8.81640625" style="78"/>
    <col min="17" max="17" width="6.1796875" style="78" bestFit="1" customWidth="1"/>
    <col min="18" max="18" width="42.81640625" style="78" bestFit="1" customWidth="1"/>
    <col min="19" max="19" width="9.453125" style="78" bestFit="1" customWidth="1"/>
    <col min="20" max="20" width="11.453125" style="78" bestFit="1" customWidth="1"/>
    <col min="21" max="21" width="14.81640625" style="78" bestFit="1" customWidth="1"/>
    <col min="22" max="22" width="17.54296875" style="78" bestFit="1" customWidth="1"/>
    <col min="23" max="23" width="14.1796875" style="78" bestFit="1" customWidth="1"/>
    <col min="24" max="24" width="13.1796875" style="78" bestFit="1" customWidth="1"/>
    <col min="25" max="16384" width="8.81640625" style="78"/>
  </cols>
  <sheetData>
    <row r="1" spans="1:24" s="7" customFormat="1" ht="21" x14ac:dyDescent="0.5">
      <c r="A1" s="817" t="s">
        <v>673</v>
      </c>
      <c r="B1" s="817"/>
      <c r="C1" s="817"/>
      <c r="D1" s="817"/>
      <c r="E1" s="817"/>
      <c r="F1" s="817"/>
      <c r="Q1" s="817" t="s">
        <v>673</v>
      </c>
      <c r="R1" s="817"/>
      <c r="S1" s="817"/>
      <c r="T1" s="817"/>
      <c r="U1" s="817"/>
      <c r="V1" s="817"/>
    </row>
    <row r="3" spans="1:24" x14ac:dyDescent="0.35">
      <c r="A3" s="173" t="s">
        <v>1150</v>
      </c>
      <c r="B3"/>
      <c r="C3"/>
      <c r="D3"/>
      <c r="E3"/>
      <c r="F3"/>
      <c r="G3"/>
      <c r="H3"/>
      <c r="Q3" s="173"/>
      <c r="R3"/>
      <c r="S3"/>
      <c r="T3"/>
      <c r="U3"/>
      <c r="V3"/>
      <c r="W3"/>
      <c r="X3"/>
    </row>
    <row r="4" spans="1:24" ht="15" thickBot="1" x14ac:dyDescent="0.4">
      <c r="A4" s="474"/>
      <c r="B4" s="474" t="s">
        <v>1067</v>
      </c>
      <c r="C4" s="474" t="s">
        <v>1066</v>
      </c>
      <c r="D4" s="474" t="s">
        <v>1065</v>
      </c>
      <c r="E4" s="474" t="s">
        <v>1064</v>
      </c>
      <c r="F4" s="474" t="s">
        <v>1063</v>
      </c>
      <c r="G4"/>
      <c r="H4"/>
      <c r="Q4" s="635" t="s">
        <v>1236</v>
      </c>
      <c r="R4" s="635" t="s">
        <v>1067</v>
      </c>
      <c r="S4" s="635" t="s">
        <v>1066</v>
      </c>
      <c r="T4" s="635" t="s">
        <v>1065</v>
      </c>
      <c r="U4" s="635" t="s">
        <v>1064</v>
      </c>
      <c r="V4" s="635" t="s">
        <v>1063</v>
      </c>
      <c r="W4" s="474" t="s">
        <v>1269</v>
      </c>
      <c r="X4" s="474" t="s">
        <v>1270</v>
      </c>
    </row>
    <row r="5" spans="1:24" x14ac:dyDescent="0.35">
      <c r="A5"/>
      <c r="B5" s="8" t="s">
        <v>1079</v>
      </c>
      <c r="C5" s="182">
        <v>1</v>
      </c>
      <c r="D5" t="s">
        <v>1075</v>
      </c>
      <c r="E5" s="476">
        <f>2145000</f>
        <v>2145000</v>
      </c>
      <c r="F5" s="123">
        <f>C5*E5</f>
        <v>2145000</v>
      </c>
      <c r="G5"/>
      <c r="H5"/>
      <c r="Q5" s="485" t="s">
        <v>1208</v>
      </c>
      <c r="R5" s="486"/>
      <c r="S5" s="486"/>
      <c r="T5" s="486"/>
      <c r="U5" s="486"/>
      <c r="V5" s="634"/>
      <c r="W5" s="634"/>
      <c r="X5" s="634"/>
    </row>
    <row r="6" spans="1:24" x14ac:dyDescent="0.35">
      <c r="A6"/>
      <c r="B6" s="8" t="s">
        <v>1077</v>
      </c>
      <c r="C6" s="182">
        <v>1</v>
      </c>
      <c r="D6" t="s">
        <v>1075</v>
      </c>
      <c r="E6" s="476">
        <f>500000</f>
        <v>500000</v>
      </c>
      <c r="F6" s="123">
        <f>C6*E6</f>
        <v>500000</v>
      </c>
      <c r="G6"/>
      <c r="H6"/>
      <c r="Q6" s="788" t="s">
        <v>1233</v>
      </c>
      <c r="R6" s="789" t="s">
        <v>1232</v>
      </c>
      <c r="S6" s="790">
        <v>19820</v>
      </c>
      <c r="T6" s="789" t="s">
        <v>1223</v>
      </c>
      <c r="U6" s="791">
        <f t="shared" ref="U6:U11" si="0">V6/S6</f>
        <v>48.133819374369324</v>
      </c>
      <c r="V6" s="792">
        <v>954012.3</v>
      </c>
      <c r="W6" s="793">
        <f t="shared" ref="W6:W11" si="1">V6/$V$26</f>
        <v>3.2920703186443398E-2</v>
      </c>
      <c r="X6" s="794">
        <f t="shared" ref="X6:X11" si="2">RANK(V6,$V$6:$V$24,0)</f>
        <v>7</v>
      </c>
    </row>
    <row r="7" spans="1:24" x14ac:dyDescent="0.35">
      <c r="A7"/>
      <c r="B7" s="8" t="s">
        <v>1076</v>
      </c>
      <c r="C7" s="182">
        <v>1</v>
      </c>
      <c r="D7" t="s">
        <v>1075</v>
      </c>
      <c r="E7" s="476">
        <f>200000</f>
        <v>200000</v>
      </c>
      <c r="F7" s="123">
        <f>C7*E7</f>
        <v>200000</v>
      </c>
      <c r="G7"/>
      <c r="H7"/>
      <c r="Q7" s="788" t="s">
        <v>1231</v>
      </c>
      <c r="R7" s="789" t="s">
        <v>1230</v>
      </c>
      <c r="S7" s="790">
        <v>19820</v>
      </c>
      <c r="T7" s="789" t="s">
        <v>1223</v>
      </c>
      <c r="U7" s="791">
        <f t="shared" si="0"/>
        <v>77.370145812310795</v>
      </c>
      <c r="V7" s="792">
        <v>1533476.29</v>
      </c>
      <c r="W7" s="793">
        <f t="shared" si="1"/>
        <v>5.2916631983191832E-2</v>
      </c>
      <c r="X7" s="794">
        <f t="shared" si="2"/>
        <v>6</v>
      </c>
    </row>
    <row r="8" spans="1:24" x14ac:dyDescent="0.35">
      <c r="A8"/>
      <c r="B8" s="8" t="s">
        <v>1215</v>
      </c>
      <c r="C8" s="182">
        <v>1</v>
      </c>
      <c r="D8" t="s">
        <v>1075</v>
      </c>
      <c r="E8" s="476">
        <f>-1000000</f>
        <v>-1000000</v>
      </c>
      <c r="F8" s="123">
        <f>C8*E8</f>
        <v>-1000000</v>
      </c>
      <c r="G8"/>
      <c r="H8"/>
      <c r="Q8" s="788" t="s">
        <v>1229</v>
      </c>
      <c r="R8" s="789" t="s">
        <v>1228</v>
      </c>
      <c r="S8" s="790">
        <v>19820</v>
      </c>
      <c r="T8" s="789" t="s">
        <v>1223</v>
      </c>
      <c r="U8" s="791">
        <f t="shared" si="0"/>
        <v>89.824186680121088</v>
      </c>
      <c r="V8" s="792">
        <v>1780315.38</v>
      </c>
      <c r="W8" s="793">
        <f t="shared" si="1"/>
        <v>6.14344638986732E-2</v>
      </c>
      <c r="X8" s="794">
        <f t="shared" si="2"/>
        <v>5</v>
      </c>
    </row>
    <row r="9" spans="1:24" ht="15" thickBot="1" x14ac:dyDescent="0.4">
      <c r="A9" s="477"/>
      <c r="B9" s="477" t="s">
        <v>1074</v>
      </c>
      <c r="C9" s="477"/>
      <c r="D9" s="477"/>
      <c r="E9" s="477"/>
      <c r="F9" s="478">
        <f>SUM(F5:F8)</f>
        <v>1845000</v>
      </c>
      <c r="G9"/>
      <c r="H9"/>
      <c r="Q9" s="788" t="s">
        <v>1227</v>
      </c>
      <c r="R9" s="789" t="s">
        <v>1226</v>
      </c>
      <c r="S9" s="790">
        <v>19820</v>
      </c>
      <c r="T9" s="789" t="s">
        <v>1223</v>
      </c>
      <c r="U9" s="791">
        <f t="shared" si="0"/>
        <v>319.94111957618566</v>
      </c>
      <c r="V9" s="792">
        <v>6341232.9900000002</v>
      </c>
      <c r="W9" s="793">
        <f t="shared" si="1"/>
        <v>0.21882091991882391</v>
      </c>
      <c r="X9" s="794">
        <f t="shared" si="2"/>
        <v>2</v>
      </c>
    </row>
    <row r="10" spans="1:24" x14ac:dyDescent="0.35">
      <c r="A10"/>
      <c r="B10"/>
      <c r="C10"/>
      <c r="D10"/>
      <c r="E10"/>
      <c r="F10"/>
      <c r="G10"/>
      <c r="H10"/>
      <c r="Q10" s="788" t="s">
        <v>1225</v>
      </c>
      <c r="R10" s="789" t="s">
        <v>1224</v>
      </c>
      <c r="S10" s="790">
        <v>19820</v>
      </c>
      <c r="T10" s="789" t="s">
        <v>1223</v>
      </c>
      <c r="U10" s="791">
        <f t="shared" si="0"/>
        <v>2.0625544904137234</v>
      </c>
      <c r="V10" s="792">
        <v>40879.83</v>
      </c>
      <c r="W10" s="793">
        <f t="shared" si="1"/>
        <v>1.4106660362159529E-3</v>
      </c>
      <c r="X10" s="794">
        <f t="shared" si="2"/>
        <v>15</v>
      </c>
    </row>
    <row r="11" spans="1:24" x14ac:dyDescent="0.35">
      <c r="A11" s="173" t="s">
        <v>1151</v>
      </c>
      <c r="B11"/>
      <c r="C11"/>
      <c r="D11"/>
      <c r="E11"/>
      <c r="F11"/>
      <c r="G11"/>
      <c r="H11"/>
      <c r="Q11" s="788" t="s">
        <v>1235</v>
      </c>
      <c r="R11" s="789" t="s">
        <v>1234</v>
      </c>
      <c r="S11" s="790">
        <v>19820</v>
      </c>
      <c r="T11" s="789" t="s">
        <v>1223</v>
      </c>
      <c r="U11" s="791">
        <f t="shared" si="0"/>
        <v>15.739595358224017</v>
      </c>
      <c r="V11" s="792">
        <v>311958.78000000003</v>
      </c>
      <c r="W11" s="793">
        <f t="shared" si="1"/>
        <v>1.0764958064780712E-2</v>
      </c>
      <c r="X11" s="794">
        <f t="shared" si="2"/>
        <v>13</v>
      </c>
    </row>
    <row r="12" spans="1:24" ht="15" thickBot="1" x14ac:dyDescent="0.4">
      <c r="A12" s="474"/>
      <c r="B12" s="474" t="s">
        <v>1067</v>
      </c>
      <c r="C12" s="474" t="s">
        <v>1066</v>
      </c>
      <c r="D12" s="474" t="s">
        <v>1065</v>
      </c>
      <c r="E12" s="474" t="s">
        <v>1064</v>
      </c>
      <c r="F12" s="474" t="s">
        <v>1063</v>
      </c>
      <c r="G12"/>
      <c r="H12"/>
    </row>
    <row r="13" spans="1:24" x14ac:dyDescent="0.35">
      <c r="A13"/>
      <c r="B13" s="8" t="s">
        <v>1078</v>
      </c>
      <c r="C13" s="182">
        <v>1</v>
      </c>
      <c r="D13" t="s">
        <v>1075</v>
      </c>
      <c r="E13" s="476">
        <v>7056000</v>
      </c>
      <c r="F13" s="123">
        <f>C13*E13</f>
        <v>7056000</v>
      </c>
      <c r="G13"/>
      <c r="H13"/>
      <c r="Q13" s="485" t="s">
        <v>1209</v>
      </c>
      <c r="R13" s="486"/>
      <c r="S13" s="486"/>
      <c r="T13" s="486"/>
      <c r="U13" s="486"/>
      <c r="V13" s="634"/>
      <c r="W13" s="634"/>
      <c r="X13" s="634"/>
    </row>
    <row r="14" spans="1:24" x14ac:dyDescent="0.35">
      <c r="A14"/>
      <c r="B14" s="8" t="s">
        <v>1077</v>
      </c>
      <c r="C14" s="182">
        <v>1</v>
      </c>
      <c r="D14" t="s">
        <v>1075</v>
      </c>
      <c r="E14" s="476">
        <f>2000000</f>
        <v>2000000</v>
      </c>
      <c r="F14" s="123">
        <f>C14*E14</f>
        <v>2000000</v>
      </c>
      <c r="G14"/>
      <c r="H14"/>
      <c r="Q14" s="788" t="s">
        <v>1233</v>
      </c>
      <c r="R14" s="789" t="s">
        <v>1232</v>
      </c>
      <c r="S14" s="790">
        <v>33535</v>
      </c>
      <c r="T14" s="789" t="s">
        <v>1223</v>
      </c>
      <c r="U14" s="791">
        <f>V14/S14</f>
        <v>15.762862382585357</v>
      </c>
      <c r="V14" s="792">
        <v>528607.59</v>
      </c>
      <c r="W14" s="793">
        <f>V14/$V$26</f>
        <v>1.8240994977204345E-2</v>
      </c>
      <c r="X14" s="794">
        <f>RANK(V14,$V$6:$V$24,0)</f>
        <v>11</v>
      </c>
    </row>
    <row r="15" spans="1:24" x14ac:dyDescent="0.35">
      <c r="A15"/>
      <c r="B15" s="8" t="s">
        <v>1076</v>
      </c>
      <c r="C15" s="182">
        <v>1</v>
      </c>
      <c r="D15" t="s">
        <v>1075</v>
      </c>
      <c r="E15" s="476">
        <f>100000</f>
        <v>100000</v>
      </c>
      <c r="F15" s="123">
        <f>C15*E15</f>
        <v>100000</v>
      </c>
      <c r="G15"/>
      <c r="H15"/>
      <c r="Q15" s="788" t="s">
        <v>1231</v>
      </c>
      <c r="R15" s="789" t="s">
        <v>1230</v>
      </c>
      <c r="S15" s="790">
        <v>33535</v>
      </c>
      <c r="T15" s="789" t="s">
        <v>1223</v>
      </c>
      <c r="U15" s="791">
        <f>V15/S15</f>
        <v>119.29899150141644</v>
      </c>
      <c r="V15" s="792">
        <v>4000691.68</v>
      </c>
      <c r="W15" s="793">
        <f>V15/$V$26</f>
        <v>0.13805438707420606</v>
      </c>
      <c r="X15" s="794">
        <f>RANK(V15,$V$6:$V$24,0)</f>
        <v>3</v>
      </c>
    </row>
    <row r="16" spans="1:24" x14ac:dyDescent="0.35">
      <c r="A16"/>
      <c r="B16" s="8" t="s">
        <v>1215</v>
      </c>
      <c r="C16" s="182">
        <v>1</v>
      </c>
      <c r="D16" t="s">
        <v>1075</v>
      </c>
      <c r="E16" s="476">
        <f>-2000000</f>
        <v>-2000000</v>
      </c>
      <c r="F16" s="123">
        <f>C16*E16</f>
        <v>-2000000</v>
      </c>
      <c r="G16"/>
      <c r="H16"/>
      <c r="Q16" s="788" t="s">
        <v>1229</v>
      </c>
      <c r="R16" s="789" t="s">
        <v>1228</v>
      </c>
      <c r="S16" s="790">
        <v>33535</v>
      </c>
      <c r="T16" s="789" t="s">
        <v>1223</v>
      </c>
      <c r="U16" s="791">
        <f>V16/S16</f>
        <v>84.770366780975095</v>
      </c>
      <c r="V16" s="792">
        <v>2842774.25</v>
      </c>
      <c r="W16" s="793">
        <f>V16/$V$26</f>
        <v>9.8097401165911841E-2</v>
      </c>
      <c r="X16" s="794">
        <f>RANK(V16,$V$6:$V$24,0)</f>
        <v>4</v>
      </c>
    </row>
    <row r="17" spans="1:24" ht="15" thickBot="1" x14ac:dyDescent="0.4">
      <c r="A17" s="477"/>
      <c r="B17" s="477" t="s">
        <v>1074</v>
      </c>
      <c r="C17" s="477"/>
      <c r="D17" s="477"/>
      <c r="E17" s="477"/>
      <c r="F17" s="478">
        <f>SUM(F13:F16)</f>
        <v>7156000</v>
      </c>
      <c r="G17"/>
      <c r="H17"/>
      <c r="Q17" s="788" t="s">
        <v>1227</v>
      </c>
      <c r="R17" s="789" t="s">
        <v>1226</v>
      </c>
      <c r="S17" s="790">
        <v>33535</v>
      </c>
      <c r="T17" s="789" t="s">
        <v>1223</v>
      </c>
      <c r="U17" s="791">
        <f>V17/S17</f>
        <v>224.93380050693307</v>
      </c>
      <c r="V17" s="792">
        <v>7543155</v>
      </c>
      <c r="W17" s="793">
        <f>V17/$V$26</f>
        <v>0.26029639957926792</v>
      </c>
      <c r="X17" s="794">
        <f>RANK(V17,$V$6:$V$24,0)</f>
        <v>1</v>
      </c>
    </row>
    <row r="18" spans="1:24" x14ac:dyDescent="0.35">
      <c r="A18"/>
      <c r="B18"/>
      <c r="C18"/>
      <c r="D18"/>
      <c r="E18"/>
      <c r="F18"/>
      <c r="G18"/>
      <c r="H18"/>
      <c r="Q18" s="788" t="s">
        <v>1225</v>
      </c>
      <c r="R18" s="789" t="s">
        <v>1224</v>
      </c>
      <c r="S18" s="790">
        <v>33535</v>
      </c>
      <c r="T18" s="789" t="s">
        <v>1223</v>
      </c>
      <c r="U18" s="791">
        <f>V18/S18</f>
        <v>1.4831408975697031</v>
      </c>
      <c r="V18" s="792">
        <v>49737.13</v>
      </c>
      <c r="W18" s="793">
        <f>V18/$V$26</f>
        <v>1.7163104648394464E-3</v>
      </c>
      <c r="X18" s="794">
        <f>RANK(V18,$V$6:$V$24,0)</f>
        <v>14</v>
      </c>
    </row>
    <row r="19" spans="1:24" x14ac:dyDescent="0.35">
      <c r="A19" s="173" t="s">
        <v>1152</v>
      </c>
      <c r="B19"/>
      <c r="C19"/>
      <c r="D19"/>
      <c r="E19"/>
      <c r="F19"/>
      <c r="G19"/>
      <c r="H19"/>
      <c r="Q19" s="479"/>
      <c r="R19"/>
      <c r="S19" s="182"/>
      <c r="T19"/>
      <c r="U19" s="476"/>
      <c r="V19" s="123"/>
      <c r="W19" s="475"/>
      <c r="X19" s="76"/>
    </row>
    <row r="20" spans="1:24" ht="15" thickBot="1" x14ac:dyDescent="0.4">
      <c r="A20" s="474" t="s">
        <v>1068</v>
      </c>
      <c r="B20" s="474" t="s">
        <v>1067</v>
      </c>
      <c r="C20" s="474" t="s">
        <v>1066</v>
      </c>
      <c r="D20" s="474" t="s">
        <v>1065</v>
      </c>
      <c r="E20" s="474" t="s">
        <v>1064</v>
      </c>
      <c r="F20" s="474" t="s">
        <v>1063</v>
      </c>
      <c r="G20" s="474" t="s">
        <v>1269</v>
      </c>
      <c r="H20" s="474" t="s">
        <v>1270</v>
      </c>
      <c r="Q20" s="485" t="s">
        <v>1203</v>
      </c>
      <c r="R20" s="486"/>
      <c r="S20" s="486"/>
      <c r="T20" s="486"/>
      <c r="U20" s="486"/>
      <c r="V20" s="634"/>
      <c r="W20" s="634"/>
      <c r="X20" s="634"/>
    </row>
    <row r="21" spans="1:24" x14ac:dyDescent="0.35">
      <c r="A21" s="485" t="s">
        <v>1114</v>
      </c>
      <c r="B21" s="486"/>
      <c r="C21" s="486"/>
      <c r="D21" s="486"/>
      <c r="E21" s="486"/>
      <c r="F21" s="486"/>
      <c r="G21" s="486"/>
      <c r="H21" s="486"/>
      <c r="Q21" s="788" t="s">
        <v>1222</v>
      </c>
      <c r="R21" s="789" t="s">
        <v>1210</v>
      </c>
      <c r="S21" s="790">
        <v>13245</v>
      </c>
      <c r="T21" s="789" t="s">
        <v>1070</v>
      </c>
      <c r="U21" s="791">
        <f>V21/S21</f>
        <v>60.402400151000379</v>
      </c>
      <c r="V21" s="792">
        <v>800029.79</v>
      </c>
      <c r="W21" s="793">
        <f>V21/$V$26</f>
        <v>2.7607131749666794E-2</v>
      </c>
      <c r="X21" s="794">
        <f>RANK(V21,$V$6:$V$24,0)</f>
        <v>10</v>
      </c>
    </row>
    <row r="22" spans="1:24" x14ac:dyDescent="0.35">
      <c r="A22" s="788">
        <v>1</v>
      </c>
      <c r="B22" s="789" t="s">
        <v>1085</v>
      </c>
      <c r="C22" s="790">
        <v>1</v>
      </c>
      <c r="D22" s="789" t="s">
        <v>1072</v>
      </c>
      <c r="E22" s="791">
        <f t="shared" ref="E22:E35" si="3">F22/C22</f>
        <v>8582538.7899999991</v>
      </c>
      <c r="F22" s="792">
        <v>8582538.7899999991</v>
      </c>
      <c r="G22" s="793">
        <f t="shared" ref="G22:G35" si="4">F22/$F$76</f>
        <v>3.667480798613524E-2</v>
      </c>
      <c r="H22" s="794">
        <f t="shared" ref="H22:H35" si="5">RANK(F22,$F$22:$F$74,0)</f>
        <v>8</v>
      </c>
      <c r="Q22" s="788" t="s">
        <v>1221</v>
      </c>
      <c r="R22" s="789" t="s">
        <v>1211</v>
      </c>
      <c r="S22" s="790">
        <v>13245</v>
      </c>
      <c r="T22" s="789" t="s">
        <v>1070</v>
      </c>
      <c r="U22" s="791">
        <f>V22/S22</f>
        <v>33.752457531143826</v>
      </c>
      <c r="V22" s="792">
        <v>447051.3</v>
      </c>
      <c r="W22" s="793">
        <f>V22/$V$26</f>
        <v>1.5426680721426405E-2</v>
      </c>
      <c r="X22" s="794">
        <f>RANK(V22,$V$6:$V$24,0)</f>
        <v>12</v>
      </c>
    </row>
    <row r="23" spans="1:24" x14ac:dyDescent="0.35">
      <c r="A23" s="788" t="s">
        <v>1080</v>
      </c>
      <c r="B23" s="789" t="s">
        <v>1086</v>
      </c>
      <c r="C23" s="790">
        <v>1</v>
      </c>
      <c r="D23" s="789" t="s">
        <v>1071</v>
      </c>
      <c r="E23" s="791">
        <f t="shared" si="3"/>
        <v>99172.86</v>
      </c>
      <c r="F23" s="792">
        <v>99172.86</v>
      </c>
      <c r="G23" s="793">
        <f t="shared" si="4"/>
        <v>4.2378434714139784E-4</v>
      </c>
      <c r="H23" s="794">
        <f t="shared" si="5"/>
        <v>24</v>
      </c>
      <c r="Q23" s="788" t="s">
        <v>1220</v>
      </c>
      <c r="R23" s="789" t="s">
        <v>1212</v>
      </c>
      <c r="S23" s="790">
        <v>1</v>
      </c>
      <c r="T23" s="789" t="s">
        <v>1075</v>
      </c>
      <c r="U23" s="791">
        <f>V23/S23</f>
        <v>895511.29</v>
      </c>
      <c r="V23" s="792">
        <v>895511.29</v>
      </c>
      <c r="W23" s="793">
        <f>V23/$V$26</f>
        <v>3.0901971995747894E-2</v>
      </c>
      <c r="X23" s="794">
        <f>RANK(V23,$V$6:$V$24,0)</f>
        <v>9</v>
      </c>
    </row>
    <row r="24" spans="1:24" x14ac:dyDescent="0.35">
      <c r="A24" s="788" t="s">
        <v>1081</v>
      </c>
      <c r="B24" s="789" t="s">
        <v>1329</v>
      </c>
      <c r="C24" s="790">
        <v>1</v>
      </c>
      <c r="D24" s="789" t="s">
        <v>1071</v>
      </c>
      <c r="E24" s="791">
        <f t="shared" si="3"/>
        <v>50000</v>
      </c>
      <c r="F24" s="792">
        <v>50000</v>
      </c>
      <c r="G24" s="793">
        <f t="shared" si="4"/>
        <v>2.1365943623154451E-4</v>
      </c>
      <c r="H24" s="794">
        <f t="shared" si="5"/>
        <v>32</v>
      </c>
      <c r="Q24" s="788" t="s">
        <v>1219</v>
      </c>
      <c r="R24" s="789" t="s">
        <v>1213</v>
      </c>
      <c r="S24" s="790">
        <v>1</v>
      </c>
      <c r="T24" s="789" t="s">
        <v>1075</v>
      </c>
      <c r="U24" s="791">
        <f>V24/S24</f>
        <v>909664.89</v>
      </c>
      <c r="V24" s="792">
        <v>909664.89</v>
      </c>
      <c r="W24" s="793">
        <f>V24/$V$26</f>
        <v>3.1390379183600339E-2</v>
      </c>
      <c r="X24" s="794">
        <f>RANK(V24,$V$6:$V$24,0)</f>
        <v>8</v>
      </c>
    </row>
    <row r="25" spans="1:24" x14ac:dyDescent="0.35">
      <c r="A25" s="788" t="s">
        <v>1082</v>
      </c>
      <c r="B25" s="789" t="s">
        <v>1087</v>
      </c>
      <c r="C25" s="790">
        <v>20</v>
      </c>
      <c r="D25" s="789" t="s">
        <v>1069</v>
      </c>
      <c r="E25" s="791">
        <f t="shared" si="3"/>
        <v>2552.1534999999999</v>
      </c>
      <c r="F25" s="792">
        <v>51043.07</v>
      </c>
      <c r="G25" s="793">
        <f t="shared" si="4"/>
        <v>2.1811667119454525E-4</v>
      </c>
      <c r="H25" s="794">
        <f t="shared" si="5"/>
        <v>31</v>
      </c>
    </row>
    <row r="26" spans="1:24" ht="15" thickBot="1" x14ac:dyDescent="0.4">
      <c r="A26" s="788">
        <v>4</v>
      </c>
      <c r="B26" s="789" t="s">
        <v>1088</v>
      </c>
      <c r="C26" s="790">
        <v>232900</v>
      </c>
      <c r="D26" s="789" t="s">
        <v>1073</v>
      </c>
      <c r="E26" s="791">
        <f t="shared" si="3"/>
        <v>12.69</v>
      </c>
      <c r="F26" s="792">
        <v>2955501</v>
      </c>
      <c r="G26" s="793">
        <f t="shared" si="4"/>
        <v>1.262941354883532E-2</v>
      </c>
      <c r="H26" s="794">
        <f t="shared" si="5"/>
        <v>10</v>
      </c>
      <c r="Q26" s="633"/>
      <c r="R26" s="633" t="s">
        <v>670</v>
      </c>
      <c r="S26" s="633"/>
      <c r="T26" s="633"/>
      <c r="U26" s="633"/>
      <c r="V26" s="632">
        <f>SUM(V6:V24)</f>
        <v>28979098.489999998</v>
      </c>
      <c r="W26" s="632"/>
      <c r="X26" s="632"/>
    </row>
    <row r="27" spans="1:24" x14ac:dyDescent="0.35">
      <c r="A27" s="788">
        <v>5</v>
      </c>
      <c r="B27" s="789" t="s">
        <v>1089</v>
      </c>
      <c r="C27" s="790">
        <v>668900</v>
      </c>
      <c r="D27" s="789" t="s">
        <v>1073</v>
      </c>
      <c r="E27" s="791">
        <f t="shared" si="3"/>
        <v>15.82</v>
      </c>
      <c r="F27" s="792">
        <v>10581998</v>
      </c>
      <c r="G27" s="793">
        <f t="shared" si="4"/>
        <v>4.5218874537666633E-2</v>
      </c>
      <c r="H27" s="794">
        <f t="shared" si="5"/>
        <v>6</v>
      </c>
      <c r="Q27"/>
      <c r="R27"/>
      <c r="S27"/>
      <c r="T27"/>
      <c r="U27"/>
      <c r="V27"/>
      <c r="W27"/>
      <c r="X27"/>
    </row>
    <row r="28" spans="1:24" ht="15" thickBot="1" x14ac:dyDescent="0.4">
      <c r="A28" s="788">
        <v>6</v>
      </c>
      <c r="B28" s="789" t="s">
        <v>1090</v>
      </c>
      <c r="C28" s="790">
        <v>10</v>
      </c>
      <c r="D28" s="789" t="s">
        <v>1069</v>
      </c>
      <c r="E28" s="791">
        <f t="shared" si="3"/>
        <v>2328.9780000000001</v>
      </c>
      <c r="F28" s="792">
        <v>23289.78</v>
      </c>
      <c r="G28" s="793">
        <f t="shared" si="4"/>
        <v>9.9521625295134002E-5</v>
      </c>
      <c r="H28" s="794">
        <f t="shared" si="5"/>
        <v>40</v>
      </c>
      <c r="S28" s="781" t="s">
        <v>1272</v>
      </c>
    </row>
    <row r="29" spans="1:24" x14ac:dyDescent="0.35">
      <c r="A29" s="788">
        <v>7</v>
      </c>
      <c r="B29" s="789" t="s">
        <v>1091</v>
      </c>
      <c r="C29" s="790">
        <v>3800</v>
      </c>
      <c r="D29" s="789" t="s">
        <v>1073</v>
      </c>
      <c r="E29" s="791">
        <f t="shared" si="3"/>
        <v>12.92</v>
      </c>
      <c r="F29" s="792">
        <v>49096</v>
      </c>
      <c r="G29" s="793">
        <f t="shared" si="4"/>
        <v>2.0979647362447817E-4</v>
      </c>
      <c r="H29" s="794">
        <f t="shared" si="5"/>
        <v>33</v>
      </c>
      <c r="S29" s="783">
        <v>6</v>
      </c>
      <c r="T29" s="1060" t="s">
        <v>1274</v>
      </c>
      <c r="U29" s="1060"/>
      <c r="V29" s="630" t="e" cm="1">
        <f t="array" aca="1" ref="V29" ca="1">SUM(LARGE($V$5:$V$24,_xlfn.SEQUENCE(S29)))</f>
        <v>#NAME?</v>
      </c>
      <c r="W29" s="782" t="s">
        <v>1271</v>
      </c>
      <c r="X29" s="784" t="e">
        <f ca="1">V29/V26</f>
        <v>#NAME?</v>
      </c>
    </row>
    <row r="30" spans="1:24" ht="15" thickBot="1" x14ac:dyDescent="0.4">
      <c r="A30" s="788">
        <v>8</v>
      </c>
      <c r="B30" s="789" t="s">
        <v>1092</v>
      </c>
      <c r="C30" s="790">
        <v>1278600</v>
      </c>
      <c r="D30" s="789" t="s">
        <v>1073</v>
      </c>
      <c r="E30" s="791">
        <f t="shared" si="3"/>
        <v>15.77</v>
      </c>
      <c r="F30" s="792">
        <v>20163522</v>
      </c>
      <c r="G30" s="793">
        <f t="shared" si="4"/>
        <v>8.6162534859246895E-2</v>
      </c>
      <c r="H30" s="794">
        <f t="shared" si="5"/>
        <v>4</v>
      </c>
      <c r="S30" s="631"/>
      <c r="T30" s="1061" t="s">
        <v>1273</v>
      </c>
      <c r="U30" s="1061"/>
      <c r="V30" s="785" t="e">
        <f ca="1">V26-V29</f>
        <v>#NAME?</v>
      </c>
      <c r="W30" s="786" t="s">
        <v>1271</v>
      </c>
      <c r="X30" s="787" t="e">
        <f ca="1">1-X29</f>
        <v>#NAME?</v>
      </c>
    </row>
    <row r="31" spans="1:24" x14ac:dyDescent="0.35">
      <c r="A31" s="788">
        <v>9</v>
      </c>
      <c r="B31" s="789" t="s">
        <v>1093</v>
      </c>
      <c r="C31" s="790">
        <v>17000</v>
      </c>
      <c r="D31" s="789" t="s">
        <v>1069</v>
      </c>
      <c r="E31" s="791">
        <f t="shared" si="3"/>
        <v>126.28524117647059</v>
      </c>
      <c r="F31" s="792">
        <v>2146849.1</v>
      </c>
      <c r="G31" s="793">
        <f t="shared" si="4"/>
        <v>9.173891367603975E-3</v>
      </c>
      <c r="H31" s="794">
        <f t="shared" si="5"/>
        <v>12</v>
      </c>
    </row>
    <row r="32" spans="1:24" x14ac:dyDescent="0.35">
      <c r="A32" s="788">
        <v>10</v>
      </c>
      <c r="B32" s="789" t="s">
        <v>1094</v>
      </c>
      <c r="C32" s="790">
        <v>16000</v>
      </c>
      <c r="D32" s="789" t="s">
        <v>1070</v>
      </c>
      <c r="E32" s="791">
        <f t="shared" si="3"/>
        <v>10.591080625</v>
      </c>
      <c r="F32" s="792">
        <v>169457.29</v>
      </c>
      <c r="G32" s="793">
        <f t="shared" si="4"/>
        <v>7.2412298093450691E-4</v>
      </c>
      <c r="H32" s="794">
        <f t="shared" si="5"/>
        <v>17</v>
      </c>
    </row>
    <row r="33" spans="1:8" x14ac:dyDescent="0.35">
      <c r="A33" s="788">
        <v>11</v>
      </c>
      <c r="B33" s="789" t="s">
        <v>1095</v>
      </c>
      <c r="C33" s="790">
        <v>1</v>
      </c>
      <c r="D33" s="789" t="s">
        <v>1071</v>
      </c>
      <c r="E33" s="791">
        <f t="shared" si="3"/>
        <v>343897.31</v>
      </c>
      <c r="F33" s="792">
        <v>343897.31</v>
      </c>
      <c r="G33" s="793">
        <f t="shared" si="4"/>
        <v>1.4695381075228939E-3</v>
      </c>
      <c r="H33" s="794">
        <f t="shared" si="5"/>
        <v>13</v>
      </c>
    </row>
    <row r="34" spans="1:8" x14ac:dyDescent="0.35">
      <c r="A34" s="788">
        <v>12</v>
      </c>
      <c r="B34" s="789" t="s">
        <v>1096</v>
      </c>
      <c r="C34" s="790">
        <v>1</v>
      </c>
      <c r="D34" s="789" t="s">
        <v>1071</v>
      </c>
      <c r="E34" s="791">
        <f t="shared" si="3"/>
        <v>100000</v>
      </c>
      <c r="F34" s="792">
        <v>100000</v>
      </c>
      <c r="G34" s="793">
        <f t="shared" si="4"/>
        <v>4.2731887246308902E-4</v>
      </c>
      <c r="H34" s="794">
        <f t="shared" si="5"/>
        <v>19</v>
      </c>
    </row>
    <row r="35" spans="1:8" x14ac:dyDescent="0.35">
      <c r="A35" s="788">
        <v>13</v>
      </c>
      <c r="B35" s="789" t="s">
        <v>1097</v>
      </c>
      <c r="C35" s="790">
        <v>1</v>
      </c>
      <c r="D35" s="789" t="s">
        <v>1071</v>
      </c>
      <c r="E35" s="791">
        <f t="shared" si="3"/>
        <v>25000</v>
      </c>
      <c r="F35" s="792">
        <v>25000</v>
      </c>
      <c r="G35" s="793">
        <f t="shared" si="4"/>
        <v>1.0682971811577225E-4</v>
      </c>
      <c r="H35" s="794">
        <f t="shared" si="5"/>
        <v>35</v>
      </c>
    </row>
    <row r="36" spans="1:8" x14ac:dyDescent="0.35">
      <c r="A36" s="479"/>
      <c r="B36"/>
      <c r="C36" s="182"/>
      <c r="D36"/>
      <c r="E36" s="476"/>
      <c r="F36" s="123"/>
      <c r="G36" s="795"/>
      <c r="H36" s="76"/>
    </row>
    <row r="37" spans="1:8" x14ac:dyDescent="0.35">
      <c r="A37" s="485" t="s">
        <v>1115</v>
      </c>
      <c r="B37" s="486"/>
      <c r="C37" s="486"/>
      <c r="D37" s="486"/>
      <c r="E37" s="486"/>
      <c r="F37" s="486"/>
      <c r="G37" s="486"/>
      <c r="H37" s="486"/>
    </row>
    <row r="38" spans="1:8" x14ac:dyDescent="0.35">
      <c r="A38" s="788">
        <v>14</v>
      </c>
      <c r="B38" s="789" t="s">
        <v>1086</v>
      </c>
      <c r="C38" s="790">
        <v>1</v>
      </c>
      <c r="D38" s="789" t="s">
        <v>1071</v>
      </c>
      <c r="E38" s="791">
        <f t="shared" ref="E38:E43" si="6">F38/C38</f>
        <v>99172.86</v>
      </c>
      <c r="F38" s="792">
        <v>99172.86</v>
      </c>
      <c r="G38" s="793">
        <f t="shared" ref="G38:G43" si="7">F38/$F$76</f>
        <v>4.2378434714139784E-4</v>
      </c>
      <c r="H38" s="794">
        <f t="shared" ref="H38:H43" si="8">RANK(F38,$F$22:$F$74,0)</f>
        <v>24</v>
      </c>
    </row>
    <row r="39" spans="1:8" x14ac:dyDescent="0.35">
      <c r="A39" s="788" t="s">
        <v>1083</v>
      </c>
      <c r="B39" s="789" t="s">
        <v>1098</v>
      </c>
      <c r="C39" s="790">
        <v>15</v>
      </c>
      <c r="D39" s="789" t="s">
        <v>1069</v>
      </c>
      <c r="E39" s="791">
        <f t="shared" si="6"/>
        <v>2481.7460000000001</v>
      </c>
      <c r="F39" s="792">
        <v>37226.19</v>
      </c>
      <c r="G39" s="793">
        <f t="shared" si="7"/>
        <v>1.5907453536896719E-4</v>
      </c>
      <c r="H39" s="794">
        <f t="shared" si="8"/>
        <v>34</v>
      </c>
    </row>
    <row r="40" spans="1:8" x14ac:dyDescent="0.35">
      <c r="A40" s="788">
        <v>16</v>
      </c>
      <c r="B40" s="789" t="s">
        <v>1099</v>
      </c>
      <c r="C40" s="790">
        <v>316100</v>
      </c>
      <c r="D40" s="789" t="s">
        <v>1073</v>
      </c>
      <c r="E40" s="791">
        <f t="shared" si="6"/>
        <v>11.43</v>
      </c>
      <c r="F40" s="792">
        <v>3613023</v>
      </c>
      <c r="G40" s="793">
        <f t="shared" si="7"/>
        <v>1.5439129145432072E-2</v>
      </c>
      <c r="H40" s="794">
        <f t="shared" si="8"/>
        <v>9</v>
      </c>
    </row>
    <row r="41" spans="1:8" x14ac:dyDescent="0.35">
      <c r="A41" s="788">
        <v>17</v>
      </c>
      <c r="B41" s="789" t="s">
        <v>1100</v>
      </c>
      <c r="C41" s="790">
        <v>2180600</v>
      </c>
      <c r="D41" s="789" t="s">
        <v>1073</v>
      </c>
      <c r="E41" s="791">
        <f t="shared" si="6"/>
        <v>14.32</v>
      </c>
      <c r="F41" s="792">
        <v>31226192</v>
      </c>
      <c r="G41" s="793">
        <f t="shared" si="7"/>
        <v>0.13343541156755931</v>
      </c>
      <c r="H41" s="794">
        <f t="shared" si="8"/>
        <v>2</v>
      </c>
    </row>
    <row r="42" spans="1:8" x14ac:dyDescent="0.35">
      <c r="A42" s="788">
        <v>18</v>
      </c>
      <c r="B42" s="789" t="s">
        <v>1096</v>
      </c>
      <c r="C42" s="790">
        <v>1</v>
      </c>
      <c r="D42" s="789" t="s">
        <v>1071</v>
      </c>
      <c r="E42" s="791">
        <f t="shared" si="6"/>
        <v>100000</v>
      </c>
      <c r="F42" s="792">
        <v>100000</v>
      </c>
      <c r="G42" s="793">
        <f t="shared" si="7"/>
        <v>4.2731887246308902E-4</v>
      </c>
      <c r="H42" s="794">
        <f t="shared" si="8"/>
        <v>19</v>
      </c>
    </row>
    <row r="43" spans="1:8" x14ac:dyDescent="0.35">
      <c r="A43" s="788">
        <v>19</v>
      </c>
      <c r="B43" s="789" t="s">
        <v>1097</v>
      </c>
      <c r="C43" s="790">
        <v>1</v>
      </c>
      <c r="D43" s="789" t="s">
        <v>1071</v>
      </c>
      <c r="E43" s="791">
        <f t="shared" si="6"/>
        <v>25000</v>
      </c>
      <c r="F43" s="792">
        <v>25000</v>
      </c>
      <c r="G43" s="793">
        <f t="shared" si="7"/>
        <v>1.0682971811577225E-4</v>
      </c>
      <c r="H43" s="794">
        <f t="shared" si="8"/>
        <v>35</v>
      </c>
    </row>
    <row r="44" spans="1:8" x14ac:dyDescent="0.35">
      <c r="A44" s="479"/>
      <c r="B44"/>
      <c r="C44" s="182"/>
      <c r="D44"/>
      <c r="E44" s="476"/>
      <c r="F44" s="123"/>
      <c r="G44" s="795"/>
      <c r="H44" s="76"/>
    </row>
    <row r="45" spans="1:8" x14ac:dyDescent="0.35">
      <c r="A45" s="485" t="s">
        <v>1116</v>
      </c>
      <c r="B45" s="486"/>
      <c r="C45" s="486"/>
      <c r="D45" s="486"/>
      <c r="E45" s="486"/>
      <c r="F45" s="486"/>
      <c r="G45" s="486"/>
      <c r="H45" s="486"/>
    </row>
    <row r="46" spans="1:8" x14ac:dyDescent="0.35">
      <c r="A46" s="788">
        <v>20</v>
      </c>
      <c r="B46" s="789" t="s">
        <v>1086</v>
      </c>
      <c r="C46" s="790">
        <v>1</v>
      </c>
      <c r="D46" s="789" t="s">
        <v>1071</v>
      </c>
      <c r="E46" s="791">
        <f t="shared" ref="E46:E51" si="9">F46/C46</f>
        <v>99172.86</v>
      </c>
      <c r="F46" s="792">
        <v>99172.86</v>
      </c>
      <c r="G46" s="793">
        <f t="shared" ref="G46:G51" si="10">F46/$F$76</f>
        <v>4.2378434714139784E-4</v>
      </c>
      <c r="H46" s="794">
        <f t="shared" ref="H46:H51" si="11">RANK(F46,$F$22:$F$74,0)</f>
        <v>24</v>
      </c>
    </row>
    <row r="47" spans="1:8" x14ac:dyDescent="0.35">
      <c r="A47" s="788" t="s">
        <v>1084</v>
      </c>
      <c r="B47" s="789" t="s">
        <v>1101</v>
      </c>
      <c r="C47" s="790">
        <v>35</v>
      </c>
      <c r="D47" s="789" t="s">
        <v>1069</v>
      </c>
      <c r="E47" s="791">
        <f t="shared" si="9"/>
        <v>2521.9788571428571</v>
      </c>
      <c r="F47" s="792">
        <v>88269.26</v>
      </c>
      <c r="G47" s="793">
        <f t="shared" si="10"/>
        <v>3.7719120656351242E-4</v>
      </c>
      <c r="H47" s="794">
        <f t="shared" si="11"/>
        <v>29</v>
      </c>
    </row>
    <row r="48" spans="1:8" x14ac:dyDescent="0.35">
      <c r="A48" s="788">
        <v>22</v>
      </c>
      <c r="B48" s="789" t="s">
        <v>1102</v>
      </c>
      <c r="C48" s="790">
        <v>1767200</v>
      </c>
      <c r="D48" s="789" t="s">
        <v>1073</v>
      </c>
      <c r="E48" s="791">
        <f t="shared" si="9"/>
        <v>9.14</v>
      </c>
      <c r="F48" s="792">
        <v>16152208</v>
      </c>
      <c r="G48" s="793">
        <f t="shared" si="10"/>
        <v>6.902143310349286E-2</v>
      </c>
      <c r="H48" s="794">
        <f t="shared" si="11"/>
        <v>5</v>
      </c>
    </row>
    <row r="49" spans="1:8" x14ac:dyDescent="0.35">
      <c r="A49" s="788">
        <v>23</v>
      </c>
      <c r="B49" s="789" t="s">
        <v>1103</v>
      </c>
      <c r="C49" s="790">
        <v>8322600</v>
      </c>
      <c r="D49" s="789" t="s">
        <v>1073</v>
      </c>
      <c r="E49" s="791">
        <f t="shared" si="9"/>
        <v>11.43</v>
      </c>
      <c r="F49" s="792">
        <v>95127318</v>
      </c>
      <c r="G49" s="793">
        <f t="shared" si="10"/>
        <v>0.40649698268197709</v>
      </c>
      <c r="H49" s="794">
        <f t="shared" si="11"/>
        <v>1</v>
      </c>
    </row>
    <row r="50" spans="1:8" x14ac:dyDescent="0.35">
      <c r="A50" s="788">
        <v>24</v>
      </c>
      <c r="B50" s="789" t="s">
        <v>1096</v>
      </c>
      <c r="C50" s="790">
        <v>1</v>
      </c>
      <c r="D50" s="789" t="s">
        <v>1071</v>
      </c>
      <c r="E50" s="791">
        <f t="shared" si="9"/>
        <v>100000</v>
      </c>
      <c r="F50" s="792">
        <v>100000</v>
      </c>
      <c r="G50" s="793">
        <f t="shared" si="10"/>
        <v>4.2731887246308902E-4</v>
      </c>
      <c r="H50" s="794">
        <f t="shared" si="11"/>
        <v>19</v>
      </c>
    </row>
    <row r="51" spans="1:8" x14ac:dyDescent="0.35">
      <c r="A51" s="788">
        <v>25</v>
      </c>
      <c r="B51" s="789" t="s">
        <v>1097</v>
      </c>
      <c r="C51" s="790">
        <v>1</v>
      </c>
      <c r="D51" s="789" t="s">
        <v>1071</v>
      </c>
      <c r="E51" s="791">
        <f t="shared" si="9"/>
        <v>25000</v>
      </c>
      <c r="F51" s="792">
        <v>25000</v>
      </c>
      <c r="G51" s="793">
        <f t="shared" si="10"/>
        <v>1.0682971811577225E-4</v>
      </c>
      <c r="H51" s="794">
        <f t="shared" si="11"/>
        <v>35</v>
      </c>
    </row>
    <row r="52" spans="1:8" x14ac:dyDescent="0.35">
      <c r="A52" s="479"/>
      <c r="B52"/>
      <c r="C52" s="182"/>
      <c r="D52"/>
      <c r="E52" s="476"/>
      <c r="F52" s="123"/>
      <c r="G52" s="795"/>
      <c r="H52" s="76"/>
    </row>
    <row r="53" spans="1:8" x14ac:dyDescent="0.35">
      <c r="A53" s="485" t="s">
        <v>1117</v>
      </c>
      <c r="B53" s="486"/>
      <c r="C53" s="486"/>
      <c r="D53" s="486"/>
      <c r="E53" s="486"/>
      <c r="F53" s="486"/>
      <c r="G53" s="486"/>
      <c r="H53" s="486"/>
    </row>
    <row r="54" spans="1:8" x14ac:dyDescent="0.35">
      <c r="A54" s="788">
        <v>26</v>
      </c>
      <c r="B54" s="789" t="s">
        <v>1104</v>
      </c>
      <c r="C54" s="790">
        <v>1</v>
      </c>
      <c r="D54" s="789" t="s">
        <v>1072</v>
      </c>
      <c r="E54" s="791">
        <f t="shared" ref="E54:E63" si="12">F54/C54</f>
        <v>2275000</v>
      </c>
      <c r="F54" s="792">
        <v>2275000</v>
      </c>
      <c r="G54" s="793">
        <f t="shared" ref="G54:G63" si="13">F54/$F$76</f>
        <v>9.7215043485352742E-3</v>
      </c>
      <c r="H54" s="794">
        <f t="shared" ref="H54:H63" si="14">RANK(F54,$F$22:$F$74,0)</f>
        <v>11</v>
      </c>
    </row>
    <row r="55" spans="1:8" x14ac:dyDescent="0.35">
      <c r="A55" s="788">
        <v>27</v>
      </c>
      <c r="B55" s="789" t="s">
        <v>1086</v>
      </c>
      <c r="C55" s="790">
        <v>1</v>
      </c>
      <c r="D55" s="789" t="s">
        <v>1071</v>
      </c>
      <c r="E55" s="791">
        <f t="shared" si="12"/>
        <v>99172.86</v>
      </c>
      <c r="F55" s="792">
        <v>99172.86</v>
      </c>
      <c r="G55" s="793">
        <f t="shared" si="13"/>
        <v>4.2378434714139784E-4</v>
      </c>
      <c r="H55" s="794">
        <f t="shared" si="14"/>
        <v>24</v>
      </c>
    </row>
    <row r="56" spans="1:8" x14ac:dyDescent="0.35">
      <c r="A56" s="788">
        <v>28</v>
      </c>
      <c r="B56" s="789" t="s">
        <v>1105</v>
      </c>
      <c r="C56" s="790">
        <v>5</v>
      </c>
      <c r="D56" s="789" t="s">
        <v>1069</v>
      </c>
      <c r="E56" s="791">
        <f t="shared" si="12"/>
        <v>2811.1880000000001</v>
      </c>
      <c r="F56" s="792">
        <v>14055.94</v>
      </c>
      <c r="G56" s="793">
        <f t="shared" si="13"/>
        <v>6.0063684322088319E-5</v>
      </c>
      <c r="H56" s="794">
        <f t="shared" si="14"/>
        <v>43</v>
      </c>
    </row>
    <row r="57" spans="1:8" x14ac:dyDescent="0.35">
      <c r="A57" s="788">
        <v>29</v>
      </c>
      <c r="B57" s="789" t="s">
        <v>1106</v>
      </c>
      <c r="C57" s="790">
        <v>25100</v>
      </c>
      <c r="D57" s="789" t="s">
        <v>1073</v>
      </c>
      <c r="E57" s="791">
        <f t="shared" si="12"/>
        <v>5.0999999999999996</v>
      </c>
      <c r="F57" s="792">
        <v>128010</v>
      </c>
      <c r="G57" s="793">
        <f t="shared" si="13"/>
        <v>5.4701088864000024E-4</v>
      </c>
      <c r="H57" s="794">
        <f t="shared" si="14"/>
        <v>18</v>
      </c>
    </row>
    <row r="58" spans="1:8" x14ac:dyDescent="0.35">
      <c r="A58" s="788">
        <v>30</v>
      </c>
      <c r="B58" s="789" t="s">
        <v>1107</v>
      </c>
      <c r="C58" s="790">
        <v>3350600</v>
      </c>
      <c r="D58" s="789" t="s">
        <v>1073</v>
      </c>
      <c r="E58" s="791">
        <f t="shared" si="12"/>
        <v>8.34</v>
      </c>
      <c r="F58" s="792">
        <v>27944004</v>
      </c>
      <c r="G58" s="793">
        <f t="shared" si="13"/>
        <v>0.1194100028138405</v>
      </c>
      <c r="H58" s="794">
        <f t="shared" si="14"/>
        <v>3</v>
      </c>
    </row>
    <row r="59" spans="1:8" x14ac:dyDescent="0.35">
      <c r="A59" s="788">
        <v>31</v>
      </c>
      <c r="B59" s="789" t="s">
        <v>1108</v>
      </c>
      <c r="C59" s="790">
        <v>1</v>
      </c>
      <c r="D59" s="789" t="s">
        <v>1071</v>
      </c>
      <c r="E59" s="791">
        <f t="shared" si="12"/>
        <v>15000</v>
      </c>
      <c r="F59" s="792">
        <v>15000</v>
      </c>
      <c r="G59" s="793">
        <f t="shared" si="13"/>
        <v>6.4097830869463352E-5</v>
      </c>
      <c r="H59" s="794">
        <f t="shared" si="14"/>
        <v>41</v>
      </c>
    </row>
    <row r="60" spans="1:8" x14ac:dyDescent="0.35">
      <c r="A60" s="788">
        <v>32</v>
      </c>
      <c r="B60" s="789" t="s">
        <v>1109</v>
      </c>
      <c r="C60" s="790">
        <v>133</v>
      </c>
      <c r="D60" s="789" t="s">
        <v>1113</v>
      </c>
      <c r="E60" s="791">
        <f t="shared" si="12"/>
        <v>1687.9699248120301</v>
      </c>
      <c r="F60" s="792">
        <v>224500</v>
      </c>
      <c r="G60" s="793">
        <f t="shared" si="13"/>
        <v>9.5933086867963484E-4</v>
      </c>
      <c r="H60" s="794">
        <f t="shared" si="14"/>
        <v>14</v>
      </c>
    </row>
    <row r="61" spans="1:8" x14ac:dyDescent="0.35">
      <c r="A61" s="788">
        <v>33</v>
      </c>
      <c r="B61" s="789" t="s">
        <v>1110</v>
      </c>
      <c r="C61" s="790">
        <v>44</v>
      </c>
      <c r="D61" s="789" t="s">
        <v>1113</v>
      </c>
      <c r="E61" s="791">
        <f t="shared" si="12"/>
        <v>5000</v>
      </c>
      <c r="F61" s="792">
        <v>220000</v>
      </c>
      <c r="G61" s="793">
        <f t="shared" si="13"/>
        <v>9.4010151941879578E-4</v>
      </c>
      <c r="H61" s="794">
        <f t="shared" si="14"/>
        <v>15</v>
      </c>
    </row>
    <row r="62" spans="1:8" x14ac:dyDescent="0.35">
      <c r="A62" s="788">
        <v>34</v>
      </c>
      <c r="B62" s="789" t="s">
        <v>1096</v>
      </c>
      <c r="C62" s="790">
        <v>1</v>
      </c>
      <c r="D62" s="789" t="s">
        <v>1071</v>
      </c>
      <c r="E62" s="791">
        <f t="shared" si="12"/>
        <v>100000</v>
      </c>
      <c r="F62" s="792">
        <v>100000</v>
      </c>
      <c r="G62" s="793">
        <f t="shared" si="13"/>
        <v>4.2731887246308902E-4</v>
      </c>
      <c r="H62" s="794">
        <f t="shared" si="14"/>
        <v>19</v>
      </c>
    </row>
    <row r="63" spans="1:8" x14ac:dyDescent="0.35">
      <c r="A63" s="788">
        <v>35</v>
      </c>
      <c r="B63" s="789" t="s">
        <v>1097</v>
      </c>
      <c r="C63" s="790">
        <v>1</v>
      </c>
      <c r="D63" s="789" t="s">
        <v>1071</v>
      </c>
      <c r="E63" s="791">
        <f t="shared" si="12"/>
        <v>25000</v>
      </c>
      <c r="F63" s="792">
        <v>25000</v>
      </c>
      <c r="G63" s="793">
        <f t="shared" si="13"/>
        <v>1.0682971811577225E-4</v>
      </c>
      <c r="H63" s="794">
        <f t="shared" si="14"/>
        <v>35</v>
      </c>
    </row>
    <row r="64" spans="1:8" x14ac:dyDescent="0.35">
      <c r="A64" s="479"/>
      <c r="B64"/>
      <c r="C64" s="182"/>
      <c r="D64"/>
      <c r="E64" s="476"/>
      <c r="F64" s="123"/>
      <c r="G64" s="795"/>
      <c r="H64" s="76"/>
    </row>
    <row r="65" spans="1:8" x14ac:dyDescent="0.35">
      <c r="A65" s="485" t="s">
        <v>1118</v>
      </c>
      <c r="B65" s="486"/>
      <c r="C65" s="486"/>
      <c r="D65" s="486"/>
      <c r="E65" s="486"/>
      <c r="F65" s="486"/>
      <c r="G65" s="486"/>
      <c r="H65" s="486"/>
    </row>
    <row r="66" spans="1:8" x14ac:dyDescent="0.35">
      <c r="A66" s="788">
        <v>36</v>
      </c>
      <c r="B66" s="789" t="s">
        <v>1086</v>
      </c>
      <c r="C66" s="790">
        <v>1</v>
      </c>
      <c r="D66" s="789" t="s">
        <v>1071</v>
      </c>
      <c r="E66" s="791">
        <f>F66/C66</f>
        <v>99172.86</v>
      </c>
      <c r="F66" s="792">
        <v>99172.86</v>
      </c>
      <c r="G66" s="793">
        <f>F66/$F$76</f>
        <v>4.2378434714139784E-4</v>
      </c>
      <c r="H66" s="794">
        <f>RANK(F66,$F$22:$F$74,0)</f>
        <v>24</v>
      </c>
    </row>
    <row r="67" spans="1:8" x14ac:dyDescent="0.35">
      <c r="A67" s="788">
        <v>37</v>
      </c>
      <c r="B67" s="789" t="s">
        <v>1111</v>
      </c>
      <c r="C67" s="790">
        <v>25</v>
      </c>
      <c r="D67" s="789" t="s">
        <v>1069</v>
      </c>
      <c r="E67" s="791">
        <f>F67/C67</f>
        <v>2415.8576000000003</v>
      </c>
      <c r="F67" s="792">
        <v>60396.44</v>
      </c>
      <c r="G67" s="793">
        <f>F67/$F$76</f>
        <v>2.5808538641584606E-4</v>
      </c>
      <c r="H67" s="794">
        <f>RANK(F67,$F$22:$F$74,0)</f>
        <v>30</v>
      </c>
    </row>
    <row r="68" spans="1:8" x14ac:dyDescent="0.35">
      <c r="A68" s="788">
        <v>38</v>
      </c>
      <c r="B68" s="789" t="s">
        <v>1112</v>
      </c>
      <c r="C68" s="790">
        <v>491000</v>
      </c>
      <c r="D68" s="789" t="s">
        <v>1073</v>
      </c>
      <c r="E68" s="791">
        <f>F68/C68</f>
        <v>21.22</v>
      </c>
      <c r="F68" s="792">
        <v>10419020</v>
      </c>
      <c r="G68" s="793">
        <f>F68/$F$76</f>
        <v>4.4522438785703736E-2</v>
      </c>
      <c r="H68" s="794">
        <f>RANK(F68,$F$22:$F$74,0)</f>
        <v>7</v>
      </c>
    </row>
    <row r="69" spans="1:8" x14ac:dyDescent="0.35">
      <c r="A69" s="788">
        <v>39</v>
      </c>
      <c r="B69" s="789" t="s">
        <v>1096</v>
      </c>
      <c r="C69" s="790">
        <v>1</v>
      </c>
      <c r="D69" s="789" t="s">
        <v>1071</v>
      </c>
      <c r="E69" s="791">
        <f>F69/C69</f>
        <v>100000</v>
      </c>
      <c r="F69" s="792">
        <v>100000</v>
      </c>
      <c r="G69" s="793">
        <f>F69/$F$76</f>
        <v>4.2731887246308902E-4</v>
      </c>
      <c r="H69" s="794">
        <f>RANK(F69,$F$22:$F$74,0)</f>
        <v>19</v>
      </c>
    </row>
    <row r="70" spans="1:8" x14ac:dyDescent="0.35">
      <c r="A70" s="788">
        <v>40</v>
      </c>
      <c r="B70" s="789" t="s">
        <v>1097</v>
      </c>
      <c r="C70" s="790">
        <v>1</v>
      </c>
      <c r="D70" s="789" t="s">
        <v>1071</v>
      </c>
      <c r="E70" s="791">
        <f>F70/C70</f>
        <v>25000</v>
      </c>
      <c r="F70" s="792">
        <v>25000</v>
      </c>
      <c r="G70" s="793">
        <f>F70/$F$76</f>
        <v>1.0682971811577225E-4</v>
      </c>
      <c r="H70" s="794">
        <f>RANK(F70,$F$22:$F$74,0)</f>
        <v>35</v>
      </c>
    </row>
    <row r="71" spans="1:8" x14ac:dyDescent="0.35">
      <c r="A71"/>
      <c r="B71"/>
      <c r="C71"/>
      <c r="D71"/>
      <c r="E71"/>
      <c r="F71"/>
      <c r="G71"/>
      <c r="H71"/>
    </row>
    <row r="72" spans="1:8" x14ac:dyDescent="0.35">
      <c r="A72" s="485" t="s">
        <v>1119</v>
      </c>
      <c r="B72" s="486"/>
      <c r="C72" s="486"/>
      <c r="D72" s="486"/>
      <c r="E72" s="486"/>
      <c r="F72" s="486"/>
      <c r="G72" s="486"/>
      <c r="H72" s="486"/>
    </row>
    <row r="73" spans="1:8" x14ac:dyDescent="0.35">
      <c r="A73" s="788">
        <v>41</v>
      </c>
      <c r="B73" s="789" t="s">
        <v>1108</v>
      </c>
      <c r="C73" s="790">
        <v>1</v>
      </c>
      <c r="D73" s="789" t="s">
        <v>1071</v>
      </c>
      <c r="E73" s="791">
        <f>F73/C73</f>
        <v>15000</v>
      </c>
      <c r="F73" s="792">
        <v>15000</v>
      </c>
      <c r="G73" s="793">
        <f>F73/$F$76</f>
        <v>6.4097830869463352E-5</v>
      </c>
      <c r="H73" s="794">
        <f>RANK(F73,$F$22:$F$74,0)</f>
        <v>41</v>
      </c>
    </row>
    <row r="74" spans="1:8" x14ac:dyDescent="0.35">
      <c r="A74" s="788">
        <v>42</v>
      </c>
      <c r="B74" s="789" t="s">
        <v>1110</v>
      </c>
      <c r="C74" s="790">
        <v>44</v>
      </c>
      <c r="D74" s="789" t="s">
        <v>1113</v>
      </c>
      <c r="E74" s="791">
        <f>F74/C74</f>
        <v>5000</v>
      </c>
      <c r="F74" s="792">
        <v>220000</v>
      </c>
      <c r="G74" s="793">
        <f>F74/$F$76</f>
        <v>9.4010151941879578E-4</v>
      </c>
      <c r="H74" s="794">
        <f>RANK(F74,$F$22:$F$74,0)</f>
        <v>15</v>
      </c>
    </row>
    <row r="75" spans="1:8" x14ac:dyDescent="0.35">
      <c r="A75"/>
      <c r="B75"/>
      <c r="C75"/>
      <c r="D75"/>
      <c r="E75"/>
      <c r="F75"/>
      <c r="G75"/>
      <c r="H75"/>
    </row>
    <row r="76" spans="1:8" ht="15" thickBot="1" x14ac:dyDescent="0.4">
      <c r="A76" s="633"/>
      <c r="B76" s="633" t="s">
        <v>670</v>
      </c>
      <c r="C76" s="633"/>
      <c r="D76" s="633"/>
      <c r="E76" s="633"/>
      <c r="F76" s="632">
        <f>SUM(F22:F74)</f>
        <v>234017279.47000003</v>
      </c>
      <c r="G76" s="632"/>
      <c r="H76" s="632"/>
    </row>
    <row r="77" spans="1:8" x14ac:dyDescent="0.35">
      <c r="A77"/>
      <c r="B77"/>
      <c r="C77"/>
      <c r="D77"/>
      <c r="E77"/>
      <c r="F77"/>
      <c r="G77"/>
      <c r="H77"/>
    </row>
    <row r="78" spans="1:8" ht="15" thickBot="1" x14ac:dyDescent="0.4">
      <c r="C78" s="781" t="s">
        <v>1272</v>
      </c>
    </row>
    <row r="79" spans="1:8" x14ac:dyDescent="0.35">
      <c r="C79" s="783">
        <v>5</v>
      </c>
      <c r="D79" s="1060" t="s">
        <v>1274</v>
      </c>
      <c r="E79" s="1060"/>
      <c r="F79" s="630" t="e" cm="1">
        <f t="array" aca="1" ref="F79" ca="1">SUM(LARGE($F$22:$F$74,_xlfn.SEQUENCE(C79)))</f>
        <v>#NAME?</v>
      </c>
      <c r="G79" s="782" t="s">
        <v>1271</v>
      </c>
      <c r="H79" s="784" t="e">
        <f ca="1">F79/F76</f>
        <v>#NAME?</v>
      </c>
    </row>
    <row r="80" spans="1:8" ht="15" thickBot="1" x14ac:dyDescent="0.4">
      <c r="C80" s="631"/>
      <c r="D80" s="1061" t="s">
        <v>1273</v>
      </c>
      <c r="E80" s="1061"/>
      <c r="F80" s="785" t="e">
        <f ca="1">F76-F79</f>
        <v>#NAME?</v>
      </c>
      <c r="G80" s="786" t="s">
        <v>1271</v>
      </c>
      <c r="H80" s="787" t="e">
        <f ca="1">1-H79</f>
        <v>#NAME?</v>
      </c>
    </row>
  </sheetData>
  <mergeCells count="6">
    <mergeCell ref="A1:F1"/>
    <mergeCell ref="Q1:V1"/>
    <mergeCell ref="D79:E79"/>
    <mergeCell ref="D80:E80"/>
    <mergeCell ref="T30:U30"/>
    <mergeCell ref="T29:U29"/>
  </mergeCells>
  <conditionalFormatting sqref="A22:H70 A72:H74">
    <cfRule type="expression" dxfId="11" priority="45">
      <formula>AND($H22&lt;=$C$79,$H22&gt;0)</formula>
    </cfRule>
  </conditionalFormatting>
  <conditionalFormatting sqref="Q6:X25">
    <cfRule type="expression" dxfId="10" priority="1">
      <formula>AND($X6&lt;=$S$29,$X6&gt;0)</formula>
    </cfRule>
  </conditionalFormatting>
  <pageMargins left="0.25" right="0.25" top="0.25" bottom="0.5" header="0.25" footer="0.25"/>
  <pageSetup scale="64" orientation="portrait" r:id="rId1"/>
  <headerFooter>
    <oddFooter>&amp;CPage &amp;P of &amp;N</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P52"/>
  <sheetViews>
    <sheetView workbookViewId="0"/>
  </sheetViews>
  <sheetFormatPr defaultRowHeight="14.5" x14ac:dyDescent="0.35"/>
  <cols>
    <col min="1" max="3" width="36.54296875" customWidth="1"/>
  </cols>
  <sheetData>
    <row r="1" spans="1:16" x14ac:dyDescent="0.35">
      <c r="A1" s="488" t="s">
        <v>1120</v>
      </c>
    </row>
    <row r="2" spans="1:16" x14ac:dyDescent="0.35">
      <c r="P2">
        <f ca="1">_xll.CB.RecalcCounterFN()</f>
        <v>0</v>
      </c>
    </row>
    <row r="3" spans="1:16" x14ac:dyDescent="0.35">
      <c r="A3" t="s">
        <v>1121</v>
      </c>
      <c r="B3" t="s">
        <v>1122</v>
      </c>
      <c r="C3">
        <v>0</v>
      </c>
    </row>
    <row r="4" spans="1:16" x14ac:dyDescent="0.35">
      <c r="A4" t="s">
        <v>1123</v>
      </c>
    </row>
    <row r="5" spans="1:16" x14ac:dyDescent="0.35">
      <c r="A5" t="s">
        <v>1124</v>
      </c>
    </row>
    <row r="7" spans="1:16" x14ac:dyDescent="0.35">
      <c r="A7" s="488" t="s">
        <v>1125</v>
      </c>
      <c r="B7" t="s">
        <v>1126</v>
      </c>
    </row>
    <row r="8" spans="1:16" x14ac:dyDescent="0.35">
      <c r="B8">
        <v>3</v>
      </c>
    </row>
    <row r="10" spans="1:16" x14ac:dyDescent="0.35">
      <c r="A10" t="s">
        <v>1127</v>
      </c>
    </row>
    <row r="11" spans="1:16" x14ac:dyDescent="0.35">
      <c r="A11" t="e">
        <f>CB_DATA_!#REF!</f>
        <v>#REF!</v>
      </c>
      <c r="B11" t="e">
        <f>'H-Risk Register-Model'!#REF!</f>
        <v>#REF!</v>
      </c>
      <c r="C11" t="e">
        <f>'I-Project Contingency'!#REF!</f>
        <v>#REF!</v>
      </c>
    </row>
    <row r="13" spans="1:16" x14ac:dyDescent="0.35">
      <c r="A13" t="s">
        <v>1128</v>
      </c>
    </row>
    <row r="14" spans="1:16" x14ac:dyDescent="0.35">
      <c r="A14" t="s">
        <v>1132</v>
      </c>
      <c r="B14" t="s">
        <v>1135</v>
      </c>
      <c r="C14" t="s">
        <v>1141</v>
      </c>
    </row>
    <row r="16" spans="1:16" x14ac:dyDescent="0.35">
      <c r="A16" t="s">
        <v>1129</v>
      </c>
    </row>
    <row r="19" spans="1:3" x14ac:dyDescent="0.35">
      <c r="A19" t="s">
        <v>1130</v>
      </c>
    </row>
    <row r="20" spans="1:3" x14ac:dyDescent="0.35">
      <c r="A20">
        <v>31</v>
      </c>
      <c r="B20">
        <v>52</v>
      </c>
      <c r="C20">
        <v>31</v>
      </c>
    </row>
    <row r="25" spans="1:3" x14ac:dyDescent="0.35">
      <c r="A25" s="488" t="s">
        <v>1131</v>
      </c>
    </row>
    <row r="26" spans="1:3" x14ac:dyDescent="0.35">
      <c r="A26" s="489" t="s">
        <v>1133</v>
      </c>
      <c r="B26" s="489" t="s">
        <v>1146</v>
      </c>
      <c r="C26" s="489" t="s">
        <v>1136</v>
      </c>
    </row>
    <row r="27" spans="1:3" x14ac:dyDescent="0.35">
      <c r="A27" t="s">
        <v>1327</v>
      </c>
      <c r="B27" t="s">
        <v>1328</v>
      </c>
      <c r="C27" t="s">
        <v>1309</v>
      </c>
    </row>
    <row r="28" spans="1:3" x14ac:dyDescent="0.35">
      <c r="A28" s="489" t="s">
        <v>1134</v>
      </c>
      <c r="B28" s="489" t="s">
        <v>1134</v>
      </c>
      <c r="C28" s="489" t="s">
        <v>1134</v>
      </c>
    </row>
    <row r="29" spans="1:3" x14ac:dyDescent="0.35">
      <c r="A29" s="489" t="s">
        <v>1136</v>
      </c>
      <c r="B29" s="489" t="s">
        <v>1133</v>
      </c>
      <c r="C29" s="489" t="s">
        <v>1133</v>
      </c>
    </row>
    <row r="30" spans="1:3" x14ac:dyDescent="0.35">
      <c r="A30" t="s">
        <v>1310</v>
      </c>
      <c r="B30" t="s">
        <v>1298</v>
      </c>
      <c r="C30" t="s">
        <v>1326</v>
      </c>
    </row>
    <row r="31" spans="1:3" x14ac:dyDescent="0.35">
      <c r="A31" s="489" t="s">
        <v>1134</v>
      </c>
      <c r="B31" s="489" t="s">
        <v>1134</v>
      </c>
      <c r="C31" s="489" t="s">
        <v>1134</v>
      </c>
    </row>
    <row r="32" spans="1:3" x14ac:dyDescent="0.35">
      <c r="B32" s="489" t="s">
        <v>1144</v>
      </c>
    </row>
    <row r="33" spans="2:2" x14ac:dyDescent="0.35">
      <c r="B33" t="s">
        <v>1302</v>
      </c>
    </row>
    <row r="34" spans="2:2" x14ac:dyDescent="0.35">
      <c r="B34" s="489" t="s">
        <v>1134</v>
      </c>
    </row>
    <row r="35" spans="2:2" x14ac:dyDescent="0.35">
      <c r="B35" s="489" t="s">
        <v>1145</v>
      </c>
    </row>
    <row r="36" spans="2:2" x14ac:dyDescent="0.35">
      <c r="B36" t="s">
        <v>1303</v>
      </c>
    </row>
    <row r="37" spans="2:2" x14ac:dyDescent="0.35">
      <c r="B37" s="489" t="s">
        <v>1134</v>
      </c>
    </row>
    <row r="38" spans="2:2" x14ac:dyDescent="0.35">
      <c r="B38" s="489" t="s">
        <v>1140</v>
      </c>
    </row>
    <row r="39" spans="2:2" x14ac:dyDescent="0.35">
      <c r="B39" t="s">
        <v>1304</v>
      </c>
    </row>
    <row r="40" spans="2:2" x14ac:dyDescent="0.35">
      <c r="B40" s="489" t="s">
        <v>1134</v>
      </c>
    </row>
    <row r="41" spans="2:2" x14ac:dyDescent="0.35">
      <c r="B41" s="489" t="s">
        <v>1138</v>
      </c>
    </row>
    <row r="42" spans="2:2" x14ac:dyDescent="0.35">
      <c r="B42" t="s">
        <v>1305</v>
      </c>
    </row>
    <row r="43" spans="2:2" x14ac:dyDescent="0.35">
      <c r="B43" s="489" t="s">
        <v>1134</v>
      </c>
    </row>
    <row r="44" spans="2:2" x14ac:dyDescent="0.35">
      <c r="B44" s="489" t="s">
        <v>1139</v>
      </c>
    </row>
    <row r="45" spans="2:2" x14ac:dyDescent="0.35">
      <c r="B45" t="s">
        <v>1306</v>
      </c>
    </row>
    <row r="46" spans="2:2" x14ac:dyDescent="0.35">
      <c r="B46" s="489" t="s">
        <v>1134</v>
      </c>
    </row>
    <row r="47" spans="2:2" x14ac:dyDescent="0.35">
      <c r="B47" s="489" t="s">
        <v>1137</v>
      </c>
    </row>
    <row r="48" spans="2:2" x14ac:dyDescent="0.35">
      <c r="B48" t="s">
        <v>1307</v>
      </c>
    </row>
    <row r="49" spans="2:2" x14ac:dyDescent="0.35">
      <c r="B49" s="489" t="s">
        <v>1134</v>
      </c>
    </row>
    <row r="50" spans="2:2" x14ac:dyDescent="0.35">
      <c r="B50" s="489" t="s">
        <v>1136</v>
      </c>
    </row>
    <row r="51" spans="2:2" x14ac:dyDescent="0.35">
      <c r="B51" t="s">
        <v>1308</v>
      </c>
    </row>
    <row r="52" spans="2:2" x14ac:dyDescent="0.35">
      <c r="B52" s="489" t="s">
        <v>1134</v>
      </c>
    </row>
  </sheetData>
  <pageMargins left="0.7" right="0.7" top="0.75" bottom="0.75" header="0.3" footer="0.3"/>
  <pageSetup orientation="portrait" verticalDpi="598"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0" tint="-0.499984740745262"/>
    <pageSetUpPr fitToPage="1"/>
  </sheetPr>
  <dimension ref="A1:H14"/>
  <sheetViews>
    <sheetView showGridLines="0" zoomScaleNormal="100" zoomScaleSheetLayoutView="100" workbookViewId="0">
      <pane xSplit="1" ySplit="6" topLeftCell="B7" activePane="bottomRight" state="frozen"/>
      <selection pane="topRight"/>
      <selection pane="bottomLeft"/>
      <selection pane="bottomRight" activeCell="B7" sqref="B7"/>
    </sheetView>
  </sheetViews>
  <sheetFormatPr defaultColWidth="8.81640625" defaultRowHeight="14.5" x14ac:dyDescent="0.35"/>
  <cols>
    <col min="1" max="1" width="15.81640625" style="8" customWidth="1"/>
    <col min="2" max="2" width="40.81640625" style="8" customWidth="1"/>
    <col min="3" max="8" width="15.81640625" style="8" customWidth="1"/>
    <col min="9" max="16384" width="8.81640625" style="1"/>
  </cols>
  <sheetData>
    <row r="1" spans="1:8" s="31" customFormat="1" ht="18.5" x14ac:dyDescent="0.45">
      <c r="A1" s="448" t="s">
        <v>1053</v>
      </c>
      <c r="B1" s="1068" t="str">
        <f ca="1">A5&amp;" - "&amp;B5</f>
        <v>TBD - TBD</v>
      </c>
      <c r="C1" s="1068"/>
      <c r="D1" s="1068"/>
      <c r="E1" s="1068"/>
      <c r="F1" s="1068"/>
      <c r="G1" s="1068"/>
      <c r="H1" s="1068"/>
    </row>
    <row r="2" spans="1:8" ht="14.5" customHeight="1" thickBot="1" x14ac:dyDescent="0.4"/>
    <row r="3" spans="1:8" ht="14.5" customHeight="1" thickBot="1" x14ac:dyDescent="0.4">
      <c r="C3" s="1069" t="s">
        <v>864</v>
      </c>
      <c r="D3" s="1070"/>
      <c r="E3" s="1071"/>
      <c r="F3" s="1069" t="s">
        <v>863</v>
      </c>
      <c r="G3" s="1070"/>
      <c r="H3" s="1071"/>
    </row>
    <row r="4" spans="1:8" ht="15" thickBot="1" x14ac:dyDescent="0.4">
      <c r="A4" s="452" t="str">
        <f>'H-Risk Register-Model'!A17</f>
        <v>REF</v>
      </c>
      <c r="B4" s="455" t="str">
        <f>'H-Risk Register-Model'!C17</f>
        <v>Risk/Opportunity Event</v>
      </c>
      <c r="C4" s="452" t="s">
        <v>1054</v>
      </c>
      <c r="D4" s="453" t="s">
        <v>695</v>
      </c>
      <c r="E4" s="454" t="s">
        <v>1055</v>
      </c>
      <c r="F4" s="452" t="str">
        <f>C4</f>
        <v>Low Variance</v>
      </c>
      <c r="G4" s="453" t="str">
        <f>D4</f>
        <v>Likely</v>
      </c>
      <c r="H4" s="454" t="str">
        <f>E4</f>
        <v>High Variance</v>
      </c>
    </row>
    <row r="5" spans="1:8" ht="50.15" customHeight="1" thickBot="1" x14ac:dyDescent="0.4">
      <c r="A5" s="449" t="str" cm="1">
        <f t="array" aca="1" ref="A5" ca="1">IFERROR(MID(CELL("filename",A1),FIND("]",CELL("filename",A1))+1,255)*1,"TBD")</f>
        <v>TBD</v>
      </c>
      <c r="B5" s="450" t="str">
        <f ca="1">IFERROR(VLOOKUP($A$5,'H-Risk Register-Model'!$A$18:$AI$1050,MATCH(B4,'H-Risk Register-Model'!$17:$17,0),FALSE),"TBD")</f>
        <v>TBD</v>
      </c>
      <c r="C5" s="460" t="s">
        <v>639</v>
      </c>
      <c r="D5" s="461" t="s">
        <v>639</v>
      </c>
      <c r="E5" s="462" t="s">
        <v>639</v>
      </c>
      <c r="F5" s="463" t="s">
        <v>639</v>
      </c>
      <c r="G5" s="464" t="s">
        <v>639</v>
      </c>
      <c r="H5" s="465" t="s">
        <v>639</v>
      </c>
    </row>
    <row r="6" spans="1:8" ht="14.5" customHeight="1" thickBot="1" x14ac:dyDescent="0.4">
      <c r="B6" s="90"/>
      <c r="F6" s="8" t="s">
        <v>659</v>
      </c>
      <c r="H6" s="8" t="s">
        <v>659</v>
      </c>
    </row>
    <row r="7" spans="1:8" ht="14.5" customHeight="1" thickBot="1" x14ac:dyDescent="0.4">
      <c r="C7" s="452" t="str">
        <f>'H-Risk Register-Model'!F17</f>
        <v>Likelihood</v>
      </c>
      <c r="D7" s="453" t="str">
        <f>'H-Risk Register-Model'!G17</f>
        <v>Impact (C)</v>
      </c>
      <c r="E7" s="455" t="str">
        <f>'H-Risk Register-Model'!H17</f>
        <v>Risk Level (C)</v>
      </c>
      <c r="F7" s="452" t="str">
        <f>C7</f>
        <v>Likelihood</v>
      </c>
      <c r="G7" s="453" t="str">
        <f>'H-Risk Register-Model'!I17</f>
        <v>Impact (S)</v>
      </c>
      <c r="H7" s="454" t="str">
        <f>'H-Risk Register-Model'!J17</f>
        <v>Risk Level (S)</v>
      </c>
    </row>
    <row r="8" spans="1:8" ht="14.5" customHeight="1" thickBot="1" x14ac:dyDescent="0.4">
      <c r="A8" s="451" t="s">
        <v>659</v>
      </c>
      <c r="B8" s="456" t="s">
        <v>1052</v>
      </c>
      <c r="C8" s="457" t="str">
        <f ca="1">IFERROR(VLOOKUP($A$5,'H-Risk Register-Model'!$A$17:$AU$121,MATCH(C7,'H-Risk Register-Model'!$17:$17,0),FALSE),"TBD")</f>
        <v>TBD</v>
      </c>
      <c r="D8" s="458" t="str">
        <f ca="1">IFERROR(VLOOKUP($A$5,'H-Risk Register-Model'!$A$17:$AU$121,MATCH(D7,'H-Risk Register-Model'!$17:$17,0),FALSE),"TBD")</f>
        <v>TBD</v>
      </c>
      <c r="E8" s="467" t="str">
        <f ca="1">IFERROR(VLOOKUP($A$5,'H-Risk Register-Model'!$A$17:$AU$121,MATCH(E7,'H-Risk Register-Model'!$17:$17,0),FALSE),"TBD")</f>
        <v>TBD</v>
      </c>
      <c r="F8" s="457" t="str">
        <f ca="1">IFERROR(VLOOKUP($A$5,'H-Risk Register-Model'!$A$17:$AU$121,MATCH(F7,'H-Risk Register-Model'!$17:$17,0),FALSE),"TBD")</f>
        <v>TBD</v>
      </c>
      <c r="G8" s="458" t="str">
        <f ca="1">IFERROR(VLOOKUP($A$5,'H-Risk Register-Model'!$A$17:$AU$121,MATCH(G7,'H-Risk Register-Model'!$17:$17,0),FALSE),"TBD")</f>
        <v>TBD</v>
      </c>
      <c r="H8" s="466" t="str">
        <f ca="1">IFERROR(VLOOKUP($A$5,'H-Risk Register-Model'!$A$17:$AU$121,MATCH(H7,'H-Risk Register-Model'!$17:$17,0),FALSE),"TBD")</f>
        <v>TBD</v>
      </c>
    </row>
    <row r="9" spans="1:8" ht="14.5" customHeight="1" x14ac:dyDescent="0.35">
      <c r="F9" s="8" t="s">
        <v>659</v>
      </c>
      <c r="H9" s="8" t="s">
        <v>659</v>
      </c>
    </row>
    <row r="10" spans="1:8" ht="60" customHeight="1" x14ac:dyDescent="0.35">
      <c r="A10" s="566" t="str">
        <f>'H-Risk Register-Model'!$D$17</f>
        <v>Risk Event Description</v>
      </c>
      <c r="B10" s="1065" t="str">
        <f ca="1">IFERROR(VLOOKUP($A$5,'H-Risk Register-Model'!$A$17:$AU$121,MATCH(A10,'H-Risk Register-Model'!$17:$17,0),FALSE),"TBD")</f>
        <v>TBD</v>
      </c>
      <c r="C10" s="1066"/>
      <c r="D10" s="1066"/>
      <c r="E10" s="1066"/>
      <c r="F10" s="1066"/>
      <c r="G10" s="1066"/>
      <c r="H10" s="1067"/>
    </row>
    <row r="11" spans="1:8" ht="250.4" customHeight="1" x14ac:dyDescent="0.35">
      <c r="A11" s="566" t="str">
        <f>'H-Risk Register-Model'!$E$17</f>
        <v>Team Discussions on Impact and Likelihood</v>
      </c>
      <c r="B11" s="1065" t="str">
        <f ca="1">IFERROR(VLOOKUP($A$5,'H-Risk Register-Model'!$A$17:$AU$121,MATCH(A11,'H-Risk Register-Model'!$17:$17,0),FALSE),"TBD")</f>
        <v>TBD</v>
      </c>
      <c r="C11" s="1066"/>
      <c r="D11" s="1066"/>
      <c r="E11" s="1066"/>
      <c r="F11" s="1066"/>
      <c r="G11" s="1066"/>
      <c r="H11" s="1067"/>
    </row>
    <row r="12" spans="1:8" ht="60" customHeight="1" x14ac:dyDescent="0.35">
      <c r="A12" s="567" t="s">
        <v>695</v>
      </c>
      <c r="B12" s="1062" t="s">
        <v>639</v>
      </c>
      <c r="C12" s="1063"/>
      <c r="D12" s="1063"/>
      <c r="E12" s="1063"/>
      <c r="F12" s="1063"/>
      <c r="G12" s="1063"/>
      <c r="H12" s="1064"/>
    </row>
    <row r="13" spans="1:8" ht="60" customHeight="1" x14ac:dyDescent="0.35">
      <c r="A13" s="567" t="s">
        <v>1054</v>
      </c>
      <c r="B13" s="1062" t="s">
        <v>639</v>
      </c>
      <c r="C13" s="1063"/>
      <c r="D13" s="1063"/>
      <c r="E13" s="1063"/>
      <c r="F13" s="1063"/>
      <c r="G13" s="1063"/>
      <c r="H13" s="1064"/>
    </row>
    <row r="14" spans="1:8" ht="60" customHeight="1" x14ac:dyDescent="0.35">
      <c r="A14" s="567" t="s">
        <v>1055</v>
      </c>
      <c r="B14" s="1062" t="s">
        <v>639</v>
      </c>
      <c r="C14" s="1063"/>
      <c r="D14" s="1063"/>
      <c r="E14" s="1063"/>
      <c r="F14" s="1063"/>
      <c r="G14" s="1063"/>
      <c r="H14" s="1064"/>
    </row>
  </sheetData>
  <mergeCells count="8">
    <mergeCell ref="B13:H13"/>
    <mergeCell ref="B14:H14"/>
    <mergeCell ref="B10:H10"/>
    <mergeCell ref="B1:H1"/>
    <mergeCell ref="C3:E3"/>
    <mergeCell ref="F3:H3"/>
    <mergeCell ref="B11:H11"/>
    <mergeCell ref="B12:H12"/>
  </mergeCells>
  <conditionalFormatting sqref="C5:E5">
    <cfRule type="expression" dxfId="9" priority="10">
      <formula>$E$8="Low"</formula>
    </cfRule>
  </conditionalFormatting>
  <conditionalFormatting sqref="E8">
    <cfRule type="expression" dxfId="8" priority="5" stopIfTrue="1">
      <formula>LEFT(E8,1)="H"</formula>
    </cfRule>
    <cfRule type="expression" dxfId="7" priority="6" stopIfTrue="1">
      <formula>LEFT(E8,1)="M"</formula>
    </cfRule>
    <cfRule type="expression" dxfId="6" priority="7" stopIfTrue="1">
      <formula>LEFT(E8,1)="L"</formula>
    </cfRule>
    <cfRule type="expression" dxfId="5" priority="8" stopIfTrue="1">
      <formula>LEFT(C8,3)="Cer"</formula>
    </cfRule>
  </conditionalFormatting>
  <conditionalFormatting sqref="F5:H5">
    <cfRule type="expression" dxfId="4" priority="9">
      <formula>$H$8="Low"</formula>
    </cfRule>
  </conditionalFormatting>
  <conditionalFormatting sqref="H8">
    <cfRule type="expression" dxfId="3" priority="1" stopIfTrue="1">
      <formula>LEFT(H8,1)="H"</formula>
    </cfRule>
    <cfRule type="expression" dxfId="2" priority="2" stopIfTrue="1">
      <formula>LEFT(H8,1)="M"</formula>
    </cfRule>
    <cfRule type="expression" dxfId="1" priority="3" stopIfTrue="1">
      <formula>LEFT(H8,1)="L"</formula>
    </cfRule>
    <cfRule type="expression" dxfId="0" priority="4" stopIfTrue="1">
      <formula>LEFT(F8,3)="Cer"</formula>
    </cfRule>
  </conditionalFormatting>
  <printOptions horizontalCentered="1"/>
  <pageMargins left="0.25" right="0.25" top="0.25" bottom="0.5" header="0.25" footer="0.25"/>
  <pageSetup scale="83" orientation="landscape" horizontalDpi="1200" verticalDpi="1200" r:id="rId1"/>
  <headerFooter>
    <oddFooter>&amp;CPage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23"/>
  <sheetViews>
    <sheetView workbookViewId="0">
      <selection activeCell="C12" sqref="C12"/>
    </sheetView>
  </sheetViews>
  <sheetFormatPr defaultRowHeight="14.5" x14ac:dyDescent="0.35"/>
  <cols>
    <col min="1" max="1" width="10.7265625" customWidth="1"/>
    <col min="2" max="2" width="25.7265625" customWidth="1"/>
    <col min="3" max="3" width="75.7265625" customWidth="1"/>
  </cols>
  <sheetData>
    <row r="1" spans="1:3" s="814" customFormat="1" ht="18.5" x14ac:dyDescent="0.45">
      <c r="A1" s="814" t="s">
        <v>1331</v>
      </c>
    </row>
    <row r="3" spans="1:3" x14ac:dyDescent="0.35">
      <c r="A3" s="76" t="s">
        <v>1317</v>
      </c>
      <c r="B3" t="s">
        <v>1315</v>
      </c>
      <c r="C3" t="s">
        <v>1316</v>
      </c>
    </row>
    <row r="4" spans="1:3" x14ac:dyDescent="0.35">
      <c r="A4" s="813">
        <v>1</v>
      </c>
      <c r="B4" s="815" t="s">
        <v>1332</v>
      </c>
      <c r="C4" s="812" t="s">
        <v>1333</v>
      </c>
    </row>
    <row r="5" spans="1:3" ht="43.5" x14ac:dyDescent="0.35">
      <c r="A5" s="813">
        <f>A4+1</f>
        <v>2</v>
      </c>
      <c r="B5" s="815" t="s">
        <v>1337</v>
      </c>
      <c r="C5" s="812" t="s">
        <v>1338</v>
      </c>
    </row>
    <row r="6" spans="1:3" x14ac:dyDescent="0.35">
      <c r="A6" s="813">
        <f t="shared" ref="A6:A23" si="0">A5+1</f>
        <v>3</v>
      </c>
      <c r="B6" s="815" t="s">
        <v>1320</v>
      </c>
      <c r="C6" s="812" t="s">
        <v>1321</v>
      </c>
    </row>
    <row r="7" spans="1:3" x14ac:dyDescent="0.35">
      <c r="A7" s="813">
        <f t="shared" si="0"/>
        <v>4</v>
      </c>
      <c r="B7" s="815" t="s">
        <v>1300</v>
      </c>
      <c r="C7" s="812" t="s">
        <v>1322</v>
      </c>
    </row>
    <row r="8" spans="1:3" x14ac:dyDescent="0.35">
      <c r="A8" s="813">
        <f t="shared" si="0"/>
        <v>5</v>
      </c>
      <c r="B8" s="815" t="s">
        <v>1300</v>
      </c>
      <c r="C8" s="812" t="s">
        <v>1323</v>
      </c>
    </row>
    <row r="9" spans="1:3" x14ac:dyDescent="0.35">
      <c r="A9" s="813">
        <f t="shared" si="0"/>
        <v>6</v>
      </c>
      <c r="B9" s="815" t="s">
        <v>1300</v>
      </c>
      <c r="C9" s="812" t="s">
        <v>1301</v>
      </c>
    </row>
    <row r="10" spans="1:3" x14ac:dyDescent="0.35">
      <c r="A10" s="813">
        <f t="shared" si="0"/>
        <v>7</v>
      </c>
      <c r="B10" s="815" t="s">
        <v>1300</v>
      </c>
      <c r="C10" s="812" t="s">
        <v>1319</v>
      </c>
    </row>
    <row r="11" spans="1:3" x14ac:dyDescent="0.35">
      <c r="A11" s="813">
        <f t="shared" si="0"/>
        <v>8</v>
      </c>
      <c r="B11" s="815" t="s">
        <v>1300</v>
      </c>
      <c r="C11" s="812" t="s">
        <v>1318</v>
      </c>
    </row>
    <row r="12" spans="1:3" ht="29" x14ac:dyDescent="0.35">
      <c r="A12" s="813">
        <f t="shared" si="0"/>
        <v>9</v>
      </c>
      <c r="B12" s="815" t="s">
        <v>1300</v>
      </c>
      <c r="C12" s="812" t="s">
        <v>1330</v>
      </c>
    </row>
    <row r="13" spans="1:3" ht="87" x14ac:dyDescent="0.35">
      <c r="A13" s="813">
        <f t="shared" si="0"/>
        <v>10</v>
      </c>
      <c r="B13" s="815" t="s">
        <v>1300</v>
      </c>
      <c r="C13" s="812" t="s">
        <v>1344</v>
      </c>
    </row>
    <row r="14" spans="1:3" x14ac:dyDescent="0.35">
      <c r="A14" s="813">
        <f t="shared" si="0"/>
        <v>11</v>
      </c>
      <c r="B14" s="815" t="s">
        <v>1300</v>
      </c>
      <c r="C14" s="812" t="s">
        <v>1343</v>
      </c>
    </row>
    <row r="15" spans="1:3" x14ac:dyDescent="0.35">
      <c r="A15" s="813">
        <f t="shared" si="0"/>
        <v>12</v>
      </c>
      <c r="B15" s="815" t="s">
        <v>1311</v>
      </c>
      <c r="C15" s="812" t="s">
        <v>1313</v>
      </c>
    </row>
    <row r="16" spans="1:3" x14ac:dyDescent="0.35">
      <c r="A16" s="813">
        <f t="shared" si="0"/>
        <v>13</v>
      </c>
      <c r="B16" s="815" t="s">
        <v>1312</v>
      </c>
      <c r="C16" s="812" t="s">
        <v>1313</v>
      </c>
    </row>
    <row r="17" spans="1:3" x14ac:dyDescent="0.35">
      <c r="A17" s="813">
        <f t="shared" si="0"/>
        <v>14</v>
      </c>
      <c r="B17" s="815" t="s">
        <v>1314</v>
      </c>
      <c r="C17" s="812" t="s">
        <v>1325</v>
      </c>
    </row>
    <row r="18" spans="1:3" x14ac:dyDescent="0.35">
      <c r="A18" s="813">
        <f t="shared" si="0"/>
        <v>15</v>
      </c>
      <c r="B18" s="815" t="s">
        <v>1314</v>
      </c>
      <c r="C18" s="812" t="s">
        <v>1324</v>
      </c>
    </row>
    <row r="19" spans="1:3" ht="43.5" x14ac:dyDescent="0.35">
      <c r="A19" s="813">
        <f t="shared" si="0"/>
        <v>16</v>
      </c>
      <c r="B19" s="815" t="s">
        <v>1314</v>
      </c>
      <c r="C19" s="812" t="s">
        <v>1336</v>
      </c>
    </row>
    <row r="20" spans="1:3" x14ac:dyDescent="0.35">
      <c r="A20" s="813">
        <f t="shared" si="0"/>
        <v>17</v>
      </c>
      <c r="B20" s="815"/>
      <c r="C20" s="812"/>
    </row>
    <row r="21" spans="1:3" x14ac:dyDescent="0.35">
      <c r="A21" s="813">
        <f t="shared" si="0"/>
        <v>18</v>
      </c>
      <c r="B21" s="815"/>
      <c r="C21" s="812"/>
    </row>
    <row r="22" spans="1:3" x14ac:dyDescent="0.35">
      <c r="A22" s="813">
        <f t="shared" si="0"/>
        <v>19</v>
      </c>
      <c r="B22" s="815"/>
      <c r="C22" s="812"/>
    </row>
    <row r="23" spans="1:3" x14ac:dyDescent="0.35">
      <c r="A23" s="813">
        <f t="shared" si="0"/>
        <v>20</v>
      </c>
      <c r="B23" s="815"/>
      <c r="C23" s="812"/>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499984740745262"/>
    <pageSetUpPr fitToPage="1"/>
  </sheetPr>
  <dimension ref="A2:C14"/>
  <sheetViews>
    <sheetView showGridLines="0" zoomScaleNormal="100" workbookViewId="0">
      <pane ySplit="2" topLeftCell="A3" activePane="bottomLeft" state="frozen"/>
      <selection activeCell="A3" sqref="A3"/>
      <selection pane="bottomLeft" activeCell="A3" sqref="A3"/>
    </sheetView>
  </sheetViews>
  <sheetFormatPr defaultRowHeight="14.5" x14ac:dyDescent="0.35"/>
  <cols>
    <col min="1" max="1" width="3" style="8" customWidth="1"/>
    <col min="2" max="2" width="125.54296875" style="8" customWidth="1"/>
    <col min="3" max="3" width="3" style="8" customWidth="1"/>
  </cols>
  <sheetData>
    <row r="2" spans="2:2" ht="21" x14ac:dyDescent="0.35">
      <c r="B2" s="180" t="s">
        <v>829</v>
      </c>
    </row>
    <row r="3" spans="2:2" x14ac:dyDescent="0.35">
      <c r="B3" s="178" t="s">
        <v>1042</v>
      </c>
    </row>
    <row r="4" spans="2:2" ht="29" x14ac:dyDescent="0.35">
      <c r="B4" s="179" t="s">
        <v>1043</v>
      </c>
    </row>
    <row r="5" spans="2:2" ht="29" x14ac:dyDescent="0.35">
      <c r="B5" s="179" t="s">
        <v>1044</v>
      </c>
    </row>
    <row r="6" spans="2:2" ht="29" x14ac:dyDescent="0.35">
      <c r="B6" s="179" t="s">
        <v>1045</v>
      </c>
    </row>
    <row r="7" spans="2:2" x14ac:dyDescent="0.35">
      <c r="B7" s="179" t="s">
        <v>1046</v>
      </c>
    </row>
    <row r="8" spans="2:2" ht="58" x14ac:dyDescent="0.35">
      <c r="B8" s="179" t="s">
        <v>827</v>
      </c>
    </row>
    <row r="9" spans="2:2" ht="29" x14ac:dyDescent="0.35">
      <c r="B9" s="179" t="s">
        <v>1047</v>
      </c>
    </row>
    <row r="10" spans="2:2" ht="29" x14ac:dyDescent="0.35">
      <c r="B10" s="179" t="s">
        <v>1048</v>
      </c>
    </row>
    <row r="11" spans="2:2" x14ac:dyDescent="0.35">
      <c r="B11" s="179" t="s">
        <v>1049</v>
      </c>
    </row>
    <row r="12" spans="2:2" ht="29" x14ac:dyDescent="0.35">
      <c r="B12" s="179" t="s">
        <v>1050</v>
      </c>
    </row>
    <row r="13" spans="2:2" ht="29" x14ac:dyDescent="0.35">
      <c r="B13" s="179" t="s">
        <v>1051</v>
      </c>
    </row>
    <row r="14" spans="2:2" x14ac:dyDescent="0.35">
      <c r="B14" s="105" t="s">
        <v>828</v>
      </c>
    </row>
  </sheetData>
  <pageMargins left="0.25" right="0.25" top="0.25" bottom="0.5" header="0.25" footer="0.25"/>
  <pageSetup scale="97" fitToHeight="0" orientation="portrait" horizontalDpi="1200" verticalDpi="1200" r:id="rId1"/>
  <headerFooter>
    <oddFooter>&amp;CPage &amp;P of &amp;N</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1"/>
  </sheetPr>
  <dimension ref="A1"/>
  <sheetViews>
    <sheetView workbookViewId="0"/>
  </sheetViews>
  <sheetFormatPr defaultRowHeight="14.5" x14ac:dyDescent="0.35"/>
  <sheetData/>
  <pageMargins left="0.7" right="0.7" top="0.75" bottom="0.75" header="0.3" footer="0.3"/>
  <pageSetup orientation="portrait" verticalDpi="598"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W36"/>
  <sheetViews>
    <sheetView showGridLines="0" tabSelected="1" zoomScaleNormal="100" workbookViewId="0">
      <pane ySplit="2" topLeftCell="A3" activePane="bottomLeft" state="frozen"/>
      <selection pane="bottomLeft" activeCell="A3" sqref="A3"/>
    </sheetView>
  </sheetViews>
  <sheetFormatPr defaultRowHeight="14.5" outlineLevelCol="1" x14ac:dyDescent="0.35"/>
  <cols>
    <col min="1" max="1" width="10.54296875" customWidth="1"/>
    <col min="2" max="2" width="100.54296875" customWidth="1"/>
    <col min="4" max="4" width="28.1796875" hidden="1" customWidth="1" outlineLevel="1"/>
    <col min="5" max="5" width="55.81640625" hidden="1" customWidth="1" outlineLevel="1"/>
    <col min="6" max="6" width="30.54296875" hidden="1" customWidth="1" outlineLevel="1"/>
    <col min="7" max="7" width="5.453125" hidden="1" customWidth="1" outlineLevel="1"/>
    <col min="8" max="8" width="8.1796875" hidden="1" customWidth="1" outlineLevel="1"/>
    <col min="9" max="9" width="5.453125" hidden="1" customWidth="1" outlineLevel="1"/>
    <col min="10" max="10" width="5.81640625" hidden="1" customWidth="1" outlineLevel="1"/>
    <col min="11" max="11" width="24.1796875" hidden="1" customWidth="1" outlineLevel="1"/>
    <col min="12" max="12" width="8.81640625" hidden="1" customWidth="1" outlineLevel="1"/>
    <col min="13" max="13" width="34.54296875" hidden="1" customWidth="1" outlineLevel="1"/>
    <col min="14" max="14" width="27.1796875" bestFit="1" customWidth="1" collapsed="1"/>
    <col min="15" max="15" width="28.54296875" bestFit="1" customWidth="1"/>
    <col min="16" max="16" width="13.26953125" bestFit="1" customWidth="1"/>
  </cols>
  <sheetData>
    <row r="1" spans="1:23" s="7" customFormat="1" ht="21" x14ac:dyDescent="0.5">
      <c r="A1" s="817" t="s">
        <v>10</v>
      </c>
      <c r="B1" s="817"/>
      <c r="D1" s="817" t="s">
        <v>1188</v>
      </c>
      <c r="E1" s="817"/>
      <c r="F1" s="817"/>
      <c r="G1" s="817"/>
      <c r="H1" s="817"/>
      <c r="I1" s="817"/>
      <c r="J1" s="817"/>
      <c r="K1" s="817"/>
      <c r="L1" s="817"/>
      <c r="M1" s="817"/>
    </row>
    <row r="2" spans="1:23" s="1" customFormat="1" x14ac:dyDescent="0.35">
      <c r="G2"/>
      <c r="H2"/>
      <c r="I2"/>
      <c r="J2"/>
      <c r="K2"/>
      <c r="L2"/>
      <c r="M2"/>
    </row>
    <row r="3" spans="1:23" x14ac:dyDescent="0.35">
      <c r="A3" s="386" t="s">
        <v>1035</v>
      </c>
      <c r="B3" s="387"/>
      <c r="D3" s="387" t="s">
        <v>2</v>
      </c>
      <c r="E3" s="388" t="s">
        <v>1023</v>
      </c>
      <c r="F3" s="387" t="s">
        <v>1008</v>
      </c>
      <c r="G3" s="387" t="s">
        <v>1166</v>
      </c>
      <c r="H3" s="387" t="s">
        <v>1170</v>
      </c>
      <c r="I3" s="387" t="s">
        <v>1171</v>
      </c>
      <c r="K3" s="387" t="s">
        <v>1169</v>
      </c>
      <c r="M3" s="387" t="s">
        <v>1172</v>
      </c>
    </row>
    <row r="4" spans="1:23" x14ac:dyDescent="0.35">
      <c r="A4" s="614">
        <v>1</v>
      </c>
      <c r="B4" s="612" t="s">
        <v>1167</v>
      </c>
      <c r="D4" s="362" t="s">
        <v>1009</v>
      </c>
      <c r="E4" s="362" t="str" cm="1">
        <f t="array" aca="1" ref="E4" ca="1">TEXT(CELL("address",'E-Cost &amp; Schedule Summary'!$D$50),"")</f>
        <v>'[2024 CSRA Template.xlsx]E-Cost &amp; Schedule Summary'!$D$50</v>
      </c>
      <c r="F4" s="362" t="str">
        <f t="shared" ref="F4:F19" ca="1" si="0">RIGHT(E4,LEN(E4)-FIND("]",E4))</f>
        <v>E-Cost &amp; Schedule Summary'!$D$50</v>
      </c>
      <c r="G4" s="362" t="str">
        <f t="shared" ref="G4:G26" ca="1" si="1">SUBSTITUTE(RIGHT(F4,LEN(F4)-FIND("!",F4,1)),"$","")</f>
        <v>D50</v>
      </c>
      <c r="H4" s="362" t="str">
        <f t="shared" ref="H4:H11" ca="1" si="2">SUBSTITUTE(G4,I4,"")</f>
        <v>D</v>
      </c>
      <c r="I4" s="362" t="str" cm="1">
        <f t="array" aca="1" ref="I4" ca="1">RIGHT(G4,LEN(G4)-MIN(FIND({0,1,2,3,4,5,6,7,8,9},G4&amp;"0123456789"))+1)</f>
        <v>50</v>
      </c>
      <c r="M4" s="621" t="s">
        <v>1177</v>
      </c>
      <c r="Q4" s="1"/>
      <c r="R4" s="1"/>
      <c r="S4" s="1"/>
      <c r="T4" s="1"/>
      <c r="U4" s="1"/>
      <c r="V4" s="1"/>
      <c r="W4" s="1"/>
    </row>
    <row r="5" spans="1:23" ht="72.5" x14ac:dyDescent="0.35">
      <c r="A5" s="614">
        <f>A4+1</f>
        <v>2</v>
      </c>
      <c r="B5" s="612" t="str">
        <f ca="1">CONCATENATE("Fill Out the '",K6,"' tab and the ‘",K5,"'’ tab before the meeting.  This will set the project assumptions tab up for the risk register ranges that display on the ‘",K9,"’ tab.  The cost and schedule data you fill in here links to the contingency tabs- so be careful if you reformat.  The ‘",K6,"’ tab is for the Estimator to help you!   It is good to break things out by WBS so you can use this in development of risk ranges.")</f>
        <v>Fill Out the 'E-Cost &amp; Schedule Summary' tab and the ‘D-Project Data'’ tab before the meeting.  This will set the project assumptions tab up for the risk register ranges that display on the ‘H-Risk Register-Model’ tab.  The cost and schedule data you fill in here links to the contingency tabs- so be careful if you reformat.  The ‘E-Cost &amp; Schedule Summary’ tab is for the Estimator to help you!   It is good to break things out by WBS so you can use this in development of risk ranges.</v>
      </c>
      <c r="D5" s="362" t="s">
        <v>1024</v>
      </c>
      <c r="E5" s="362" t="str" cm="1">
        <f t="array" aca="1" ref="E5" ca="1">TEXT(CELL("address",'E-Cost &amp; Schedule Summary'!G52),"")</f>
        <v>'[2024 CSRA Template.xlsx]E-Cost &amp; Schedule Summary'!$G$52</v>
      </c>
      <c r="F5" s="362" t="str">
        <f t="shared" ca="1" si="0"/>
        <v>E-Cost &amp; Schedule Summary'!$G$52</v>
      </c>
      <c r="G5" s="362" t="str">
        <f t="shared" ca="1" si="1"/>
        <v>G52</v>
      </c>
      <c r="H5" s="362" t="str">
        <f t="shared" ca="1" si="2"/>
        <v>G</v>
      </c>
      <c r="I5" s="362" t="str" cm="1">
        <f t="array" aca="1" ref="I5" ca="1">RIGHT(G5,LEN(G5)-MIN(FIND({0,1,2,3,4,5,6,7,8,9},G5&amp;"0123456789"))+1)</f>
        <v>52</v>
      </c>
      <c r="K5" s="613" t="str" cm="1">
        <f t="array" aca="1" ref="K5" ca="1">MID(CELL("filename",'D-Project Data'!A1),FIND("]",CELL("filename",'D-Project Data'!A1))+1,255)</f>
        <v>D-Project Data</v>
      </c>
      <c r="M5" s="621" t="s">
        <v>1178</v>
      </c>
    </row>
    <row r="6" spans="1:23" ht="116" x14ac:dyDescent="0.35">
      <c r="A6" s="614">
        <f>A5+1</f>
        <v>3</v>
      </c>
      <c r="B6" s="612" t="str">
        <f ca="1">CONCATENATE("CELL ",G4," on the ‘",K6,"’ tab is what generates the 'ranges' defining costs of impacts by using the values in the ‘",K8,"’ tab and the base cost/schedule of the project.  The cost value is highlighted RED.  If you have a project cost ceiling or programmed amount already, you can populate the programmed amount in CELL ",G5," and there is a chart already created in the project contingency tab that will show it on the S-curve.  Check the ranges on the ‘",K8,"’ Tab-- a “Marginal” risk is 0.5% of the estimated project cost.  Depending on where you are in execution you may want to LOWER the thresholds of risk at each level.  ","Marginal should never be defined as more than 1/2 of 1 percent.  You can lower the values but generally don’t want to raise them.  Rounding for the assumptions is set in CELLS ",G6," and ",G7," on the '",K8,"' tab.")</f>
        <v>CELL D50 on the ‘E-Cost &amp; Schedule Summary’ tab is what generates the 'ranges' defining costs of impacts by using the values in the ‘G-Assumptions’ tab and the base cost/schedule of the project.  The cost value is highlighted RED.  If you have a project cost ceiling or programmed amount already, you can populate the programmed amount in CELL G52 and there is a chart already created in the project contingency tab that will show it on the S-curve.  Check the ranges on the ‘G-Assumptions’ Tab-- a “Marginal” risk is 0.5% of the estimated project cost.  Depending on where you are in execution you may want to LOWER the thresholds of risk at each level.  Marginal should never be defined as more than 1/2 of 1 percent.  You can lower the values but generally don’t want to raise them.  Rounding for the assumptions is set in CELLS B6 and C6 on the 'G-Assumptions' tab.</v>
      </c>
      <c r="D6" s="362" t="s">
        <v>1011</v>
      </c>
      <c r="E6" s="362" t="str" cm="1">
        <f t="array" aca="1" ref="E6" ca="1">TEXT(CELL("address",'H-Risk Register-Model'!B6),"")</f>
        <v>'[2024 CSRA Template.xlsx]H-Risk Register-Model'!$B$6</v>
      </c>
      <c r="F6" s="362" t="str">
        <f t="shared" ca="1" si="0"/>
        <v>H-Risk Register-Model'!$B$6</v>
      </c>
      <c r="G6" s="362" t="str">
        <f t="shared" ca="1" si="1"/>
        <v>B6</v>
      </c>
      <c r="H6" s="362" t="str">
        <f t="shared" ca="1" si="2"/>
        <v>B</v>
      </c>
      <c r="I6" s="362" t="str" cm="1">
        <f t="array" aca="1" ref="I6" ca="1">RIGHT(G6,LEN(G6)-MIN(FIND({0,1,2,3,4,5,6,7,8,9},G6&amp;"0123456789"))+1)</f>
        <v>6</v>
      </c>
      <c r="K6" s="613" t="str" cm="1">
        <f t="array" aca="1" ref="K6" ca="1">MID(CELL("filename",'E-Cost &amp; Schedule Summary'!$A$1),FIND("]",CELL("filename",'E-Cost &amp; Schedule Summary'!$A$1))+1,255)</f>
        <v>E-Cost &amp; Schedule Summary</v>
      </c>
      <c r="M6" s="621" t="s">
        <v>1179</v>
      </c>
    </row>
    <row r="7" spans="1:23" x14ac:dyDescent="0.35">
      <c r="A7" s="614">
        <f>A6+1</f>
        <v>4</v>
      </c>
      <c r="B7" s="612" t="s">
        <v>9</v>
      </c>
      <c r="D7" s="362" t="s">
        <v>1010</v>
      </c>
      <c r="E7" s="362" t="str" cm="1">
        <f t="array" aca="1" ref="E7" ca="1">TEXT(CELL("address",'H-Risk Register-Model'!C6),"")</f>
        <v>'[2024 CSRA Template.xlsx]H-Risk Register-Model'!$C$6</v>
      </c>
      <c r="F7" s="362" t="str">
        <f t="shared" ca="1" si="0"/>
        <v>H-Risk Register-Model'!$C$6</v>
      </c>
      <c r="G7" s="362" t="str">
        <f t="shared" ca="1" si="1"/>
        <v>C6</v>
      </c>
      <c r="H7" s="362" t="str">
        <f t="shared" ca="1" si="2"/>
        <v>C</v>
      </c>
      <c r="I7" s="362" t="str" cm="1">
        <f t="array" aca="1" ref="I7" ca="1">RIGHT(G7,LEN(G7)-MIN(FIND({0,1,2,3,4,5,6,7,8,9},G7&amp;"0123456789"))+1)</f>
        <v>6</v>
      </c>
      <c r="K7" s="613" t="str" cm="1">
        <f t="array" aca="1" ref="K7" ca="1">MID(CELL("filename",'F-Meeting Attendance'!$A$1),FIND("]",CELL("filename",'F-Meeting Attendance'!$A$1))+1,255)</f>
        <v>F-Meeting Attendance</v>
      </c>
      <c r="M7" s="621" t="s">
        <v>1180</v>
      </c>
    </row>
    <row r="8" spans="1:23" x14ac:dyDescent="0.35">
      <c r="A8" s="10"/>
      <c r="B8" s="5"/>
      <c r="D8" s="362" t="s">
        <v>1012</v>
      </c>
      <c r="E8" s="362" t="str" cm="1">
        <f t="array" aca="1" ref="E8" ca="1">TEXT(CELL("address",'H-Risk Register-Model'!$AE$1),"")</f>
        <v>'[2024 CSRA Template.xlsx]H-Risk Register-Model'!$AE$1</v>
      </c>
      <c r="F8" s="362" t="str">
        <f t="shared" ca="1" si="0"/>
        <v>H-Risk Register-Model'!$AE$1</v>
      </c>
      <c r="G8" s="362" t="str">
        <f t="shared" ca="1" si="1"/>
        <v>AE1</v>
      </c>
      <c r="H8" s="362" t="str">
        <f t="shared" ca="1" si="2"/>
        <v>AE</v>
      </c>
      <c r="I8" s="362" t="str" cm="1">
        <f t="array" aca="1" ref="I8" ca="1">RIGHT(G8,LEN(G8)-MIN(FIND({0,1,2,3,4,5,6,7,8,9},G8&amp;"0123456789"))+1)</f>
        <v>1</v>
      </c>
      <c r="K8" s="613" t="str" cm="1">
        <f t="array" aca="1" ref="K8" ca="1">MID(CELL("filename",'G-Assumptions'!$A$1),FIND("]",CELL("filename",'G-Assumptions'!$A$1))+1,255)</f>
        <v>G-Assumptions</v>
      </c>
      <c r="M8" s="621" t="s">
        <v>1181</v>
      </c>
    </row>
    <row r="9" spans="1:23" x14ac:dyDescent="0.35">
      <c r="A9" s="386" t="s">
        <v>8</v>
      </c>
      <c r="B9" s="387"/>
      <c r="D9" s="362" t="s">
        <v>1013</v>
      </c>
      <c r="E9" s="362" t="str" cm="1">
        <f t="array" aca="1" ref="E9" ca="1">TEXT(CELL("address",'H-Risk Register-Model'!$AG$1),"")</f>
        <v>'[2024 CSRA Template.xlsx]H-Risk Register-Model'!$AG$1</v>
      </c>
      <c r="F9" s="362" t="str">
        <f t="shared" ca="1" si="0"/>
        <v>H-Risk Register-Model'!$AG$1</v>
      </c>
      <c r="G9" s="362" t="str">
        <f t="shared" ca="1" si="1"/>
        <v>AG1</v>
      </c>
      <c r="H9" s="362" t="str">
        <f t="shared" ca="1" si="2"/>
        <v>AG</v>
      </c>
      <c r="I9" s="362" t="str" cm="1">
        <f t="array" aca="1" ref="I9" ca="1">RIGHT(G9,LEN(G9)-MIN(FIND({0,1,2,3,4,5,6,7,8,9},G9&amp;"0123456789"))+1)</f>
        <v>1</v>
      </c>
      <c r="K9" s="613" t="str" cm="1">
        <f t="array" aca="1" ref="K9" ca="1">MID(CELL("filename",'H-Risk Register-Model'!$A$1),FIND("]",CELL("filename",'H-Risk Register-Model'!$A$1))+1,255)</f>
        <v>H-Risk Register-Model</v>
      </c>
      <c r="M9" s="621" t="s">
        <v>1183</v>
      </c>
    </row>
    <row r="10" spans="1:23" ht="29" x14ac:dyDescent="0.35">
      <c r="A10" s="10">
        <f>A7+1</f>
        <v>5</v>
      </c>
      <c r="B10" s="5" t="str">
        <f ca="1">CONCATENATE("Lead the meeting and capture the meeting attendance on the ‘",K7,"’ tab and risks on the ‘",K9,"’ tab- it may help to have a second person capture them also so you can compare and contrast.")</f>
        <v>Lead the meeting and capture the meeting attendance on the ‘F-Meeting Attendance’ tab and risks on the ‘H-Risk Register-Model’ tab- it may help to have a second person capture them also so you can compare and contrast.</v>
      </c>
      <c r="D10" s="362" t="s">
        <v>843</v>
      </c>
      <c r="E10" s="362" t="str" cm="1">
        <f t="array" aca="1" ref="E10" ca="1">TEXT(CELL("address",'D-Project Data'!C6),"")</f>
        <v>'[2024 CSRA Template.xlsx]D-Project Data'!$C$6</v>
      </c>
      <c r="F10" s="362" t="str">
        <f t="shared" ca="1" si="0"/>
        <v>D-Project Data'!$C$6</v>
      </c>
      <c r="G10" s="362" t="str">
        <f t="shared" ca="1" si="1"/>
        <v>C6</v>
      </c>
      <c r="H10" s="362" t="str">
        <f t="shared" ca="1" si="2"/>
        <v>C</v>
      </c>
      <c r="I10" s="362" t="str" cm="1">
        <f t="array" aca="1" ref="I10" ca="1">RIGHT(G10,LEN(G10)-MIN(FIND({0,1,2,3,4,5,6,7,8,9},G10&amp;"0123456789"))+1)</f>
        <v>6</v>
      </c>
      <c r="K10" s="613" t="str" cm="1">
        <f t="array" aca="1" ref="K10" ca="1">MID(CELL("filename",'I-Project Contingency'!$A$1),FIND("]",CELL("filename",'I-Project Contingency'!$A$1))+1,255)</f>
        <v>I-Project Contingency</v>
      </c>
      <c r="M10" s="621" t="s">
        <v>1184</v>
      </c>
    </row>
    <row r="11" spans="1:23" x14ac:dyDescent="0.35">
      <c r="A11" s="10"/>
      <c r="B11" s="5"/>
      <c r="D11" s="362" t="s">
        <v>1014</v>
      </c>
      <c r="E11" s="362" t="str" cm="1">
        <f t="array" aca="1" ref="E11" ca="1">TEXT(CELL("address",'H-Risk Register-Model'!$AI$17),"")</f>
        <v>'[2024 CSRA Template.xlsx]H-Risk Register-Model'!$AI$17</v>
      </c>
      <c r="F11" s="362" t="str">
        <f t="shared" ca="1" si="0"/>
        <v>H-Risk Register-Model'!$AI$17</v>
      </c>
      <c r="G11" s="362" t="str">
        <f t="shared" ca="1" si="1"/>
        <v>AI17</v>
      </c>
      <c r="H11" s="362" t="str">
        <f t="shared" ca="1" si="2"/>
        <v>AI</v>
      </c>
      <c r="I11" s="362" t="str" cm="1">
        <f t="array" aca="1" ref="I11" ca="1">RIGHT(G11,LEN(G11)-MIN(FIND({0,1,2,3,4,5,6,7,8,9},G11&amp;"0123456789"))+1)</f>
        <v>17</v>
      </c>
      <c r="K11" s="613" t="str" cm="1">
        <f t="array" aca="1" ref="K11" ca="1">MID(CELL("filename",'J-Sensitivity Charts'!$A$1),FIND("]",CELL("filename",'J-Sensitivity Charts'!$A$1))+1,255)</f>
        <v>J-Sensitivity Charts</v>
      </c>
      <c r="M11" s="621" t="s">
        <v>1185</v>
      </c>
    </row>
    <row r="12" spans="1:23" x14ac:dyDescent="0.35">
      <c r="A12" s="386" t="s">
        <v>7</v>
      </c>
      <c r="B12" s="387"/>
      <c r="D12" s="362" t="s">
        <v>1016</v>
      </c>
      <c r="E12" s="362" t="str" cm="1">
        <f t="array" aca="1" ref="E12" ca="1">TEXT(CELL("address",'H-Risk Register-Model'!$A$17),"")</f>
        <v>'[2024 CSRA Template.xlsx]H-Risk Register-Model'!$A$17</v>
      </c>
      <c r="F12" s="362" t="str">
        <f t="shared" ca="1" si="0"/>
        <v>H-Risk Register-Model'!$A$17</v>
      </c>
      <c r="G12" s="362" t="str">
        <f t="shared" ca="1" si="1"/>
        <v>A17</v>
      </c>
      <c r="H12" s="362" t="str">
        <f ca="1">SUBSTITUTE(G12,I12,"")</f>
        <v>A</v>
      </c>
      <c r="I12" s="362" t="str" cm="1">
        <f t="array" aca="1" ref="I12" ca="1">RIGHT(G12,LEN(G12)-MIN(FIND({0,1,2,3,4,5,6,7,8,9},G12&amp;"0123456789"))+1)</f>
        <v>17</v>
      </c>
      <c r="K12" s="613" t="str" cm="1">
        <f t="array" aca="1" ref="K12" ca="1">MID(CELL("filename",'K1-Risk Dashboard (Cost)'!$A$1),FIND("]",CELL("filename",'K1-Risk Dashboard (Cost)'!$A$1))+1,255)</f>
        <v>K1-Risk Dashboard (Cost)</v>
      </c>
      <c r="M12" s="621" t="s">
        <v>1186</v>
      </c>
    </row>
    <row r="13" spans="1:23" ht="29" x14ac:dyDescent="0.35">
      <c r="A13" s="614">
        <f>A10+1</f>
        <v>6</v>
      </c>
      <c r="B13" s="612" t="s">
        <v>6</v>
      </c>
      <c r="D13" s="362" t="s">
        <v>1015</v>
      </c>
      <c r="E13" s="362" t="str" cm="1">
        <f t="array" aca="1" ref="E13" ca="1">TEXT(CELL("address",'H-Risk Register-Model'!AI17),"")</f>
        <v>'[2024 CSRA Template.xlsx]H-Risk Register-Model'!$AI$17</v>
      </c>
      <c r="F13" s="362" t="str">
        <f t="shared" ca="1" si="0"/>
        <v>H-Risk Register-Model'!$AI$17</v>
      </c>
      <c r="G13" s="362" t="str">
        <f t="shared" ca="1" si="1"/>
        <v>AI17</v>
      </c>
      <c r="H13" s="362" t="str">
        <f t="shared" ref="H13:H20" ca="1" si="3">SUBSTITUTE(G13,I13,"")</f>
        <v>AI</v>
      </c>
      <c r="I13" s="362" t="str" cm="1">
        <f t="array" aca="1" ref="I13" ca="1">RIGHT(G13,LEN(G13)-MIN(FIND({0,1,2,3,4,5,6,7,8,9},G13&amp;"0123456789"))+1)</f>
        <v>17</v>
      </c>
      <c r="K13" s="613" t="str" cm="1">
        <f t="array" aca="1" ref="K13" ca="1">MID(CELL("filename",'K2-Risk Dashboard (Schedule)'!$A$1),FIND("]",CELL("filename",'K2-Risk Dashboard (Schedule)'!$A$1))+1,255)</f>
        <v>K2-Risk Dashboard (Schedule)</v>
      </c>
      <c r="M13" s="621" t="s">
        <v>1182</v>
      </c>
    </row>
    <row r="14" spans="1:23" ht="43.5" x14ac:dyDescent="0.35">
      <c r="A14" s="821">
        <v>7</v>
      </c>
      <c r="B14" s="615" t="str">
        <f ca="1">CONCATENATE("On the ‘",K9,"’ tab, recommend hiding the CSRA modeling data and sending a copy of the risk register to the team to make sure you have all the risks captured and their discussions are correct.  ","Recommend showing only columns ",H12," through ",H13," and hiding the Crystal Ball data (columns ",H14," through ",H15,").")</f>
        <v>On the ‘H-Risk Register-Model’ tab, recommend hiding the CSRA modeling data and sending a copy of the risk register to the team to make sure you have all the risks captured and their discussions are correct.  Recommend showing only columns A through AI and hiding the Crystal Ball data (columns P through AH).</v>
      </c>
      <c r="D14" s="362" t="s">
        <v>1017</v>
      </c>
      <c r="E14" s="362" t="str" cm="1">
        <f t="array" aca="1" ref="E14" ca="1">TEXT(CELL("address",'H-Risk Register-Model'!$P$17),"")</f>
        <v>'[2024 CSRA Template.xlsx]H-Risk Register-Model'!$P$17</v>
      </c>
      <c r="F14" s="362" t="str">
        <f t="shared" ca="1" si="0"/>
        <v>H-Risk Register-Model'!$P$17</v>
      </c>
      <c r="G14" s="362" t="str">
        <f t="shared" ca="1" si="1"/>
        <v>P17</v>
      </c>
      <c r="H14" s="362" t="str">
        <f t="shared" ca="1" si="3"/>
        <v>P</v>
      </c>
      <c r="I14" s="362" t="str" cm="1">
        <f t="array" aca="1" ref="I14" ca="1">RIGHT(G14,LEN(G14)-MIN(FIND({0,1,2,3,4,5,6,7,8,9},G14&amp;"0123456789"))+1)</f>
        <v>17</v>
      </c>
      <c r="K14" s="613" t="str" cm="1">
        <f t="array" aca="1" ref="K14" ca="1">MID(CELL("filename",'REF Risk Detail Template'!$A$1),FIND("]",CELL("filename",'REF Risk Detail Template'!$A$1))+1,255)</f>
        <v>REF Risk Detail Template</v>
      </c>
    </row>
    <row r="15" spans="1:23" ht="29" x14ac:dyDescent="0.35">
      <c r="A15" s="821"/>
      <c r="B15" s="616" t="str">
        <f ca="1">CONCATENATE("Make sure you have the team's buy-in on the risks at this point, clean up your master ‘",K9,"’ tab, and get started modeling.")</f>
        <v>Make sure you have the team's buy-in on the risks at this point, clean up your master ‘H-Risk Register-Model’ tab, and get started modeling.</v>
      </c>
      <c r="D15" s="362" t="s">
        <v>1018</v>
      </c>
      <c r="E15" s="362" t="str" cm="1">
        <f t="array" aca="1" ref="E15" ca="1">TEXT(CELL("address",'H-Risk Register-Model'!$AH$17),"")</f>
        <v>'[2024 CSRA Template.xlsx]H-Risk Register-Model'!$AH$17</v>
      </c>
      <c r="F15" s="362" t="str">
        <f t="shared" ca="1" si="0"/>
        <v>H-Risk Register-Model'!$AH$17</v>
      </c>
      <c r="G15" s="362" t="str">
        <f t="shared" ca="1" si="1"/>
        <v>AH17</v>
      </c>
      <c r="H15" s="362" t="str">
        <f t="shared" ca="1" si="3"/>
        <v>AH</v>
      </c>
      <c r="I15" s="362" t="str" cm="1">
        <f t="array" aca="1" ref="I15" ca="1">RIGHT(G15,LEN(G15)-MIN(FIND({0,1,2,3,4,5,6,7,8,9},G15&amp;"0123456789"))+1)</f>
        <v>17</v>
      </c>
    </row>
    <row r="16" spans="1:23" x14ac:dyDescent="0.35">
      <c r="A16" s="10"/>
      <c r="B16" s="5"/>
      <c r="D16" s="362" t="s">
        <v>1019</v>
      </c>
      <c r="E16" s="362" t="str" cm="1">
        <f t="array" aca="1" ref="E16" ca="1">TEXT(CELL("address",'J-Sensitivity Charts'!$M$19),"")</f>
        <v>'[2024 CSRA Template.xlsx]J-Sensitivity Charts'!$M$19</v>
      </c>
      <c r="F16" s="362" t="str">
        <f t="shared" ca="1" si="0"/>
        <v>J-Sensitivity Charts'!$M$19</v>
      </c>
      <c r="G16" s="362" t="str">
        <f t="shared" ca="1" si="1"/>
        <v>M19</v>
      </c>
      <c r="H16" s="362" t="str">
        <f t="shared" ca="1" si="3"/>
        <v>M</v>
      </c>
      <c r="I16" s="362" t="str" cm="1">
        <f t="array" aca="1" ref="I16" ca="1">RIGHT(G16,LEN(G16)-MIN(FIND({0,1,2,3,4,5,6,7,8,9},G16&amp;"0123456789"))+1)</f>
        <v>19</v>
      </c>
    </row>
    <row r="17" spans="1:9" x14ac:dyDescent="0.35">
      <c r="A17" s="386" t="s">
        <v>5</v>
      </c>
      <c r="B17" s="387"/>
      <c r="D17" s="362" t="s">
        <v>1020</v>
      </c>
      <c r="E17" s="362" t="str" cm="1">
        <f t="array" aca="1" ref="E17" ca="1">TEXT(CELL("address",'J-Sensitivity Charts'!$M$28),"")</f>
        <v>'[2024 CSRA Template.xlsx]J-Sensitivity Charts'!$M$28</v>
      </c>
      <c r="F17" s="362" t="str">
        <f t="shared" ca="1" si="0"/>
        <v>J-Sensitivity Charts'!$M$28</v>
      </c>
      <c r="G17" s="362" t="str">
        <f t="shared" ca="1" si="1"/>
        <v>M28</v>
      </c>
      <c r="H17" s="362" t="str">
        <f t="shared" ca="1" si="3"/>
        <v>M</v>
      </c>
      <c r="I17" s="362" t="str" cm="1">
        <f t="array" aca="1" ref="I17" ca="1">RIGHT(G17,LEN(G17)-MIN(FIND({0,1,2,3,4,5,6,7,8,9},G17&amp;"0123456789"))+1)</f>
        <v>28</v>
      </c>
    </row>
    <row r="18" spans="1:9" x14ac:dyDescent="0.35">
      <c r="A18" s="614">
        <f>A14+1</f>
        <v>8</v>
      </c>
      <c r="B18" s="618" t="str">
        <f ca="1">CONCATENATE("Cell ",G10," on the '",K5,"' tab can be used to adjust the confidence level being reported.")</f>
        <v>Cell C6 on the 'D-Project Data' tab can be used to adjust the confidence level being reported.</v>
      </c>
      <c r="D18" s="362" t="s">
        <v>1021</v>
      </c>
      <c r="E18" s="362" t="str" cm="1">
        <f t="array" aca="1" ref="E18" ca="1">TEXT(CELL("address",'J-Sensitivity Charts'!$M$41),"")</f>
        <v>'[2024 CSRA Template.xlsx]J-Sensitivity Charts'!$M$41</v>
      </c>
      <c r="F18" s="362" t="str">
        <f t="shared" ca="1" si="0"/>
        <v>J-Sensitivity Charts'!$M$41</v>
      </c>
      <c r="G18" s="362" t="str">
        <f t="shared" ca="1" si="1"/>
        <v>M41</v>
      </c>
      <c r="H18" s="362" t="str">
        <f t="shared" ca="1" si="3"/>
        <v>M</v>
      </c>
      <c r="I18" s="362" t="str" cm="1">
        <f t="array" aca="1" ref="I18" ca="1">RIGHT(G18,LEN(G18)-MIN(FIND({0,1,2,3,4,5,6,7,8,9},G18&amp;"0123456789"))+1)</f>
        <v>41</v>
      </c>
    </row>
    <row r="19" spans="1:9" ht="43.5" x14ac:dyDescent="0.35">
      <c r="A19" s="617">
        <f>A18+1</f>
        <v>9</v>
      </c>
      <c r="B19" s="612" t="str">
        <f ca="1">CONCATENATE("You will have to build all your risk assumptions in the ‘",K9,"’ tab.  Make sure that as you add and subtract rows so that the formulas in CELL ",G8," and ",G9," sum all the rows you have risks modeled in because THIS FEEDS THE FORECASTS FOR THE MODEL on the ‘",K10,"’ tab.")</f>
        <v>You will have to build all your risk assumptions in the ‘H-Risk Register-Model’ tab.  Make sure that as you add and subtract rows so that the formulas in CELL AE1 and AG1 sum all the rows you have risks modeled in because THIS FEEDS THE FORECASTS FOR THE MODEL on the ‘I-Project Contingency’ tab.</v>
      </c>
      <c r="D19" s="362" t="s">
        <v>1022</v>
      </c>
      <c r="E19" s="362" t="str" cm="1">
        <f t="array" aca="1" ref="E19" ca="1">TEXT(CELL("address",'J-Sensitivity Charts'!$M$50),"")</f>
        <v>'[2024 CSRA Template.xlsx]J-Sensitivity Charts'!$M$50</v>
      </c>
      <c r="F19" s="362" t="str">
        <f t="shared" ca="1" si="0"/>
        <v>J-Sensitivity Charts'!$M$50</v>
      </c>
      <c r="G19" s="362" t="str">
        <f t="shared" ca="1" si="1"/>
        <v>M50</v>
      </c>
      <c r="H19" s="362" t="str">
        <f t="shared" ca="1" si="3"/>
        <v>M</v>
      </c>
      <c r="I19" s="362" t="str" cm="1">
        <f t="array" aca="1" ref="I19" ca="1">RIGHT(G19,LEN(G19)-MIN(FIND({0,1,2,3,4,5,6,7,8,9},G19&amp;"0123456789"))+1)</f>
        <v>50</v>
      </c>
    </row>
    <row r="20" spans="1:9" ht="43.5" x14ac:dyDescent="0.35">
      <c r="A20" s="10"/>
      <c r="B20" s="612" t="str">
        <f ca="1">CONCATENATE("If rows are added, make sure the built-in QC data in columns ",H23,":",H24," and risk forecasts/extracts in columns ",H21,":",H22," are copied as well to ensure the new built-in automation still works.  Remember to do Crystal Ball copy/paste for the forecast cells.  FAILURE TO DO THIS COULD LEAD TO INACCURATE RESULTS.")</f>
        <v>If rows are added, make sure the built-in QC data in columns AK:AS and risk forecasts/extracts in columns AU:BX are copied as well to ensure the new built-in automation still works.  Remember to do Crystal Ball copy/paste for the forecast cells.  FAILURE TO DO THIS COULD LEAD TO INACCURATE RESULTS.</v>
      </c>
      <c r="D20" s="362" t="s">
        <v>1187</v>
      </c>
      <c r="E20" s="362" t="str" cm="1">
        <f t="array" aca="1" ref="E20" ca="1">TEXT(CELL("address",'H-Risk Register-Model'!AI21),"")</f>
        <v>'[2024 CSRA Template.xlsx]H-Risk Register-Model'!$AI$21</v>
      </c>
      <c r="F20" s="362" t="str">
        <f t="shared" ref="F20" ca="1" si="4">RIGHT(E20,LEN(E20)-FIND("]",E20))</f>
        <v>H-Risk Register-Model'!$AI$21</v>
      </c>
      <c r="G20" s="362" t="str">
        <f t="shared" ca="1" si="1"/>
        <v>AI21</v>
      </c>
      <c r="H20" s="362" t="str">
        <f t="shared" ca="1" si="3"/>
        <v>AI</v>
      </c>
      <c r="I20" s="362" t="str" cm="1">
        <f t="array" aca="1" ref="I20" ca="1">RIGHT(G20,LEN(G20)-MIN(FIND({0,1,2,3,4,5,6,7,8,9},G20&amp;"0123456789"))+1)</f>
        <v>21</v>
      </c>
    </row>
    <row r="21" spans="1:9" ht="29" x14ac:dyDescent="0.35">
      <c r="A21" s="10"/>
      <c r="B21" s="612" t="str">
        <f ca="1">CONCATENATE(K10,"’ tab.   DO NOT MESS WITH THIS TAB.  This tab is setup with an extracting forecast and rounding to calculate the overall contingency as well as make the S- Curve graphs.")</f>
        <v>I-Project Contingency’ tab.   DO NOT MESS WITH THIS TAB.  This tab is setup with an extracting forecast and rounding to calculate the overall contingency as well as make the S- Curve graphs.</v>
      </c>
      <c r="D21" s="619" t="s">
        <v>1173</v>
      </c>
      <c r="E21" s="362" t="str" cm="1">
        <f t="array" aca="1" ref="E21" ca="1">TEXT(CELL("address",'H-Risk Register-Model'!$AU$17),"")</f>
        <v>'[2024 CSRA Template.xlsx]H-Risk Register-Model'!$AU$17</v>
      </c>
      <c r="F21" s="362" t="str">
        <f t="shared" ref="F21" ca="1" si="5">RIGHT(E21,LEN(E21)-FIND("]",E21))</f>
        <v>H-Risk Register-Model'!$AU$17</v>
      </c>
      <c r="G21" s="362" t="str">
        <f t="shared" ca="1" si="1"/>
        <v>AU17</v>
      </c>
      <c r="H21" s="362" t="str">
        <f t="shared" ref="H21:H26" ca="1" si="6">SUBSTITUTE(G21,I21,"")</f>
        <v>AU</v>
      </c>
      <c r="I21" s="362" t="str" cm="1">
        <f t="array" aca="1" ref="I21" ca="1">RIGHT(G21,LEN(G21)-MIN(FIND({0,1,2,3,4,5,6,7,8,9},G21&amp;"0123456789"))+1)</f>
        <v>17</v>
      </c>
    </row>
    <row r="22" spans="1:9" ht="58" x14ac:dyDescent="0.35">
      <c r="A22" s="10"/>
      <c r="B22" s="612" t="s">
        <v>1335</v>
      </c>
      <c r="D22" s="619" t="s">
        <v>1174</v>
      </c>
      <c r="E22" s="362" t="str" cm="1">
        <f t="array" aca="1" ref="E22" ca="1">TEXT(CELL("address",'H-Risk Register-Model'!$BX$17),"")</f>
        <v>'[2024 CSRA Template.xlsx]H-Risk Register-Model'!$BX$17</v>
      </c>
      <c r="F22" s="362" t="str">
        <f t="shared" ref="F22:F23" ca="1" si="7">RIGHT(E22,LEN(E22)-FIND("]",E22))</f>
        <v>H-Risk Register-Model'!$BX$17</v>
      </c>
      <c r="G22" s="362" t="str">
        <f t="shared" ca="1" si="1"/>
        <v>BX17</v>
      </c>
      <c r="H22" s="362" t="str">
        <f t="shared" ca="1" si="6"/>
        <v>BX</v>
      </c>
      <c r="I22" s="362" t="str" cm="1">
        <f t="array" aca="1" ref="I22" ca="1">RIGHT(G22,LEN(G22)-MIN(FIND({0,1,2,3,4,5,6,7,8,9},G22&amp;"0123456789"))+1)</f>
        <v>17</v>
      </c>
    </row>
    <row r="23" spans="1:9" ht="29" x14ac:dyDescent="0.35">
      <c r="A23" s="614">
        <f>A19+1</f>
        <v>10</v>
      </c>
      <c r="B23" s="612" t="str">
        <f ca="1">CONCATENATE("It is recommended to develop RISK MITIGATION MEASURES for each risk and note in the ‘",K9,"’ tab in the appropriate column (",H20,").  Talk to the PDT!!!")</f>
        <v>It is recommended to develop RISK MITIGATION MEASURES for each risk and note in the ‘H-Risk Register-Model’ tab in the appropriate column (AI).  Talk to the PDT!!!</v>
      </c>
      <c r="D23" s="619" t="s">
        <v>1175</v>
      </c>
      <c r="E23" s="362" t="str" cm="1">
        <f t="array" aca="1" ref="E23" ca="1">TEXT(CELL("address",'H-Risk Register-Model'!$AK$17),"")</f>
        <v>'[2024 CSRA Template.xlsx]H-Risk Register-Model'!$AK$17</v>
      </c>
      <c r="F23" s="362" t="str">
        <f t="shared" ca="1" si="7"/>
        <v>H-Risk Register-Model'!$AK$17</v>
      </c>
      <c r="G23" s="362" t="str">
        <f t="shared" ca="1" si="1"/>
        <v>AK17</v>
      </c>
      <c r="H23" s="362" t="str">
        <f t="shared" ca="1" si="6"/>
        <v>AK</v>
      </c>
      <c r="I23" s="362" t="str" cm="1">
        <f t="array" aca="1" ref="I23" ca="1">RIGHT(G23,LEN(G23)-MIN(FIND({0,1,2,3,4,5,6,7,8,9},G23&amp;"0123456789"))+1)</f>
        <v>17</v>
      </c>
    </row>
    <row r="24" spans="1:9" ht="29" x14ac:dyDescent="0.35">
      <c r="A24" s="819">
        <f>A23+1</f>
        <v>11</v>
      </c>
      <c r="B24" s="612" t="str">
        <f>CONCATENATE("When the model is complete and you are happy with it, it is recommended that you create a report as follows which mimics what is included in the NWW Cost MCX CSRA Report and Appendixes.")</f>
        <v>When the model is complete and you are happy with it, it is recommended that you create a report as follows which mimics what is included in the NWW Cost MCX CSRA Report and Appendixes.</v>
      </c>
      <c r="D24" s="619" t="s">
        <v>1176</v>
      </c>
      <c r="E24" s="362" t="str" cm="1">
        <f t="array" aca="1" ref="E24" ca="1">TEXT(CELL("address",'H-Risk Register-Model'!$AS$17),"")</f>
        <v>'[2024 CSRA Template.xlsx]H-Risk Register-Model'!$AS$17</v>
      </c>
      <c r="F24" s="362" t="str">
        <f t="shared" ref="F24" ca="1" si="8">RIGHT(E24,LEN(E24)-FIND("]",E24))</f>
        <v>H-Risk Register-Model'!$AS$17</v>
      </c>
      <c r="G24" s="362" t="str">
        <f t="shared" ca="1" si="1"/>
        <v>AS17</v>
      </c>
      <c r="H24" s="362" t="str">
        <f t="shared" ca="1" si="6"/>
        <v>AS</v>
      </c>
      <c r="I24" s="362" t="str" cm="1">
        <f t="array" aca="1" ref="I24" ca="1">RIGHT(G24,LEN(G24)-MIN(FIND({0,1,2,3,4,5,6,7,8,9},G24&amp;"0123456789"))+1)</f>
        <v>17</v>
      </c>
    </row>
    <row r="25" spans="1:9" ht="43.5" x14ac:dyDescent="0.35">
      <c r="A25" s="820"/>
      <c r="B25" s="620" t="str">
        <f ca="1">CONCATENATE(M4," - Recommend printing the '",K6,"' tab tab to document the base estimate &amp; schedule from which this CSRA was developed (traceability).  A more detailed summary could also be used from the optional base estimate tab (recommend only 1-2 pages if so).")</f>
        <v>APPENDIX A: BASE ESTIMATE - Recommend printing the 'E-Cost &amp; Schedule Summary' tab tab to document the base estimate &amp; schedule from which this CSRA was developed (traceability).  A more detailed summary could also be used from the optional base estimate tab (recommend only 1-2 pages if so).</v>
      </c>
      <c r="D25" s="619" t="s">
        <v>1189</v>
      </c>
      <c r="E25" s="362" t="str" cm="1">
        <f t="array" aca="1" ref="E25" ca="1">TEXT(CELL("address",'REF Risk Detail Template'!$C$5:$E$5),"")</f>
        <v>'[2024 CSRA Template.xlsx]REF Risk Detail Template'!$C$5</v>
      </c>
      <c r="F25" s="362" t="str">
        <f t="shared" ref="F25" ca="1" si="9">RIGHT(E25,LEN(E25)-FIND("]",E25))</f>
        <v>REF Risk Detail Template'!$C$5</v>
      </c>
      <c r="G25" s="362" t="str">
        <f t="shared" ca="1" si="1"/>
        <v>C5</v>
      </c>
      <c r="H25" s="362" t="str">
        <f t="shared" ca="1" si="6"/>
        <v>C</v>
      </c>
      <c r="I25" s="362" t="str" cm="1">
        <f t="array" aca="1" ref="I25" ca="1">RIGHT(G25,LEN(G25)-MIN(FIND({0,1,2,3,4,5,6,7,8,9},G25&amp;"0123456789"))+1)</f>
        <v>5</v>
      </c>
    </row>
    <row r="26" spans="1:9" ht="29" x14ac:dyDescent="0.35">
      <c r="A26" s="820"/>
      <c r="B26" s="620" t="str">
        <f>CONCATENATE(M5," - Recommend printing the optional base schedule tab or inserting a high level summary (1-2 pages) of the schedule from which this CSRA was developed (traceability).")</f>
        <v>APPENDIX B: BASE SCHEDULE - Recommend printing the optional base schedule tab or inserting a high level summary (1-2 pages) of the schedule from which this CSRA was developed (traceability).</v>
      </c>
      <c r="D26" s="619" t="s">
        <v>1190</v>
      </c>
      <c r="E26" s="362" t="str" cm="1">
        <f t="array" aca="1" ref="E26" ca="1">TEXT(CELL("address",'REF Risk Detail Template'!$H$5),"")</f>
        <v>'[2024 CSRA Template.xlsx]REF Risk Detail Template'!$H$5</v>
      </c>
      <c r="F26" s="362" t="str">
        <f t="shared" ref="F26" ca="1" si="10">RIGHT(E26,LEN(E26)-FIND("]",E26))</f>
        <v>REF Risk Detail Template'!$H$5</v>
      </c>
      <c r="G26" s="362" t="str">
        <f t="shared" ca="1" si="1"/>
        <v>H5</v>
      </c>
      <c r="H26" s="362" t="str">
        <f t="shared" ca="1" si="6"/>
        <v>H</v>
      </c>
      <c r="I26" s="362" t="str" cm="1">
        <f t="array" aca="1" ref="I26" ca="1">RIGHT(G26,LEN(G26)-MIN(FIND({0,1,2,3,4,5,6,7,8,9},G26&amp;"0123456789"))+1)</f>
        <v>5</v>
      </c>
    </row>
    <row r="27" spans="1:9" ht="58" x14ac:dyDescent="0.35">
      <c r="A27" s="820"/>
      <c r="B27" s="620" t="str">
        <f ca="1">CONCATENATE("Appendix C-1: RISK DASHBOARDS - Recommend printing the ‘",K12,"’ and ‘",K13,"’ tabs to communicate a high-level summary of the project cost &amp; schedule risks as well as the top risk items and suggested risk reduction measures.","  Recommend reviewing and resizing the summary tables for ease of reading since some of the text can get truncated due to the auto-lookup feature.")</f>
        <v>Appendix C-1: RISK DASHBOARDS - Recommend printing the ‘K1-Risk Dashboard (Cost)’ and ‘K2-Risk Dashboard (Schedule)’ tabs to communicate a high-level summary of the project cost &amp; schedule risks as well as the top risk items and suggested risk reduction measures.  Recommend reviewing and resizing the summary tables for ease of reading since some of the text can get truncated due to the auto-lookup feature.</v>
      </c>
    </row>
    <row r="28" spans="1:9" ht="43.5" x14ac:dyDescent="0.35">
      <c r="A28" s="820"/>
      <c r="B28" s="620" t="str">
        <f ca="1">CONCATENATE(M8," - Recommend printing the ‘",K10,"’ tab which is a summary of the various contingency values for cost &amp; schedule by confidence level.  ","Please note, you may also want to adjust the y-axis ranges on some of the charts for projects with high cost or schedule values for them to display in a legibly.")</f>
        <v>APPENDIX C-2: CONTINGENCY SUMMARY - Recommend printing the ‘I-Project Contingency’ tab which is a summary of the various contingency values for cost &amp; schedule by confidence level.  Please note, you may also want to adjust the y-axis ranges on some of the charts for projects with high cost or schedule values for them to display in a legibly.</v>
      </c>
    </row>
    <row r="29" spans="1:9" ht="87" x14ac:dyDescent="0.35">
      <c r="A29" s="820"/>
      <c r="B29" s="620" t="str">
        <f ca="1">CONCATENATE(M9," - Recommend printing the '",K11,"' tab to communicate the major cost &amp; schedule risk drivers for the project.  Recommend reviewing the top cost and schedule risk IDs from the sensitivity charts in cells ",G16,":",G17," and ",G18,":",G19," which should be automatically generated.  This tab also auto-generates the information in the ‘",K12,"' and '",K13,"' tabs.  Please note...you will have to use Crystal Ball to generate the cost &amp; schedule sensitivity charts at the bottom of worksheet '",K11,"' (right-click copy on Crytal Ball graphic and paste in the appropriate location).")</f>
        <v>APPENDIX C-3: SENSITIVITY CHARTS - Recommend printing the 'J-Sensitivity Charts' tab to communicate the major cost &amp; schedule risk drivers for the project.  Recommend reviewing the top cost and schedule risk IDs from the sensitivity charts in cells M19:M28 and M41:M50 which should be automatically generated.  This tab also auto-generates the information in the ‘K1-Risk Dashboard (Cost)' and 'K2-Risk Dashboard (Schedule)' tabs.  Please note...you will have to use Crystal Ball to generate the cost &amp; schedule sensitivity charts at the bottom of worksheet 'J-Sensitivity Charts' (right-click copy on Crytal Ball graphic and paste in the appropriate location).</v>
      </c>
    </row>
    <row r="30" spans="1:9" ht="58" x14ac:dyDescent="0.35">
      <c r="A30" s="820"/>
      <c r="B30" s="620" t="str">
        <f ca="1">CONCATENATE(M10," - Recommend printing the ‘",K9,"’ tab columns ",H12," through ",H13," and hiding the Crystal Ball data (columns ",H14," through ",H15,").  ","You may wish to use the Excel grouping expand/collapse buttons (displayed as a 1 or 2 above the columns and rows) to quickly show or hide data.  ","This is for the team for communication purposes and you already did this once after the meeting right?")</f>
        <v>APPENDIX C-4: RISK REGISTER - Recommend printing the ‘H-Risk Register-Model’ tab columns A through AI and hiding the Crystal Ball data (columns P through AH).  You may wish to use the Excel grouping expand/collapse buttons (displayed as a 1 or 2 above the columns and rows) to quickly show or hide data.  This is for the team for communication purposes and you already did this once after the meeting right?</v>
      </c>
    </row>
    <row r="31" spans="1:9" ht="43.5" x14ac:dyDescent="0.35">
      <c r="A31" s="820"/>
      <c r="B31" s="620" t="str">
        <f ca="1">CONCATENATE(M11," - Recommend printing the '",K8,"' tab to communicate the risk matrix, likelihood of occurrence definition, impact or consequence definitions for cost / schedule, and cost / schedule impact ranges as they relate to this project.")</f>
        <v>APPENDIX C-5: CSRA ASSUMPTIONS - Recommend printing the 'G-Assumptions' tab to communicate the risk matrix, likelihood of occurrence definition, impact or consequence definitions for cost / schedule, and cost / schedule impact ranges as they relate to this project.</v>
      </c>
    </row>
    <row r="32" spans="1:9" ht="29" x14ac:dyDescent="0.35">
      <c r="A32" s="820"/>
      <c r="B32" s="620" t="str">
        <f ca="1">CONCATENATE(M12," - Recommend printing the '",K7,"' tab to document the risk register attendance and adequate team representation.")</f>
        <v>APPENDIX C-6: RISK REGISTER ATTENDANCE - Recommend printing the 'F-Meeting Attendance' tab to document the risk register attendance and adequate team representation.</v>
      </c>
    </row>
    <row r="33" spans="1:2" ht="29" x14ac:dyDescent="0.35">
      <c r="A33" s="820"/>
      <c r="B33" s="620" t="str">
        <f ca="1">CONCATENATE(M13," - Recommend printing the '",K8,"' tab to document the risk register attendance and adequate team representation.")</f>
        <v>APPENDIX C-7: RISK DETAILS - Recommend printing the 'G-Assumptions' tab to document the risk register attendance and adequate team representation.</v>
      </c>
    </row>
    <row r="34" spans="1:2" ht="29" x14ac:dyDescent="0.35">
      <c r="A34" s="614">
        <f>A24+1</f>
        <v>12</v>
      </c>
      <c r="B34" s="612" t="s">
        <v>1168</v>
      </c>
    </row>
    <row r="35" spans="1:2" ht="29" x14ac:dyDescent="0.35">
      <c r="A35" s="614">
        <f>A34+1</f>
        <v>13</v>
      </c>
      <c r="B35" s="612" t="str">
        <f>CONCATENATE("PRINT/PDF:  Recommend merging the Main Report PDF listed in step #",A34," as well as the recommended appendixes listed in step #",A24,".  This should create a well-developed report summarzing the CSRA.")</f>
        <v>PRINT/PDF:  Recommend merging the Main Report PDF listed in step #12 as well as the recommended appendixes listed in step #11.  This should create a well-developed report summarzing the CSRA.</v>
      </c>
    </row>
    <row r="36" spans="1:2" x14ac:dyDescent="0.35">
      <c r="A36" s="9"/>
      <c r="B36" s="8"/>
    </row>
  </sheetData>
  <sortState ref="L18:L31">
    <sortCondition ref="L18:L31"/>
  </sortState>
  <mergeCells count="4">
    <mergeCell ref="A24:A33"/>
    <mergeCell ref="A14:A15"/>
    <mergeCell ref="A1:B1"/>
    <mergeCell ref="D1:M1"/>
  </mergeCells>
  <pageMargins left="0.25" right="0.25" top="0.25" bottom="0.5" header="0.25" footer="0.25"/>
  <pageSetup scale="91" fitToHeight="0" orientation="portrait" horizontalDpi="1200" verticalDpi="1200" r:id="rId1"/>
  <headerFooter>
    <oddFooter>&amp;CPage &amp;P of &amp;N</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J29"/>
  <sheetViews>
    <sheetView showGridLines="0" zoomScaleNormal="100" workbookViewId="0">
      <pane ySplit="2" topLeftCell="A8" activePane="bottomLeft" state="frozen"/>
      <selection pane="bottomLeft" activeCell="G29" sqref="G29"/>
    </sheetView>
  </sheetViews>
  <sheetFormatPr defaultRowHeight="14.5" x14ac:dyDescent="0.35"/>
  <cols>
    <col min="1" max="1" width="3.81640625" style="8" customWidth="1"/>
    <col min="2" max="2" width="8.81640625" style="8"/>
    <col min="3" max="10" width="10.54296875" style="8" customWidth="1"/>
  </cols>
  <sheetData>
    <row r="1" spans="1:10" ht="21" x14ac:dyDescent="0.5">
      <c r="A1" s="823" t="s">
        <v>12</v>
      </c>
      <c r="B1" s="823"/>
      <c r="C1" s="823"/>
      <c r="D1" s="823"/>
      <c r="E1" s="823"/>
      <c r="F1" s="823"/>
      <c r="G1" s="823"/>
      <c r="H1" s="823"/>
      <c r="I1" s="823"/>
      <c r="J1" s="823"/>
    </row>
    <row r="2" spans="1:10" x14ac:dyDescent="0.35">
      <c r="A2" s="13"/>
      <c r="B2" s="13"/>
      <c r="C2" s="13"/>
      <c r="D2" s="13"/>
      <c r="E2" s="13"/>
      <c r="F2" s="13"/>
      <c r="G2" s="13"/>
      <c r="H2" s="13"/>
      <c r="I2" s="13"/>
      <c r="J2" s="13"/>
    </row>
    <row r="3" spans="1:10" x14ac:dyDescent="0.35">
      <c r="A3" s="13"/>
      <c r="B3" s="14"/>
      <c r="C3" s="11" t="s">
        <v>13</v>
      </c>
      <c r="D3" s="11"/>
      <c r="E3" s="11"/>
      <c r="F3" s="11"/>
      <c r="G3" s="11"/>
      <c r="H3" s="11"/>
      <c r="I3" s="11"/>
      <c r="J3" s="11"/>
    </row>
    <row r="4" spans="1:10" x14ac:dyDescent="0.35">
      <c r="A4" s="13"/>
      <c r="B4" s="14"/>
      <c r="C4" s="11" t="s">
        <v>1346</v>
      </c>
      <c r="D4" s="11"/>
      <c r="E4" s="11"/>
      <c r="F4" s="11"/>
      <c r="G4" s="11"/>
      <c r="H4" s="11"/>
      <c r="I4" s="11"/>
      <c r="J4" s="11"/>
    </row>
    <row r="5" spans="1:10" x14ac:dyDescent="0.35">
      <c r="A5" s="13"/>
      <c r="B5" s="14"/>
      <c r="C5" s="11" t="s">
        <v>1347</v>
      </c>
      <c r="D5" s="11"/>
      <c r="E5" s="11"/>
      <c r="F5" s="11"/>
      <c r="G5" s="11"/>
      <c r="H5" s="11"/>
      <c r="I5" s="11"/>
      <c r="J5" s="11"/>
    </row>
    <row r="6" spans="1:10" x14ac:dyDescent="0.35">
      <c r="A6" s="13"/>
      <c r="B6" s="15"/>
      <c r="C6" s="12" t="s">
        <v>14</v>
      </c>
      <c r="D6" s="11"/>
      <c r="E6" s="11"/>
      <c r="F6" s="11"/>
      <c r="G6" s="11"/>
      <c r="H6" s="11"/>
      <c r="I6" s="11"/>
      <c r="J6" s="11"/>
    </row>
    <row r="7" spans="1:10" x14ac:dyDescent="0.35">
      <c r="A7" s="13"/>
      <c r="B7" s="15"/>
      <c r="C7" s="12" t="s">
        <v>15</v>
      </c>
      <c r="D7" s="11"/>
      <c r="E7" s="11"/>
      <c r="F7" s="11"/>
      <c r="G7" s="11"/>
      <c r="H7" s="11"/>
      <c r="I7" s="11"/>
      <c r="J7" s="11"/>
    </row>
    <row r="8" spans="1:10" x14ac:dyDescent="0.35">
      <c r="A8" s="13"/>
      <c r="B8" s="15"/>
      <c r="C8" s="12" t="s">
        <v>16</v>
      </c>
      <c r="D8" s="11"/>
      <c r="E8" s="11"/>
      <c r="F8" s="11"/>
      <c r="G8" s="11"/>
      <c r="H8" s="11"/>
      <c r="I8" s="11"/>
      <c r="J8" s="11"/>
    </row>
    <row r="9" spans="1:10" x14ac:dyDescent="0.35">
      <c r="A9" s="13"/>
      <c r="B9" s="14"/>
      <c r="C9" s="11" t="s">
        <v>1348</v>
      </c>
      <c r="D9" s="11"/>
      <c r="E9" s="11"/>
      <c r="F9" s="11"/>
      <c r="G9" s="11"/>
      <c r="H9" s="11"/>
      <c r="I9" s="11"/>
      <c r="J9" s="11"/>
    </row>
    <row r="10" spans="1:10" x14ac:dyDescent="0.35">
      <c r="A10" s="13"/>
      <c r="B10" s="14"/>
      <c r="C10" s="11" t="s">
        <v>17</v>
      </c>
      <c r="D10" s="11"/>
      <c r="E10" s="11"/>
      <c r="F10" s="11"/>
      <c r="G10" s="11"/>
      <c r="H10" s="11"/>
      <c r="I10" s="11"/>
      <c r="J10" s="11"/>
    </row>
    <row r="11" spans="1:10" x14ac:dyDescent="0.35">
      <c r="A11" s="13"/>
      <c r="B11" s="14"/>
      <c r="C11" s="12" t="s">
        <v>18</v>
      </c>
      <c r="D11" s="12"/>
      <c r="E11" s="11"/>
      <c r="F11" s="11"/>
      <c r="G11" s="11"/>
      <c r="H11" s="11"/>
      <c r="I11" s="11"/>
      <c r="J11" s="11"/>
    </row>
    <row r="12" spans="1:10" x14ac:dyDescent="0.35">
      <c r="A12" s="13"/>
      <c r="B12" s="14"/>
      <c r="C12" s="12" t="s">
        <v>19</v>
      </c>
      <c r="D12" s="12"/>
      <c r="E12" s="11"/>
      <c r="F12" s="11"/>
      <c r="G12" s="11"/>
      <c r="H12" s="11"/>
      <c r="I12" s="11"/>
      <c r="J12" s="11"/>
    </row>
    <row r="13" spans="1:10" x14ac:dyDescent="0.35">
      <c r="A13" s="13"/>
      <c r="B13" s="14"/>
      <c r="C13" s="12" t="s">
        <v>20</v>
      </c>
      <c r="D13" s="12"/>
      <c r="E13" s="11"/>
      <c r="F13" s="11"/>
      <c r="G13" s="11"/>
      <c r="H13" s="11"/>
      <c r="I13" s="11"/>
      <c r="J13" s="11"/>
    </row>
    <row r="14" spans="1:10" x14ac:dyDescent="0.35">
      <c r="A14" s="13"/>
      <c r="B14" s="14"/>
      <c r="C14" s="12" t="s">
        <v>21</v>
      </c>
      <c r="D14" s="12"/>
      <c r="E14" s="11"/>
      <c r="F14" s="11"/>
      <c r="G14" s="11"/>
      <c r="H14" s="11"/>
      <c r="I14" s="11"/>
      <c r="J14" s="11"/>
    </row>
    <row r="15" spans="1:10" x14ac:dyDescent="0.35">
      <c r="A15" s="13"/>
      <c r="B15" s="14"/>
      <c r="C15" s="11" t="s">
        <v>22</v>
      </c>
      <c r="D15" s="11"/>
      <c r="E15" s="11"/>
      <c r="F15" s="11"/>
      <c r="G15" s="11"/>
      <c r="H15" s="11"/>
      <c r="I15" s="11"/>
      <c r="J15" s="11"/>
    </row>
    <row r="16" spans="1:10" x14ac:dyDescent="0.35">
      <c r="A16" s="13"/>
      <c r="B16" s="15"/>
      <c r="C16" s="11"/>
      <c r="D16" s="11"/>
      <c r="E16" s="11"/>
      <c r="F16" s="11"/>
      <c r="G16" s="11"/>
      <c r="H16" s="11"/>
      <c r="I16" s="11"/>
      <c r="J16" s="11"/>
    </row>
    <row r="17" spans="1:10" x14ac:dyDescent="0.35">
      <c r="A17" s="13"/>
      <c r="B17" s="15"/>
      <c r="C17" s="822" t="s">
        <v>11</v>
      </c>
      <c r="D17" s="822"/>
      <c r="E17" s="822"/>
      <c r="F17" s="822"/>
      <c r="G17" s="822"/>
      <c r="H17" s="822"/>
      <c r="I17" s="822"/>
      <c r="J17" s="822"/>
    </row>
    <row r="18" spans="1:10" x14ac:dyDescent="0.35">
      <c r="A18" s="13"/>
      <c r="B18" s="14"/>
      <c r="C18" s="816" t="s">
        <v>23</v>
      </c>
      <c r="D18" s="11"/>
      <c r="E18" s="11"/>
      <c r="F18" s="11"/>
      <c r="G18" s="11"/>
      <c r="H18" s="11"/>
      <c r="I18" s="11"/>
      <c r="J18" s="11"/>
    </row>
    <row r="19" spans="1:10" x14ac:dyDescent="0.35">
      <c r="A19" s="13"/>
      <c r="B19" s="14"/>
      <c r="C19" s="11" t="s">
        <v>28</v>
      </c>
      <c r="D19" s="11"/>
      <c r="E19" s="11"/>
      <c r="F19" s="11"/>
      <c r="G19" s="11"/>
      <c r="H19" s="11"/>
      <c r="I19" s="11"/>
      <c r="J19" s="11"/>
    </row>
    <row r="20" spans="1:10" x14ac:dyDescent="0.35">
      <c r="A20" s="13"/>
      <c r="B20" s="14"/>
      <c r="C20" s="11" t="s">
        <v>24</v>
      </c>
      <c r="D20" s="11"/>
      <c r="E20" s="11"/>
      <c r="F20" s="11"/>
      <c r="G20" s="11"/>
      <c r="H20" s="11"/>
      <c r="I20" s="11"/>
      <c r="J20" s="11"/>
    </row>
    <row r="21" spans="1:10" x14ac:dyDescent="0.35">
      <c r="A21" s="13"/>
      <c r="B21" s="14"/>
      <c r="C21" s="11" t="s">
        <v>25</v>
      </c>
      <c r="D21" s="11"/>
      <c r="E21" s="11"/>
      <c r="F21" s="11"/>
      <c r="G21" s="11"/>
      <c r="H21" s="11"/>
      <c r="I21" s="11"/>
      <c r="J21" s="11"/>
    </row>
    <row r="22" spans="1:10" x14ac:dyDescent="0.35">
      <c r="A22" s="13"/>
      <c r="B22" s="14"/>
      <c r="C22" s="11" t="s">
        <v>26</v>
      </c>
      <c r="D22" s="11"/>
      <c r="E22" s="11"/>
      <c r="F22" s="11"/>
      <c r="G22" s="11"/>
      <c r="H22" s="11"/>
      <c r="I22" s="11"/>
      <c r="J22" s="11"/>
    </row>
    <row r="23" spans="1:10" x14ac:dyDescent="0.35">
      <c r="A23" s="13"/>
      <c r="B23" s="14"/>
      <c r="C23" s="11" t="s">
        <v>29</v>
      </c>
      <c r="D23" s="11"/>
      <c r="E23" s="11"/>
      <c r="F23" s="11"/>
      <c r="G23" s="11"/>
      <c r="H23" s="11"/>
      <c r="I23" s="11"/>
      <c r="J23" s="11"/>
    </row>
    <row r="24" spans="1:10" x14ac:dyDescent="0.35">
      <c r="A24" s="13"/>
      <c r="B24" s="11"/>
      <c r="C24" s="11" t="s">
        <v>27</v>
      </c>
      <c r="D24" s="11"/>
      <c r="E24" s="11"/>
      <c r="F24" s="11"/>
      <c r="G24" s="11"/>
      <c r="H24" s="11"/>
      <c r="I24" s="11"/>
      <c r="J24" s="11"/>
    </row>
    <row r="25" spans="1:10" x14ac:dyDescent="0.35">
      <c r="J25"/>
    </row>
    <row r="29" spans="1:10" x14ac:dyDescent="0.35">
      <c r="G29" s="8" t="s">
        <v>1350</v>
      </c>
    </row>
  </sheetData>
  <mergeCells count="2">
    <mergeCell ref="C17:J17"/>
    <mergeCell ref="A1:J1"/>
  </mergeCells>
  <pageMargins left="0.25" right="0.25" top="0.25" bottom="0.5" header="0.25" footer="0.25"/>
  <pageSetup orientation="portrait" horizontalDpi="1200" verticalDpi="1200" r:id="rId1"/>
  <headerFooter>
    <oddFooter>&amp;CPage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452"/>
  <sheetViews>
    <sheetView showGridLines="0" zoomScaleNormal="100" workbookViewId="0">
      <pane ySplit="3" topLeftCell="A4" activePane="bottomLeft" state="frozen"/>
      <selection pane="bottomLeft" activeCell="A4" sqref="A4:D4"/>
    </sheetView>
  </sheetViews>
  <sheetFormatPr defaultRowHeight="14.5" x14ac:dyDescent="0.35"/>
  <cols>
    <col min="1" max="1" width="13.453125" style="27" customWidth="1"/>
    <col min="2" max="3" width="10.81640625" style="27" customWidth="1"/>
    <col min="4" max="4" width="100.54296875" style="27" customWidth="1"/>
  </cols>
  <sheetData>
    <row r="1" spans="1:4" s="7" customFormat="1" ht="21" x14ac:dyDescent="0.5">
      <c r="B1" s="817" t="s">
        <v>481</v>
      </c>
      <c r="C1" s="817"/>
      <c r="D1" s="817"/>
    </row>
    <row r="2" spans="1:4" s="1" customFormat="1" x14ac:dyDescent="0.35"/>
    <row r="3" spans="1:4" x14ac:dyDescent="0.35">
      <c r="A3" s="390" t="s">
        <v>479</v>
      </c>
      <c r="B3" s="390" t="s">
        <v>478</v>
      </c>
      <c r="C3" s="390" t="s">
        <v>477</v>
      </c>
      <c r="D3" s="389" t="s">
        <v>476</v>
      </c>
    </row>
    <row r="4" spans="1:4" ht="14.5" customHeight="1" x14ac:dyDescent="0.35">
      <c r="A4" s="824" t="s">
        <v>475</v>
      </c>
      <c r="B4" s="825"/>
      <c r="C4" s="825"/>
      <c r="D4" s="826"/>
    </row>
    <row r="5" spans="1:4" ht="14.5" customHeight="1" x14ac:dyDescent="0.35">
      <c r="A5" s="827" t="s">
        <v>474</v>
      </c>
      <c r="B5" s="828"/>
      <c r="C5" s="828"/>
      <c r="D5" s="829"/>
    </row>
    <row r="6" spans="1:4" x14ac:dyDescent="0.35">
      <c r="A6" s="16" t="s">
        <v>32</v>
      </c>
      <c r="B6" s="628" t="s">
        <v>463</v>
      </c>
      <c r="C6" s="629">
        <v>1</v>
      </c>
      <c r="D6" s="19" t="s">
        <v>473</v>
      </c>
    </row>
    <row r="7" spans="1:4" x14ac:dyDescent="0.35">
      <c r="A7" s="16" t="s">
        <v>32</v>
      </c>
      <c r="B7" s="628" t="s">
        <v>463</v>
      </c>
      <c r="C7" s="629">
        <f>IF(C6="",C5+1,C6+1)</f>
        <v>2</v>
      </c>
      <c r="D7" s="19" t="s">
        <v>472</v>
      </c>
    </row>
    <row r="8" spans="1:4" x14ac:dyDescent="0.35">
      <c r="A8" s="16" t="s">
        <v>32</v>
      </c>
      <c r="B8" s="628" t="s">
        <v>463</v>
      </c>
      <c r="C8" s="629">
        <f>IF(C7="",C6+1,C7+1)</f>
        <v>3</v>
      </c>
      <c r="D8" s="19" t="s">
        <v>471</v>
      </c>
    </row>
    <row r="9" spans="1:4" ht="14.5" customHeight="1" x14ac:dyDescent="0.35">
      <c r="A9" s="827" t="s">
        <v>470</v>
      </c>
      <c r="B9" s="828"/>
      <c r="C9" s="828"/>
      <c r="D9" s="829"/>
    </row>
    <row r="10" spans="1:4" x14ac:dyDescent="0.35">
      <c r="A10" s="16" t="s">
        <v>32</v>
      </c>
      <c r="B10" s="628" t="s">
        <v>463</v>
      </c>
      <c r="C10" s="629">
        <f t="shared" ref="C10:C16" si="0">IF(C9="",C8+1,C9+1)</f>
        <v>4</v>
      </c>
      <c r="D10" s="19" t="s">
        <v>469</v>
      </c>
    </row>
    <row r="11" spans="1:4" x14ac:dyDescent="0.35">
      <c r="A11" s="16" t="s">
        <v>32</v>
      </c>
      <c r="B11" s="628" t="s">
        <v>463</v>
      </c>
      <c r="C11" s="629">
        <f t="shared" si="0"/>
        <v>5</v>
      </c>
      <c r="D11" s="19" t="s">
        <v>468</v>
      </c>
    </row>
    <row r="12" spans="1:4" x14ac:dyDescent="0.35">
      <c r="A12" s="16" t="s">
        <v>32</v>
      </c>
      <c r="B12" s="628" t="s">
        <v>463</v>
      </c>
      <c r="C12" s="629">
        <f t="shared" si="0"/>
        <v>6</v>
      </c>
      <c r="D12" s="19" t="s">
        <v>467</v>
      </c>
    </row>
    <row r="13" spans="1:4" x14ac:dyDescent="0.35">
      <c r="A13" s="16" t="s">
        <v>32</v>
      </c>
      <c r="B13" s="628" t="s">
        <v>463</v>
      </c>
      <c r="C13" s="629">
        <f t="shared" si="0"/>
        <v>7</v>
      </c>
      <c r="D13" s="19" t="s">
        <v>466</v>
      </c>
    </row>
    <row r="14" spans="1:4" x14ac:dyDescent="0.35">
      <c r="A14" s="16" t="s">
        <v>32</v>
      </c>
      <c r="B14" s="628" t="s">
        <v>463</v>
      </c>
      <c r="C14" s="629">
        <f t="shared" si="0"/>
        <v>8</v>
      </c>
      <c r="D14" s="19" t="s">
        <v>465</v>
      </c>
    </row>
    <row r="15" spans="1:4" x14ac:dyDescent="0.35">
      <c r="A15" s="16" t="s">
        <v>32</v>
      </c>
      <c r="B15" s="628" t="s">
        <v>463</v>
      </c>
      <c r="C15" s="629">
        <f t="shared" si="0"/>
        <v>9</v>
      </c>
      <c r="D15" s="19" t="s">
        <v>464</v>
      </c>
    </row>
    <row r="16" spans="1:4" x14ac:dyDescent="0.35">
      <c r="A16" s="16" t="s">
        <v>32</v>
      </c>
      <c r="B16" s="628" t="s">
        <v>463</v>
      </c>
      <c r="C16" s="629">
        <f t="shared" si="0"/>
        <v>10</v>
      </c>
      <c r="D16" s="19" t="s">
        <v>462</v>
      </c>
    </row>
    <row r="17" spans="1:4" ht="14.5" customHeight="1" x14ac:dyDescent="0.35">
      <c r="A17" s="824" t="s">
        <v>461</v>
      </c>
      <c r="B17" s="825"/>
      <c r="C17" s="825"/>
      <c r="D17" s="826"/>
    </row>
    <row r="18" spans="1:4" x14ac:dyDescent="0.35">
      <c r="A18" s="16" t="s">
        <v>32</v>
      </c>
      <c r="B18" s="628" t="s">
        <v>448</v>
      </c>
      <c r="C18" s="629">
        <f t="shared" ref="C18:C30" si="1">IF(C17="",C16+1,C17+1)</f>
        <v>11</v>
      </c>
      <c r="D18" s="19" t="s">
        <v>460</v>
      </c>
    </row>
    <row r="19" spans="1:4" x14ac:dyDescent="0.35">
      <c r="A19" s="16" t="s">
        <v>32</v>
      </c>
      <c r="B19" s="628" t="s">
        <v>448</v>
      </c>
      <c r="C19" s="629">
        <f t="shared" si="1"/>
        <v>12</v>
      </c>
      <c r="D19" s="19" t="s">
        <v>459</v>
      </c>
    </row>
    <row r="20" spans="1:4" x14ac:dyDescent="0.35">
      <c r="A20" s="16" t="s">
        <v>32</v>
      </c>
      <c r="B20" s="628" t="s">
        <v>448</v>
      </c>
      <c r="C20" s="629">
        <f t="shared" si="1"/>
        <v>13</v>
      </c>
      <c r="D20" s="19" t="s">
        <v>458</v>
      </c>
    </row>
    <row r="21" spans="1:4" x14ac:dyDescent="0.35">
      <c r="A21" s="16" t="s">
        <v>32</v>
      </c>
      <c r="B21" s="628" t="s">
        <v>448</v>
      </c>
      <c r="C21" s="629">
        <f t="shared" si="1"/>
        <v>14</v>
      </c>
      <c r="D21" s="19" t="s">
        <v>457</v>
      </c>
    </row>
    <row r="22" spans="1:4" x14ac:dyDescent="0.35">
      <c r="A22" s="16" t="s">
        <v>32</v>
      </c>
      <c r="B22" s="628" t="s">
        <v>448</v>
      </c>
      <c r="C22" s="629">
        <f t="shared" si="1"/>
        <v>15</v>
      </c>
      <c r="D22" s="20" t="s">
        <v>456</v>
      </c>
    </row>
    <row r="23" spans="1:4" x14ac:dyDescent="0.35">
      <c r="A23" s="16" t="s">
        <v>32</v>
      </c>
      <c r="B23" s="628" t="s">
        <v>448</v>
      </c>
      <c r="C23" s="629">
        <f t="shared" si="1"/>
        <v>16</v>
      </c>
      <c r="D23" s="20" t="s">
        <v>455</v>
      </c>
    </row>
    <row r="24" spans="1:4" x14ac:dyDescent="0.35">
      <c r="A24" s="16" t="s">
        <v>32</v>
      </c>
      <c r="B24" s="628" t="s">
        <v>448</v>
      </c>
      <c r="C24" s="629">
        <f t="shared" si="1"/>
        <v>17</v>
      </c>
      <c r="D24" s="20" t="s">
        <v>454</v>
      </c>
    </row>
    <row r="25" spans="1:4" x14ac:dyDescent="0.35">
      <c r="A25" s="16" t="s">
        <v>32</v>
      </c>
      <c r="B25" s="628" t="s">
        <v>448</v>
      </c>
      <c r="C25" s="629">
        <f t="shared" si="1"/>
        <v>18</v>
      </c>
      <c r="D25" s="19" t="s">
        <v>453</v>
      </c>
    </row>
    <row r="26" spans="1:4" x14ac:dyDescent="0.35">
      <c r="A26" s="16" t="s">
        <v>32</v>
      </c>
      <c r="B26" s="628" t="s">
        <v>448</v>
      </c>
      <c r="C26" s="629">
        <f t="shared" si="1"/>
        <v>19</v>
      </c>
      <c r="D26" s="19" t="s">
        <v>452</v>
      </c>
    </row>
    <row r="27" spans="1:4" x14ac:dyDescent="0.35">
      <c r="A27" s="16" t="s">
        <v>32</v>
      </c>
      <c r="B27" s="628" t="s">
        <v>448</v>
      </c>
      <c r="C27" s="629">
        <f t="shared" si="1"/>
        <v>20</v>
      </c>
      <c r="D27" s="19" t="s">
        <v>451</v>
      </c>
    </row>
    <row r="28" spans="1:4" x14ac:dyDescent="0.35">
      <c r="A28" s="16" t="s">
        <v>32</v>
      </c>
      <c r="B28" s="628" t="s">
        <v>448</v>
      </c>
      <c r="C28" s="629">
        <f t="shared" si="1"/>
        <v>21</v>
      </c>
      <c r="D28" s="19" t="s">
        <v>450</v>
      </c>
    </row>
    <row r="29" spans="1:4" x14ac:dyDescent="0.35">
      <c r="A29" s="16" t="s">
        <v>32</v>
      </c>
      <c r="B29" s="628" t="s">
        <v>448</v>
      </c>
      <c r="C29" s="629">
        <f t="shared" si="1"/>
        <v>22</v>
      </c>
      <c r="D29" s="19" t="s">
        <v>449</v>
      </c>
    </row>
    <row r="30" spans="1:4" ht="29" x14ac:dyDescent="0.35">
      <c r="A30" s="16" t="s">
        <v>32</v>
      </c>
      <c r="B30" s="628" t="s">
        <v>448</v>
      </c>
      <c r="C30" s="629">
        <f t="shared" si="1"/>
        <v>23</v>
      </c>
      <c r="D30" s="19" t="s">
        <v>447</v>
      </c>
    </row>
    <row r="31" spans="1:4" ht="14.5" customHeight="1" x14ac:dyDescent="0.35">
      <c r="A31" s="824" t="s">
        <v>446</v>
      </c>
      <c r="B31" s="825"/>
      <c r="C31" s="825"/>
      <c r="D31" s="826"/>
    </row>
    <row r="32" spans="1:4" x14ac:dyDescent="0.35">
      <c r="A32" s="16" t="s">
        <v>32</v>
      </c>
      <c r="B32" s="628" t="s">
        <v>432</v>
      </c>
      <c r="C32" s="629">
        <f t="shared" ref="C32:C45" si="2">IF(C31="",C30+1,C31+1)</f>
        <v>24</v>
      </c>
      <c r="D32" s="19" t="s">
        <v>445</v>
      </c>
    </row>
    <row r="33" spans="1:4" x14ac:dyDescent="0.35">
      <c r="A33" s="16" t="s">
        <v>32</v>
      </c>
      <c r="B33" s="628" t="s">
        <v>432</v>
      </c>
      <c r="C33" s="629">
        <f t="shared" si="2"/>
        <v>25</v>
      </c>
      <c r="D33" s="19" t="s">
        <v>444</v>
      </c>
    </row>
    <row r="34" spans="1:4" x14ac:dyDescent="0.35">
      <c r="A34" s="16" t="s">
        <v>32</v>
      </c>
      <c r="B34" s="628" t="s">
        <v>432</v>
      </c>
      <c r="C34" s="629">
        <f t="shared" si="2"/>
        <v>26</v>
      </c>
      <c r="D34" s="19" t="s">
        <v>443</v>
      </c>
    </row>
    <row r="35" spans="1:4" x14ac:dyDescent="0.35">
      <c r="A35" s="16" t="s">
        <v>32</v>
      </c>
      <c r="B35" s="628" t="s">
        <v>432</v>
      </c>
      <c r="C35" s="629">
        <f t="shared" si="2"/>
        <v>27</v>
      </c>
      <c r="D35" s="19" t="s">
        <v>442</v>
      </c>
    </row>
    <row r="36" spans="1:4" x14ac:dyDescent="0.35">
      <c r="A36" s="16" t="s">
        <v>32</v>
      </c>
      <c r="B36" s="628" t="s">
        <v>432</v>
      </c>
      <c r="C36" s="629">
        <f t="shared" si="2"/>
        <v>28</v>
      </c>
      <c r="D36" s="19" t="s">
        <v>441</v>
      </c>
    </row>
    <row r="37" spans="1:4" x14ac:dyDescent="0.35">
      <c r="A37" s="16" t="s">
        <v>32</v>
      </c>
      <c r="B37" s="628" t="s">
        <v>432</v>
      </c>
      <c r="C37" s="629">
        <f t="shared" si="2"/>
        <v>29</v>
      </c>
      <c r="D37" s="19" t="s">
        <v>440</v>
      </c>
    </row>
    <row r="38" spans="1:4" x14ac:dyDescent="0.35">
      <c r="A38" s="16" t="s">
        <v>32</v>
      </c>
      <c r="B38" s="628" t="s">
        <v>432</v>
      </c>
      <c r="C38" s="629">
        <f t="shared" si="2"/>
        <v>30</v>
      </c>
      <c r="D38" s="19" t="s">
        <v>439</v>
      </c>
    </row>
    <row r="39" spans="1:4" x14ac:dyDescent="0.35">
      <c r="A39" s="16" t="s">
        <v>32</v>
      </c>
      <c r="B39" s="628" t="s">
        <v>432</v>
      </c>
      <c r="C39" s="629">
        <f t="shared" si="2"/>
        <v>31</v>
      </c>
      <c r="D39" s="19" t="s">
        <v>438</v>
      </c>
    </row>
    <row r="40" spans="1:4" x14ac:dyDescent="0.35">
      <c r="A40" s="16" t="s">
        <v>32</v>
      </c>
      <c r="B40" s="628" t="s">
        <v>432</v>
      </c>
      <c r="C40" s="629">
        <f t="shared" si="2"/>
        <v>32</v>
      </c>
      <c r="D40" s="19" t="s">
        <v>437</v>
      </c>
    </row>
    <row r="41" spans="1:4" x14ac:dyDescent="0.35">
      <c r="A41" s="16" t="s">
        <v>32</v>
      </c>
      <c r="B41" s="628" t="s">
        <v>432</v>
      </c>
      <c r="C41" s="629">
        <f t="shared" si="2"/>
        <v>33</v>
      </c>
      <c r="D41" s="19" t="s">
        <v>436</v>
      </c>
    </row>
    <row r="42" spans="1:4" x14ac:dyDescent="0.35">
      <c r="A42" s="16" t="s">
        <v>32</v>
      </c>
      <c r="B42" s="628" t="s">
        <v>432</v>
      </c>
      <c r="C42" s="629">
        <f t="shared" si="2"/>
        <v>34</v>
      </c>
      <c r="D42" s="19" t="s">
        <v>435</v>
      </c>
    </row>
    <row r="43" spans="1:4" x14ac:dyDescent="0.35">
      <c r="A43" s="16" t="s">
        <v>32</v>
      </c>
      <c r="B43" s="628" t="s">
        <v>432</v>
      </c>
      <c r="C43" s="629">
        <f t="shared" si="2"/>
        <v>35</v>
      </c>
      <c r="D43" s="19" t="s">
        <v>434</v>
      </c>
    </row>
    <row r="44" spans="1:4" x14ac:dyDescent="0.35">
      <c r="A44" s="16" t="s">
        <v>32</v>
      </c>
      <c r="B44" s="628" t="s">
        <v>432</v>
      </c>
      <c r="C44" s="629">
        <f t="shared" si="2"/>
        <v>36</v>
      </c>
      <c r="D44" s="19" t="s">
        <v>433</v>
      </c>
    </row>
    <row r="45" spans="1:4" x14ac:dyDescent="0.35">
      <c r="A45" s="16" t="s">
        <v>32</v>
      </c>
      <c r="B45" s="628" t="s">
        <v>432</v>
      </c>
      <c r="C45" s="629">
        <f t="shared" si="2"/>
        <v>37</v>
      </c>
      <c r="D45" s="19" t="s">
        <v>431</v>
      </c>
    </row>
    <row r="46" spans="1:4" ht="14.5" customHeight="1" x14ac:dyDescent="0.35">
      <c r="A46" s="824" t="s">
        <v>430</v>
      </c>
      <c r="B46" s="825"/>
      <c r="C46" s="825"/>
      <c r="D46" s="826"/>
    </row>
    <row r="47" spans="1:4" x14ac:dyDescent="0.35">
      <c r="A47" s="16" t="s">
        <v>32</v>
      </c>
      <c r="B47" s="628" t="s">
        <v>403</v>
      </c>
      <c r="C47" s="629">
        <f t="shared" ref="C47:C52" si="3">IF(C46="",C45+1,C46+1)</f>
        <v>38</v>
      </c>
      <c r="D47" s="19" t="s">
        <v>429</v>
      </c>
    </row>
    <row r="48" spans="1:4" x14ac:dyDescent="0.35">
      <c r="A48" s="16" t="s">
        <v>32</v>
      </c>
      <c r="B48" s="628" t="s">
        <v>403</v>
      </c>
      <c r="C48" s="629">
        <f t="shared" si="3"/>
        <v>39</v>
      </c>
      <c r="D48" s="19" t="s">
        <v>220</v>
      </c>
    </row>
    <row r="49" spans="1:4" x14ac:dyDescent="0.35">
      <c r="A49" s="16" t="s">
        <v>32</v>
      </c>
      <c r="B49" s="628" t="s">
        <v>403</v>
      </c>
      <c r="C49" s="629">
        <f t="shared" si="3"/>
        <v>40</v>
      </c>
      <c r="D49" s="19" t="s">
        <v>219</v>
      </c>
    </row>
    <row r="50" spans="1:4" x14ac:dyDescent="0.35">
      <c r="A50" s="16" t="s">
        <v>32</v>
      </c>
      <c r="B50" s="628" t="s">
        <v>403</v>
      </c>
      <c r="C50" s="629">
        <f t="shared" si="3"/>
        <v>41</v>
      </c>
      <c r="D50" s="19" t="s">
        <v>428</v>
      </c>
    </row>
    <row r="51" spans="1:4" x14ac:dyDescent="0.35">
      <c r="A51" s="16" t="s">
        <v>32</v>
      </c>
      <c r="B51" s="628" t="s">
        <v>403</v>
      </c>
      <c r="C51" s="629">
        <f t="shared" si="3"/>
        <v>42</v>
      </c>
      <c r="D51" s="19" t="s">
        <v>427</v>
      </c>
    </row>
    <row r="52" spans="1:4" x14ac:dyDescent="0.35">
      <c r="A52" s="16" t="s">
        <v>32</v>
      </c>
      <c r="B52" s="628" t="s">
        <v>403</v>
      </c>
      <c r="C52" s="629">
        <f t="shared" si="3"/>
        <v>43</v>
      </c>
      <c r="D52" s="19" t="s">
        <v>426</v>
      </c>
    </row>
    <row r="53" spans="1:4" ht="14.5" customHeight="1" x14ac:dyDescent="0.35">
      <c r="A53" s="824" t="s">
        <v>425</v>
      </c>
      <c r="B53" s="825"/>
      <c r="C53" s="825"/>
      <c r="D53" s="826"/>
    </row>
    <row r="54" spans="1:4" x14ac:dyDescent="0.35">
      <c r="A54" s="16" t="s">
        <v>32</v>
      </c>
      <c r="B54" s="628" t="s">
        <v>408</v>
      </c>
      <c r="C54" s="629">
        <f t="shared" ref="C54:C70" si="4">IF(C53="",C52+1,C53+1)</f>
        <v>44</v>
      </c>
      <c r="D54" s="19" t="s">
        <v>424</v>
      </c>
    </row>
    <row r="55" spans="1:4" ht="29" x14ac:dyDescent="0.35">
      <c r="A55" s="16" t="s">
        <v>32</v>
      </c>
      <c r="B55" s="628" t="s">
        <v>408</v>
      </c>
      <c r="C55" s="629">
        <f t="shared" si="4"/>
        <v>45</v>
      </c>
      <c r="D55" s="21" t="s">
        <v>423</v>
      </c>
    </row>
    <row r="56" spans="1:4" x14ac:dyDescent="0.35">
      <c r="A56" s="16" t="s">
        <v>32</v>
      </c>
      <c r="B56" s="628" t="s">
        <v>408</v>
      </c>
      <c r="C56" s="629">
        <f t="shared" si="4"/>
        <v>46</v>
      </c>
      <c r="D56" s="21" t="s">
        <v>422</v>
      </c>
    </row>
    <row r="57" spans="1:4" ht="29" x14ac:dyDescent="0.35">
      <c r="A57" s="16" t="s">
        <v>32</v>
      </c>
      <c r="B57" s="628" t="s">
        <v>408</v>
      </c>
      <c r="C57" s="629">
        <f t="shared" si="4"/>
        <v>47</v>
      </c>
      <c r="D57" s="21" t="s">
        <v>421</v>
      </c>
    </row>
    <row r="58" spans="1:4" ht="29" x14ac:dyDescent="0.35">
      <c r="A58" s="16" t="s">
        <v>32</v>
      </c>
      <c r="B58" s="628" t="s">
        <v>408</v>
      </c>
      <c r="C58" s="629">
        <f t="shared" si="4"/>
        <v>48</v>
      </c>
      <c r="D58" s="21" t="s">
        <v>420</v>
      </c>
    </row>
    <row r="59" spans="1:4" ht="29" x14ac:dyDescent="0.35">
      <c r="A59" s="16" t="s">
        <v>32</v>
      </c>
      <c r="B59" s="628" t="s">
        <v>408</v>
      </c>
      <c r="C59" s="629">
        <f t="shared" si="4"/>
        <v>49</v>
      </c>
      <c r="D59" s="21" t="s">
        <v>419</v>
      </c>
    </row>
    <row r="60" spans="1:4" x14ac:dyDescent="0.35">
      <c r="A60" s="16" t="s">
        <v>32</v>
      </c>
      <c r="B60" s="628" t="s">
        <v>408</v>
      </c>
      <c r="C60" s="629">
        <f t="shared" si="4"/>
        <v>50</v>
      </c>
      <c r="D60" s="21" t="s">
        <v>418</v>
      </c>
    </row>
    <row r="61" spans="1:4" x14ac:dyDescent="0.35">
      <c r="A61" s="16" t="s">
        <v>32</v>
      </c>
      <c r="B61" s="628" t="s">
        <v>408</v>
      </c>
      <c r="C61" s="629">
        <f t="shared" si="4"/>
        <v>51</v>
      </c>
      <c r="D61" s="21" t="s">
        <v>417</v>
      </c>
    </row>
    <row r="62" spans="1:4" x14ac:dyDescent="0.35">
      <c r="A62" s="16" t="s">
        <v>32</v>
      </c>
      <c r="B62" s="628" t="s">
        <v>408</v>
      </c>
      <c r="C62" s="629">
        <f t="shared" si="4"/>
        <v>52</v>
      </c>
      <c r="D62" s="21" t="s">
        <v>416</v>
      </c>
    </row>
    <row r="63" spans="1:4" x14ac:dyDescent="0.35">
      <c r="A63" s="16" t="s">
        <v>32</v>
      </c>
      <c r="B63" s="628" t="s">
        <v>408</v>
      </c>
      <c r="C63" s="629">
        <f t="shared" si="4"/>
        <v>53</v>
      </c>
      <c r="D63" s="21" t="s">
        <v>415</v>
      </c>
    </row>
    <row r="64" spans="1:4" ht="29" x14ac:dyDescent="0.35">
      <c r="A64" s="16" t="s">
        <v>32</v>
      </c>
      <c r="B64" s="628" t="s">
        <v>408</v>
      </c>
      <c r="C64" s="629">
        <f t="shared" si="4"/>
        <v>54</v>
      </c>
      <c r="D64" s="21" t="s">
        <v>414</v>
      </c>
    </row>
    <row r="65" spans="1:4" ht="58" x14ac:dyDescent="0.35">
      <c r="A65" s="16" t="s">
        <v>32</v>
      </c>
      <c r="B65" s="628" t="s">
        <v>408</v>
      </c>
      <c r="C65" s="629">
        <f t="shared" si="4"/>
        <v>55</v>
      </c>
      <c r="D65" s="21" t="s">
        <v>413</v>
      </c>
    </row>
    <row r="66" spans="1:4" x14ac:dyDescent="0.35">
      <c r="A66" s="16" t="s">
        <v>32</v>
      </c>
      <c r="B66" s="628" t="s">
        <v>408</v>
      </c>
      <c r="C66" s="629">
        <f t="shared" si="4"/>
        <v>56</v>
      </c>
      <c r="D66" s="21" t="s">
        <v>412</v>
      </c>
    </row>
    <row r="67" spans="1:4" ht="29" x14ac:dyDescent="0.35">
      <c r="A67" s="16" t="s">
        <v>32</v>
      </c>
      <c r="B67" s="628" t="s">
        <v>408</v>
      </c>
      <c r="C67" s="629">
        <f t="shared" si="4"/>
        <v>57</v>
      </c>
      <c r="D67" s="21" t="s">
        <v>411</v>
      </c>
    </row>
    <row r="68" spans="1:4" x14ac:dyDescent="0.35">
      <c r="A68" s="16" t="s">
        <v>32</v>
      </c>
      <c r="B68" s="628" t="s">
        <v>408</v>
      </c>
      <c r="C68" s="629">
        <f t="shared" si="4"/>
        <v>58</v>
      </c>
      <c r="D68" s="21" t="s">
        <v>410</v>
      </c>
    </row>
    <row r="69" spans="1:4" x14ac:dyDescent="0.35">
      <c r="A69" s="16" t="s">
        <v>32</v>
      </c>
      <c r="B69" s="628" t="s">
        <v>408</v>
      </c>
      <c r="C69" s="629">
        <f t="shared" si="4"/>
        <v>59</v>
      </c>
      <c r="D69" s="21" t="s">
        <v>409</v>
      </c>
    </row>
    <row r="70" spans="1:4" x14ac:dyDescent="0.35">
      <c r="A70" s="16" t="s">
        <v>32</v>
      </c>
      <c r="B70" s="628" t="s">
        <v>408</v>
      </c>
      <c r="C70" s="629">
        <f t="shared" si="4"/>
        <v>60</v>
      </c>
      <c r="D70" s="21" t="s">
        <v>407</v>
      </c>
    </row>
    <row r="71" spans="1:4" ht="14.5" customHeight="1" x14ac:dyDescent="0.35">
      <c r="A71" s="824" t="s">
        <v>406</v>
      </c>
      <c r="B71" s="825"/>
      <c r="C71" s="825"/>
      <c r="D71" s="826"/>
    </row>
    <row r="72" spans="1:4" x14ac:dyDescent="0.35">
      <c r="A72" s="16" t="s">
        <v>32</v>
      </c>
      <c r="B72" s="628" t="s">
        <v>403</v>
      </c>
      <c r="C72" s="629">
        <f>IF(C71="",C70+1,C71+1)</f>
        <v>61</v>
      </c>
      <c r="D72" s="21" t="s">
        <v>405</v>
      </c>
    </row>
    <row r="73" spans="1:4" x14ac:dyDescent="0.35">
      <c r="A73" s="16" t="s">
        <v>32</v>
      </c>
      <c r="B73" s="628" t="s">
        <v>403</v>
      </c>
      <c r="C73" s="629">
        <f>IF(C72="",C71+1,C72+1)</f>
        <v>62</v>
      </c>
      <c r="D73" s="21" t="s">
        <v>404</v>
      </c>
    </row>
    <row r="74" spans="1:4" x14ac:dyDescent="0.35">
      <c r="A74" s="16" t="s">
        <v>32</v>
      </c>
      <c r="B74" s="628" t="s">
        <v>403</v>
      </c>
      <c r="C74" s="629">
        <f>IF(C73="",C72+1,C73+1)</f>
        <v>63</v>
      </c>
      <c r="D74" s="21" t="s">
        <v>402</v>
      </c>
    </row>
    <row r="75" spans="1:4" ht="14.5" customHeight="1" x14ac:dyDescent="0.35">
      <c r="A75" s="824" t="s">
        <v>401</v>
      </c>
      <c r="B75" s="825"/>
      <c r="C75" s="825"/>
      <c r="D75" s="826"/>
    </row>
    <row r="76" spans="1:4" ht="29" x14ac:dyDescent="0.35">
      <c r="A76" s="16" t="s">
        <v>32</v>
      </c>
      <c r="B76" s="628" t="s">
        <v>378</v>
      </c>
      <c r="C76" s="629">
        <f t="shared" ref="C76:C98" si="5">IF(C75="",C74+1,C75+1)</f>
        <v>64</v>
      </c>
      <c r="D76" s="21" t="s">
        <v>400</v>
      </c>
    </row>
    <row r="77" spans="1:4" ht="43.5" x14ac:dyDescent="0.35">
      <c r="A77" s="16" t="s">
        <v>32</v>
      </c>
      <c r="B77" s="628" t="s">
        <v>378</v>
      </c>
      <c r="C77" s="629">
        <f t="shared" si="5"/>
        <v>65</v>
      </c>
      <c r="D77" s="21" t="s">
        <v>399</v>
      </c>
    </row>
    <row r="78" spans="1:4" x14ac:dyDescent="0.35">
      <c r="A78" s="16" t="s">
        <v>32</v>
      </c>
      <c r="B78" s="628" t="s">
        <v>378</v>
      </c>
      <c r="C78" s="629">
        <f t="shared" si="5"/>
        <v>66</v>
      </c>
      <c r="D78" s="22" t="s">
        <v>398</v>
      </c>
    </row>
    <row r="79" spans="1:4" x14ac:dyDescent="0.35">
      <c r="A79" s="16" t="s">
        <v>32</v>
      </c>
      <c r="B79" s="628" t="s">
        <v>378</v>
      </c>
      <c r="C79" s="629">
        <f t="shared" si="5"/>
        <v>67</v>
      </c>
      <c r="D79" s="22" t="s">
        <v>397</v>
      </c>
    </row>
    <row r="80" spans="1:4" x14ac:dyDescent="0.35">
      <c r="A80" s="16" t="s">
        <v>32</v>
      </c>
      <c r="B80" s="628" t="s">
        <v>378</v>
      </c>
      <c r="C80" s="629">
        <f t="shared" si="5"/>
        <v>68</v>
      </c>
      <c r="D80" s="22" t="s">
        <v>396</v>
      </c>
    </row>
    <row r="81" spans="1:4" x14ac:dyDescent="0.35">
      <c r="A81" s="16" t="s">
        <v>32</v>
      </c>
      <c r="B81" s="628" t="s">
        <v>378</v>
      </c>
      <c r="C81" s="629">
        <f t="shared" si="5"/>
        <v>69</v>
      </c>
      <c r="D81" s="22" t="s">
        <v>395</v>
      </c>
    </row>
    <row r="82" spans="1:4" x14ac:dyDescent="0.35">
      <c r="A82" s="16" t="s">
        <v>32</v>
      </c>
      <c r="B82" s="628" t="s">
        <v>378</v>
      </c>
      <c r="C82" s="629">
        <f t="shared" si="5"/>
        <v>70</v>
      </c>
      <c r="D82" s="22" t="s">
        <v>394</v>
      </c>
    </row>
    <row r="83" spans="1:4" x14ac:dyDescent="0.35">
      <c r="A83" s="16" t="s">
        <v>32</v>
      </c>
      <c r="B83" s="628" t="s">
        <v>378</v>
      </c>
      <c r="C83" s="629">
        <f t="shared" si="5"/>
        <v>71</v>
      </c>
      <c r="D83" s="22" t="s">
        <v>393</v>
      </c>
    </row>
    <row r="84" spans="1:4" x14ac:dyDescent="0.35">
      <c r="A84" s="16" t="s">
        <v>32</v>
      </c>
      <c r="B84" s="628" t="s">
        <v>378</v>
      </c>
      <c r="C84" s="629">
        <f t="shared" si="5"/>
        <v>72</v>
      </c>
      <c r="D84" s="22" t="s">
        <v>392</v>
      </c>
    </row>
    <row r="85" spans="1:4" ht="29" x14ac:dyDescent="0.35">
      <c r="A85" s="16" t="s">
        <v>32</v>
      </c>
      <c r="B85" s="628" t="s">
        <v>378</v>
      </c>
      <c r="C85" s="629">
        <f t="shared" si="5"/>
        <v>73</v>
      </c>
      <c r="D85" s="22" t="s">
        <v>391</v>
      </c>
    </row>
    <row r="86" spans="1:4" ht="43.5" x14ac:dyDescent="0.35">
      <c r="A86" s="16" t="s">
        <v>32</v>
      </c>
      <c r="B86" s="628" t="s">
        <v>378</v>
      </c>
      <c r="C86" s="629">
        <f t="shared" si="5"/>
        <v>74</v>
      </c>
      <c r="D86" s="22" t="s">
        <v>390</v>
      </c>
    </row>
    <row r="87" spans="1:4" x14ac:dyDescent="0.35">
      <c r="A87" s="16" t="s">
        <v>32</v>
      </c>
      <c r="B87" s="628" t="s">
        <v>378</v>
      </c>
      <c r="C87" s="629">
        <f t="shared" si="5"/>
        <v>75</v>
      </c>
      <c r="D87" s="22" t="s">
        <v>389</v>
      </c>
    </row>
    <row r="88" spans="1:4" x14ac:dyDescent="0.35">
      <c r="A88" s="16" t="s">
        <v>32</v>
      </c>
      <c r="B88" s="628" t="s">
        <v>378</v>
      </c>
      <c r="C88" s="629">
        <f t="shared" si="5"/>
        <v>76</v>
      </c>
      <c r="D88" s="22" t="s">
        <v>388</v>
      </c>
    </row>
    <row r="89" spans="1:4" x14ac:dyDescent="0.35">
      <c r="A89" s="16" t="s">
        <v>32</v>
      </c>
      <c r="B89" s="628" t="s">
        <v>378</v>
      </c>
      <c r="C89" s="629">
        <f t="shared" si="5"/>
        <v>77</v>
      </c>
      <c r="D89" s="22" t="s">
        <v>387</v>
      </c>
    </row>
    <row r="90" spans="1:4" ht="43.5" x14ac:dyDescent="0.35">
      <c r="A90" s="16" t="s">
        <v>32</v>
      </c>
      <c r="B90" s="628" t="s">
        <v>378</v>
      </c>
      <c r="C90" s="629">
        <f t="shared" si="5"/>
        <v>78</v>
      </c>
      <c r="D90" s="22" t="s">
        <v>386</v>
      </c>
    </row>
    <row r="91" spans="1:4" ht="29" x14ac:dyDescent="0.35">
      <c r="A91" s="16" t="s">
        <v>32</v>
      </c>
      <c r="B91" s="628" t="s">
        <v>378</v>
      </c>
      <c r="C91" s="629">
        <f t="shared" si="5"/>
        <v>79</v>
      </c>
      <c r="D91" s="22" t="s">
        <v>385</v>
      </c>
    </row>
    <row r="92" spans="1:4" ht="29" x14ac:dyDescent="0.35">
      <c r="A92" s="16" t="s">
        <v>32</v>
      </c>
      <c r="B92" s="628" t="s">
        <v>378</v>
      </c>
      <c r="C92" s="629">
        <f t="shared" si="5"/>
        <v>80</v>
      </c>
      <c r="D92" s="22" t="s">
        <v>384</v>
      </c>
    </row>
    <row r="93" spans="1:4" x14ac:dyDescent="0.35">
      <c r="A93" s="16" t="s">
        <v>32</v>
      </c>
      <c r="B93" s="628" t="s">
        <v>378</v>
      </c>
      <c r="C93" s="629">
        <f t="shared" si="5"/>
        <v>81</v>
      </c>
      <c r="D93" s="22" t="s">
        <v>383</v>
      </c>
    </row>
    <row r="94" spans="1:4" x14ac:dyDescent="0.35">
      <c r="A94" s="16" t="s">
        <v>32</v>
      </c>
      <c r="B94" s="628" t="s">
        <v>378</v>
      </c>
      <c r="C94" s="629">
        <f t="shared" si="5"/>
        <v>82</v>
      </c>
      <c r="D94" s="21" t="s">
        <v>382</v>
      </c>
    </row>
    <row r="95" spans="1:4" ht="29" x14ac:dyDescent="0.35">
      <c r="A95" s="16" t="s">
        <v>32</v>
      </c>
      <c r="B95" s="628" t="s">
        <v>378</v>
      </c>
      <c r="C95" s="629">
        <f t="shared" si="5"/>
        <v>83</v>
      </c>
      <c r="D95" s="21" t="s">
        <v>381</v>
      </c>
    </row>
    <row r="96" spans="1:4" x14ac:dyDescent="0.35">
      <c r="A96" s="16" t="s">
        <v>32</v>
      </c>
      <c r="B96" s="628" t="s">
        <v>378</v>
      </c>
      <c r="C96" s="629">
        <f t="shared" si="5"/>
        <v>84</v>
      </c>
      <c r="D96" s="21" t="s">
        <v>380</v>
      </c>
    </row>
    <row r="97" spans="1:4" x14ac:dyDescent="0.35">
      <c r="A97" s="16" t="s">
        <v>32</v>
      </c>
      <c r="B97" s="628" t="s">
        <v>378</v>
      </c>
      <c r="C97" s="629">
        <f t="shared" si="5"/>
        <v>85</v>
      </c>
      <c r="D97" s="21" t="s">
        <v>379</v>
      </c>
    </row>
    <row r="98" spans="1:4" x14ac:dyDescent="0.35">
      <c r="A98" s="16" t="s">
        <v>32</v>
      </c>
      <c r="B98" s="628" t="s">
        <v>378</v>
      </c>
      <c r="C98" s="629">
        <f t="shared" si="5"/>
        <v>86</v>
      </c>
      <c r="D98" s="21" t="s">
        <v>377</v>
      </c>
    </row>
    <row r="99" spans="1:4" ht="14.5" customHeight="1" x14ac:dyDescent="0.35">
      <c r="A99" s="824" t="s">
        <v>376</v>
      </c>
      <c r="B99" s="825"/>
      <c r="C99" s="825"/>
      <c r="D99" s="826" t="s">
        <v>369</v>
      </c>
    </row>
    <row r="100" spans="1:4" x14ac:dyDescent="0.35">
      <c r="A100" s="16" t="s">
        <v>32</v>
      </c>
      <c r="B100" s="628" t="s">
        <v>371</v>
      </c>
      <c r="C100" s="629">
        <f>IF(C99="",C98+1,C99+1)</f>
        <v>87</v>
      </c>
      <c r="D100" s="19" t="s">
        <v>375</v>
      </c>
    </row>
    <row r="101" spans="1:4" x14ac:dyDescent="0.35">
      <c r="A101" s="16" t="s">
        <v>32</v>
      </c>
      <c r="B101" s="628" t="s">
        <v>371</v>
      </c>
      <c r="C101" s="629">
        <f>IF(C100="",C99+1,C100+1)</f>
        <v>88</v>
      </c>
      <c r="D101" s="19" t="s">
        <v>374</v>
      </c>
    </row>
    <row r="102" spans="1:4" x14ac:dyDescent="0.35">
      <c r="A102" s="16" t="s">
        <v>32</v>
      </c>
      <c r="B102" s="628" t="s">
        <v>371</v>
      </c>
      <c r="C102" s="629">
        <f>IF(C101="",C100+1,C101+1)</f>
        <v>89</v>
      </c>
      <c r="D102" s="19" t="s">
        <v>373</v>
      </c>
    </row>
    <row r="103" spans="1:4" x14ac:dyDescent="0.35">
      <c r="A103" s="16" t="s">
        <v>32</v>
      </c>
      <c r="B103" s="628" t="s">
        <v>371</v>
      </c>
      <c r="C103" s="629">
        <f>IF(C102="",C101+1,C102+1)</f>
        <v>90</v>
      </c>
      <c r="D103" s="19" t="s">
        <v>372</v>
      </c>
    </row>
    <row r="104" spans="1:4" x14ac:dyDescent="0.35">
      <c r="A104" s="16" t="s">
        <v>32</v>
      </c>
      <c r="B104" s="628" t="s">
        <v>371</v>
      </c>
      <c r="C104" s="629">
        <f>IF(C103="",C102+1,C103+1)</f>
        <v>91</v>
      </c>
      <c r="D104" s="19" t="s">
        <v>370</v>
      </c>
    </row>
    <row r="105" spans="1:4" ht="14.5" customHeight="1" x14ac:dyDescent="0.35">
      <c r="A105" s="824" t="s">
        <v>1204</v>
      </c>
      <c r="B105" s="825"/>
      <c r="C105" s="825"/>
      <c r="D105" s="826" t="s">
        <v>369</v>
      </c>
    </row>
    <row r="106" spans="1:4" x14ac:dyDescent="0.35">
      <c r="A106" s="16" t="s">
        <v>32</v>
      </c>
      <c r="B106" s="628" t="s">
        <v>1205</v>
      </c>
      <c r="C106" s="629">
        <f t="shared" ref="C106:C121" si="6">IF(C105="",C104+1,C105+1)</f>
        <v>92</v>
      </c>
      <c r="D106" s="19" t="s">
        <v>1206</v>
      </c>
    </row>
    <row r="107" spans="1:4" x14ac:dyDescent="0.35">
      <c r="A107" s="16" t="s">
        <v>32</v>
      </c>
      <c r="B107" s="628" t="s">
        <v>1205</v>
      </c>
      <c r="C107" s="629">
        <f t="shared" si="6"/>
        <v>93</v>
      </c>
      <c r="D107" s="19" t="s">
        <v>368</v>
      </c>
    </row>
    <row r="108" spans="1:4" x14ac:dyDescent="0.35">
      <c r="A108" s="16" t="s">
        <v>32</v>
      </c>
      <c r="B108" s="628" t="s">
        <v>1205</v>
      </c>
      <c r="C108" s="629">
        <f t="shared" si="6"/>
        <v>94</v>
      </c>
      <c r="D108" s="19" t="s">
        <v>367</v>
      </c>
    </row>
    <row r="109" spans="1:4" x14ac:dyDescent="0.35">
      <c r="A109" s="16" t="s">
        <v>32</v>
      </c>
      <c r="B109" s="628" t="s">
        <v>1205</v>
      </c>
      <c r="C109" s="629">
        <f t="shared" si="6"/>
        <v>95</v>
      </c>
      <c r="D109" s="19" t="s">
        <v>366</v>
      </c>
    </row>
    <row r="110" spans="1:4" x14ac:dyDescent="0.35">
      <c r="A110" s="16" t="s">
        <v>32</v>
      </c>
      <c r="B110" s="628" t="s">
        <v>1205</v>
      </c>
      <c r="C110" s="629">
        <f t="shared" si="6"/>
        <v>96</v>
      </c>
      <c r="D110" s="19" t="s">
        <v>365</v>
      </c>
    </row>
    <row r="111" spans="1:4" x14ac:dyDescent="0.35">
      <c r="A111" s="16" t="s">
        <v>32</v>
      </c>
      <c r="B111" s="628" t="s">
        <v>1205</v>
      </c>
      <c r="C111" s="629">
        <f t="shared" si="6"/>
        <v>97</v>
      </c>
      <c r="D111" s="19" t="s">
        <v>364</v>
      </c>
    </row>
    <row r="112" spans="1:4" x14ac:dyDescent="0.35">
      <c r="A112" s="16" t="s">
        <v>32</v>
      </c>
      <c r="B112" s="628" t="s">
        <v>1205</v>
      </c>
      <c r="C112" s="629">
        <f t="shared" si="6"/>
        <v>98</v>
      </c>
      <c r="D112" s="19" t="s">
        <v>363</v>
      </c>
    </row>
    <row r="113" spans="1:4" x14ac:dyDescent="0.35">
      <c r="A113" s="16" t="s">
        <v>32</v>
      </c>
      <c r="B113" s="628" t="s">
        <v>1205</v>
      </c>
      <c r="C113" s="629">
        <f t="shared" si="6"/>
        <v>99</v>
      </c>
      <c r="D113" s="19" t="s">
        <v>362</v>
      </c>
    </row>
    <row r="114" spans="1:4" x14ac:dyDescent="0.35">
      <c r="A114" s="16" t="s">
        <v>32</v>
      </c>
      <c r="B114" s="628" t="s">
        <v>1205</v>
      </c>
      <c r="C114" s="629">
        <f t="shared" si="6"/>
        <v>100</v>
      </c>
      <c r="D114" s="19" t="s">
        <v>361</v>
      </c>
    </row>
    <row r="115" spans="1:4" x14ac:dyDescent="0.35">
      <c r="A115" s="16" t="s">
        <v>32</v>
      </c>
      <c r="B115" s="628" t="s">
        <v>1205</v>
      </c>
      <c r="C115" s="629">
        <f t="shared" si="6"/>
        <v>101</v>
      </c>
      <c r="D115" s="19" t="s">
        <v>360</v>
      </c>
    </row>
    <row r="116" spans="1:4" x14ac:dyDescent="0.35">
      <c r="A116" s="16" t="s">
        <v>32</v>
      </c>
      <c r="B116" s="628" t="s">
        <v>1205</v>
      </c>
      <c r="C116" s="629">
        <f t="shared" si="6"/>
        <v>102</v>
      </c>
      <c r="D116" s="19" t="s">
        <v>359</v>
      </c>
    </row>
    <row r="117" spans="1:4" x14ac:dyDescent="0.35">
      <c r="A117" s="16" t="s">
        <v>32</v>
      </c>
      <c r="B117" s="628" t="s">
        <v>1205</v>
      </c>
      <c r="C117" s="629">
        <f t="shared" si="6"/>
        <v>103</v>
      </c>
      <c r="D117" s="19" t="s">
        <v>358</v>
      </c>
    </row>
    <row r="118" spans="1:4" x14ac:dyDescent="0.35">
      <c r="A118" s="16" t="s">
        <v>32</v>
      </c>
      <c r="B118" s="628" t="s">
        <v>1205</v>
      </c>
      <c r="C118" s="629">
        <f t="shared" si="6"/>
        <v>104</v>
      </c>
      <c r="D118" s="19" t="s">
        <v>357</v>
      </c>
    </row>
    <row r="119" spans="1:4" x14ac:dyDescent="0.35">
      <c r="A119" s="16" t="s">
        <v>32</v>
      </c>
      <c r="B119" s="628" t="s">
        <v>1205</v>
      </c>
      <c r="C119" s="629">
        <f t="shared" si="6"/>
        <v>105</v>
      </c>
      <c r="D119" s="19" t="s">
        <v>356</v>
      </c>
    </row>
    <row r="120" spans="1:4" x14ac:dyDescent="0.35">
      <c r="A120" s="16" t="s">
        <v>32</v>
      </c>
      <c r="B120" s="628" t="s">
        <v>1205</v>
      </c>
      <c r="C120" s="629">
        <f t="shared" si="6"/>
        <v>106</v>
      </c>
      <c r="D120" s="19" t="s">
        <v>355</v>
      </c>
    </row>
    <row r="121" spans="1:4" ht="87" x14ac:dyDescent="0.35">
      <c r="A121" s="16" t="s">
        <v>32</v>
      </c>
      <c r="B121" s="628" t="s">
        <v>1205</v>
      </c>
      <c r="C121" s="629">
        <f t="shared" si="6"/>
        <v>107</v>
      </c>
      <c r="D121" s="21" t="s">
        <v>1207</v>
      </c>
    </row>
    <row r="122" spans="1:4" ht="14.5" customHeight="1" x14ac:dyDescent="0.35">
      <c r="A122" s="824" t="s">
        <v>354</v>
      </c>
      <c r="B122" s="825" t="s">
        <v>333</v>
      </c>
      <c r="C122" s="825"/>
      <c r="D122" s="826"/>
    </row>
    <row r="123" spans="1:4" x14ac:dyDescent="0.35">
      <c r="A123" s="16" t="s">
        <v>32</v>
      </c>
      <c r="B123" s="628" t="s">
        <v>333</v>
      </c>
      <c r="C123" s="629">
        <f t="shared" ref="C123:C144" si="7">IF(C122="",C121+1,C122+1)</f>
        <v>108</v>
      </c>
      <c r="D123" s="19" t="s">
        <v>72</v>
      </c>
    </row>
    <row r="124" spans="1:4" x14ac:dyDescent="0.35">
      <c r="A124" s="16" t="s">
        <v>32</v>
      </c>
      <c r="B124" s="628" t="s">
        <v>333</v>
      </c>
      <c r="C124" s="629">
        <f t="shared" si="7"/>
        <v>109</v>
      </c>
      <c r="D124" s="19" t="s">
        <v>353</v>
      </c>
    </row>
    <row r="125" spans="1:4" x14ac:dyDescent="0.35">
      <c r="A125" s="16" t="s">
        <v>32</v>
      </c>
      <c r="B125" s="628" t="s">
        <v>333</v>
      </c>
      <c r="C125" s="629">
        <f t="shared" si="7"/>
        <v>110</v>
      </c>
      <c r="D125" s="19" t="s">
        <v>352</v>
      </c>
    </row>
    <row r="126" spans="1:4" x14ac:dyDescent="0.35">
      <c r="A126" s="16" t="s">
        <v>32</v>
      </c>
      <c r="B126" s="628" t="s">
        <v>333</v>
      </c>
      <c r="C126" s="629">
        <f t="shared" si="7"/>
        <v>111</v>
      </c>
      <c r="D126" s="19" t="s">
        <v>351</v>
      </c>
    </row>
    <row r="127" spans="1:4" x14ac:dyDescent="0.35">
      <c r="A127" s="16" t="s">
        <v>32</v>
      </c>
      <c r="B127" s="628" t="s">
        <v>333</v>
      </c>
      <c r="C127" s="629">
        <f t="shared" si="7"/>
        <v>112</v>
      </c>
      <c r="D127" s="19" t="s">
        <v>350</v>
      </c>
    </row>
    <row r="128" spans="1:4" x14ac:dyDescent="0.35">
      <c r="A128" s="16" t="s">
        <v>32</v>
      </c>
      <c r="B128" s="628" t="s">
        <v>333</v>
      </c>
      <c r="C128" s="629">
        <f t="shared" si="7"/>
        <v>113</v>
      </c>
      <c r="D128" s="19" t="s">
        <v>349</v>
      </c>
    </row>
    <row r="129" spans="1:4" x14ac:dyDescent="0.35">
      <c r="A129" s="16" t="s">
        <v>32</v>
      </c>
      <c r="B129" s="628" t="s">
        <v>333</v>
      </c>
      <c r="C129" s="629">
        <f t="shared" si="7"/>
        <v>114</v>
      </c>
      <c r="D129" s="19" t="s">
        <v>348</v>
      </c>
    </row>
    <row r="130" spans="1:4" x14ac:dyDescent="0.35">
      <c r="A130" s="16" t="s">
        <v>32</v>
      </c>
      <c r="B130" s="628" t="s">
        <v>333</v>
      </c>
      <c r="C130" s="629">
        <f t="shared" si="7"/>
        <v>115</v>
      </c>
      <c r="D130" s="19" t="s">
        <v>347</v>
      </c>
    </row>
    <row r="131" spans="1:4" x14ac:dyDescent="0.35">
      <c r="A131" s="16" t="s">
        <v>32</v>
      </c>
      <c r="B131" s="628" t="s">
        <v>333</v>
      </c>
      <c r="C131" s="629">
        <f t="shared" si="7"/>
        <v>116</v>
      </c>
      <c r="D131" s="19" t="s">
        <v>346</v>
      </c>
    </row>
    <row r="132" spans="1:4" x14ac:dyDescent="0.35">
      <c r="A132" s="16" t="s">
        <v>32</v>
      </c>
      <c r="B132" s="628" t="s">
        <v>333</v>
      </c>
      <c r="C132" s="629">
        <f t="shared" si="7"/>
        <v>117</v>
      </c>
      <c r="D132" s="19" t="s">
        <v>345</v>
      </c>
    </row>
    <row r="133" spans="1:4" x14ac:dyDescent="0.35">
      <c r="A133" s="16" t="s">
        <v>32</v>
      </c>
      <c r="B133" s="628" t="s">
        <v>333</v>
      </c>
      <c r="C133" s="629">
        <f t="shared" si="7"/>
        <v>118</v>
      </c>
      <c r="D133" s="19" t="s">
        <v>344</v>
      </c>
    </row>
    <row r="134" spans="1:4" ht="29" x14ac:dyDescent="0.35">
      <c r="A134" s="16" t="s">
        <v>32</v>
      </c>
      <c r="B134" s="628" t="s">
        <v>333</v>
      </c>
      <c r="C134" s="629">
        <f t="shared" si="7"/>
        <v>119</v>
      </c>
      <c r="D134" s="19" t="s">
        <v>343</v>
      </c>
    </row>
    <row r="135" spans="1:4" x14ac:dyDescent="0.35">
      <c r="A135" s="16" t="s">
        <v>32</v>
      </c>
      <c r="B135" s="628" t="s">
        <v>333</v>
      </c>
      <c r="C135" s="629">
        <f t="shared" si="7"/>
        <v>120</v>
      </c>
      <c r="D135" s="19" t="s">
        <v>342</v>
      </c>
    </row>
    <row r="136" spans="1:4" x14ac:dyDescent="0.35">
      <c r="A136" s="16" t="s">
        <v>32</v>
      </c>
      <c r="B136" s="628" t="s">
        <v>333</v>
      </c>
      <c r="C136" s="629">
        <f t="shared" si="7"/>
        <v>121</v>
      </c>
      <c r="D136" s="19" t="s">
        <v>341</v>
      </c>
    </row>
    <row r="137" spans="1:4" ht="29" x14ac:dyDescent="0.35">
      <c r="A137" s="16" t="s">
        <v>32</v>
      </c>
      <c r="B137" s="628" t="s">
        <v>333</v>
      </c>
      <c r="C137" s="629">
        <f t="shared" si="7"/>
        <v>122</v>
      </c>
      <c r="D137" s="19" t="s">
        <v>340</v>
      </c>
    </row>
    <row r="138" spans="1:4" x14ac:dyDescent="0.35">
      <c r="A138" s="16" t="s">
        <v>32</v>
      </c>
      <c r="B138" s="628" t="s">
        <v>333</v>
      </c>
      <c r="C138" s="629">
        <f t="shared" si="7"/>
        <v>123</v>
      </c>
      <c r="D138" s="19" t="s">
        <v>339</v>
      </c>
    </row>
    <row r="139" spans="1:4" x14ac:dyDescent="0.35">
      <c r="A139" s="16" t="s">
        <v>32</v>
      </c>
      <c r="B139" s="628" t="s">
        <v>333</v>
      </c>
      <c r="C139" s="629">
        <f t="shared" si="7"/>
        <v>124</v>
      </c>
      <c r="D139" s="19" t="s">
        <v>338</v>
      </c>
    </row>
    <row r="140" spans="1:4" x14ac:dyDescent="0.35">
      <c r="A140" s="16" t="s">
        <v>32</v>
      </c>
      <c r="B140" s="628" t="s">
        <v>333</v>
      </c>
      <c r="C140" s="629">
        <f t="shared" si="7"/>
        <v>125</v>
      </c>
      <c r="D140" s="19" t="s">
        <v>337</v>
      </c>
    </row>
    <row r="141" spans="1:4" x14ac:dyDescent="0.35">
      <c r="A141" s="16" t="s">
        <v>32</v>
      </c>
      <c r="B141" s="628" t="s">
        <v>333</v>
      </c>
      <c r="C141" s="629">
        <f t="shared" si="7"/>
        <v>126</v>
      </c>
      <c r="D141" s="19" t="s">
        <v>336</v>
      </c>
    </row>
    <row r="142" spans="1:4" x14ac:dyDescent="0.35">
      <c r="A142" s="16" t="s">
        <v>32</v>
      </c>
      <c r="B142" s="628" t="s">
        <v>333</v>
      </c>
      <c r="C142" s="629">
        <f t="shared" si="7"/>
        <v>127</v>
      </c>
      <c r="D142" s="19" t="s">
        <v>335</v>
      </c>
    </row>
    <row r="143" spans="1:4" x14ac:dyDescent="0.35">
      <c r="A143" s="16" t="s">
        <v>32</v>
      </c>
      <c r="B143" s="628" t="s">
        <v>333</v>
      </c>
      <c r="C143" s="629">
        <f t="shared" si="7"/>
        <v>128</v>
      </c>
      <c r="D143" s="19" t="s">
        <v>334</v>
      </c>
    </row>
    <row r="144" spans="1:4" x14ac:dyDescent="0.35">
      <c r="A144" s="16" t="s">
        <v>32</v>
      </c>
      <c r="B144" s="628" t="s">
        <v>333</v>
      </c>
      <c r="C144" s="629">
        <f t="shared" si="7"/>
        <v>129</v>
      </c>
      <c r="D144" s="19" t="s">
        <v>54</v>
      </c>
    </row>
    <row r="145" spans="1:4" ht="14.5" customHeight="1" x14ac:dyDescent="0.35">
      <c r="A145" s="824" t="s">
        <v>332</v>
      </c>
      <c r="B145" s="825" t="s">
        <v>318</v>
      </c>
      <c r="C145" s="825"/>
      <c r="D145" s="826"/>
    </row>
    <row r="146" spans="1:4" x14ac:dyDescent="0.35">
      <c r="A146" s="16" t="s">
        <v>32</v>
      </c>
      <c r="B146" s="628" t="s">
        <v>318</v>
      </c>
      <c r="C146" s="629">
        <f t="shared" ref="C146:C160" si="8">IF(C145="",C144+1,C145+1)</f>
        <v>130</v>
      </c>
      <c r="D146" s="19" t="s">
        <v>72</v>
      </c>
    </row>
    <row r="147" spans="1:4" x14ac:dyDescent="0.35">
      <c r="A147" s="16" t="s">
        <v>32</v>
      </c>
      <c r="B147" s="628" t="s">
        <v>318</v>
      </c>
      <c r="C147" s="629">
        <f t="shared" si="8"/>
        <v>131</v>
      </c>
      <c r="D147" s="19" t="s">
        <v>331</v>
      </c>
    </row>
    <row r="148" spans="1:4" x14ac:dyDescent="0.35">
      <c r="A148" s="16" t="s">
        <v>32</v>
      </c>
      <c r="B148" s="628" t="s">
        <v>318</v>
      </c>
      <c r="C148" s="629">
        <f t="shared" si="8"/>
        <v>132</v>
      </c>
      <c r="D148" s="19" t="s">
        <v>330</v>
      </c>
    </row>
    <row r="149" spans="1:4" x14ac:dyDescent="0.35">
      <c r="A149" s="16" t="s">
        <v>32</v>
      </c>
      <c r="B149" s="628" t="s">
        <v>318</v>
      </c>
      <c r="C149" s="629">
        <f t="shared" si="8"/>
        <v>133</v>
      </c>
      <c r="D149" s="19" t="s">
        <v>329</v>
      </c>
    </row>
    <row r="150" spans="1:4" x14ac:dyDescent="0.35">
      <c r="A150" s="16" t="s">
        <v>32</v>
      </c>
      <c r="B150" s="628" t="s">
        <v>318</v>
      </c>
      <c r="C150" s="629">
        <f t="shared" si="8"/>
        <v>134</v>
      </c>
      <c r="D150" s="19" t="s">
        <v>328</v>
      </c>
    </row>
    <row r="151" spans="1:4" x14ac:dyDescent="0.35">
      <c r="A151" s="16" t="s">
        <v>32</v>
      </c>
      <c r="B151" s="628" t="s">
        <v>318</v>
      </c>
      <c r="C151" s="629">
        <f t="shared" si="8"/>
        <v>135</v>
      </c>
      <c r="D151" s="19" t="s">
        <v>327</v>
      </c>
    </row>
    <row r="152" spans="1:4" x14ac:dyDescent="0.35">
      <c r="A152" s="16" t="s">
        <v>32</v>
      </c>
      <c r="B152" s="628" t="s">
        <v>318</v>
      </c>
      <c r="C152" s="629">
        <f t="shared" si="8"/>
        <v>136</v>
      </c>
      <c r="D152" s="19" t="s">
        <v>326</v>
      </c>
    </row>
    <row r="153" spans="1:4" x14ac:dyDescent="0.35">
      <c r="A153" s="16" t="s">
        <v>32</v>
      </c>
      <c r="B153" s="628" t="s">
        <v>318</v>
      </c>
      <c r="C153" s="629">
        <f t="shared" si="8"/>
        <v>137</v>
      </c>
      <c r="D153" s="19" t="s">
        <v>325</v>
      </c>
    </row>
    <row r="154" spans="1:4" x14ac:dyDescent="0.35">
      <c r="A154" s="16" t="s">
        <v>32</v>
      </c>
      <c r="B154" s="628" t="s">
        <v>318</v>
      </c>
      <c r="C154" s="629">
        <f t="shared" si="8"/>
        <v>138</v>
      </c>
      <c r="D154" s="19" t="s">
        <v>324</v>
      </c>
    </row>
    <row r="155" spans="1:4" x14ac:dyDescent="0.35">
      <c r="A155" s="16" t="s">
        <v>32</v>
      </c>
      <c r="B155" s="628" t="s">
        <v>318</v>
      </c>
      <c r="C155" s="629">
        <f t="shared" si="8"/>
        <v>139</v>
      </c>
      <c r="D155" s="19" t="s">
        <v>323</v>
      </c>
    </row>
    <row r="156" spans="1:4" x14ac:dyDescent="0.35">
      <c r="A156" s="16" t="s">
        <v>32</v>
      </c>
      <c r="B156" s="628" t="s">
        <v>318</v>
      </c>
      <c r="C156" s="629">
        <f t="shared" si="8"/>
        <v>140</v>
      </c>
      <c r="D156" s="19" t="s">
        <v>322</v>
      </c>
    </row>
    <row r="157" spans="1:4" x14ac:dyDescent="0.35">
      <c r="A157" s="16" t="s">
        <v>32</v>
      </c>
      <c r="B157" s="628" t="s">
        <v>318</v>
      </c>
      <c r="C157" s="629">
        <f t="shared" si="8"/>
        <v>141</v>
      </c>
      <c r="D157" s="19" t="s">
        <v>321</v>
      </c>
    </row>
    <row r="158" spans="1:4" x14ac:dyDescent="0.35">
      <c r="A158" s="16" t="s">
        <v>32</v>
      </c>
      <c r="B158" s="628" t="s">
        <v>318</v>
      </c>
      <c r="C158" s="629">
        <f t="shared" si="8"/>
        <v>142</v>
      </c>
      <c r="D158" s="19" t="s">
        <v>320</v>
      </c>
    </row>
    <row r="159" spans="1:4" x14ac:dyDescent="0.35">
      <c r="A159" s="16" t="s">
        <v>32</v>
      </c>
      <c r="B159" s="628" t="s">
        <v>318</v>
      </c>
      <c r="C159" s="629">
        <f t="shared" si="8"/>
        <v>143</v>
      </c>
      <c r="D159" s="19" t="s">
        <v>319</v>
      </c>
    </row>
    <row r="160" spans="1:4" x14ac:dyDescent="0.35">
      <c r="A160" s="16" t="s">
        <v>32</v>
      </c>
      <c r="B160" s="628" t="s">
        <v>318</v>
      </c>
      <c r="C160" s="629">
        <f t="shared" si="8"/>
        <v>144</v>
      </c>
      <c r="D160" s="19" t="s">
        <v>54</v>
      </c>
    </row>
    <row r="161" spans="1:4" ht="14.5" customHeight="1" x14ac:dyDescent="0.35">
      <c r="A161" s="824" t="s">
        <v>317</v>
      </c>
      <c r="B161" s="825" t="s">
        <v>310</v>
      </c>
      <c r="C161" s="825"/>
      <c r="D161" s="826"/>
    </row>
    <row r="162" spans="1:4" x14ac:dyDescent="0.35">
      <c r="A162" s="16" t="s">
        <v>32</v>
      </c>
      <c r="B162" s="628" t="s">
        <v>310</v>
      </c>
      <c r="C162" s="629">
        <f t="shared" ref="C162:C170" si="9">IF(C161="",C160+1,C161+1)</f>
        <v>145</v>
      </c>
      <c r="D162" s="19" t="s">
        <v>72</v>
      </c>
    </row>
    <row r="163" spans="1:4" x14ac:dyDescent="0.35">
      <c r="A163" s="16" t="s">
        <v>32</v>
      </c>
      <c r="B163" s="628" t="s">
        <v>310</v>
      </c>
      <c r="C163" s="629">
        <f t="shared" si="9"/>
        <v>146</v>
      </c>
      <c r="D163" s="19" t="s">
        <v>316</v>
      </c>
    </row>
    <row r="164" spans="1:4" x14ac:dyDescent="0.35">
      <c r="A164" s="16" t="s">
        <v>32</v>
      </c>
      <c r="B164" s="628" t="s">
        <v>310</v>
      </c>
      <c r="C164" s="629">
        <f t="shared" si="9"/>
        <v>147</v>
      </c>
      <c r="D164" s="19" t="s">
        <v>315</v>
      </c>
    </row>
    <row r="165" spans="1:4" x14ac:dyDescent="0.35">
      <c r="A165" s="16" t="s">
        <v>32</v>
      </c>
      <c r="B165" s="628" t="s">
        <v>310</v>
      </c>
      <c r="C165" s="629">
        <f t="shared" si="9"/>
        <v>148</v>
      </c>
      <c r="D165" s="19" t="s">
        <v>314</v>
      </c>
    </row>
    <row r="166" spans="1:4" x14ac:dyDescent="0.35">
      <c r="A166" s="16" t="s">
        <v>32</v>
      </c>
      <c r="B166" s="628" t="s">
        <v>310</v>
      </c>
      <c r="C166" s="629">
        <f t="shared" si="9"/>
        <v>149</v>
      </c>
      <c r="D166" s="19" t="s">
        <v>313</v>
      </c>
    </row>
    <row r="167" spans="1:4" x14ac:dyDescent="0.35">
      <c r="A167" s="16" t="s">
        <v>32</v>
      </c>
      <c r="B167" s="628" t="s">
        <v>310</v>
      </c>
      <c r="C167" s="629">
        <f t="shared" si="9"/>
        <v>150</v>
      </c>
      <c r="D167" s="19" t="s">
        <v>312</v>
      </c>
    </row>
    <row r="168" spans="1:4" x14ac:dyDescent="0.35">
      <c r="A168" s="16" t="s">
        <v>32</v>
      </c>
      <c r="B168" s="628" t="s">
        <v>310</v>
      </c>
      <c r="C168" s="629">
        <f t="shared" si="9"/>
        <v>151</v>
      </c>
      <c r="D168" s="19" t="s">
        <v>286</v>
      </c>
    </row>
    <row r="169" spans="1:4" x14ac:dyDescent="0.35">
      <c r="A169" s="16" t="s">
        <v>32</v>
      </c>
      <c r="B169" s="628" t="s">
        <v>310</v>
      </c>
      <c r="C169" s="629">
        <f t="shared" si="9"/>
        <v>152</v>
      </c>
      <c r="D169" s="19" t="s">
        <v>311</v>
      </c>
    </row>
    <row r="170" spans="1:4" x14ac:dyDescent="0.35">
      <c r="A170" s="16" t="s">
        <v>32</v>
      </c>
      <c r="B170" s="628" t="s">
        <v>310</v>
      </c>
      <c r="C170" s="629">
        <f t="shared" si="9"/>
        <v>153</v>
      </c>
      <c r="D170" s="19" t="s">
        <v>54</v>
      </c>
    </row>
    <row r="171" spans="1:4" ht="14.5" customHeight="1" x14ac:dyDescent="0.35">
      <c r="A171" s="824" t="s">
        <v>309</v>
      </c>
      <c r="B171" s="825"/>
      <c r="C171" s="825"/>
      <c r="D171" s="826"/>
    </row>
    <row r="172" spans="1:4" x14ac:dyDescent="0.35">
      <c r="A172" s="16" t="s">
        <v>32</v>
      </c>
      <c r="B172" s="628" t="s">
        <v>292</v>
      </c>
      <c r="C172" s="629">
        <f t="shared" ref="C172:C191" si="10">IF(C171="",C170+1,C171+1)</f>
        <v>154</v>
      </c>
      <c r="D172" s="19" t="s">
        <v>72</v>
      </c>
    </row>
    <row r="173" spans="1:4" x14ac:dyDescent="0.35">
      <c r="A173" s="16" t="s">
        <v>32</v>
      </c>
      <c r="B173" s="628" t="s">
        <v>292</v>
      </c>
      <c r="C173" s="629">
        <f t="shared" si="10"/>
        <v>155</v>
      </c>
      <c r="D173" s="19" t="s">
        <v>308</v>
      </c>
    </row>
    <row r="174" spans="1:4" x14ac:dyDescent="0.35">
      <c r="A174" s="16" t="s">
        <v>32</v>
      </c>
      <c r="B174" s="628" t="s">
        <v>292</v>
      </c>
      <c r="C174" s="629">
        <f t="shared" si="10"/>
        <v>156</v>
      </c>
      <c r="D174" s="19" t="s">
        <v>307</v>
      </c>
    </row>
    <row r="175" spans="1:4" x14ac:dyDescent="0.35">
      <c r="A175" s="16" t="s">
        <v>32</v>
      </c>
      <c r="B175" s="628" t="s">
        <v>292</v>
      </c>
      <c r="C175" s="629">
        <f t="shared" si="10"/>
        <v>157</v>
      </c>
      <c r="D175" s="19" t="s">
        <v>306</v>
      </c>
    </row>
    <row r="176" spans="1:4" x14ac:dyDescent="0.35">
      <c r="A176" s="16" t="s">
        <v>32</v>
      </c>
      <c r="B176" s="628" t="s">
        <v>292</v>
      </c>
      <c r="C176" s="629">
        <f t="shared" si="10"/>
        <v>158</v>
      </c>
      <c r="D176" s="19" t="s">
        <v>282</v>
      </c>
    </row>
    <row r="177" spans="1:4" x14ac:dyDescent="0.35">
      <c r="A177" s="16" t="s">
        <v>32</v>
      </c>
      <c r="B177" s="628" t="s">
        <v>292</v>
      </c>
      <c r="C177" s="629">
        <f t="shared" si="10"/>
        <v>159</v>
      </c>
      <c r="D177" s="19" t="s">
        <v>305</v>
      </c>
    </row>
    <row r="178" spans="1:4" x14ac:dyDescent="0.35">
      <c r="A178" s="16" t="s">
        <v>32</v>
      </c>
      <c r="B178" s="628" t="s">
        <v>292</v>
      </c>
      <c r="C178" s="629">
        <f t="shared" si="10"/>
        <v>160</v>
      </c>
      <c r="D178" s="19" t="s">
        <v>304</v>
      </c>
    </row>
    <row r="179" spans="1:4" x14ac:dyDescent="0.35">
      <c r="A179" s="16" t="s">
        <v>32</v>
      </c>
      <c r="B179" s="628" t="s">
        <v>292</v>
      </c>
      <c r="C179" s="629">
        <f t="shared" si="10"/>
        <v>161</v>
      </c>
      <c r="D179" s="19" t="s">
        <v>303</v>
      </c>
    </row>
    <row r="180" spans="1:4" x14ac:dyDescent="0.35">
      <c r="A180" s="16" t="s">
        <v>32</v>
      </c>
      <c r="B180" s="628" t="s">
        <v>292</v>
      </c>
      <c r="C180" s="629">
        <f t="shared" si="10"/>
        <v>162</v>
      </c>
      <c r="D180" s="19" t="s">
        <v>286</v>
      </c>
    </row>
    <row r="181" spans="1:4" x14ac:dyDescent="0.35">
      <c r="A181" s="16" t="s">
        <v>32</v>
      </c>
      <c r="B181" s="628" t="s">
        <v>292</v>
      </c>
      <c r="C181" s="629">
        <f t="shared" si="10"/>
        <v>163</v>
      </c>
      <c r="D181" s="19" t="s">
        <v>302</v>
      </c>
    </row>
    <row r="182" spans="1:4" x14ac:dyDescent="0.35">
      <c r="A182" s="16" t="s">
        <v>32</v>
      </c>
      <c r="B182" s="628" t="s">
        <v>292</v>
      </c>
      <c r="C182" s="629">
        <f t="shared" si="10"/>
        <v>164</v>
      </c>
      <c r="D182" s="19" t="s">
        <v>301</v>
      </c>
    </row>
    <row r="183" spans="1:4" x14ac:dyDescent="0.35">
      <c r="A183" s="16" t="s">
        <v>32</v>
      </c>
      <c r="B183" s="628" t="s">
        <v>292</v>
      </c>
      <c r="C183" s="629">
        <f t="shared" si="10"/>
        <v>165</v>
      </c>
      <c r="D183" s="19" t="s">
        <v>300</v>
      </c>
    </row>
    <row r="184" spans="1:4" x14ac:dyDescent="0.35">
      <c r="A184" s="16" t="s">
        <v>32</v>
      </c>
      <c r="B184" s="628" t="s">
        <v>292</v>
      </c>
      <c r="C184" s="629">
        <f t="shared" si="10"/>
        <v>166</v>
      </c>
      <c r="D184" s="19" t="s">
        <v>299</v>
      </c>
    </row>
    <row r="185" spans="1:4" x14ac:dyDescent="0.35">
      <c r="A185" s="16" t="s">
        <v>32</v>
      </c>
      <c r="B185" s="628" t="s">
        <v>292</v>
      </c>
      <c r="C185" s="629">
        <f t="shared" si="10"/>
        <v>167</v>
      </c>
      <c r="D185" s="19" t="s">
        <v>298</v>
      </c>
    </row>
    <row r="186" spans="1:4" x14ac:dyDescent="0.35">
      <c r="A186" s="16" t="s">
        <v>32</v>
      </c>
      <c r="B186" s="628" t="s">
        <v>292</v>
      </c>
      <c r="C186" s="629">
        <f t="shared" si="10"/>
        <v>168</v>
      </c>
      <c r="D186" s="19" t="s">
        <v>297</v>
      </c>
    </row>
    <row r="187" spans="1:4" x14ac:dyDescent="0.35">
      <c r="A187" s="16" t="s">
        <v>32</v>
      </c>
      <c r="B187" s="628" t="s">
        <v>292</v>
      </c>
      <c r="C187" s="629">
        <f t="shared" si="10"/>
        <v>169</v>
      </c>
      <c r="D187" s="19" t="s">
        <v>296</v>
      </c>
    </row>
    <row r="188" spans="1:4" x14ac:dyDescent="0.35">
      <c r="A188" s="16" t="s">
        <v>32</v>
      </c>
      <c r="B188" s="628" t="s">
        <v>292</v>
      </c>
      <c r="C188" s="629">
        <f t="shared" si="10"/>
        <v>170</v>
      </c>
      <c r="D188" s="19" t="s">
        <v>295</v>
      </c>
    </row>
    <row r="189" spans="1:4" x14ac:dyDescent="0.35">
      <c r="A189" s="16" t="s">
        <v>32</v>
      </c>
      <c r="B189" s="628" t="s">
        <v>292</v>
      </c>
      <c r="C189" s="629">
        <f t="shared" si="10"/>
        <v>171</v>
      </c>
      <c r="D189" s="19" t="s">
        <v>294</v>
      </c>
    </row>
    <row r="190" spans="1:4" x14ac:dyDescent="0.35">
      <c r="A190" s="16" t="s">
        <v>32</v>
      </c>
      <c r="B190" s="628" t="s">
        <v>292</v>
      </c>
      <c r="C190" s="629">
        <f t="shared" si="10"/>
        <v>172</v>
      </c>
      <c r="D190" s="19" t="s">
        <v>293</v>
      </c>
    </row>
    <row r="191" spans="1:4" x14ac:dyDescent="0.35">
      <c r="A191" s="16" t="s">
        <v>32</v>
      </c>
      <c r="B191" s="628" t="s">
        <v>292</v>
      </c>
      <c r="C191" s="629">
        <f t="shared" si="10"/>
        <v>173</v>
      </c>
      <c r="D191" s="19" t="s">
        <v>54</v>
      </c>
    </row>
    <row r="192" spans="1:4" ht="14.5" customHeight="1" x14ac:dyDescent="0.35">
      <c r="A192" s="824" t="s">
        <v>291</v>
      </c>
      <c r="B192" s="825" t="s">
        <v>269</v>
      </c>
      <c r="C192" s="825"/>
      <c r="D192" s="826"/>
    </row>
    <row r="193" spans="1:4" x14ac:dyDescent="0.35">
      <c r="A193" s="16" t="s">
        <v>32</v>
      </c>
      <c r="B193" s="628" t="s">
        <v>269</v>
      </c>
      <c r="C193" s="629">
        <f t="shared" ref="C193:C215" si="11">IF(C192="",C191+1,C192+1)</f>
        <v>174</v>
      </c>
      <c r="D193" s="19" t="s">
        <v>72</v>
      </c>
    </row>
    <row r="194" spans="1:4" x14ac:dyDescent="0.35">
      <c r="A194" s="16" t="s">
        <v>32</v>
      </c>
      <c r="B194" s="628" t="s">
        <v>269</v>
      </c>
      <c r="C194" s="629">
        <f t="shared" si="11"/>
        <v>175</v>
      </c>
      <c r="D194" s="19" t="s">
        <v>290</v>
      </c>
    </row>
    <row r="195" spans="1:4" x14ac:dyDescent="0.35">
      <c r="A195" s="16" t="s">
        <v>32</v>
      </c>
      <c r="B195" s="628" t="s">
        <v>269</v>
      </c>
      <c r="C195" s="629">
        <f t="shared" si="11"/>
        <v>176</v>
      </c>
      <c r="D195" s="19" t="s">
        <v>289</v>
      </c>
    </row>
    <row r="196" spans="1:4" x14ac:dyDescent="0.35">
      <c r="A196" s="16" t="s">
        <v>32</v>
      </c>
      <c r="B196" s="628" t="s">
        <v>269</v>
      </c>
      <c r="C196" s="629">
        <f t="shared" si="11"/>
        <v>177</v>
      </c>
      <c r="D196" s="19" t="s">
        <v>288</v>
      </c>
    </row>
    <row r="197" spans="1:4" x14ac:dyDescent="0.35">
      <c r="A197" s="16" t="s">
        <v>32</v>
      </c>
      <c r="B197" s="628" t="s">
        <v>269</v>
      </c>
      <c r="C197" s="629">
        <f t="shared" si="11"/>
        <v>178</v>
      </c>
      <c r="D197" s="19" t="s">
        <v>287</v>
      </c>
    </row>
    <row r="198" spans="1:4" x14ac:dyDescent="0.35">
      <c r="A198" s="16" t="s">
        <v>32</v>
      </c>
      <c r="B198" s="628" t="s">
        <v>269</v>
      </c>
      <c r="C198" s="629">
        <f t="shared" si="11"/>
        <v>179</v>
      </c>
      <c r="D198" s="19" t="s">
        <v>286</v>
      </c>
    </row>
    <row r="199" spans="1:4" x14ac:dyDescent="0.35">
      <c r="A199" s="16" t="s">
        <v>32</v>
      </c>
      <c r="B199" s="628" t="s">
        <v>269</v>
      </c>
      <c r="C199" s="629">
        <f t="shared" si="11"/>
        <v>180</v>
      </c>
      <c r="D199" s="19" t="s">
        <v>285</v>
      </c>
    </row>
    <row r="200" spans="1:4" x14ac:dyDescent="0.35">
      <c r="A200" s="16" t="s">
        <v>32</v>
      </c>
      <c r="B200" s="628" t="s">
        <v>269</v>
      </c>
      <c r="C200" s="629">
        <f t="shared" si="11"/>
        <v>181</v>
      </c>
      <c r="D200" s="19" t="s">
        <v>284</v>
      </c>
    </row>
    <row r="201" spans="1:4" x14ac:dyDescent="0.35">
      <c r="A201" s="16" t="s">
        <v>32</v>
      </c>
      <c r="B201" s="628" t="s">
        <v>269</v>
      </c>
      <c r="C201" s="629">
        <f t="shared" si="11"/>
        <v>182</v>
      </c>
      <c r="D201" s="19" t="s">
        <v>283</v>
      </c>
    </row>
    <row r="202" spans="1:4" x14ac:dyDescent="0.35">
      <c r="A202" s="16" t="s">
        <v>32</v>
      </c>
      <c r="B202" s="628" t="s">
        <v>269</v>
      </c>
      <c r="C202" s="629">
        <f t="shared" si="11"/>
        <v>183</v>
      </c>
      <c r="D202" s="19" t="s">
        <v>282</v>
      </c>
    </row>
    <row r="203" spans="1:4" x14ac:dyDescent="0.35">
      <c r="A203" s="16" t="s">
        <v>32</v>
      </c>
      <c r="B203" s="628" t="s">
        <v>269</v>
      </c>
      <c r="C203" s="629">
        <f t="shared" si="11"/>
        <v>184</v>
      </c>
      <c r="D203" s="19" t="s">
        <v>281</v>
      </c>
    </row>
    <row r="204" spans="1:4" x14ac:dyDescent="0.35">
      <c r="A204" s="16" t="s">
        <v>32</v>
      </c>
      <c r="B204" s="628" t="s">
        <v>269</v>
      </c>
      <c r="C204" s="629">
        <f t="shared" si="11"/>
        <v>185</v>
      </c>
      <c r="D204" s="19" t="s">
        <v>280</v>
      </c>
    </row>
    <row r="205" spans="1:4" x14ac:dyDescent="0.35">
      <c r="A205" s="16" t="s">
        <v>32</v>
      </c>
      <c r="B205" s="628" t="s">
        <v>269</v>
      </c>
      <c r="C205" s="629">
        <f t="shared" si="11"/>
        <v>186</v>
      </c>
      <c r="D205" s="19" t="s">
        <v>279</v>
      </c>
    </row>
    <row r="206" spans="1:4" x14ac:dyDescent="0.35">
      <c r="A206" s="16" t="s">
        <v>32</v>
      </c>
      <c r="B206" s="628" t="s">
        <v>269</v>
      </c>
      <c r="C206" s="629">
        <f t="shared" si="11"/>
        <v>187</v>
      </c>
      <c r="D206" s="19" t="s">
        <v>278</v>
      </c>
    </row>
    <row r="207" spans="1:4" x14ac:dyDescent="0.35">
      <c r="A207" s="16" t="s">
        <v>32</v>
      </c>
      <c r="B207" s="628" t="s">
        <v>269</v>
      </c>
      <c r="C207" s="629">
        <f t="shared" si="11"/>
        <v>188</v>
      </c>
      <c r="D207" s="19" t="s">
        <v>277</v>
      </c>
    </row>
    <row r="208" spans="1:4" x14ac:dyDescent="0.35">
      <c r="A208" s="16" t="s">
        <v>32</v>
      </c>
      <c r="B208" s="628" t="s">
        <v>269</v>
      </c>
      <c r="C208" s="629">
        <f t="shared" si="11"/>
        <v>189</v>
      </c>
      <c r="D208" s="19" t="s">
        <v>276</v>
      </c>
    </row>
    <row r="209" spans="1:4" x14ac:dyDescent="0.35">
      <c r="A209" s="16" t="s">
        <v>32</v>
      </c>
      <c r="B209" s="628" t="s">
        <v>269</v>
      </c>
      <c r="C209" s="629">
        <f t="shared" si="11"/>
        <v>190</v>
      </c>
      <c r="D209" s="19" t="s">
        <v>275</v>
      </c>
    </row>
    <row r="210" spans="1:4" x14ac:dyDescent="0.35">
      <c r="A210" s="16" t="s">
        <v>32</v>
      </c>
      <c r="B210" s="628" t="s">
        <v>269</v>
      </c>
      <c r="C210" s="629">
        <f t="shared" si="11"/>
        <v>191</v>
      </c>
      <c r="D210" s="19" t="s">
        <v>274</v>
      </c>
    </row>
    <row r="211" spans="1:4" x14ac:dyDescent="0.35">
      <c r="A211" s="16" t="s">
        <v>32</v>
      </c>
      <c r="B211" s="628" t="s">
        <v>269</v>
      </c>
      <c r="C211" s="629">
        <f t="shared" si="11"/>
        <v>192</v>
      </c>
      <c r="D211" s="19" t="s">
        <v>273</v>
      </c>
    </row>
    <row r="212" spans="1:4" x14ac:dyDescent="0.35">
      <c r="A212" s="16" t="s">
        <v>32</v>
      </c>
      <c r="B212" s="628" t="s">
        <v>269</v>
      </c>
      <c r="C212" s="629">
        <f t="shared" si="11"/>
        <v>193</v>
      </c>
      <c r="D212" s="19" t="s">
        <v>272</v>
      </c>
    </row>
    <row r="213" spans="1:4" x14ac:dyDescent="0.35">
      <c r="A213" s="16" t="s">
        <v>32</v>
      </c>
      <c r="B213" s="628" t="s">
        <v>269</v>
      </c>
      <c r="C213" s="629">
        <f t="shared" si="11"/>
        <v>194</v>
      </c>
      <c r="D213" s="19" t="s">
        <v>271</v>
      </c>
    </row>
    <row r="214" spans="1:4" x14ac:dyDescent="0.35">
      <c r="A214" s="16" t="s">
        <v>32</v>
      </c>
      <c r="B214" s="628" t="s">
        <v>269</v>
      </c>
      <c r="C214" s="629">
        <f t="shared" si="11"/>
        <v>195</v>
      </c>
      <c r="D214" s="19" t="s">
        <v>270</v>
      </c>
    </row>
    <row r="215" spans="1:4" x14ac:dyDescent="0.35">
      <c r="A215" s="16" t="s">
        <v>32</v>
      </c>
      <c r="B215" s="628" t="s">
        <v>269</v>
      </c>
      <c r="C215" s="629">
        <f t="shared" si="11"/>
        <v>196</v>
      </c>
      <c r="D215" s="19" t="s">
        <v>54</v>
      </c>
    </row>
    <row r="216" spans="1:4" ht="14.5" customHeight="1" x14ac:dyDescent="0.35">
      <c r="A216" s="824" t="s">
        <v>268</v>
      </c>
      <c r="B216" s="825" t="s">
        <v>262</v>
      </c>
      <c r="C216" s="825"/>
      <c r="D216" s="826"/>
    </row>
    <row r="217" spans="1:4" x14ac:dyDescent="0.35">
      <c r="A217" s="16" t="s">
        <v>32</v>
      </c>
      <c r="B217" s="628" t="s">
        <v>262</v>
      </c>
      <c r="C217" s="629">
        <f t="shared" ref="C217:C222" si="12">IF(C216="",C215+1,C216+1)</f>
        <v>197</v>
      </c>
      <c r="D217" s="19" t="s">
        <v>267</v>
      </c>
    </row>
    <row r="218" spans="1:4" x14ac:dyDescent="0.35">
      <c r="A218" s="16" t="s">
        <v>32</v>
      </c>
      <c r="B218" s="628" t="s">
        <v>262</v>
      </c>
      <c r="C218" s="629">
        <f t="shared" si="12"/>
        <v>198</v>
      </c>
      <c r="D218" s="19" t="s">
        <v>266</v>
      </c>
    </row>
    <row r="219" spans="1:4" x14ac:dyDescent="0.35">
      <c r="A219" s="16" t="s">
        <v>32</v>
      </c>
      <c r="B219" s="628" t="s">
        <v>262</v>
      </c>
      <c r="C219" s="629">
        <f t="shared" si="12"/>
        <v>199</v>
      </c>
      <c r="D219" s="19" t="s">
        <v>265</v>
      </c>
    </row>
    <row r="220" spans="1:4" x14ac:dyDescent="0.35">
      <c r="A220" s="16" t="s">
        <v>32</v>
      </c>
      <c r="B220" s="628" t="s">
        <v>262</v>
      </c>
      <c r="C220" s="629">
        <f t="shared" si="12"/>
        <v>200</v>
      </c>
      <c r="D220" s="19" t="s">
        <v>264</v>
      </c>
    </row>
    <row r="221" spans="1:4" x14ac:dyDescent="0.35">
      <c r="A221" s="16" t="s">
        <v>32</v>
      </c>
      <c r="B221" s="628" t="s">
        <v>262</v>
      </c>
      <c r="C221" s="629">
        <f t="shared" si="12"/>
        <v>201</v>
      </c>
      <c r="D221" s="19" t="s">
        <v>263</v>
      </c>
    </row>
    <row r="222" spans="1:4" x14ac:dyDescent="0.35">
      <c r="A222" s="16" t="s">
        <v>32</v>
      </c>
      <c r="B222" s="628" t="s">
        <v>262</v>
      </c>
      <c r="C222" s="629">
        <f t="shared" si="12"/>
        <v>202</v>
      </c>
      <c r="D222" s="19" t="s">
        <v>54</v>
      </c>
    </row>
    <row r="223" spans="1:4" ht="14.5" customHeight="1" x14ac:dyDescent="0.35">
      <c r="A223" s="824" t="s">
        <v>261</v>
      </c>
      <c r="B223" s="825" t="s">
        <v>214</v>
      </c>
      <c r="C223" s="825"/>
      <c r="D223" s="826"/>
    </row>
    <row r="224" spans="1:4" x14ac:dyDescent="0.35">
      <c r="A224" s="16" t="s">
        <v>32</v>
      </c>
      <c r="B224" s="628" t="s">
        <v>214</v>
      </c>
      <c r="C224" s="629">
        <f t="shared" ref="C224:C256" si="13">IF(C223="",C222+1,C223+1)</f>
        <v>203</v>
      </c>
      <c r="D224" s="19" t="s">
        <v>260</v>
      </c>
    </row>
    <row r="225" spans="1:4" x14ac:dyDescent="0.35">
      <c r="A225" s="16" t="s">
        <v>32</v>
      </c>
      <c r="B225" s="628" t="s">
        <v>214</v>
      </c>
      <c r="C225" s="629">
        <f t="shared" si="13"/>
        <v>204</v>
      </c>
      <c r="D225" s="19" t="s">
        <v>259</v>
      </c>
    </row>
    <row r="226" spans="1:4" x14ac:dyDescent="0.35">
      <c r="A226" s="16" t="s">
        <v>32</v>
      </c>
      <c r="B226" s="628" t="s">
        <v>214</v>
      </c>
      <c r="C226" s="629">
        <f t="shared" si="13"/>
        <v>205</v>
      </c>
      <c r="D226" s="19" t="s">
        <v>258</v>
      </c>
    </row>
    <row r="227" spans="1:4" x14ac:dyDescent="0.35">
      <c r="A227" s="16" t="s">
        <v>32</v>
      </c>
      <c r="B227" s="628" t="s">
        <v>214</v>
      </c>
      <c r="C227" s="629">
        <f t="shared" si="13"/>
        <v>206</v>
      </c>
      <c r="D227" s="19" t="s">
        <v>257</v>
      </c>
    </row>
    <row r="228" spans="1:4" x14ac:dyDescent="0.35">
      <c r="A228" s="16" t="s">
        <v>32</v>
      </c>
      <c r="B228" s="628" t="s">
        <v>214</v>
      </c>
      <c r="C228" s="629">
        <f t="shared" si="13"/>
        <v>207</v>
      </c>
      <c r="D228" s="19" t="s">
        <v>256</v>
      </c>
    </row>
    <row r="229" spans="1:4" x14ac:dyDescent="0.35">
      <c r="A229" s="16" t="s">
        <v>32</v>
      </c>
      <c r="B229" s="628" t="s">
        <v>214</v>
      </c>
      <c r="C229" s="629">
        <f t="shared" si="13"/>
        <v>208</v>
      </c>
      <c r="D229" s="19" t="s">
        <v>255</v>
      </c>
    </row>
    <row r="230" spans="1:4" x14ac:dyDescent="0.35">
      <c r="A230" s="16" t="s">
        <v>32</v>
      </c>
      <c r="B230" s="628" t="s">
        <v>214</v>
      </c>
      <c r="C230" s="629">
        <f t="shared" si="13"/>
        <v>209</v>
      </c>
      <c r="D230" s="19" t="s">
        <v>254</v>
      </c>
    </row>
    <row r="231" spans="1:4" x14ac:dyDescent="0.35">
      <c r="A231" s="16" t="s">
        <v>32</v>
      </c>
      <c r="B231" s="628" t="s">
        <v>214</v>
      </c>
      <c r="C231" s="629">
        <f t="shared" si="13"/>
        <v>210</v>
      </c>
      <c r="D231" s="19" t="s">
        <v>253</v>
      </c>
    </row>
    <row r="232" spans="1:4" x14ac:dyDescent="0.35">
      <c r="A232" s="16" t="s">
        <v>32</v>
      </c>
      <c r="B232" s="628" t="s">
        <v>214</v>
      </c>
      <c r="C232" s="629">
        <f t="shared" si="13"/>
        <v>211</v>
      </c>
      <c r="D232" s="19" t="s">
        <v>252</v>
      </c>
    </row>
    <row r="233" spans="1:4" x14ac:dyDescent="0.35">
      <c r="A233" s="16" t="s">
        <v>32</v>
      </c>
      <c r="B233" s="628" t="s">
        <v>214</v>
      </c>
      <c r="C233" s="629">
        <f t="shared" si="13"/>
        <v>212</v>
      </c>
      <c r="D233" s="19" t="s">
        <v>251</v>
      </c>
    </row>
    <row r="234" spans="1:4" x14ac:dyDescent="0.35">
      <c r="A234" s="16" t="s">
        <v>32</v>
      </c>
      <c r="B234" s="628" t="s">
        <v>214</v>
      </c>
      <c r="C234" s="629">
        <f t="shared" si="13"/>
        <v>213</v>
      </c>
      <c r="D234" s="19" t="s">
        <v>250</v>
      </c>
    </row>
    <row r="235" spans="1:4" x14ac:dyDescent="0.35">
      <c r="A235" s="16" t="s">
        <v>32</v>
      </c>
      <c r="B235" s="628" t="s">
        <v>214</v>
      </c>
      <c r="C235" s="629">
        <f t="shared" si="13"/>
        <v>214</v>
      </c>
      <c r="D235" s="19" t="s">
        <v>249</v>
      </c>
    </row>
    <row r="236" spans="1:4" x14ac:dyDescent="0.35">
      <c r="A236" s="16" t="s">
        <v>32</v>
      </c>
      <c r="B236" s="628" t="s">
        <v>214</v>
      </c>
      <c r="C236" s="629">
        <f t="shared" si="13"/>
        <v>215</v>
      </c>
      <c r="D236" s="19" t="s">
        <v>248</v>
      </c>
    </row>
    <row r="237" spans="1:4" x14ac:dyDescent="0.35">
      <c r="A237" s="16" t="s">
        <v>32</v>
      </c>
      <c r="B237" s="628" t="s">
        <v>214</v>
      </c>
      <c r="C237" s="629">
        <f t="shared" si="13"/>
        <v>216</v>
      </c>
      <c r="D237" s="19" t="s">
        <v>247</v>
      </c>
    </row>
    <row r="238" spans="1:4" x14ac:dyDescent="0.35">
      <c r="A238" s="16" t="s">
        <v>32</v>
      </c>
      <c r="B238" s="628" t="s">
        <v>214</v>
      </c>
      <c r="C238" s="629">
        <f t="shared" si="13"/>
        <v>217</v>
      </c>
      <c r="D238" s="19" t="s">
        <v>246</v>
      </c>
    </row>
    <row r="239" spans="1:4" x14ac:dyDescent="0.35">
      <c r="A239" s="16" t="s">
        <v>32</v>
      </c>
      <c r="B239" s="628" t="s">
        <v>214</v>
      </c>
      <c r="C239" s="629">
        <f t="shared" si="13"/>
        <v>218</v>
      </c>
      <c r="D239" s="19" t="s">
        <v>245</v>
      </c>
    </row>
    <row r="240" spans="1:4" x14ac:dyDescent="0.35">
      <c r="A240" s="16" t="s">
        <v>32</v>
      </c>
      <c r="B240" s="628" t="s">
        <v>214</v>
      </c>
      <c r="C240" s="629">
        <f t="shared" si="13"/>
        <v>219</v>
      </c>
      <c r="D240" s="19" t="s">
        <v>244</v>
      </c>
    </row>
    <row r="241" spans="1:4" x14ac:dyDescent="0.35">
      <c r="A241" s="16" t="s">
        <v>32</v>
      </c>
      <c r="B241" s="628" t="s">
        <v>214</v>
      </c>
      <c r="C241" s="629">
        <f t="shared" si="13"/>
        <v>220</v>
      </c>
      <c r="D241" s="19" t="s">
        <v>243</v>
      </c>
    </row>
    <row r="242" spans="1:4" x14ac:dyDescent="0.35">
      <c r="A242" s="16" t="s">
        <v>32</v>
      </c>
      <c r="B242" s="628" t="s">
        <v>214</v>
      </c>
      <c r="C242" s="629">
        <f t="shared" si="13"/>
        <v>221</v>
      </c>
      <c r="D242" s="19" t="s">
        <v>242</v>
      </c>
    </row>
    <row r="243" spans="1:4" x14ac:dyDescent="0.35">
      <c r="A243" s="16" t="s">
        <v>32</v>
      </c>
      <c r="B243" s="628" t="s">
        <v>214</v>
      </c>
      <c r="C243" s="629">
        <f t="shared" si="13"/>
        <v>222</v>
      </c>
      <c r="D243" s="19" t="s">
        <v>241</v>
      </c>
    </row>
    <row r="244" spans="1:4" x14ac:dyDescent="0.35">
      <c r="A244" s="16" t="s">
        <v>32</v>
      </c>
      <c r="B244" s="628" t="s">
        <v>214</v>
      </c>
      <c r="C244" s="629">
        <f t="shared" si="13"/>
        <v>223</v>
      </c>
      <c r="D244" s="19" t="s">
        <v>240</v>
      </c>
    </row>
    <row r="245" spans="1:4" x14ac:dyDescent="0.35">
      <c r="A245" s="16" t="s">
        <v>32</v>
      </c>
      <c r="B245" s="628" t="s">
        <v>214</v>
      </c>
      <c r="C245" s="629">
        <f t="shared" si="13"/>
        <v>224</v>
      </c>
      <c r="D245" s="19" t="s">
        <v>239</v>
      </c>
    </row>
    <row r="246" spans="1:4" x14ac:dyDescent="0.35">
      <c r="A246" s="16" t="s">
        <v>32</v>
      </c>
      <c r="B246" s="628" t="s">
        <v>214</v>
      </c>
      <c r="C246" s="629">
        <f t="shared" si="13"/>
        <v>225</v>
      </c>
      <c r="D246" s="19" t="s">
        <v>238</v>
      </c>
    </row>
    <row r="247" spans="1:4" x14ac:dyDescent="0.35">
      <c r="A247" s="16" t="s">
        <v>32</v>
      </c>
      <c r="B247" s="628" t="s">
        <v>214</v>
      </c>
      <c r="C247" s="629">
        <f t="shared" si="13"/>
        <v>226</v>
      </c>
      <c r="D247" s="19" t="s">
        <v>118</v>
      </c>
    </row>
    <row r="248" spans="1:4" x14ac:dyDescent="0.35">
      <c r="A248" s="16" t="s">
        <v>32</v>
      </c>
      <c r="B248" s="628" t="s">
        <v>214</v>
      </c>
      <c r="C248" s="629">
        <f t="shared" si="13"/>
        <v>227</v>
      </c>
      <c r="D248" s="20" t="s">
        <v>237</v>
      </c>
    </row>
    <row r="249" spans="1:4" x14ac:dyDescent="0.35">
      <c r="A249" s="16" t="s">
        <v>32</v>
      </c>
      <c r="B249" s="628" t="s">
        <v>214</v>
      </c>
      <c r="C249" s="629">
        <f t="shared" si="13"/>
        <v>228</v>
      </c>
      <c r="D249" s="20" t="s">
        <v>236</v>
      </c>
    </row>
    <row r="250" spans="1:4" x14ac:dyDescent="0.35">
      <c r="A250" s="16" t="s">
        <v>32</v>
      </c>
      <c r="B250" s="628" t="s">
        <v>214</v>
      </c>
      <c r="C250" s="629">
        <f t="shared" si="13"/>
        <v>229</v>
      </c>
      <c r="D250" s="20" t="s">
        <v>235</v>
      </c>
    </row>
    <row r="251" spans="1:4" x14ac:dyDescent="0.35">
      <c r="A251" s="16" t="s">
        <v>32</v>
      </c>
      <c r="B251" s="628" t="s">
        <v>214</v>
      </c>
      <c r="C251" s="629">
        <f t="shared" si="13"/>
        <v>230</v>
      </c>
      <c r="D251" s="20" t="s">
        <v>234</v>
      </c>
    </row>
    <row r="252" spans="1:4" x14ac:dyDescent="0.35">
      <c r="A252" s="16" t="s">
        <v>32</v>
      </c>
      <c r="B252" s="628" t="s">
        <v>214</v>
      </c>
      <c r="C252" s="629">
        <f t="shared" si="13"/>
        <v>231</v>
      </c>
      <c r="D252" s="20" t="s">
        <v>233</v>
      </c>
    </row>
    <row r="253" spans="1:4" x14ac:dyDescent="0.35">
      <c r="A253" s="16" t="s">
        <v>32</v>
      </c>
      <c r="B253" s="628" t="s">
        <v>214</v>
      </c>
      <c r="C253" s="629">
        <f t="shared" si="13"/>
        <v>232</v>
      </c>
      <c r="D253" s="20" t="s">
        <v>232</v>
      </c>
    </row>
    <row r="254" spans="1:4" x14ac:dyDescent="0.35">
      <c r="A254" s="16" t="s">
        <v>32</v>
      </c>
      <c r="B254" s="628" t="s">
        <v>214</v>
      </c>
      <c r="C254" s="629">
        <f t="shared" si="13"/>
        <v>233</v>
      </c>
      <c r="D254" s="20" t="s">
        <v>231</v>
      </c>
    </row>
    <row r="255" spans="1:4" x14ac:dyDescent="0.35">
      <c r="A255" s="16" t="s">
        <v>32</v>
      </c>
      <c r="B255" s="628" t="s">
        <v>214</v>
      </c>
      <c r="C255" s="629">
        <f t="shared" si="13"/>
        <v>234</v>
      </c>
      <c r="D255" s="19" t="s">
        <v>54</v>
      </c>
    </row>
    <row r="256" spans="1:4" x14ac:dyDescent="0.35">
      <c r="A256" s="16" t="s">
        <v>32</v>
      </c>
      <c r="B256" s="628" t="s">
        <v>214</v>
      </c>
      <c r="C256" s="629">
        <f t="shared" si="13"/>
        <v>235</v>
      </c>
      <c r="D256" s="19" t="s">
        <v>230</v>
      </c>
    </row>
    <row r="257" spans="1:4" x14ac:dyDescent="0.35">
      <c r="A257" s="824" t="s">
        <v>229</v>
      </c>
      <c r="B257" s="825"/>
      <c r="C257" s="825"/>
      <c r="D257" s="826" t="s">
        <v>228</v>
      </c>
    </row>
    <row r="258" spans="1:4" x14ac:dyDescent="0.35">
      <c r="A258" s="16" t="s">
        <v>32</v>
      </c>
      <c r="B258" s="628" t="s">
        <v>217</v>
      </c>
      <c r="C258" s="629">
        <f t="shared" ref="C258:C269" si="14">IF(C257="",C256+1,C257+1)</f>
        <v>236</v>
      </c>
      <c r="D258" s="23" t="s">
        <v>227</v>
      </c>
    </row>
    <row r="259" spans="1:4" x14ac:dyDescent="0.35">
      <c r="A259" s="16" t="s">
        <v>32</v>
      </c>
      <c r="B259" s="628" t="s">
        <v>217</v>
      </c>
      <c r="C259" s="629">
        <f t="shared" si="14"/>
        <v>237</v>
      </c>
      <c r="D259" s="19" t="s">
        <v>226</v>
      </c>
    </row>
    <row r="260" spans="1:4" x14ac:dyDescent="0.35">
      <c r="A260" s="16" t="s">
        <v>32</v>
      </c>
      <c r="B260" s="628" t="s">
        <v>217</v>
      </c>
      <c r="C260" s="629">
        <f t="shared" si="14"/>
        <v>238</v>
      </c>
      <c r="D260" s="19" t="s">
        <v>225</v>
      </c>
    </row>
    <row r="261" spans="1:4" x14ac:dyDescent="0.35">
      <c r="A261" s="16" t="s">
        <v>32</v>
      </c>
      <c r="B261" s="628" t="s">
        <v>217</v>
      </c>
      <c r="C261" s="629">
        <f t="shared" si="14"/>
        <v>239</v>
      </c>
      <c r="D261" s="19" t="s">
        <v>224</v>
      </c>
    </row>
    <row r="262" spans="1:4" x14ac:dyDescent="0.35">
      <c r="A262" s="16" t="s">
        <v>32</v>
      </c>
      <c r="B262" s="628" t="s">
        <v>217</v>
      </c>
      <c r="C262" s="629">
        <f t="shared" si="14"/>
        <v>240</v>
      </c>
      <c r="D262" s="19" t="s">
        <v>223</v>
      </c>
    </row>
    <row r="263" spans="1:4" x14ac:dyDescent="0.35">
      <c r="A263" s="16" t="s">
        <v>32</v>
      </c>
      <c r="B263" s="628" t="s">
        <v>217</v>
      </c>
      <c r="C263" s="629">
        <f t="shared" si="14"/>
        <v>241</v>
      </c>
      <c r="D263" s="19" t="s">
        <v>222</v>
      </c>
    </row>
    <row r="264" spans="1:4" x14ac:dyDescent="0.35">
      <c r="A264" s="16" t="s">
        <v>32</v>
      </c>
      <c r="B264" s="628" t="s">
        <v>217</v>
      </c>
      <c r="C264" s="629">
        <f t="shared" si="14"/>
        <v>242</v>
      </c>
      <c r="D264" s="19" t="s">
        <v>221</v>
      </c>
    </row>
    <row r="265" spans="1:4" x14ac:dyDescent="0.35">
      <c r="A265" s="16" t="s">
        <v>32</v>
      </c>
      <c r="B265" s="628" t="s">
        <v>217</v>
      </c>
      <c r="C265" s="629">
        <f t="shared" si="14"/>
        <v>243</v>
      </c>
      <c r="D265" s="19" t="s">
        <v>220</v>
      </c>
    </row>
    <row r="266" spans="1:4" x14ac:dyDescent="0.35">
      <c r="A266" s="16" t="s">
        <v>32</v>
      </c>
      <c r="B266" s="628" t="s">
        <v>217</v>
      </c>
      <c r="C266" s="629">
        <f t="shared" si="14"/>
        <v>244</v>
      </c>
      <c r="D266" s="19" t="s">
        <v>219</v>
      </c>
    </row>
    <row r="267" spans="1:4" ht="43.5" x14ac:dyDescent="0.35">
      <c r="A267" s="16" t="s">
        <v>32</v>
      </c>
      <c r="B267" s="628" t="s">
        <v>217</v>
      </c>
      <c r="C267" s="629">
        <f t="shared" si="14"/>
        <v>245</v>
      </c>
      <c r="D267" s="19" t="s">
        <v>1277</v>
      </c>
    </row>
    <row r="268" spans="1:4" x14ac:dyDescent="0.35">
      <c r="A268" s="16" t="s">
        <v>32</v>
      </c>
      <c r="B268" s="628" t="s">
        <v>217</v>
      </c>
      <c r="C268" s="629">
        <f t="shared" si="14"/>
        <v>246</v>
      </c>
      <c r="D268" s="19" t="s">
        <v>218</v>
      </c>
    </row>
    <row r="269" spans="1:4" x14ac:dyDescent="0.35">
      <c r="A269" s="16" t="s">
        <v>32</v>
      </c>
      <c r="B269" s="628" t="s">
        <v>217</v>
      </c>
      <c r="C269" s="629">
        <f t="shared" si="14"/>
        <v>247</v>
      </c>
      <c r="D269" s="19" t="s">
        <v>216</v>
      </c>
    </row>
    <row r="270" spans="1:4" ht="14.5" customHeight="1" x14ac:dyDescent="0.35">
      <c r="A270" s="824" t="s">
        <v>215</v>
      </c>
      <c r="B270" s="825" t="s">
        <v>214</v>
      </c>
      <c r="C270" s="825"/>
      <c r="D270" s="826"/>
    </row>
    <row r="271" spans="1:4" x14ac:dyDescent="0.35">
      <c r="A271" s="16" t="s">
        <v>32</v>
      </c>
      <c r="B271" s="628" t="s">
        <v>205</v>
      </c>
      <c r="C271" s="629">
        <f t="shared" ref="C271:C279" si="15">IF(C270="",C269+1,C270+1)</f>
        <v>248</v>
      </c>
      <c r="D271" s="19" t="s">
        <v>213</v>
      </c>
    </row>
    <row r="272" spans="1:4" x14ac:dyDescent="0.35">
      <c r="A272" s="16" t="s">
        <v>32</v>
      </c>
      <c r="B272" s="628" t="s">
        <v>205</v>
      </c>
      <c r="C272" s="629">
        <f t="shared" si="15"/>
        <v>249</v>
      </c>
      <c r="D272" s="19" t="s">
        <v>212</v>
      </c>
    </row>
    <row r="273" spans="1:4" x14ac:dyDescent="0.35">
      <c r="A273" s="16" t="s">
        <v>32</v>
      </c>
      <c r="B273" s="628" t="s">
        <v>205</v>
      </c>
      <c r="C273" s="629">
        <f t="shared" si="15"/>
        <v>250</v>
      </c>
      <c r="D273" s="19" t="s">
        <v>211</v>
      </c>
    </row>
    <row r="274" spans="1:4" x14ac:dyDescent="0.35">
      <c r="A274" s="16" t="s">
        <v>32</v>
      </c>
      <c r="B274" s="628" t="s">
        <v>205</v>
      </c>
      <c r="C274" s="629">
        <f t="shared" si="15"/>
        <v>251</v>
      </c>
      <c r="D274" s="19" t="s">
        <v>210</v>
      </c>
    </row>
    <row r="275" spans="1:4" x14ac:dyDescent="0.35">
      <c r="A275" s="16" t="s">
        <v>32</v>
      </c>
      <c r="B275" s="628" t="s">
        <v>205</v>
      </c>
      <c r="C275" s="629">
        <f t="shared" si="15"/>
        <v>252</v>
      </c>
      <c r="D275" s="19" t="s">
        <v>209</v>
      </c>
    </row>
    <row r="276" spans="1:4" x14ac:dyDescent="0.35">
      <c r="A276" s="16" t="s">
        <v>32</v>
      </c>
      <c r="B276" s="628" t="s">
        <v>205</v>
      </c>
      <c r="C276" s="629">
        <f t="shared" si="15"/>
        <v>253</v>
      </c>
      <c r="D276" s="19" t="s">
        <v>208</v>
      </c>
    </row>
    <row r="277" spans="1:4" x14ac:dyDescent="0.35">
      <c r="A277" s="16" t="s">
        <v>32</v>
      </c>
      <c r="B277" s="628" t="s">
        <v>205</v>
      </c>
      <c r="C277" s="629">
        <f t="shared" si="15"/>
        <v>254</v>
      </c>
      <c r="D277" s="19" t="s">
        <v>207</v>
      </c>
    </row>
    <row r="278" spans="1:4" x14ac:dyDescent="0.35">
      <c r="A278" s="16" t="s">
        <v>32</v>
      </c>
      <c r="B278" s="628" t="s">
        <v>205</v>
      </c>
      <c r="C278" s="629">
        <f t="shared" si="15"/>
        <v>255</v>
      </c>
      <c r="D278" s="19" t="s">
        <v>206</v>
      </c>
    </row>
    <row r="279" spans="1:4" x14ac:dyDescent="0.35">
      <c r="A279" s="16" t="s">
        <v>32</v>
      </c>
      <c r="B279" s="628" t="s">
        <v>205</v>
      </c>
      <c r="C279" s="629">
        <f t="shared" si="15"/>
        <v>256</v>
      </c>
      <c r="D279" s="19" t="s">
        <v>204</v>
      </c>
    </row>
    <row r="280" spans="1:4" ht="14.5" customHeight="1" x14ac:dyDescent="0.35">
      <c r="A280" s="824" t="s">
        <v>203</v>
      </c>
      <c r="B280" s="825"/>
      <c r="C280" s="825"/>
      <c r="D280" s="826"/>
    </row>
    <row r="281" spans="1:4" x14ac:dyDescent="0.35">
      <c r="A281" s="16" t="s">
        <v>32</v>
      </c>
      <c r="B281" s="628" t="s">
        <v>89</v>
      </c>
      <c r="C281" s="629">
        <f t="shared" ref="C281:C344" si="16">IF(C280="",C279+1,C280+1)</f>
        <v>257</v>
      </c>
      <c r="D281" s="19" t="s">
        <v>202</v>
      </c>
    </row>
    <row r="282" spans="1:4" x14ac:dyDescent="0.35">
      <c r="A282" s="16" t="s">
        <v>32</v>
      </c>
      <c r="B282" s="628" t="s">
        <v>89</v>
      </c>
      <c r="C282" s="629">
        <f t="shared" si="16"/>
        <v>258</v>
      </c>
      <c r="D282" s="19" t="s">
        <v>201</v>
      </c>
    </row>
    <row r="283" spans="1:4" x14ac:dyDescent="0.35">
      <c r="A283" s="16" t="s">
        <v>32</v>
      </c>
      <c r="B283" s="628" t="s">
        <v>89</v>
      </c>
      <c r="C283" s="629">
        <f t="shared" si="16"/>
        <v>259</v>
      </c>
      <c r="D283" s="19" t="s">
        <v>200</v>
      </c>
    </row>
    <row r="284" spans="1:4" x14ac:dyDescent="0.35">
      <c r="A284" s="16" t="s">
        <v>32</v>
      </c>
      <c r="B284" s="628" t="s">
        <v>89</v>
      </c>
      <c r="C284" s="629">
        <f t="shared" si="16"/>
        <v>260</v>
      </c>
      <c r="D284" s="19" t="s">
        <v>199</v>
      </c>
    </row>
    <row r="285" spans="1:4" x14ac:dyDescent="0.35">
      <c r="A285" s="16" t="s">
        <v>32</v>
      </c>
      <c r="B285" s="628" t="s">
        <v>89</v>
      </c>
      <c r="C285" s="629">
        <f t="shared" si="16"/>
        <v>261</v>
      </c>
      <c r="D285" s="19" t="s">
        <v>198</v>
      </c>
    </row>
    <row r="286" spans="1:4" x14ac:dyDescent="0.35">
      <c r="A286" s="16" t="s">
        <v>32</v>
      </c>
      <c r="B286" s="628" t="s">
        <v>89</v>
      </c>
      <c r="C286" s="629">
        <f t="shared" si="16"/>
        <v>262</v>
      </c>
      <c r="D286" s="19" t="s">
        <v>197</v>
      </c>
    </row>
    <row r="287" spans="1:4" x14ac:dyDescent="0.35">
      <c r="A287" s="16" t="s">
        <v>32</v>
      </c>
      <c r="B287" s="628" t="s">
        <v>196</v>
      </c>
      <c r="C287" s="629">
        <f t="shared" si="16"/>
        <v>263</v>
      </c>
      <c r="D287" s="19" t="s">
        <v>195</v>
      </c>
    </row>
    <row r="288" spans="1:4" x14ac:dyDescent="0.35">
      <c r="A288" s="16" t="s">
        <v>32</v>
      </c>
      <c r="B288" s="628" t="s">
        <v>89</v>
      </c>
      <c r="C288" s="629">
        <f t="shared" si="16"/>
        <v>264</v>
      </c>
      <c r="D288" s="19" t="s">
        <v>194</v>
      </c>
    </row>
    <row r="289" spans="1:4" x14ac:dyDescent="0.35">
      <c r="A289" s="16" t="s">
        <v>32</v>
      </c>
      <c r="B289" s="628" t="s">
        <v>89</v>
      </c>
      <c r="C289" s="629">
        <f t="shared" si="16"/>
        <v>265</v>
      </c>
      <c r="D289" s="19" t="s">
        <v>193</v>
      </c>
    </row>
    <row r="290" spans="1:4" x14ac:dyDescent="0.35">
      <c r="A290" s="16" t="s">
        <v>32</v>
      </c>
      <c r="B290" s="628" t="s">
        <v>89</v>
      </c>
      <c r="C290" s="629">
        <f t="shared" si="16"/>
        <v>266</v>
      </c>
      <c r="D290" s="19" t="s">
        <v>134</v>
      </c>
    </row>
    <row r="291" spans="1:4" x14ac:dyDescent="0.35">
      <c r="A291" s="16" t="s">
        <v>32</v>
      </c>
      <c r="B291" s="628" t="s">
        <v>89</v>
      </c>
      <c r="C291" s="629">
        <f t="shared" si="16"/>
        <v>267</v>
      </c>
      <c r="D291" s="19" t="s">
        <v>136</v>
      </c>
    </row>
    <row r="292" spans="1:4" x14ac:dyDescent="0.35">
      <c r="A292" s="16" t="s">
        <v>32</v>
      </c>
      <c r="B292" s="628" t="s">
        <v>89</v>
      </c>
      <c r="C292" s="629">
        <f t="shared" si="16"/>
        <v>268</v>
      </c>
      <c r="D292" s="19" t="s">
        <v>192</v>
      </c>
    </row>
    <row r="293" spans="1:4" x14ac:dyDescent="0.35">
      <c r="A293" s="16" t="s">
        <v>32</v>
      </c>
      <c r="B293" s="628" t="s">
        <v>89</v>
      </c>
      <c r="C293" s="629">
        <f t="shared" si="16"/>
        <v>269</v>
      </c>
      <c r="D293" s="19" t="s">
        <v>191</v>
      </c>
    </row>
    <row r="294" spans="1:4" x14ac:dyDescent="0.35">
      <c r="A294" s="16" t="s">
        <v>32</v>
      </c>
      <c r="B294" s="628" t="s">
        <v>89</v>
      </c>
      <c r="C294" s="629">
        <f t="shared" si="16"/>
        <v>270</v>
      </c>
      <c r="D294" s="19" t="s">
        <v>190</v>
      </c>
    </row>
    <row r="295" spans="1:4" x14ac:dyDescent="0.35">
      <c r="A295" s="16" t="s">
        <v>32</v>
      </c>
      <c r="B295" s="628" t="s">
        <v>89</v>
      </c>
      <c r="C295" s="629">
        <f t="shared" si="16"/>
        <v>271</v>
      </c>
      <c r="D295" s="19" t="s">
        <v>189</v>
      </c>
    </row>
    <row r="296" spans="1:4" x14ac:dyDescent="0.35">
      <c r="A296" s="16" t="s">
        <v>32</v>
      </c>
      <c r="B296" s="628" t="s">
        <v>89</v>
      </c>
      <c r="C296" s="629">
        <f t="shared" si="16"/>
        <v>272</v>
      </c>
      <c r="D296" s="19" t="s">
        <v>188</v>
      </c>
    </row>
    <row r="297" spans="1:4" x14ac:dyDescent="0.35">
      <c r="A297" s="16" t="s">
        <v>32</v>
      </c>
      <c r="B297" s="628" t="s">
        <v>89</v>
      </c>
      <c r="C297" s="629">
        <f t="shared" si="16"/>
        <v>273</v>
      </c>
      <c r="D297" s="19" t="s">
        <v>187</v>
      </c>
    </row>
    <row r="298" spans="1:4" x14ac:dyDescent="0.35">
      <c r="A298" s="16" t="s">
        <v>32</v>
      </c>
      <c r="B298" s="628" t="s">
        <v>89</v>
      </c>
      <c r="C298" s="629">
        <f t="shared" si="16"/>
        <v>274</v>
      </c>
      <c r="D298" s="19" t="s">
        <v>186</v>
      </c>
    </row>
    <row r="299" spans="1:4" x14ac:dyDescent="0.35">
      <c r="A299" s="16" t="s">
        <v>32</v>
      </c>
      <c r="B299" s="628" t="s">
        <v>89</v>
      </c>
      <c r="C299" s="629">
        <f t="shared" si="16"/>
        <v>275</v>
      </c>
      <c r="D299" s="19" t="s">
        <v>185</v>
      </c>
    </row>
    <row r="300" spans="1:4" x14ac:dyDescent="0.35">
      <c r="A300" s="16" t="s">
        <v>32</v>
      </c>
      <c r="B300" s="628" t="s">
        <v>89</v>
      </c>
      <c r="C300" s="629">
        <f t="shared" si="16"/>
        <v>276</v>
      </c>
      <c r="D300" s="19" t="s">
        <v>184</v>
      </c>
    </row>
    <row r="301" spans="1:4" x14ac:dyDescent="0.35">
      <c r="A301" s="16" t="s">
        <v>32</v>
      </c>
      <c r="B301" s="628" t="s">
        <v>89</v>
      </c>
      <c r="C301" s="629">
        <f t="shared" si="16"/>
        <v>277</v>
      </c>
      <c r="D301" s="19" t="s">
        <v>183</v>
      </c>
    </row>
    <row r="302" spans="1:4" x14ac:dyDescent="0.35">
      <c r="A302" s="16" t="s">
        <v>32</v>
      </c>
      <c r="B302" s="628" t="s">
        <v>89</v>
      </c>
      <c r="C302" s="629">
        <f t="shared" si="16"/>
        <v>278</v>
      </c>
      <c r="D302" s="19" t="s">
        <v>133</v>
      </c>
    </row>
    <row r="303" spans="1:4" x14ac:dyDescent="0.35">
      <c r="A303" s="16" t="s">
        <v>32</v>
      </c>
      <c r="B303" s="628" t="s">
        <v>89</v>
      </c>
      <c r="C303" s="629">
        <f t="shared" si="16"/>
        <v>279</v>
      </c>
      <c r="D303" s="19" t="s">
        <v>182</v>
      </c>
    </row>
    <row r="304" spans="1:4" x14ac:dyDescent="0.35">
      <c r="A304" s="16" t="s">
        <v>32</v>
      </c>
      <c r="B304" s="628" t="s">
        <v>89</v>
      </c>
      <c r="C304" s="629">
        <f t="shared" si="16"/>
        <v>280</v>
      </c>
      <c r="D304" s="19" t="s">
        <v>181</v>
      </c>
    </row>
    <row r="305" spans="1:4" x14ac:dyDescent="0.35">
      <c r="A305" s="16" t="s">
        <v>32</v>
      </c>
      <c r="B305" s="628" t="s">
        <v>89</v>
      </c>
      <c r="C305" s="629">
        <f t="shared" si="16"/>
        <v>281</v>
      </c>
      <c r="D305" s="19" t="s">
        <v>180</v>
      </c>
    </row>
    <row r="306" spans="1:4" x14ac:dyDescent="0.35">
      <c r="A306" s="16" t="s">
        <v>32</v>
      </c>
      <c r="B306" s="628" t="s">
        <v>89</v>
      </c>
      <c r="C306" s="629">
        <f t="shared" si="16"/>
        <v>282</v>
      </c>
      <c r="D306" s="19" t="s">
        <v>179</v>
      </c>
    </row>
    <row r="307" spans="1:4" x14ac:dyDescent="0.35">
      <c r="A307" s="16" t="s">
        <v>32</v>
      </c>
      <c r="B307" s="628" t="s">
        <v>89</v>
      </c>
      <c r="C307" s="629">
        <f t="shared" si="16"/>
        <v>283</v>
      </c>
      <c r="D307" s="19" t="s">
        <v>178</v>
      </c>
    </row>
    <row r="308" spans="1:4" x14ac:dyDescent="0.35">
      <c r="A308" s="16" t="s">
        <v>32</v>
      </c>
      <c r="B308" s="628" t="s">
        <v>89</v>
      </c>
      <c r="C308" s="629">
        <f t="shared" si="16"/>
        <v>284</v>
      </c>
      <c r="D308" s="19" t="s">
        <v>177</v>
      </c>
    </row>
    <row r="309" spans="1:4" x14ac:dyDescent="0.35">
      <c r="A309" s="16" t="s">
        <v>32</v>
      </c>
      <c r="B309" s="628" t="s">
        <v>89</v>
      </c>
      <c r="C309" s="629">
        <f t="shared" si="16"/>
        <v>285</v>
      </c>
      <c r="D309" s="19" t="s">
        <v>176</v>
      </c>
    </row>
    <row r="310" spans="1:4" x14ac:dyDescent="0.35">
      <c r="A310" s="16" t="s">
        <v>32</v>
      </c>
      <c r="B310" s="628" t="s">
        <v>89</v>
      </c>
      <c r="C310" s="629">
        <f t="shared" si="16"/>
        <v>286</v>
      </c>
      <c r="D310" s="19" t="s">
        <v>175</v>
      </c>
    </row>
    <row r="311" spans="1:4" x14ac:dyDescent="0.35">
      <c r="A311" s="16" t="s">
        <v>32</v>
      </c>
      <c r="B311" s="628" t="s">
        <v>89</v>
      </c>
      <c r="C311" s="629">
        <f t="shared" si="16"/>
        <v>287</v>
      </c>
      <c r="D311" s="19" t="s">
        <v>174</v>
      </c>
    </row>
    <row r="312" spans="1:4" x14ac:dyDescent="0.35">
      <c r="A312" s="16" t="s">
        <v>32</v>
      </c>
      <c r="B312" s="628" t="s">
        <v>89</v>
      </c>
      <c r="C312" s="629">
        <f t="shared" si="16"/>
        <v>288</v>
      </c>
      <c r="D312" s="19" t="s">
        <v>173</v>
      </c>
    </row>
    <row r="313" spans="1:4" x14ac:dyDescent="0.35">
      <c r="A313" s="16" t="s">
        <v>32</v>
      </c>
      <c r="B313" s="628" t="s">
        <v>89</v>
      </c>
      <c r="C313" s="629">
        <f t="shared" si="16"/>
        <v>289</v>
      </c>
      <c r="D313" s="19" t="s">
        <v>172</v>
      </c>
    </row>
    <row r="314" spans="1:4" x14ac:dyDescent="0.35">
      <c r="A314" s="16" t="s">
        <v>32</v>
      </c>
      <c r="B314" s="628" t="s">
        <v>89</v>
      </c>
      <c r="C314" s="629">
        <f t="shared" si="16"/>
        <v>290</v>
      </c>
      <c r="D314" s="20" t="s">
        <v>171</v>
      </c>
    </row>
    <row r="315" spans="1:4" x14ac:dyDescent="0.35">
      <c r="A315" s="16" t="s">
        <v>32</v>
      </c>
      <c r="B315" s="628" t="s">
        <v>89</v>
      </c>
      <c r="C315" s="629">
        <f t="shared" si="16"/>
        <v>291</v>
      </c>
      <c r="D315" s="20" t="s">
        <v>170</v>
      </c>
    </row>
    <row r="316" spans="1:4" x14ac:dyDescent="0.35">
      <c r="A316" s="16" t="s">
        <v>32</v>
      </c>
      <c r="B316" s="628" t="s">
        <v>89</v>
      </c>
      <c r="C316" s="629">
        <f t="shared" si="16"/>
        <v>292</v>
      </c>
      <c r="D316" s="20" t="s">
        <v>169</v>
      </c>
    </row>
    <row r="317" spans="1:4" x14ac:dyDescent="0.35">
      <c r="A317" s="16" t="s">
        <v>32</v>
      </c>
      <c r="B317" s="628" t="s">
        <v>89</v>
      </c>
      <c r="C317" s="629">
        <f t="shared" si="16"/>
        <v>293</v>
      </c>
      <c r="D317" s="20" t="s">
        <v>168</v>
      </c>
    </row>
    <row r="318" spans="1:4" x14ac:dyDescent="0.35">
      <c r="A318" s="16" t="s">
        <v>32</v>
      </c>
      <c r="B318" s="628" t="s">
        <v>89</v>
      </c>
      <c r="C318" s="629">
        <f t="shared" si="16"/>
        <v>294</v>
      </c>
      <c r="D318" s="20" t="s">
        <v>167</v>
      </c>
    </row>
    <row r="319" spans="1:4" x14ac:dyDescent="0.35">
      <c r="A319" s="16" t="s">
        <v>32</v>
      </c>
      <c r="B319" s="628" t="s">
        <v>89</v>
      </c>
      <c r="C319" s="629">
        <f t="shared" si="16"/>
        <v>295</v>
      </c>
      <c r="D319" s="20" t="s">
        <v>166</v>
      </c>
    </row>
    <row r="320" spans="1:4" x14ac:dyDescent="0.35">
      <c r="A320" s="16" t="s">
        <v>32</v>
      </c>
      <c r="B320" s="628" t="s">
        <v>89</v>
      </c>
      <c r="C320" s="629">
        <f t="shared" si="16"/>
        <v>296</v>
      </c>
      <c r="D320" s="20" t="s">
        <v>165</v>
      </c>
    </row>
    <row r="321" spans="1:4" x14ac:dyDescent="0.35">
      <c r="A321" s="16" t="s">
        <v>32</v>
      </c>
      <c r="B321" s="628" t="s">
        <v>89</v>
      </c>
      <c r="C321" s="629">
        <f t="shared" si="16"/>
        <v>297</v>
      </c>
      <c r="D321" s="20" t="s">
        <v>164</v>
      </c>
    </row>
    <row r="322" spans="1:4" x14ac:dyDescent="0.35">
      <c r="A322" s="16" t="s">
        <v>32</v>
      </c>
      <c r="B322" s="628" t="s">
        <v>89</v>
      </c>
      <c r="C322" s="629">
        <f t="shared" si="16"/>
        <v>298</v>
      </c>
      <c r="D322" s="20" t="s">
        <v>163</v>
      </c>
    </row>
    <row r="323" spans="1:4" x14ac:dyDescent="0.35">
      <c r="A323" s="16" t="s">
        <v>32</v>
      </c>
      <c r="B323" s="628" t="s">
        <v>89</v>
      </c>
      <c r="C323" s="629">
        <f t="shared" si="16"/>
        <v>299</v>
      </c>
      <c r="D323" s="20" t="s">
        <v>162</v>
      </c>
    </row>
    <row r="324" spans="1:4" x14ac:dyDescent="0.35">
      <c r="A324" s="16" t="s">
        <v>32</v>
      </c>
      <c r="B324" s="628" t="s">
        <v>89</v>
      </c>
      <c r="C324" s="629">
        <f t="shared" si="16"/>
        <v>300</v>
      </c>
      <c r="D324" s="19" t="s">
        <v>161</v>
      </c>
    </row>
    <row r="325" spans="1:4" x14ac:dyDescent="0.35">
      <c r="A325" s="16" t="s">
        <v>32</v>
      </c>
      <c r="B325" s="628" t="s">
        <v>89</v>
      </c>
      <c r="C325" s="629">
        <f t="shared" si="16"/>
        <v>301</v>
      </c>
      <c r="D325" s="19" t="s">
        <v>160</v>
      </c>
    </row>
    <row r="326" spans="1:4" x14ac:dyDescent="0.35">
      <c r="A326" s="16" t="s">
        <v>32</v>
      </c>
      <c r="B326" s="628" t="s">
        <v>89</v>
      </c>
      <c r="C326" s="629">
        <f t="shared" si="16"/>
        <v>302</v>
      </c>
      <c r="D326" s="19" t="s">
        <v>159</v>
      </c>
    </row>
    <row r="327" spans="1:4" x14ac:dyDescent="0.35">
      <c r="A327" s="16" t="s">
        <v>32</v>
      </c>
      <c r="B327" s="628" t="s">
        <v>89</v>
      </c>
      <c r="C327" s="629">
        <f t="shared" si="16"/>
        <v>303</v>
      </c>
      <c r="D327" s="19" t="s">
        <v>158</v>
      </c>
    </row>
    <row r="328" spans="1:4" x14ac:dyDescent="0.35">
      <c r="A328" s="16" t="s">
        <v>32</v>
      </c>
      <c r="B328" s="628" t="s">
        <v>89</v>
      </c>
      <c r="C328" s="629">
        <f t="shared" si="16"/>
        <v>304</v>
      </c>
      <c r="D328" s="19" t="s">
        <v>157</v>
      </c>
    </row>
    <row r="329" spans="1:4" x14ac:dyDescent="0.35">
      <c r="A329" s="16" t="s">
        <v>32</v>
      </c>
      <c r="B329" s="628" t="s">
        <v>89</v>
      </c>
      <c r="C329" s="629">
        <f t="shared" si="16"/>
        <v>305</v>
      </c>
      <c r="D329" s="19" t="s">
        <v>156</v>
      </c>
    </row>
    <row r="330" spans="1:4" x14ac:dyDescent="0.35">
      <c r="A330" s="16" t="s">
        <v>32</v>
      </c>
      <c r="B330" s="628" t="s">
        <v>89</v>
      </c>
      <c r="C330" s="629">
        <f t="shared" si="16"/>
        <v>306</v>
      </c>
      <c r="D330" s="19" t="s">
        <v>155</v>
      </c>
    </row>
    <row r="331" spans="1:4" x14ac:dyDescent="0.35">
      <c r="A331" s="16" t="s">
        <v>32</v>
      </c>
      <c r="B331" s="628" t="s">
        <v>89</v>
      </c>
      <c r="C331" s="629">
        <f t="shared" si="16"/>
        <v>307</v>
      </c>
      <c r="D331" s="19" t="s">
        <v>154</v>
      </c>
    </row>
    <row r="332" spans="1:4" x14ac:dyDescent="0.35">
      <c r="A332" s="16" t="s">
        <v>32</v>
      </c>
      <c r="B332" s="628" t="s">
        <v>89</v>
      </c>
      <c r="C332" s="629">
        <f t="shared" si="16"/>
        <v>308</v>
      </c>
      <c r="D332" s="19" t="s">
        <v>153</v>
      </c>
    </row>
    <row r="333" spans="1:4" x14ac:dyDescent="0.35">
      <c r="A333" s="16" t="s">
        <v>32</v>
      </c>
      <c r="B333" s="628" t="s">
        <v>89</v>
      </c>
      <c r="C333" s="629">
        <f t="shared" si="16"/>
        <v>309</v>
      </c>
      <c r="D333" s="19" t="s">
        <v>152</v>
      </c>
    </row>
    <row r="334" spans="1:4" x14ac:dyDescent="0.35">
      <c r="A334" s="16" t="s">
        <v>32</v>
      </c>
      <c r="B334" s="628" t="s">
        <v>89</v>
      </c>
      <c r="C334" s="629">
        <f t="shared" si="16"/>
        <v>310</v>
      </c>
      <c r="D334" s="19" t="s">
        <v>151</v>
      </c>
    </row>
    <row r="335" spans="1:4" x14ac:dyDescent="0.35">
      <c r="A335" s="16" t="s">
        <v>32</v>
      </c>
      <c r="B335" s="628" t="s">
        <v>89</v>
      </c>
      <c r="C335" s="629">
        <f t="shared" si="16"/>
        <v>311</v>
      </c>
      <c r="D335" s="19" t="s">
        <v>150</v>
      </c>
    </row>
    <row r="336" spans="1:4" x14ac:dyDescent="0.35">
      <c r="A336" s="16" t="s">
        <v>32</v>
      </c>
      <c r="B336" s="628" t="s">
        <v>89</v>
      </c>
      <c r="C336" s="629">
        <f t="shared" si="16"/>
        <v>312</v>
      </c>
      <c r="D336" s="19" t="s">
        <v>149</v>
      </c>
    </row>
    <row r="337" spans="1:4" x14ac:dyDescent="0.35">
      <c r="A337" s="16" t="s">
        <v>32</v>
      </c>
      <c r="B337" s="628" t="s">
        <v>89</v>
      </c>
      <c r="C337" s="629">
        <f t="shared" si="16"/>
        <v>313</v>
      </c>
      <c r="D337" s="19" t="s">
        <v>148</v>
      </c>
    </row>
    <row r="338" spans="1:4" x14ac:dyDescent="0.35">
      <c r="A338" s="16" t="s">
        <v>32</v>
      </c>
      <c r="B338" s="628" t="s">
        <v>89</v>
      </c>
      <c r="C338" s="629">
        <f t="shared" si="16"/>
        <v>314</v>
      </c>
      <c r="D338" s="19" t="s">
        <v>147</v>
      </c>
    </row>
    <row r="339" spans="1:4" x14ac:dyDescent="0.35">
      <c r="A339" s="16" t="s">
        <v>32</v>
      </c>
      <c r="B339" s="628" t="s">
        <v>89</v>
      </c>
      <c r="C339" s="629">
        <f t="shared" si="16"/>
        <v>315</v>
      </c>
      <c r="D339" s="19" t="s">
        <v>146</v>
      </c>
    </row>
    <row r="340" spans="1:4" x14ac:dyDescent="0.35">
      <c r="A340" s="16" t="s">
        <v>32</v>
      </c>
      <c r="B340" s="628" t="s">
        <v>89</v>
      </c>
      <c r="C340" s="629">
        <f t="shared" si="16"/>
        <v>316</v>
      </c>
      <c r="D340" s="19" t="s">
        <v>145</v>
      </c>
    </row>
    <row r="341" spans="1:4" x14ac:dyDescent="0.35">
      <c r="A341" s="16" t="s">
        <v>32</v>
      </c>
      <c r="B341" s="628" t="s">
        <v>89</v>
      </c>
      <c r="C341" s="629">
        <f t="shared" si="16"/>
        <v>317</v>
      </c>
      <c r="D341" s="19" t="s">
        <v>144</v>
      </c>
    </row>
    <row r="342" spans="1:4" x14ac:dyDescent="0.35">
      <c r="A342" s="16" t="s">
        <v>32</v>
      </c>
      <c r="B342" s="628" t="s">
        <v>89</v>
      </c>
      <c r="C342" s="629">
        <f t="shared" si="16"/>
        <v>318</v>
      </c>
      <c r="D342" s="19" t="s">
        <v>143</v>
      </c>
    </row>
    <row r="343" spans="1:4" x14ac:dyDescent="0.35">
      <c r="A343" s="16" t="s">
        <v>32</v>
      </c>
      <c r="B343" s="628" t="s">
        <v>89</v>
      </c>
      <c r="C343" s="629">
        <f t="shared" si="16"/>
        <v>319</v>
      </c>
      <c r="D343" s="19" t="s">
        <v>142</v>
      </c>
    </row>
    <row r="344" spans="1:4" x14ac:dyDescent="0.35">
      <c r="A344" s="16" t="s">
        <v>32</v>
      </c>
      <c r="B344" s="628" t="s">
        <v>89</v>
      </c>
      <c r="C344" s="629">
        <f t="shared" si="16"/>
        <v>320</v>
      </c>
      <c r="D344" s="19" t="s">
        <v>141</v>
      </c>
    </row>
    <row r="345" spans="1:4" x14ac:dyDescent="0.35">
      <c r="A345" s="16" t="s">
        <v>32</v>
      </c>
      <c r="B345" s="628" t="s">
        <v>89</v>
      </c>
      <c r="C345" s="629">
        <f t="shared" ref="C345:C400" si="17">IF(C344="",C343+1,C344+1)</f>
        <v>321</v>
      </c>
      <c r="D345" s="19" t="s">
        <v>140</v>
      </c>
    </row>
    <row r="346" spans="1:4" x14ac:dyDescent="0.35">
      <c r="A346" s="16" t="s">
        <v>32</v>
      </c>
      <c r="B346" s="628" t="s">
        <v>89</v>
      </c>
      <c r="C346" s="629">
        <f t="shared" si="17"/>
        <v>322</v>
      </c>
      <c r="D346" s="19" t="s">
        <v>139</v>
      </c>
    </row>
    <row r="347" spans="1:4" x14ac:dyDescent="0.35">
      <c r="A347" s="16" t="s">
        <v>32</v>
      </c>
      <c r="B347" s="628" t="s">
        <v>89</v>
      </c>
      <c r="C347" s="629">
        <f t="shared" si="17"/>
        <v>323</v>
      </c>
      <c r="D347" s="19" t="s">
        <v>138</v>
      </c>
    </row>
    <row r="348" spans="1:4" x14ac:dyDescent="0.35">
      <c r="A348" s="16" t="s">
        <v>32</v>
      </c>
      <c r="B348" s="628" t="s">
        <v>89</v>
      </c>
      <c r="C348" s="629">
        <f t="shared" si="17"/>
        <v>324</v>
      </c>
      <c r="D348" s="19" t="s">
        <v>137</v>
      </c>
    </row>
    <row r="349" spans="1:4" x14ac:dyDescent="0.35">
      <c r="A349" s="16" t="s">
        <v>32</v>
      </c>
      <c r="B349" s="628" t="s">
        <v>89</v>
      </c>
      <c r="C349" s="629">
        <f t="shared" si="17"/>
        <v>325</v>
      </c>
      <c r="D349" s="19" t="s">
        <v>136</v>
      </c>
    </row>
    <row r="350" spans="1:4" x14ac:dyDescent="0.35">
      <c r="A350" s="16" t="s">
        <v>32</v>
      </c>
      <c r="B350" s="628" t="s">
        <v>89</v>
      </c>
      <c r="C350" s="629">
        <f t="shared" si="17"/>
        <v>326</v>
      </c>
      <c r="D350" s="19" t="s">
        <v>135</v>
      </c>
    </row>
    <row r="351" spans="1:4" x14ac:dyDescent="0.35">
      <c r="A351" s="16" t="s">
        <v>32</v>
      </c>
      <c r="B351" s="628" t="s">
        <v>89</v>
      </c>
      <c r="C351" s="629">
        <f t="shared" si="17"/>
        <v>327</v>
      </c>
      <c r="D351" s="19" t="s">
        <v>134</v>
      </c>
    </row>
    <row r="352" spans="1:4" x14ac:dyDescent="0.35">
      <c r="A352" s="16" t="s">
        <v>32</v>
      </c>
      <c r="B352" s="628" t="s">
        <v>89</v>
      </c>
      <c r="C352" s="629">
        <f t="shared" si="17"/>
        <v>328</v>
      </c>
      <c r="D352" s="19" t="s">
        <v>133</v>
      </c>
    </row>
    <row r="353" spans="1:4" x14ac:dyDescent="0.35">
      <c r="A353" s="16" t="s">
        <v>32</v>
      </c>
      <c r="B353" s="628" t="s">
        <v>89</v>
      </c>
      <c r="C353" s="629">
        <f t="shared" si="17"/>
        <v>329</v>
      </c>
      <c r="D353" s="19" t="s">
        <v>132</v>
      </c>
    </row>
    <row r="354" spans="1:4" x14ac:dyDescent="0.35">
      <c r="A354" s="16" t="s">
        <v>32</v>
      </c>
      <c r="B354" s="628" t="s">
        <v>89</v>
      </c>
      <c r="C354" s="629">
        <f t="shared" si="17"/>
        <v>330</v>
      </c>
      <c r="D354" s="19" t="s">
        <v>131</v>
      </c>
    </row>
    <row r="355" spans="1:4" x14ac:dyDescent="0.35">
      <c r="A355" s="16" t="s">
        <v>32</v>
      </c>
      <c r="B355" s="628" t="s">
        <v>89</v>
      </c>
      <c r="C355" s="629">
        <f t="shared" si="17"/>
        <v>331</v>
      </c>
      <c r="D355" s="19" t="s">
        <v>130</v>
      </c>
    </row>
    <row r="356" spans="1:4" x14ac:dyDescent="0.35">
      <c r="A356" s="16" t="s">
        <v>32</v>
      </c>
      <c r="B356" s="628" t="s">
        <v>89</v>
      </c>
      <c r="C356" s="629">
        <f t="shared" si="17"/>
        <v>332</v>
      </c>
      <c r="D356" s="19" t="s">
        <v>129</v>
      </c>
    </row>
    <row r="357" spans="1:4" x14ac:dyDescent="0.35">
      <c r="A357" s="16" t="s">
        <v>32</v>
      </c>
      <c r="B357" s="628" t="s">
        <v>89</v>
      </c>
      <c r="C357" s="629">
        <f t="shared" si="17"/>
        <v>333</v>
      </c>
      <c r="D357" s="20" t="s">
        <v>128</v>
      </c>
    </row>
    <row r="358" spans="1:4" x14ac:dyDescent="0.35">
      <c r="A358" s="16" t="s">
        <v>32</v>
      </c>
      <c r="B358" s="628" t="s">
        <v>89</v>
      </c>
      <c r="C358" s="629">
        <f t="shared" si="17"/>
        <v>334</v>
      </c>
      <c r="D358" s="20" t="s">
        <v>127</v>
      </c>
    </row>
    <row r="359" spans="1:4" x14ac:dyDescent="0.35">
      <c r="A359" s="16" t="s">
        <v>32</v>
      </c>
      <c r="B359" s="628" t="s">
        <v>89</v>
      </c>
      <c r="C359" s="629">
        <f t="shared" si="17"/>
        <v>335</v>
      </c>
      <c r="D359" s="20" t="s">
        <v>126</v>
      </c>
    </row>
    <row r="360" spans="1:4" x14ac:dyDescent="0.35">
      <c r="A360" s="16" t="s">
        <v>32</v>
      </c>
      <c r="B360" s="628" t="s">
        <v>89</v>
      </c>
      <c r="C360" s="629">
        <f t="shared" si="17"/>
        <v>336</v>
      </c>
      <c r="D360" s="24" t="s">
        <v>125</v>
      </c>
    </row>
    <row r="361" spans="1:4" x14ac:dyDescent="0.35">
      <c r="A361" s="16" t="s">
        <v>32</v>
      </c>
      <c r="B361" s="628" t="s">
        <v>89</v>
      </c>
      <c r="C361" s="629">
        <f t="shared" si="17"/>
        <v>337</v>
      </c>
      <c r="D361" s="24" t="s">
        <v>124</v>
      </c>
    </row>
    <row r="362" spans="1:4" x14ac:dyDescent="0.35">
      <c r="A362" s="16" t="s">
        <v>32</v>
      </c>
      <c r="B362" s="628" t="s">
        <v>89</v>
      </c>
      <c r="C362" s="629">
        <f t="shared" si="17"/>
        <v>338</v>
      </c>
      <c r="D362" s="24" t="s">
        <v>123</v>
      </c>
    </row>
    <row r="363" spans="1:4" x14ac:dyDescent="0.35">
      <c r="A363" s="16" t="s">
        <v>32</v>
      </c>
      <c r="B363" s="628" t="s">
        <v>89</v>
      </c>
      <c r="C363" s="629">
        <f t="shared" si="17"/>
        <v>339</v>
      </c>
      <c r="D363" s="20" t="s">
        <v>122</v>
      </c>
    </row>
    <row r="364" spans="1:4" x14ac:dyDescent="0.35">
      <c r="A364" s="16" t="s">
        <v>32</v>
      </c>
      <c r="B364" s="628" t="s">
        <v>89</v>
      </c>
      <c r="C364" s="629">
        <f t="shared" si="17"/>
        <v>340</v>
      </c>
      <c r="D364" s="20" t="s">
        <v>121</v>
      </c>
    </row>
    <row r="365" spans="1:4" x14ac:dyDescent="0.35">
      <c r="A365" s="16" t="s">
        <v>32</v>
      </c>
      <c r="B365" s="628" t="s">
        <v>89</v>
      </c>
      <c r="C365" s="629">
        <f t="shared" si="17"/>
        <v>341</v>
      </c>
      <c r="D365" s="20" t="s">
        <v>120</v>
      </c>
    </row>
    <row r="366" spans="1:4" x14ac:dyDescent="0.35">
      <c r="A366" s="16" t="s">
        <v>32</v>
      </c>
      <c r="B366" s="628" t="s">
        <v>89</v>
      </c>
      <c r="C366" s="629">
        <f t="shared" si="17"/>
        <v>342</v>
      </c>
      <c r="D366" s="19" t="s">
        <v>119</v>
      </c>
    </row>
    <row r="367" spans="1:4" x14ac:dyDescent="0.35">
      <c r="A367" s="16" t="s">
        <v>32</v>
      </c>
      <c r="B367" s="628" t="s">
        <v>89</v>
      </c>
      <c r="C367" s="629">
        <f t="shared" si="17"/>
        <v>343</v>
      </c>
      <c r="D367" s="19" t="s">
        <v>118</v>
      </c>
    </row>
    <row r="368" spans="1:4" x14ac:dyDescent="0.35">
      <c r="A368" s="16" t="s">
        <v>32</v>
      </c>
      <c r="B368" s="628" t="s">
        <v>89</v>
      </c>
      <c r="C368" s="629">
        <f t="shared" si="17"/>
        <v>344</v>
      </c>
      <c r="D368" s="20" t="s">
        <v>117</v>
      </c>
    </row>
    <row r="369" spans="1:4" x14ac:dyDescent="0.35">
      <c r="A369" s="16" t="s">
        <v>32</v>
      </c>
      <c r="B369" s="628" t="s">
        <v>89</v>
      </c>
      <c r="C369" s="629">
        <f t="shared" si="17"/>
        <v>345</v>
      </c>
      <c r="D369" s="20" t="s">
        <v>116</v>
      </c>
    </row>
    <row r="370" spans="1:4" x14ac:dyDescent="0.35">
      <c r="A370" s="16" t="s">
        <v>32</v>
      </c>
      <c r="B370" s="628" t="s">
        <v>89</v>
      </c>
      <c r="C370" s="629">
        <f t="shared" si="17"/>
        <v>346</v>
      </c>
      <c r="D370" s="20" t="s">
        <v>115</v>
      </c>
    </row>
    <row r="371" spans="1:4" x14ac:dyDescent="0.35">
      <c r="A371" s="16" t="s">
        <v>32</v>
      </c>
      <c r="B371" s="628" t="s">
        <v>89</v>
      </c>
      <c r="C371" s="629">
        <f t="shared" si="17"/>
        <v>347</v>
      </c>
      <c r="D371" s="20" t="s">
        <v>114</v>
      </c>
    </row>
    <row r="372" spans="1:4" x14ac:dyDescent="0.35">
      <c r="A372" s="16" t="s">
        <v>32</v>
      </c>
      <c r="B372" s="628" t="s">
        <v>89</v>
      </c>
      <c r="C372" s="629">
        <f t="shared" si="17"/>
        <v>348</v>
      </c>
      <c r="D372" s="20" t="s">
        <v>113</v>
      </c>
    </row>
    <row r="373" spans="1:4" x14ac:dyDescent="0.35">
      <c r="A373" s="16" t="s">
        <v>32</v>
      </c>
      <c r="B373" s="628" t="s">
        <v>89</v>
      </c>
      <c r="C373" s="629">
        <f t="shared" si="17"/>
        <v>349</v>
      </c>
      <c r="D373" s="19" t="s">
        <v>112</v>
      </c>
    </row>
    <row r="374" spans="1:4" x14ac:dyDescent="0.35">
      <c r="A374" s="16" t="s">
        <v>32</v>
      </c>
      <c r="B374" s="628" t="s">
        <v>89</v>
      </c>
      <c r="C374" s="629">
        <f t="shared" si="17"/>
        <v>350</v>
      </c>
      <c r="D374" s="19" t="s">
        <v>111</v>
      </c>
    </row>
    <row r="375" spans="1:4" x14ac:dyDescent="0.35">
      <c r="A375" s="16" t="s">
        <v>32</v>
      </c>
      <c r="B375" s="628" t="s">
        <v>89</v>
      </c>
      <c r="C375" s="629">
        <f t="shared" si="17"/>
        <v>351</v>
      </c>
      <c r="D375" s="19" t="s">
        <v>110</v>
      </c>
    </row>
    <row r="376" spans="1:4" x14ac:dyDescent="0.35">
      <c r="A376" s="16" t="s">
        <v>32</v>
      </c>
      <c r="B376" s="628" t="s">
        <v>89</v>
      </c>
      <c r="C376" s="629">
        <f t="shared" si="17"/>
        <v>352</v>
      </c>
      <c r="D376" s="19" t="s">
        <v>109</v>
      </c>
    </row>
    <row r="377" spans="1:4" x14ac:dyDescent="0.35">
      <c r="A377" s="16" t="s">
        <v>32</v>
      </c>
      <c r="B377" s="628" t="s">
        <v>89</v>
      </c>
      <c r="C377" s="629">
        <f t="shared" si="17"/>
        <v>353</v>
      </c>
      <c r="D377" s="19" t="s">
        <v>54</v>
      </c>
    </row>
    <row r="378" spans="1:4" x14ac:dyDescent="0.35">
      <c r="A378" s="16" t="s">
        <v>32</v>
      </c>
      <c r="B378" s="628" t="s">
        <v>89</v>
      </c>
      <c r="C378" s="629">
        <f t="shared" si="17"/>
        <v>354</v>
      </c>
      <c r="D378" s="25" t="s">
        <v>108</v>
      </c>
    </row>
    <row r="379" spans="1:4" ht="188.5" x14ac:dyDescent="0.35">
      <c r="A379" s="16" t="s">
        <v>32</v>
      </c>
      <c r="B379" s="628" t="s">
        <v>89</v>
      </c>
      <c r="C379" s="629">
        <f t="shared" si="17"/>
        <v>355</v>
      </c>
      <c r="D379" s="22" t="s">
        <v>107</v>
      </c>
    </row>
    <row r="380" spans="1:4" ht="29" x14ac:dyDescent="0.35">
      <c r="A380" s="16" t="s">
        <v>32</v>
      </c>
      <c r="B380" s="628" t="s">
        <v>89</v>
      </c>
      <c r="C380" s="629">
        <f t="shared" si="17"/>
        <v>356</v>
      </c>
      <c r="D380" s="22" t="s">
        <v>106</v>
      </c>
    </row>
    <row r="381" spans="1:4" ht="29" x14ac:dyDescent="0.35">
      <c r="A381" s="16" t="s">
        <v>32</v>
      </c>
      <c r="B381" s="628" t="s">
        <v>89</v>
      </c>
      <c r="C381" s="629">
        <f t="shared" si="17"/>
        <v>357</v>
      </c>
      <c r="D381" s="22" t="s">
        <v>480</v>
      </c>
    </row>
    <row r="382" spans="1:4" x14ac:dyDescent="0.35">
      <c r="A382" s="16" t="s">
        <v>32</v>
      </c>
      <c r="B382" s="628" t="s">
        <v>89</v>
      </c>
      <c r="C382" s="629">
        <f t="shared" si="17"/>
        <v>358</v>
      </c>
      <c r="D382" s="26" t="s">
        <v>53</v>
      </c>
    </row>
    <row r="383" spans="1:4" x14ac:dyDescent="0.35">
      <c r="A383" s="16" t="s">
        <v>32</v>
      </c>
      <c r="B383" s="628" t="s">
        <v>89</v>
      </c>
      <c r="C383" s="629">
        <f t="shared" si="17"/>
        <v>359</v>
      </c>
      <c r="D383" s="20" t="s">
        <v>105</v>
      </c>
    </row>
    <row r="384" spans="1:4" x14ac:dyDescent="0.35">
      <c r="A384" s="16" t="s">
        <v>32</v>
      </c>
      <c r="B384" s="628" t="s">
        <v>89</v>
      </c>
      <c r="C384" s="629">
        <f t="shared" si="17"/>
        <v>360</v>
      </c>
      <c r="D384" s="20" t="s">
        <v>104</v>
      </c>
    </row>
    <row r="385" spans="1:4" x14ac:dyDescent="0.35">
      <c r="A385" s="16" t="s">
        <v>32</v>
      </c>
      <c r="B385" s="628" t="s">
        <v>89</v>
      </c>
      <c r="C385" s="629">
        <f t="shared" si="17"/>
        <v>361</v>
      </c>
      <c r="D385" s="20" t="s">
        <v>103</v>
      </c>
    </row>
    <row r="386" spans="1:4" x14ac:dyDescent="0.35">
      <c r="A386" s="16" t="s">
        <v>32</v>
      </c>
      <c r="B386" s="628" t="s">
        <v>89</v>
      </c>
      <c r="C386" s="629">
        <f t="shared" si="17"/>
        <v>362</v>
      </c>
      <c r="D386" s="20" t="s">
        <v>102</v>
      </c>
    </row>
    <row r="387" spans="1:4" x14ac:dyDescent="0.35">
      <c r="A387" s="16" t="s">
        <v>32</v>
      </c>
      <c r="B387" s="628" t="s">
        <v>89</v>
      </c>
      <c r="C387" s="629">
        <f t="shared" si="17"/>
        <v>363</v>
      </c>
      <c r="D387" s="20" t="s">
        <v>101</v>
      </c>
    </row>
    <row r="388" spans="1:4" x14ac:dyDescent="0.35">
      <c r="A388" s="16" t="s">
        <v>32</v>
      </c>
      <c r="B388" s="628" t="s">
        <v>89</v>
      </c>
      <c r="C388" s="629">
        <f t="shared" si="17"/>
        <v>364</v>
      </c>
      <c r="D388" s="20" t="s">
        <v>100</v>
      </c>
    </row>
    <row r="389" spans="1:4" x14ac:dyDescent="0.35">
      <c r="A389" s="16" t="s">
        <v>32</v>
      </c>
      <c r="B389" s="628" t="s">
        <v>89</v>
      </c>
      <c r="C389" s="629">
        <f t="shared" si="17"/>
        <v>365</v>
      </c>
      <c r="D389" s="20" t="s">
        <v>99</v>
      </c>
    </row>
    <row r="390" spans="1:4" x14ac:dyDescent="0.35">
      <c r="A390" s="16" t="s">
        <v>32</v>
      </c>
      <c r="B390" s="628" t="s">
        <v>89</v>
      </c>
      <c r="C390" s="629">
        <f t="shared" si="17"/>
        <v>366</v>
      </c>
      <c r="D390" s="20" t="s">
        <v>98</v>
      </c>
    </row>
    <row r="391" spans="1:4" ht="29" x14ac:dyDescent="0.35">
      <c r="A391" s="16" t="s">
        <v>32</v>
      </c>
      <c r="B391" s="628" t="s">
        <v>89</v>
      </c>
      <c r="C391" s="629">
        <f t="shared" si="17"/>
        <v>367</v>
      </c>
      <c r="D391" s="20" t="s">
        <v>97</v>
      </c>
    </row>
    <row r="392" spans="1:4" x14ac:dyDescent="0.35">
      <c r="A392" s="16" t="s">
        <v>32</v>
      </c>
      <c r="B392" s="628" t="s">
        <v>89</v>
      </c>
      <c r="C392" s="629">
        <f t="shared" si="17"/>
        <v>368</v>
      </c>
      <c r="D392" s="20" t="s">
        <v>96</v>
      </c>
    </row>
    <row r="393" spans="1:4" x14ac:dyDescent="0.35">
      <c r="A393" s="16" t="s">
        <v>32</v>
      </c>
      <c r="B393" s="628" t="s">
        <v>89</v>
      </c>
      <c r="C393" s="629">
        <f t="shared" si="17"/>
        <v>369</v>
      </c>
      <c r="D393" s="25" t="s">
        <v>95</v>
      </c>
    </row>
    <row r="394" spans="1:4" x14ac:dyDescent="0.35">
      <c r="A394" s="16" t="s">
        <v>32</v>
      </c>
      <c r="B394" s="628" t="s">
        <v>89</v>
      </c>
      <c r="C394" s="629">
        <f t="shared" si="17"/>
        <v>370</v>
      </c>
      <c r="D394" s="20" t="s">
        <v>94</v>
      </c>
    </row>
    <row r="395" spans="1:4" x14ac:dyDescent="0.35">
      <c r="A395" s="16" t="s">
        <v>32</v>
      </c>
      <c r="B395" s="628" t="s">
        <v>89</v>
      </c>
      <c r="C395" s="629">
        <f t="shared" si="17"/>
        <v>371</v>
      </c>
      <c r="D395" s="20" t="s">
        <v>93</v>
      </c>
    </row>
    <row r="396" spans="1:4" x14ac:dyDescent="0.35">
      <c r="A396" s="16" t="s">
        <v>32</v>
      </c>
      <c r="B396" s="628" t="s">
        <v>89</v>
      </c>
      <c r="C396" s="629">
        <f t="shared" si="17"/>
        <v>372</v>
      </c>
      <c r="D396" s="20" t="s">
        <v>92</v>
      </c>
    </row>
    <row r="397" spans="1:4" x14ac:dyDescent="0.35">
      <c r="A397" s="16" t="s">
        <v>32</v>
      </c>
      <c r="B397" s="628" t="s">
        <v>89</v>
      </c>
      <c r="C397" s="629">
        <f t="shared" si="17"/>
        <v>373</v>
      </c>
      <c r="D397" s="20" t="s">
        <v>91</v>
      </c>
    </row>
    <row r="398" spans="1:4" x14ac:dyDescent="0.35">
      <c r="A398" s="16" t="s">
        <v>32</v>
      </c>
      <c r="B398" s="628" t="s">
        <v>89</v>
      </c>
      <c r="C398" s="629">
        <f t="shared" si="17"/>
        <v>374</v>
      </c>
      <c r="D398" s="20" t="s">
        <v>90</v>
      </c>
    </row>
    <row r="399" spans="1:4" x14ac:dyDescent="0.35">
      <c r="A399" s="16" t="s">
        <v>32</v>
      </c>
      <c r="B399" s="628" t="s">
        <v>89</v>
      </c>
      <c r="C399" s="629">
        <f t="shared" si="17"/>
        <v>375</v>
      </c>
      <c r="D399" s="20" t="s">
        <v>88</v>
      </c>
    </row>
    <row r="400" spans="1:4" x14ac:dyDescent="0.35">
      <c r="A400" s="16" t="s">
        <v>32</v>
      </c>
      <c r="B400" s="628" t="s">
        <v>87</v>
      </c>
      <c r="C400" s="629">
        <f t="shared" si="17"/>
        <v>376</v>
      </c>
      <c r="D400" s="20" t="s">
        <v>86</v>
      </c>
    </row>
    <row r="401" spans="1:4" ht="14.5" customHeight="1" x14ac:dyDescent="0.35">
      <c r="A401" s="824" t="s">
        <v>85</v>
      </c>
      <c r="B401" s="825" t="s">
        <v>75</v>
      </c>
      <c r="C401" s="825"/>
      <c r="D401" s="826"/>
    </row>
    <row r="402" spans="1:4" x14ac:dyDescent="0.35">
      <c r="A402" s="16" t="s">
        <v>32</v>
      </c>
      <c r="B402" s="628" t="s">
        <v>75</v>
      </c>
      <c r="C402" s="629">
        <f t="shared" ref="C402:C411" si="18">IF(C401="",C400+1,C401+1)</f>
        <v>377</v>
      </c>
      <c r="D402" s="19" t="s">
        <v>84</v>
      </c>
    </row>
    <row r="403" spans="1:4" x14ac:dyDescent="0.35">
      <c r="A403" s="16" t="s">
        <v>32</v>
      </c>
      <c r="B403" s="628" t="s">
        <v>75</v>
      </c>
      <c r="C403" s="629">
        <f t="shared" si="18"/>
        <v>378</v>
      </c>
      <c r="D403" s="20" t="s">
        <v>83</v>
      </c>
    </row>
    <row r="404" spans="1:4" x14ac:dyDescent="0.35">
      <c r="A404" s="16" t="s">
        <v>32</v>
      </c>
      <c r="B404" s="628" t="s">
        <v>75</v>
      </c>
      <c r="C404" s="629">
        <f t="shared" si="18"/>
        <v>379</v>
      </c>
      <c r="D404" s="19" t="s">
        <v>82</v>
      </c>
    </row>
    <row r="405" spans="1:4" x14ac:dyDescent="0.35">
      <c r="A405" s="16" t="s">
        <v>32</v>
      </c>
      <c r="B405" s="628" t="s">
        <v>75</v>
      </c>
      <c r="C405" s="629">
        <f t="shared" si="18"/>
        <v>380</v>
      </c>
      <c r="D405" s="19" t="s">
        <v>81</v>
      </c>
    </row>
    <row r="406" spans="1:4" ht="29" x14ac:dyDescent="0.35">
      <c r="A406" s="16" t="s">
        <v>32</v>
      </c>
      <c r="B406" s="628" t="s">
        <v>75</v>
      </c>
      <c r="C406" s="629">
        <f t="shared" si="18"/>
        <v>381</v>
      </c>
      <c r="D406" s="19" t="s">
        <v>80</v>
      </c>
    </row>
    <row r="407" spans="1:4" x14ac:dyDescent="0.35">
      <c r="A407" s="16" t="s">
        <v>32</v>
      </c>
      <c r="B407" s="628" t="s">
        <v>75</v>
      </c>
      <c r="C407" s="629">
        <f t="shared" si="18"/>
        <v>382</v>
      </c>
      <c r="D407" s="19" t="s">
        <v>79</v>
      </c>
    </row>
    <row r="408" spans="1:4" x14ac:dyDescent="0.35">
      <c r="A408" s="16" t="s">
        <v>32</v>
      </c>
      <c r="B408" s="628" t="s">
        <v>75</v>
      </c>
      <c r="C408" s="629">
        <f t="shared" si="18"/>
        <v>383</v>
      </c>
      <c r="D408" s="19" t="s">
        <v>78</v>
      </c>
    </row>
    <row r="409" spans="1:4" x14ac:dyDescent="0.35">
      <c r="A409" s="16" t="s">
        <v>32</v>
      </c>
      <c r="B409" s="628" t="s">
        <v>75</v>
      </c>
      <c r="C409" s="629">
        <f t="shared" si="18"/>
        <v>384</v>
      </c>
      <c r="D409" s="19" t="s">
        <v>77</v>
      </c>
    </row>
    <row r="410" spans="1:4" x14ac:dyDescent="0.35">
      <c r="A410" s="16" t="s">
        <v>32</v>
      </c>
      <c r="B410" s="628" t="s">
        <v>75</v>
      </c>
      <c r="C410" s="629">
        <f t="shared" si="18"/>
        <v>385</v>
      </c>
      <c r="D410" s="19" t="s">
        <v>76</v>
      </c>
    </row>
    <row r="411" spans="1:4" x14ac:dyDescent="0.35">
      <c r="A411" s="16" t="s">
        <v>32</v>
      </c>
      <c r="B411" s="628" t="s">
        <v>75</v>
      </c>
      <c r="C411" s="629">
        <f t="shared" si="18"/>
        <v>386</v>
      </c>
      <c r="D411" s="19" t="s">
        <v>54</v>
      </c>
    </row>
    <row r="412" spans="1:4" ht="14.5" customHeight="1" x14ac:dyDescent="0.35">
      <c r="A412" s="824" t="s">
        <v>74</v>
      </c>
      <c r="B412" s="825"/>
      <c r="C412" s="825"/>
      <c r="D412" s="826" t="s">
        <v>73</v>
      </c>
    </row>
    <row r="413" spans="1:4" x14ac:dyDescent="0.35">
      <c r="A413" s="16" t="s">
        <v>32</v>
      </c>
      <c r="B413" s="628" t="s">
        <v>43</v>
      </c>
      <c r="C413" s="629">
        <f>IF(C392="",C391+1,C392+1)</f>
        <v>369</v>
      </c>
      <c r="D413" s="19" t="s">
        <v>72</v>
      </c>
    </row>
    <row r="414" spans="1:4" x14ac:dyDescent="0.35">
      <c r="A414" s="16" t="s">
        <v>32</v>
      </c>
      <c r="B414" s="628" t="s">
        <v>43</v>
      </c>
      <c r="C414" s="629">
        <f>IF(C413="",C392+1,C413+1)</f>
        <v>370</v>
      </c>
      <c r="D414" s="19" t="s">
        <v>71</v>
      </c>
    </row>
    <row r="415" spans="1:4" x14ac:dyDescent="0.35">
      <c r="A415" s="16" t="s">
        <v>32</v>
      </c>
      <c r="B415" s="628" t="s">
        <v>43</v>
      </c>
      <c r="C415" s="629">
        <f t="shared" ref="C415:C442" si="19">IF(C414="",C413+1,C414+1)</f>
        <v>371</v>
      </c>
      <c r="D415" s="19" t="s">
        <v>70</v>
      </c>
    </row>
    <row r="416" spans="1:4" x14ac:dyDescent="0.35">
      <c r="A416" s="16" t="s">
        <v>32</v>
      </c>
      <c r="B416" s="628" t="s">
        <v>43</v>
      </c>
      <c r="C416" s="629">
        <f t="shared" si="19"/>
        <v>372</v>
      </c>
      <c r="D416" s="19" t="s">
        <v>69</v>
      </c>
    </row>
    <row r="417" spans="1:4" x14ac:dyDescent="0.35">
      <c r="A417" s="16" t="s">
        <v>32</v>
      </c>
      <c r="B417" s="628" t="s">
        <v>43</v>
      </c>
      <c r="C417" s="629">
        <f t="shared" si="19"/>
        <v>373</v>
      </c>
      <c r="D417" s="19" t="s">
        <v>68</v>
      </c>
    </row>
    <row r="418" spans="1:4" x14ac:dyDescent="0.35">
      <c r="A418" s="16" t="s">
        <v>32</v>
      </c>
      <c r="B418" s="628" t="s">
        <v>43</v>
      </c>
      <c r="C418" s="629">
        <f t="shared" si="19"/>
        <v>374</v>
      </c>
      <c r="D418" s="20" t="s">
        <v>67</v>
      </c>
    </row>
    <row r="419" spans="1:4" ht="29" x14ac:dyDescent="0.35">
      <c r="A419" s="16" t="s">
        <v>32</v>
      </c>
      <c r="B419" s="628" t="s">
        <v>43</v>
      </c>
      <c r="C419" s="629">
        <f t="shared" si="19"/>
        <v>375</v>
      </c>
      <c r="D419" s="19" t="s">
        <v>66</v>
      </c>
    </row>
    <row r="420" spans="1:4" x14ac:dyDescent="0.35">
      <c r="A420" s="16" t="s">
        <v>32</v>
      </c>
      <c r="B420" s="628" t="s">
        <v>43</v>
      </c>
      <c r="C420" s="629">
        <f t="shared" si="19"/>
        <v>376</v>
      </c>
      <c r="D420" s="19" t="s">
        <v>65</v>
      </c>
    </row>
    <row r="421" spans="1:4" x14ac:dyDescent="0.35">
      <c r="A421" s="16" t="s">
        <v>32</v>
      </c>
      <c r="B421" s="628" t="s">
        <v>43</v>
      </c>
      <c r="C421" s="629">
        <f t="shared" si="19"/>
        <v>377</v>
      </c>
      <c r="D421" s="19" t="s">
        <v>64</v>
      </c>
    </row>
    <row r="422" spans="1:4" x14ac:dyDescent="0.35">
      <c r="A422" s="16" t="s">
        <v>32</v>
      </c>
      <c r="B422" s="628" t="s">
        <v>43</v>
      </c>
      <c r="C422" s="629">
        <f t="shared" si="19"/>
        <v>378</v>
      </c>
      <c r="D422" s="20" t="s">
        <v>63</v>
      </c>
    </row>
    <row r="423" spans="1:4" x14ac:dyDescent="0.35">
      <c r="A423" s="16" t="s">
        <v>32</v>
      </c>
      <c r="B423" s="628" t="s">
        <v>43</v>
      </c>
      <c r="C423" s="629">
        <f t="shared" si="19"/>
        <v>379</v>
      </c>
      <c r="D423" s="20" t="s">
        <v>62</v>
      </c>
    </row>
    <row r="424" spans="1:4" x14ac:dyDescent="0.35">
      <c r="A424" s="16" t="s">
        <v>32</v>
      </c>
      <c r="B424" s="628" t="s">
        <v>43</v>
      </c>
      <c r="C424" s="629">
        <f t="shared" si="19"/>
        <v>380</v>
      </c>
      <c r="D424" s="19" t="s">
        <v>61</v>
      </c>
    </row>
    <row r="425" spans="1:4" x14ac:dyDescent="0.35">
      <c r="A425" s="16" t="s">
        <v>32</v>
      </c>
      <c r="B425" s="628" t="s">
        <v>43</v>
      </c>
      <c r="C425" s="629">
        <f t="shared" si="19"/>
        <v>381</v>
      </c>
      <c r="D425" s="19" t="s">
        <v>60</v>
      </c>
    </row>
    <row r="426" spans="1:4" x14ac:dyDescent="0.35">
      <c r="A426" s="16" t="s">
        <v>32</v>
      </c>
      <c r="B426" s="628" t="s">
        <v>43</v>
      </c>
      <c r="C426" s="629">
        <f t="shared" si="19"/>
        <v>382</v>
      </c>
      <c r="D426" s="20" t="s">
        <v>59</v>
      </c>
    </row>
    <row r="427" spans="1:4" x14ac:dyDescent="0.35">
      <c r="A427" s="16" t="s">
        <v>32</v>
      </c>
      <c r="B427" s="628" t="s">
        <v>43</v>
      </c>
      <c r="C427" s="629">
        <f t="shared" si="19"/>
        <v>383</v>
      </c>
      <c r="D427" s="19" t="s">
        <v>58</v>
      </c>
    </row>
    <row r="428" spans="1:4" x14ac:dyDescent="0.35">
      <c r="A428" s="16" t="s">
        <v>32</v>
      </c>
      <c r="B428" s="628" t="s">
        <v>43</v>
      </c>
      <c r="C428" s="629">
        <f t="shared" si="19"/>
        <v>384</v>
      </c>
      <c r="D428" s="19" t="s">
        <v>57</v>
      </c>
    </row>
    <row r="429" spans="1:4" x14ac:dyDescent="0.35">
      <c r="A429" s="16" t="s">
        <v>32</v>
      </c>
      <c r="B429" s="628" t="s">
        <v>43</v>
      </c>
      <c r="C429" s="629">
        <f t="shared" si="19"/>
        <v>385</v>
      </c>
      <c r="D429" s="19" t="s">
        <v>56</v>
      </c>
    </row>
    <row r="430" spans="1:4" x14ac:dyDescent="0.35">
      <c r="A430" s="16" t="s">
        <v>32</v>
      </c>
      <c r="B430" s="628" t="s">
        <v>43</v>
      </c>
      <c r="C430" s="629">
        <f t="shared" si="19"/>
        <v>386</v>
      </c>
      <c r="D430" s="19" t="s">
        <v>55</v>
      </c>
    </row>
    <row r="431" spans="1:4" x14ac:dyDescent="0.35">
      <c r="A431" s="16" t="s">
        <v>32</v>
      </c>
      <c r="B431" s="628" t="s">
        <v>43</v>
      </c>
      <c r="C431" s="629">
        <f t="shared" si="19"/>
        <v>387</v>
      </c>
      <c r="D431" s="19" t="s">
        <v>54</v>
      </c>
    </row>
    <row r="432" spans="1:4" x14ac:dyDescent="0.35">
      <c r="A432" s="16" t="s">
        <v>32</v>
      </c>
      <c r="B432" s="628" t="s">
        <v>43</v>
      </c>
      <c r="C432" s="629">
        <f t="shared" si="19"/>
        <v>388</v>
      </c>
      <c r="D432" s="19" t="s">
        <v>53</v>
      </c>
    </row>
    <row r="433" spans="1:4" x14ac:dyDescent="0.35">
      <c r="A433" s="16" t="s">
        <v>32</v>
      </c>
      <c r="B433" s="628" t="s">
        <v>43</v>
      </c>
      <c r="C433" s="629">
        <f t="shared" si="19"/>
        <v>389</v>
      </c>
      <c r="D433" s="20" t="s">
        <v>52</v>
      </c>
    </row>
    <row r="434" spans="1:4" x14ac:dyDescent="0.35">
      <c r="A434" s="16" t="s">
        <v>32</v>
      </c>
      <c r="B434" s="628" t="s">
        <v>43</v>
      </c>
      <c r="C434" s="629">
        <f t="shared" si="19"/>
        <v>390</v>
      </c>
      <c r="D434" s="20" t="s">
        <v>51</v>
      </c>
    </row>
    <row r="435" spans="1:4" x14ac:dyDescent="0.35">
      <c r="A435" s="16" t="s">
        <v>32</v>
      </c>
      <c r="B435" s="628" t="s">
        <v>43</v>
      </c>
      <c r="C435" s="629">
        <f t="shared" si="19"/>
        <v>391</v>
      </c>
      <c r="D435" s="20" t="s">
        <v>50</v>
      </c>
    </row>
    <row r="436" spans="1:4" x14ac:dyDescent="0.35">
      <c r="A436" s="16" t="s">
        <v>32</v>
      </c>
      <c r="B436" s="628" t="s">
        <v>43</v>
      </c>
      <c r="C436" s="629">
        <f t="shared" si="19"/>
        <v>392</v>
      </c>
      <c r="D436" s="20" t="s">
        <v>49</v>
      </c>
    </row>
    <row r="437" spans="1:4" x14ac:dyDescent="0.35">
      <c r="A437" s="16" t="s">
        <v>32</v>
      </c>
      <c r="B437" s="628" t="s">
        <v>43</v>
      </c>
      <c r="C437" s="629">
        <f t="shared" si="19"/>
        <v>393</v>
      </c>
      <c r="D437" s="20" t="s">
        <v>48</v>
      </c>
    </row>
    <row r="438" spans="1:4" x14ac:dyDescent="0.35">
      <c r="A438" s="16" t="s">
        <v>32</v>
      </c>
      <c r="B438" s="628" t="s">
        <v>43</v>
      </c>
      <c r="C438" s="629">
        <f t="shared" si="19"/>
        <v>394</v>
      </c>
      <c r="D438" s="20" t="s">
        <v>47</v>
      </c>
    </row>
    <row r="439" spans="1:4" x14ac:dyDescent="0.35">
      <c r="A439" s="16" t="s">
        <v>32</v>
      </c>
      <c r="B439" s="628" t="s">
        <v>43</v>
      </c>
      <c r="C439" s="629">
        <f t="shared" si="19"/>
        <v>395</v>
      </c>
      <c r="D439" s="20" t="s">
        <v>46</v>
      </c>
    </row>
    <row r="440" spans="1:4" x14ac:dyDescent="0.35">
      <c r="A440" s="16" t="s">
        <v>32</v>
      </c>
      <c r="B440" s="628" t="s">
        <v>43</v>
      </c>
      <c r="C440" s="629">
        <f t="shared" si="19"/>
        <v>396</v>
      </c>
      <c r="D440" s="20" t="s">
        <v>45</v>
      </c>
    </row>
    <row r="441" spans="1:4" x14ac:dyDescent="0.35">
      <c r="A441" s="16" t="s">
        <v>32</v>
      </c>
      <c r="B441" s="628" t="s">
        <v>43</v>
      </c>
      <c r="C441" s="629">
        <f t="shared" si="19"/>
        <v>397</v>
      </c>
      <c r="D441" s="20" t="s">
        <v>44</v>
      </c>
    </row>
    <row r="442" spans="1:4" x14ac:dyDescent="0.35">
      <c r="A442" s="16" t="s">
        <v>32</v>
      </c>
      <c r="B442" s="628" t="s">
        <v>43</v>
      </c>
      <c r="C442" s="629">
        <f t="shared" si="19"/>
        <v>398</v>
      </c>
      <c r="D442" s="20" t="s">
        <v>42</v>
      </c>
    </row>
    <row r="443" spans="1:4" ht="14.5" customHeight="1" x14ac:dyDescent="0.35">
      <c r="A443" s="824" t="s">
        <v>41</v>
      </c>
      <c r="B443" s="825"/>
      <c r="C443" s="825"/>
      <c r="D443" s="826"/>
    </row>
    <row r="444" spans="1:4" x14ac:dyDescent="0.35">
      <c r="A444" s="16" t="s">
        <v>32</v>
      </c>
      <c r="B444" s="628" t="s">
        <v>31</v>
      </c>
      <c r="C444" s="629">
        <f t="shared" ref="C444:C452" si="20">IF(C443="",C442+1,C443+1)</f>
        <v>399</v>
      </c>
      <c r="D444" s="19" t="s">
        <v>40</v>
      </c>
    </row>
    <row r="445" spans="1:4" x14ac:dyDescent="0.35">
      <c r="A445" s="16" t="s">
        <v>32</v>
      </c>
      <c r="B445" s="628" t="s">
        <v>31</v>
      </c>
      <c r="C445" s="629">
        <f t="shared" si="20"/>
        <v>400</v>
      </c>
      <c r="D445" s="19" t="s">
        <v>39</v>
      </c>
    </row>
    <row r="446" spans="1:4" x14ac:dyDescent="0.35">
      <c r="A446" s="16" t="s">
        <v>32</v>
      </c>
      <c r="B446" s="628" t="s">
        <v>31</v>
      </c>
      <c r="C446" s="629">
        <f t="shared" si="20"/>
        <v>401</v>
      </c>
      <c r="D446" s="19" t="s">
        <v>38</v>
      </c>
    </row>
    <row r="447" spans="1:4" x14ac:dyDescent="0.35">
      <c r="A447" s="16" t="s">
        <v>32</v>
      </c>
      <c r="B447" s="628" t="s">
        <v>31</v>
      </c>
      <c r="C447" s="629">
        <f t="shared" si="20"/>
        <v>402</v>
      </c>
      <c r="D447" s="19" t="s">
        <v>37</v>
      </c>
    </row>
    <row r="448" spans="1:4" x14ac:dyDescent="0.35">
      <c r="A448" s="16" t="s">
        <v>32</v>
      </c>
      <c r="B448" s="628" t="s">
        <v>31</v>
      </c>
      <c r="C448" s="629">
        <f t="shared" si="20"/>
        <v>403</v>
      </c>
      <c r="D448" s="19" t="s">
        <v>36</v>
      </c>
    </row>
    <row r="449" spans="1:4" x14ac:dyDescent="0.35">
      <c r="A449" s="16" t="s">
        <v>32</v>
      </c>
      <c r="B449" s="628" t="s">
        <v>31</v>
      </c>
      <c r="C449" s="629">
        <f t="shared" si="20"/>
        <v>404</v>
      </c>
      <c r="D449" s="19" t="s">
        <v>35</v>
      </c>
    </row>
    <row r="450" spans="1:4" x14ac:dyDescent="0.35">
      <c r="A450" s="16" t="s">
        <v>32</v>
      </c>
      <c r="B450" s="628" t="s">
        <v>31</v>
      </c>
      <c r="C450" s="629">
        <f t="shared" si="20"/>
        <v>405</v>
      </c>
      <c r="D450" s="19" t="s">
        <v>34</v>
      </c>
    </row>
    <row r="451" spans="1:4" x14ac:dyDescent="0.35">
      <c r="A451" s="16" t="s">
        <v>32</v>
      </c>
      <c r="B451" s="628" t="s">
        <v>31</v>
      </c>
      <c r="C451" s="629">
        <f t="shared" si="20"/>
        <v>406</v>
      </c>
      <c r="D451" s="19" t="s">
        <v>33</v>
      </c>
    </row>
    <row r="452" spans="1:4" x14ac:dyDescent="0.35">
      <c r="A452" s="16" t="s">
        <v>32</v>
      </c>
      <c r="B452" s="628" t="s">
        <v>31</v>
      </c>
      <c r="C452" s="629">
        <f t="shared" si="20"/>
        <v>407</v>
      </c>
      <c r="D452" s="19" t="s">
        <v>30</v>
      </c>
    </row>
  </sheetData>
  <autoFilter ref="A3:D452"/>
  <mergeCells count="25">
    <mergeCell ref="A4:D4"/>
    <mergeCell ref="A443:D443"/>
    <mergeCell ref="A9:D9"/>
    <mergeCell ref="A31:D31"/>
    <mergeCell ref="A17:D17"/>
    <mergeCell ref="A46:D46"/>
    <mergeCell ref="A53:D53"/>
    <mergeCell ref="A71:D71"/>
    <mergeCell ref="A75:D75"/>
    <mergeCell ref="B1:D1"/>
    <mergeCell ref="A412:D412"/>
    <mergeCell ref="A270:D270"/>
    <mergeCell ref="A280:D280"/>
    <mergeCell ref="A401:D401"/>
    <mergeCell ref="A192:D192"/>
    <mergeCell ref="A216:D216"/>
    <mergeCell ref="A223:D223"/>
    <mergeCell ref="A257:D257"/>
    <mergeCell ref="A122:D122"/>
    <mergeCell ref="A145:D145"/>
    <mergeCell ref="A99:D99"/>
    <mergeCell ref="A105:D105"/>
    <mergeCell ref="A161:D161"/>
    <mergeCell ref="A171:D171"/>
    <mergeCell ref="A5:D5"/>
  </mergeCells>
  <dataValidations disablePrompts="1" count="4">
    <dataValidation allowBlank="1" showInputMessage="1" showErrorMessage="1" prompt="Include Risk Event for evaluation?" sqref="A99:D99 A105:D105 A432:D432"/>
    <dataValidation type="list" allowBlank="1" showInputMessage="1" showErrorMessage="1" sqref="C280 C46">
      <formula1>RT</formula1>
    </dataValidation>
    <dataValidation type="list" allowBlank="1" showInputMessage="1" showErrorMessage="1" sqref="B18:B30 B6:B8 B146:B160 B32:B45 B444:B452 B258:B269 B54:B70 B172:B191 B193:B215 B123:B144 B217:B222 B224:B256 B271:B279 B76:B98 B47:B52 B10:B16 B100:B104 B72:B74 B281:B400 B162:B170 B402:B442 B106:B121">
      <formula1>RTA</formula1>
    </dataValidation>
    <dataValidation type="list" allowBlank="1" showInputMessage="1" showErrorMessage="1" prompt="Include Risk Event for evaluation?" sqref="A18:A30 A6:A8 A10:A16 A32:A45 A444:A452 A106:A121 A100:A104 A162:A170 A172:A191 A193:A215 A146:A160 A123:A144 A217:A222 A224:A256 A271:A279 A47:A52 A54:A70 A72:A74 A76:A98 A258:A269 A402:A442 A281:A400">
      <formula1>Include</formula1>
    </dataValidation>
  </dataValidations>
  <pageMargins left="0.25" right="0.25" top="0.25" bottom="0.5" header="0.25" footer="0.25"/>
  <pageSetup scale="84" fitToHeight="0" orientation="portrait" horizontalDpi="1200" verticalDpi="1200" r:id="rId1"/>
  <headerFooter>
    <oddFooter>&amp;CPage &amp;P of &amp;N</oddFooter>
  </headerFooter>
  <rowBreaks count="1" manualBreakCount="1">
    <brk id="191"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D367"/>
  <sheetViews>
    <sheetView showGridLines="0" zoomScaleNormal="100" workbookViewId="0">
      <pane ySplit="3" topLeftCell="A4" activePane="bottomLeft" state="frozen"/>
      <selection pane="bottomLeft" activeCell="A4" sqref="A4:D4"/>
    </sheetView>
  </sheetViews>
  <sheetFormatPr defaultRowHeight="14.5" x14ac:dyDescent="0.35"/>
  <cols>
    <col min="1" max="1" width="13.453125" style="27" customWidth="1"/>
    <col min="2" max="3" width="10.81640625" style="27" customWidth="1"/>
    <col min="4" max="4" width="100.54296875" style="27" customWidth="1"/>
  </cols>
  <sheetData>
    <row r="1" spans="1:4" s="7" customFormat="1" ht="21" x14ac:dyDescent="0.5">
      <c r="B1" s="817" t="s">
        <v>632</v>
      </c>
      <c r="C1" s="817"/>
      <c r="D1" s="817"/>
    </row>
    <row r="2" spans="1:4" s="1" customFormat="1" x14ac:dyDescent="0.35"/>
    <row r="3" spans="1:4" x14ac:dyDescent="0.35">
      <c r="A3" s="390" t="s">
        <v>479</v>
      </c>
      <c r="B3" s="390" t="s">
        <v>478</v>
      </c>
      <c r="C3" s="390" t="s">
        <v>477</v>
      </c>
      <c r="D3" s="389" t="s">
        <v>476</v>
      </c>
    </row>
    <row r="4" spans="1:4" x14ac:dyDescent="0.35">
      <c r="A4" s="824" t="s">
        <v>475</v>
      </c>
      <c r="B4" s="830"/>
      <c r="C4" s="830"/>
      <c r="D4" s="826"/>
    </row>
    <row r="5" spans="1:4" x14ac:dyDescent="0.35">
      <c r="A5" s="16" t="s">
        <v>32</v>
      </c>
      <c r="B5" s="17" t="s">
        <v>463</v>
      </c>
      <c r="C5" s="18">
        <v>1</v>
      </c>
      <c r="D5" s="19" t="s">
        <v>631</v>
      </c>
    </row>
    <row r="6" spans="1:4" x14ac:dyDescent="0.35">
      <c r="A6" s="16" t="s">
        <v>32</v>
      </c>
      <c r="B6" s="17" t="s">
        <v>463</v>
      </c>
      <c r="C6" s="18">
        <f>IF(C5="",#REF!+1,C5+1)</f>
        <v>2</v>
      </c>
      <c r="D6" s="19" t="s">
        <v>630</v>
      </c>
    </row>
    <row r="7" spans="1:4" x14ac:dyDescent="0.35">
      <c r="A7" s="16" t="s">
        <v>32</v>
      </c>
      <c r="B7" s="17" t="s">
        <v>463</v>
      </c>
      <c r="C7" s="18">
        <f t="shared" ref="C7:C36" si="0">IF(C6="",C5+1,C6+1)</f>
        <v>3</v>
      </c>
      <c r="D7" s="19" t="s">
        <v>629</v>
      </c>
    </row>
    <row r="8" spans="1:4" x14ac:dyDescent="0.35">
      <c r="A8" s="16" t="s">
        <v>32</v>
      </c>
      <c r="B8" s="17" t="s">
        <v>463</v>
      </c>
      <c r="C8" s="18">
        <f t="shared" si="0"/>
        <v>4</v>
      </c>
      <c r="D8" s="19" t="s">
        <v>628</v>
      </c>
    </row>
    <row r="9" spans="1:4" x14ac:dyDescent="0.35">
      <c r="A9" s="16" t="s">
        <v>32</v>
      </c>
      <c r="B9" s="17" t="s">
        <v>463</v>
      </c>
      <c r="C9" s="18">
        <f t="shared" si="0"/>
        <v>5</v>
      </c>
      <c r="D9" s="19" t="s">
        <v>627</v>
      </c>
    </row>
    <row r="10" spans="1:4" x14ac:dyDescent="0.35">
      <c r="A10" s="16" t="s">
        <v>32</v>
      </c>
      <c r="B10" s="17" t="s">
        <v>463</v>
      </c>
      <c r="C10" s="18">
        <f t="shared" si="0"/>
        <v>6</v>
      </c>
      <c r="D10" s="19" t="s">
        <v>626</v>
      </c>
    </row>
    <row r="11" spans="1:4" x14ac:dyDescent="0.35">
      <c r="A11" s="16" t="s">
        <v>32</v>
      </c>
      <c r="B11" s="17" t="s">
        <v>463</v>
      </c>
      <c r="C11" s="18">
        <f t="shared" si="0"/>
        <v>7</v>
      </c>
      <c r="D11" s="19" t="s">
        <v>625</v>
      </c>
    </row>
    <row r="12" spans="1:4" x14ac:dyDescent="0.35">
      <c r="A12" s="16" t="s">
        <v>32</v>
      </c>
      <c r="B12" s="17" t="s">
        <v>463</v>
      </c>
      <c r="C12" s="18">
        <f t="shared" si="0"/>
        <v>8</v>
      </c>
      <c r="D12" s="19" t="s">
        <v>624</v>
      </c>
    </row>
    <row r="13" spans="1:4" x14ac:dyDescent="0.35">
      <c r="A13" s="16" t="s">
        <v>32</v>
      </c>
      <c r="B13" s="17" t="s">
        <v>463</v>
      </c>
      <c r="C13" s="18">
        <f t="shared" si="0"/>
        <v>9</v>
      </c>
      <c r="D13" s="19" t="s">
        <v>623</v>
      </c>
    </row>
    <row r="14" spans="1:4" x14ac:dyDescent="0.35">
      <c r="A14" s="16" t="s">
        <v>32</v>
      </c>
      <c r="B14" s="17" t="s">
        <v>463</v>
      </c>
      <c r="C14" s="18">
        <f t="shared" si="0"/>
        <v>10</v>
      </c>
      <c r="D14" s="19" t="s">
        <v>622</v>
      </c>
    </row>
    <row r="15" spans="1:4" x14ac:dyDescent="0.35">
      <c r="A15" s="16" t="s">
        <v>32</v>
      </c>
      <c r="B15" s="17" t="s">
        <v>463</v>
      </c>
      <c r="C15" s="18">
        <f t="shared" si="0"/>
        <v>11</v>
      </c>
      <c r="D15" s="19" t="s">
        <v>621</v>
      </c>
    </row>
    <row r="16" spans="1:4" x14ac:dyDescent="0.35">
      <c r="A16" s="16" t="s">
        <v>32</v>
      </c>
      <c r="B16" s="17" t="s">
        <v>463</v>
      </c>
      <c r="C16" s="18">
        <f t="shared" si="0"/>
        <v>12</v>
      </c>
      <c r="D16" s="19" t="s">
        <v>620</v>
      </c>
    </row>
    <row r="17" spans="1:4" x14ac:dyDescent="0.35">
      <c r="A17" s="16" t="s">
        <v>32</v>
      </c>
      <c r="B17" s="17" t="s">
        <v>463</v>
      </c>
      <c r="C17" s="18">
        <f t="shared" si="0"/>
        <v>13</v>
      </c>
      <c r="D17" s="19" t="s">
        <v>619</v>
      </c>
    </row>
    <row r="18" spans="1:4" x14ac:dyDescent="0.35">
      <c r="A18" s="16" t="s">
        <v>32</v>
      </c>
      <c r="B18" s="17" t="s">
        <v>463</v>
      </c>
      <c r="C18" s="18">
        <f t="shared" si="0"/>
        <v>14</v>
      </c>
      <c r="D18" s="19" t="s">
        <v>618</v>
      </c>
    </row>
    <row r="19" spans="1:4" x14ac:dyDescent="0.35">
      <c r="A19" s="16" t="s">
        <v>32</v>
      </c>
      <c r="B19" s="17" t="s">
        <v>463</v>
      </c>
      <c r="C19" s="18">
        <f t="shared" si="0"/>
        <v>15</v>
      </c>
      <c r="D19" s="19" t="s">
        <v>617</v>
      </c>
    </row>
    <row r="20" spans="1:4" x14ac:dyDescent="0.35">
      <c r="A20" s="16" t="s">
        <v>32</v>
      </c>
      <c r="B20" s="17" t="s">
        <v>463</v>
      </c>
      <c r="C20" s="18">
        <f t="shared" si="0"/>
        <v>16</v>
      </c>
      <c r="D20" s="19" t="s">
        <v>616</v>
      </c>
    </row>
    <row r="21" spans="1:4" x14ac:dyDescent="0.35">
      <c r="A21" s="16" t="s">
        <v>32</v>
      </c>
      <c r="B21" s="17" t="s">
        <v>463</v>
      </c>
      <c r="C21" s="18">
        <f t="shared" si="0"/>
        <v>17</v>
      </c>
      <c r="D21" s="20" t="s">
        <v>615</v>
      </c>
    </row>
    <row r="22" spans="1:4" x14ac:dyDescent="0.35">
      <c r="A22" s="16" t="s">
        <v>32</v>
      </c>
      <c r="B22" s="17" t="s">
        <v>463</v>
      </c>
      <c r="C22" s="18">
        <f t="shared" si="0"/>
        <v>18</v>
      </c>
      <c r="D22" s="20" t="s">
        <v>614</v>
      </c>
    </row>
    <row r="23" spans="1:4" x14ac:dyDescent="0.35">
      <c r="A23" s="16" t="s">
        <v>32</v>
      </c>
      <c r="B23" s="17" t="s">
        <v>463</v>
      </c>
      <c r="C23" s="18">
        <f t="shared" si="0"/>
        <v>19</v>
      </c>
      <c r="D23" s="19" t="s">
        <v>613</v>
      </c>
    </row>
    <row r="24" spans="1:4" x14ac:dyDescent="0.35">
      <c r="A24" s="16" t="s">
        <v>32</v>
      </c>
      <c r="B24" s="17" t="s">
        <v>463</v>
      </c>
      <c r="C24" s="18">
        <f t="shared" si="0"/>
        <v>20</v>
      </c>
      <c r="D24" s="19" t="s">
        <v>612</v>
      </c>
    </row>
    <row r="25" spans="1:4" x14ac:dyDescent="0.35">
      <c r="A25" s="16" t="s">
        <v>32</v>
      </c>
      <c r="B25" s="17" t="s">
        <v>463</v>
      </c>
      <c r="C25" s="18">
        <f t="shared" si="0"/>
        <v>21</v>
      </c>
      <c r="D25" s="19" t="s">
        <v>611</v>
      </c>
    </row>
    <row r="26" spans="1:4" x14ac:dyDescent="0.35">
      <c r="A26" s="16" t="s">
        <v>32</v>
      </c>
      <c r="B26" s="17" t="s">
        <v>463</v>
      </c>
      <c r="C26" s="18">
        <f t="shared" si="0"/>
        <v>22</v>
      </c>
      <c r="D26" s="19" t="s">
        <v>610</v>
      </c>
    </row>
    <row r="27" spans="1:4" x14ac:dyDescent="0.35">
      <c r="A27" s="16" t="s">
        <v>32</v>
      </c>
      <c r="B27" s="17" t="s">
        <v>463</v>
      </c>
      <c r="C27" s="18">
        <f t="shared" si="0"/>
        <v>23</v>
      </c>
      <c r="D27" s="19" t="s">
        <v>609</v>
      </c>
    </row>
    <row r="28" spans="1:4" x14ac:dyDescent="0.35">
      <c r="A28" s="16" t="s">
        <v>32</v>
      </c>
      <c r="B28" s="17" t="s">
        <v>463</v>
      </c>
      <c r="C28" s="18">
        <f t="shared" si="0"/>
        <v>24</v>
      </c>
      <c r="D28" s="19" t="s">
        <v>608</v>
      </c>
    </row>
    <row r="29" spans="1:4" x14ac:dyDescent="0.35">
      <c r="A29" s="16" t="s">
        <v>32</v>
      </c>
      <c r="B29" s="17" t="s">
        <v>463</v>
      </c>
      <c r="C29" s="18">
        <f t="shared" si="0"/>
        <v>25</v>
      </c>
      <c r="D29" s="19" t="s">
        <v>607</v>
      </c>
    </row>
    <row r="30" spans="1:4" x14ac:dyDescent="0.35">
      <c r="A30" s="16" t="s">
        <v>32</v>
      </c>
      <c r="B30" s="17" t="s">
        <v>463</v>
      </c>
      <c r="C30" s="18">
        <f t="shared" si="0"/>
        <v>26</v>
      </c>
      <c r="D30" s="19" t="s">
        <v>606</v>
      </c>
    </row>
    <row r="31" spans="1:4" x14ac:dyDescent="0.35">
      <c r="A31" s="16" t="s">
        <v>32</v>
      </c>
      <c r="B31" s="17" t="s">
        <v>463</v>
      </c>
      <c r="C31" s="18">
        <f t="shared" si="0"/>
        <v>27</v>
      </c>
      <c r="D31" s="19" t="s">
        <v>605</v>
      </c>
    </row>
    <row r="32" spans="1:4" x14ac:dyDescent="0.35">
      <c r="A32" s="16" t="s">
        <v>32</v>
      </c>
      <c r="B32" s="17" t="s">
        <v>463</v>
      </c>
      <c r="C32" s="18">
        <f t="shared" si="0"/>
        <v>28</v>
      </c>
      <c r="D32" s="19" t="s">
        <v>604</v>
      </c>
    </row>
    <row r="33" spans="1:4" x14ac:dyDescent="0.35">
      <c r="A33" s="16" t="s">
        <v>32</v>
      </c>
      <c r="B33" s="17" t="s">
        <v>463</v>
      </c>
      <c r="C33" s="18">
        <f t="shared" si="0"/>
        <v>29</v>
      </c>
      <c r="D33" s="19" t="s">
        <v>603</v>
      </c>
    </row>
    <row r="34" spans="1:4" x14ac:dyDescent="0.35">
      <c r="A34" s="16" t="s">
        <v>32</v>
      </c>
      <c r="B34" s="17" t="s">
        <v>463</v>
      </c>
      <c r="C34" s="18">
        <f t="shared" si="0"/>
        <v>30</v>
      </c>
      <c r="D34" s="19" t="s">
        <v>1278</v>
      </c>
    </row>
    <row r="35" spans="1:4" x14ac:dyDescent="0.35">
      <c r="A35" s="16" t="s">
        <v>32</v>
      </c>
      <c r="B35" s="17" t="s">
        <v>463</v>
      </c>
      <c r="C35" s="18">
        <f t="shared" si="0"/>
        <v>31</v>
      </c>
      <c r="D35" s="19" t="s">
        <v>602</v>
      </c>
    </row>
    <row r="36" spans="1:4" x14ac:dyDescent="0.35">
      <c r="A36" s="16" t="s">
        <v>32</v>
      </c>
      <c r="B36" s="17" t="s">
        <v>463</v>
      </c>
      <c r="C36" s="18">
        <f t="shared" si="0"/>
        <v>32</v>
      </c>
      <c r="D36" s="19" t="s">
        <v>601</v>
      </c>
    </row>
    <row r="37" spans="1:4" x14ac:dyDescent="0.35">
      <c r="A37" s="824" t="s">
        <v>446</v>
      </c>
      <c r="B37" s="830"/>
      <c r="C37" s="830"/>
      <c r="D37" s="826"/>
    </row>
    <row r="38" spans="1:4" x14ac:dyDescent="0.35">
      <c r="A38" s="16" t="s">
        <v>32</v>
      </c>
      <c r="B38" s="17" t="s">
        <v>432</v>
      </c>
      <c r="C38" s="18">
        <f t="shared" ref="C38:C55" si="1">IF(C37="",C36+1,C37+1)</f>
        <v>33</v>
      </c>
      <c r="D38" s="19" t="s">
        <v>600</v>
      </c>
    </row>
    <row r="39" spans="1:4" x14ac:dyDescent="0.35">
      <c r="A39" s="16" t="s">
        <v>32</v>
      </c>
      <c r="B39" s="17" t="s">
        <v>432</v>
      </c>
      <c r="C39" s="18">
        <f t="shared" si="1"/>
        <v>34</v>
      </c>
      <c r="D39" s="19" t="s">
        <v>599</v>
      </c>
    </row>
    <row r="40" spans="1:4" x14ac:dyDescent="0.35">
      <c r="A40" s="16" t="s">
        <v>32</v>
      </c>
      <c r="B40" s="17" t="s">
        <v>432</v>
      </c>
      <c r="C40" s="18">
        <f t="shared" si="1"/>
        <v>35</v>
      </c>
      <c r="D40" s="19" t="s">
        <v>598</v>
      </c>
    </row>
    <row r="41" spans="1:4" x14ac:dyDescent="0.35">
      <c r="A41" s="16" t="s">
        <v>32</v>
      </c>
      <c r="B41" s="17" t="s">
        <v>432</v>
      </c>
      <c r="C41" s="18">
        <f t="shared" si="1"/>
        <v>36</v>
      </c>
      <c r="D41" s="19" t="s">
        <v>597</v>
      </c>
    </row>
    <row r="42" spans="1:4" x14ac:dyDescent="0.35">
      <c r="A42" s="16" t="s">
        <v>32</v>
      </c>
      <c r="B42" s="17" t="s">
        <v>432</v>
      </c>
      <c r="C42" s="18">
        <f t="shared" si="1"/>
        <v>37</v>
      </c>
      <c r="D42" s="19" t="s">
        <v>596</v>
      </c>
    </row>
    <row r="43" spans="1:4" x14ac:dyDescent="0.35">
      <c r="A43" s="16" t="s">
        <v>32</v>
      </c>
      <c r="B43" s="17" t="s">
        <v>432</v>
      </c>
      <c r="C43" s="18">
        <f t="shared" si="1"/>
        <v>38</v>
      </c>
      <c r="D43" s="19" t="s">
        <v>595</v>
      </c>
    </row>
    <row r="44" spans="1:4" x14ac:dyDescent="0.35">
      <c r="A44" s="16" t="s">
        <v>32</v>
      </c>
      <c r="B44" s="17" t="s">
        <v>432</v>
      </c>
      <c r="C44" s="18">
        <f t="shared" si="1"/>
        <v>39</v>
      </c>
      <c r="D44" s="19" t="s">
        <v>594</v>
      </c>
    </row>
    <row r="45" spans="1:4" x14ac:dyDescent="0.35">
      <c r="A45" s="16" t="s">
        <v>32</v>
      </c>
      <c r="B45" s="17" t="s">
        <v>432</v>
      </c>
      <c r="C45" s="18">
        <f t="shared" si="1"/>
        <v>40</v>
      </c>
      <c r="D45" s="19" t="s">
        <v>593</v>
      </c>
    </row>
    <row r="46" spans="1:4" x14ac:dyDescent="0.35">
      <c r="A46" s="16" t="s">
        <v>32</v>
      </c>
      <c r="B46" s="17" t="s">
        <v>432</v>
      </c>
      <c r="C46" s="18">
        <f t="shared" si="1"/>
        <v>41</v>
      </c>
      <c r="D46" s="19" t="s">
        <v>592</v>
      </c>
    </row>
    <row r="47" spans="1:4" x14ac:dyDescent="0.35">
      <c r="A47" s="16" t="s">
        <v>32</v>
      </c>
      <c r="B47" s="17" t="s">
        <v>432</v>
      </c>
      <c r="C47" s="18">
        <f t="shared" si="1"/>
        <v>42</v>
      </c>
      <c r="D47" s="19" t="s">
        <v>591</v>
      </c>
    </row>
    <row r="48" spans="1:4" x14ac:dyDescent="0.35">
      <c r="A48" s="16" t="s">
        <v>32</v>
      </c>
      <c r="B48" s="17" t="s">
        <v>432</v>
      </c>
      <c r="C48" s="18">
        <f t="shared" si="1"/>
        <v>43</v>
      </c>
      <c r="D48" s="19" t="s">
        <v>590</v>
      </c>
    </row>
    <row r="49" spans="1:4" ht="29" x14ac:dyDescent="0.35">
      <c r="A49" s="16" t="s">
        <v>32</v>
      </c>
      <c r="B49" s="17" t="s">
        <v>432</v>
      </c>
      <c r="C49" s="18">
        <f t="shared" si="1"/>
        <v>44</v>
      </c>
      <c r="D49" s="19" t="s">
        <v>589</v>
      </c>
    </row>
    <row r="50" spans="1:4" x14ac:dyDescent="0.35">
      <c r="A50" s="16" t="s">
        <v>32</v>
      </c>
      <c r="B50" s="17" t="s">
        <v>432</v>
      </c>
      <c r="C50" s="18">
        <f t="shared" si="1"/>
        <v>45</v>
      </c>
      <c r="D50" s="19" t="s">
        <v>588</v>
      </c>
    </row>
    <row r="51" spans="1:4" x14ac:dyDescent="0.35">
      <c r="A51" s="16" t="s">
        <v>32</v>
      </c>
      <c r="B51" s="17" t="s">
        <v>432</v>
      </c>
      <c r="C51" s="18">
        <f t="shared" si="1"/>
        <v>46</v>
      </c>
      <c r="D51" s="19" t="s">
        <v>587</v>
      </c>
    </row>
    <row r="52" spans="1:4" x14ac:dyDescent="0.35">
      <c r="A52" s="16" t="s">
        <v>32</v>
      </c>
      <c r="B52" s="17" t="s">
        <v>432</v>
      </c>
      <c r="C52" s="18">
        <f t="shared" si="1"/>
        <v>47</v>
      </c>
      <c r="D52" s="19" t="s">
        <v>586</v>
      </c>
    </row>
    <row r="53" spans="1:4" x14ac:dyDescent="0.35">
      <c r="A53" s="16" t="s">
        <v>32</v>
      </c>
      <c r="B53" s="17" t="s">
        <v>432</v>
      </c>
      <c r="C53" s="18">
        <f t="shared" si="1"/>
        <v>48</v>
      </c>
      <c r="D53" s="19" t="s">
        <v>585</v>
      </c>
    </row>
    <row r="54" spans="1:4" x14ac:dyDescent="0.35">
      <c r="A54" s="16" t="s">
        <v>32</v>
      </c>
      <c r="B54" s="17" t="s">
        <v>432</v>
      </c>
      <c r="C54" s="18">
        <f t="shared" si="1"/>
        <v>49</v>
      </c>
      <c r="D54" s="19" t="s">
        <v>584</v>
      </c>
    </row>
    <row r="55" spans="1:4" x14ac:dyDescent="0.35">
      <c r="A55" s="16" t="s">
        <v>32</v>
      </c>
      <c r="B55" s="17" t="s">
        <v>432</v>
      </c>
      <c r="C55" s="18">
        <f t="shared" si="1"/>
        <v>50</v>
      </c>
      <c r="D55" s="19" t="s">
        <v>494</v>
      </c>
    </row>
    <row r="56" spans="1:4" x14ac:dyDescent="0.35">
      <c r="A56" s="824" t="s">
        <v>583</v>
      </c>
      <c r="B56" s="830"/>
      <c r="C56" s="830"/>
      <c r="D56" s="826"/>
    </row>
    <row r="57" spans="1:4" x14ac:dyDescent="0.35">
      <c r="A57" s="16" t="s">
        <v>32</v>
      </c>
      <c r="B57" s="17" t="s">
        <v>196</v>
      </c>
      <c r="C57" s="18">
        <f t="shared" ref="C57:C85" si="2">IF(C56="",C55+1,C56+1)</f>
        <v>51</v>
      </c>
      <c r="D57" s="21" t="s">
        <v>582</v>
      </c>
    </row>
    <row r="58" spans="1:4" x14ac:dyDescent="0.35">
      <c r="A58" s="16" t="s">
        <v>32</v>
      </c>
      <c r="B58" s="17" t="s">
        <v>196</v>
      </c>
      <c r="C58" s="18">
        <f t="shared" si="2"/>
        <v>52</v>
      </c>
      <c r="D58" s="21" t="s">
        <v>581</v>
      </c>
    </row>
    <row r="59" spans="1:4" x14ac:dyDescent="0.35">
      <c r="A59" s="16" t="s">
        <v>32</v>
      </c>
      <c r="B59" s="17" t="s">
        <v>196</v>
      </c>
      <c r="C59" s="18">
        <f t="shared" si="2"/>
        <v>53</v>
      </c>
      <c r="D59" s="21" t="s">
        <v>580</v>
      </c>
    </row>
    <row r="60" spans="1:4" x14ac:dyDescent="0.35">
      <c r="A60" s="16" t="s">
        <v>32</v>
      </c>
      <c r="B60" s="17" t="s">
        <v>196</v>
      </c>
      <c r="C60" s="18">
        <f t="shared" si="2"/>
        <v>54</v>
      </c>
      <c r="D60" s="21" t="s">
        <v>579</v>
      </c>
    </row>
    <row r="61" spans="1:4" x14ac:dyDescent="0.35">
      <c r="A61" s="16" t="s">
        <v>32</v>
      </c>
      <c r="B61" s="17" t="s">
        <v>196</v>
      </c>
      <c r="C61" s="18">
        <f t="shared" si="2"/>
        <v>55</v>
      </c>
      <c r="D61" s="21" t="s">
        <v>372</v>
      </c>
    </row>
    <row r="62" spans="1:4" x14ac:dyDescent="0.35">
      <c r="A62" s="16" t="s">
        <v>32</v>
      </c>
      <c r="B62" s="17" t="s">
        <v>196</v>
      </c>
      <c r="C62" s="18">
        <f t="shared" si="2"/>
        <v>56</v>
      </c>
      <c r="D62" s="21" t="s">
        <v>449</v>
      </c>
    </row>
    <row r="63" spans="1:4" ht="29" x14ac:dyDescent="0.35">
      <c r="A63" s="16" t="s">
        <v>32</v>
      </c>
      <c r="B63" s="17" t="s">
        <v>196</v>
      </c>
      <c r="C63" s="18">
        <f t="shared" si="2"/>
        <v>57</v>
      </c>
      <c r="D63" s="21" t="s">
        <v>447</v>
      </c>
    </row>
    <row r="64" spans="1:4" x14ac:dyDescent="0.35">
      <c r="A64" s="16" t="s">
        <v>32</v>
      </c>
      <c r="B64" s="17" t="s">
        <v>196</v>
      </c>
      <c r="C64" s="18">
        <f t="shared" si="2"/>
        <v>58</v>
      </c>
      <c r="D64" s="21" t="s">
        <v>578</v>
      </c>
    </row>
    <row r="65" spans="1:4" ht="29" x14ac:dyDescent="0.35">
      <c r="A65" s="16" t="s">
        <v>32</v>
      </c>
      <c r="B65" s="17" t="s">
        <v>196</v>
      </c>
      <c r="C65" s="18">
        <f t="shared" si="2"/>
        <v>59</v>
      </c>
      <c r="D65" s="21" t="s">
        <v>577</v>
      </c>
    </row>
    <row r="66" spans="1:4" x14ac:dyDescent="0.35">
      <c r="A66" s="16" t="s">
        <v>32</v>
      </c>
      <c r="B66" s="17" t="s">
        <v>196</v>
      </c>
      <c r="C66" s="18">
        <f t="shared" si="2"/>
        <v>60</v>
      </c>
      <c r="D66" s="21" t="s">
        <v>576</v>
      </c>
    </row>
    <row r="67" spans="1:4" x14ac:dyDescent="0.35">
      <c r="A67" s="16" t="s">
        <v>32</v>
      </c>
      <c r="B67" s="17" t="s">
        <v>196</v>
      </c>
      <c r="C67" s="18">
        <f t="shared" si="2"/>
        <v>61</v>
      </c>
      <c r="D67" s="21" t="s">
        <v>575</v>
      </c>
    </row>
    <row r="68" spans="1:4" x14ac:dyDescent="0.35">
      <c r="A68" s="16" t="s">
        <v>32</v>
      </c>
      <c r="B68" s="17" t="s">
        <v>196</v>
      </c>
      <c r="C68" s="18">
        <f t="shared" si="2"/>
        <v>62</v>
      </c>
      <c r="D68" s="21" t="s">
        <v>574</v>
      </c>
    </row>
    <row r="69" spans="1:4" x14ac:dyDescent="0.35">
      <c r="A69" s="16" t="s">
        <v>32</v>
      </c>
      <c r="B69" s="17" t="s">
        <v>196</v>
      </c>
      <c r="C69" s="18">
        <f t="shared" si="2"/>
        <v>63</v>
      </c>
      <c r="D69" s="21" t="s">
        <v>573</v>
      </c>
    </row>
    <row r="70" spans="1:4" x14ac:dyDescent="0.35">
      <c r="A70" s="16" t="s">
        <v>32</v>
      </c>
      <c r="B70" s="17" t="s">
        <v>196</v>
      </c>
      <c r="C70" s="18">
        <f t="shared" si="2"/>
        <v>64</v>
      </c>
      <c r="D70" s="21" t="s">
        <v>572</v>
      </c>
    </row>
    <row r="71" spans="1:4" x14ac:dyDescent="0.35">
      <c r="A71" s="16" t="s">
        <v>32</v>
      </c>
      <c r="B71" s="17" t="s">
        <v>196</v>
      </c>
      <c r="C71" s="18">
        <f t="shared" si="2"/>
        <v>65</v>
      </c>
      <c r="D71" s="21" t="s">
        <v>571</v>
      </c>
    </row>
    <row r="72" spans="1:4" x14ac:dyDescent="0.35">
      <c r="A72" s="16" t="s">
        <v>32</v>
      </c>
      <c r="B72" s="17" t="s">
        <v>196</v>
      </c>
      <c r="C72" s="18">
        <f t="shared" si="2"/>
        <v>66</v>
      </c>
      <c r="D72" s="21" t="s">
        <v>570</v>
      </c>
    </row>
    <row r="73" spans="1:4" ht="29" x14ac:dyDescent="0.35">
      <c r="A73" s="16" t="s">
        <v>32</v>
      </c>
      <c r="B73" s="17" t="s">
        <v>196</v>
      </c>
      <c r="C73" s="18">
        <f t="shared" si="2"/>
        <v>67</v>
      </c>
      <c r="D73" s="21" t="s">
        <v>569</v>
      </c>
    </row>
    <row r="74" spans="1:4" x14ac:dyDescent="0.35">
      <c r="A74" s="16" t="s">
        <v>32</v>
      </c>
      <c r="B74" s="17" t="s">
        <v>196</v>
      </c>
      <c r="C74" s="18">
        <f t="shared" si="2"/>
        <v>68</v>
      </c>
      <c r="D74" s="21" t="s">
        <v>195</v>
      </c>
    </row>
    <row r="75" spans="1:4" x14ac:dyDescent="0.35">
      <c r="A75" s="16" t="s">
        <v>32</v>
      </c>
      <c r="B75" s="17" t="s">
        <v>196</v>
      </c>
      <c r="C75" s="18">
        <f t="shared" si="2"/>
        <v>69</v>
      </c>
      <c r="D75" s="21" t="s">
        <v>568</v>
      </c>
    </row>
    <row r="76" spans="1:4" x14ac:dyDescent="0.35">
      <c r="A76" s="16" t="s">
        <v>32</v>
      </c>
      <c r="B76" s="17" t="s">
        <v>196</v>
      </c>
      <c r="C76" s="18">
        <f t="shared" si="2"/>
        <v>70</v>
      </c>
      <c r="D76" s="21" t="s">
        <v>567</v>
      </c>
    </row>
    <row r="77" spans="1:4" x14ac:dyDescent="0.35">
      <c r="A77" s="16" t="s">
        <v>32</v>
      </c>
      <c r="B77" s="17" t="s">
        <v>196</v>
      </c>
      <c r="C77" s="18">
        <f t="shared" si="2"/>
        <v>71</v>
      </c>
      <c r="D77" s="21" t="s">
        <v>566</v>
      </c>
    </row>
    <row r="78" spans="1:4" ht="29" x14ac:dyDescent="0.35">
      <c r="A78" s="16" t="s">
        <v>32</v>
      </c>
      <c r="B78" s="17" t="s">
        <v>196</v>
      </c>
      <c r="C78" s="18">
        <f t="shared" si="2"/>
        <v>72</v>
      </c>
      <c r="D78" s="21" t="s">
        <v>565</v>
      </c>
    </row>
    <row r="79" spans="1:4" ht="29" x14ac:dyDescent="0.35">
      <c r="A79" s="16" t="s">
        <v>32</v>
      </c>
      <c r="B79" s="17" t="s">
        <v>196</v>
      </c>
      <c r="C79" s="18">
        <f t="shared" si="2"/>
        <v>73</v>
      </c>
      <c r="D79" s="21" t="s">
        <v>97</v>
      </c>
    </row>
    <row r="80" spans="1:4" x14ac:dyDescent="0.35">
      <c r="A80" s="16" t="s">
        <v>32</v>
      </c>
      <c r="B80" s="17" t="s">
        <v>196</v>
      </c>
      <c r="C80" s="18">
        <f t="shared" si="2"/>
        <v>74</v>
      </c>
      <c r="D80" s="21" t="s">
        <v>319</v>
      </c>
    </row>
    <row r="81" spans="1:4" x14ac:dyDescent="0.35">
      <c r="A81" s="16" t="s">
        <v>32</v>
      </c>
      <c r="B81" s="17" t="s">
        <v>196</v>
      </c>
      <c r="C81" s="18">
        <f t="shared" si="2"/>
        <v>75</v>
      </c>
      <c r="D81" s="21" t="s">
        <v>424</v>
      </c>
    </row>
    <row r="82" spans="1:4" x14ac:dyDescent="0.35">
      <c r="A82" s="16" t="s">
        <v>32</v>
      </c>
      <c r="B82" s="17" t="s">
        <v>196</v>
      </c>
      <c r="C82" s="18">
        <f t="shared" si="2"/>
        <v>76</v>
      </c>
      <c r="D82" s="21" t="s">
        <v>564</v>
      </c>
    </row>
    <row r="83" spans="1:4" x14ac:dyDescent="0.35">
      <c r="A83" s="16" t="s">
        <v>32</v>
      </c>
      <c r="B83" s="17" t="s">
        <v>196</v>
      </c>
      <c r="C83" s="18">
        <f t="shared" si="2"/>
        <v>77</v>
      </c>
      <c r="D83" s="21" t="s">
        <v>563</v>
      </c>
    </row>
    <row r="84" spans="1:4" x14ac:dyDescent="0.35">
      <c r="A84" s="16" t="s">
        <v>32</v>
      </c>
      <c r="B84" s="17" t="s">
        <v>196</v>
      </c>
      <c r="C84" s="18">
        <f t="shared" si="2"/>
        <v>78</v>
      </c>
      <c r="D84" s="21" t="s">
        <v>562</v>
      </c>
    </row>
    <row r="85" spans="1:4" x14ac:dyDescent="0.35">
      <c r="A85" s="16" t="s">
        <v>32</v>
      </c>
      <c r="B85" s="17" t="s">
        <v>196</v>
      </c>
      <c r="C85" s="18">
        <f t="shared" si="2"/>
        <v>79</v>
      </c>
      <c r="D85" s="21" t="s">
        <v>54</v>
      </c>
    </row>
    <row r="86" spans="1:4" x14ac:dyDescent="0.35">
      <c r="A86" s="824" t="s">
        <v>354</v>
      </c>
      <c r="B86" s="830" t="s">
        <v>333</v>
      </c>
      <c r="C86" s="830"/>
      <c r="D86" s="826"/>
    </row>
    <row r="87" spans="1:4" x14ac:dyDescent="0.35">
      <c r="A87" s="16" t="s">
        <v>32</v>
      </c>
      <c r="B87" s="17" t="s">
        <v>333</v>
      </c>
      <c r="C87" s="18">
        <f t="shared" ref="C87:C110" si="3">IF(C86="",C85+1,C86+1)</f>
        <v>80</v>
      </c>
      <c r="D87" s="19" t="s">
        <v>72</v>
      </c>
    </row>
    <row r="88" spans="1:4" x14ac:dyDescent="0.35">
      <c r="A88" s="16" t="s">
        <v>32</v>
      </c>
      <c r="B88" s="17" t="s">
        <v>333</v>
      </c>
      <c r="C88" s="18">
        <f t="shared" si="3"/>
        <v>81</v>
      </c>
      <c r="D88" s="19" t="s">
        <v>353</v>
      </c>
    </row>
    <row r="89" spans="1:4" x14ac:dyDescent="0.35">
      <c r="A89" s="16" t="s">
        <v>32</v>
      </c>
      <c r="B89" s="17" t="s">
        <v>333</v>
      </c>
      <c r="C89" s="18">
        <f t="shared" si="3"/>
        <v>82</v>
      </c>
      <c r="D89" s="19" t="s">
        <v>352</v>
      </c>
    </row>
    <row r="90" spans="1:4" x14ac:dyDescent="0.35">
      <c r="A90" s="16" t="s">
        <v>32</v>
      </c>
      <c r="B90" s="17" t="s">
        <v>333</v>
      </c>
      <c r="C90" s="18">
        <f t="shared" si="3"/>
        <v>83</v>
      </c>
      <c r="D90" s="19" t="s">
        <v>351</v>
      </c>
    </row>
    <row r="91" spans="1:4" x14ac:dyDescent="0.35">
      <c r="A91" s="16" t="s">
        <v>32</v>
      </c>
      <c r="B91" s="17" t="s">
        <v>333</v>
      </c>
      <c r="C91" s="18">
        <f t="shared" si="3"/>
        <v>84</v>
      </c>
      <c r="D91" s="19" t="s">
        <v>350</v>
      </c>
    </row>
    <row r="92" spans="1:4" x14ac:dyDescent="0.35">
      <c r="A92" s="16"/>
      <c r="B92" s="17"/>
      <c r="C92" s="18">
        <f t="shared" si="3"/>
        <v>85</v>
      </c>
      <c r="D92" s="19" t="s">
        <v>349</v>
      </c>
    </row>
    <row r="93" spans="1:4" x14ac:dyDescent="0.35">
      <c r="A93" s="16"/>
      <c r="B93" s="17"/>
      <c r="C93" s="18">
        <f t="shared" si="3"/>
        <v>86</v>
      </c>
      <c r="D93" s="19" t="s">
        <v>348</v>
      </c>
    </row>
    <row r="94" spans="1:4" x14ac:dyDescent="0.35">
      <c r="A94" s="16" t="s">
        <v>32</v>
      </c>
      <c r="B94" s="17" t="s">
        <v>333</v>
      </c>
      <c r="C94" s="18">
        <f t="shared" si="3"/>
        <v>87</v>
      </c>
      <c r="D94" s="19" t="s">
        <v>347</v>
      </c>
    </row>
    <row r="95" spans="1:4" x14ac:dyDescent="0.35">
      <c r="A95" s="16" t="s">
        <v>32</v>
      </c>
      <c r="B95" s="17" t="s">
        <v>333</v>
      </c>
      <c r="C95" s="18">
        <f t="shared" si="3"/>
        <v>88</v>
      </c>
      <c r="D95" s="19" t="s">
        <v>346</v>
      </c>
    </row>
    <row r="96" spans="1:4" x14ac:dyDescent="0.35">
      <c r="A96" s="16" t="s">
        <v>32</v>
      </c>
      <c r="B96" s="17" t="s">
        <v>333</v>
      </c>
      <c r="C96" s="18">
        <f t="shared" si="3"/>
        <v>89</v>
      </c>
      <c r="D96" s="19" t="s">
        <v>345</v>
      </c>
    </row>
    <row r="97" spans="1:4" x14ac:dyDescent="0.35">
      <c r="A97" s="16" t="s">
        <v>32</v>
      </c>
      <c r="B97" s="17" t="s">
        <v>333</v>
      </c>
      <c r="C97" s="18">
        <f t="shared" si="3"/>
        <v>90</v>
      </c>
      <c r="D97" s="19" t="s">
        <v>344</v>
      </c>
    </row>
    <row r="98" spans="1:4" ht="29" x14ac:dyDescent="0.35">
      <c r="A98" s="16" t="s">
        <v>32</v>
      </c>
      <c r="B98" s="17" t="s">
        <v>333</v>
      </c>
      <c r="C98" s="18">
        <f t="shared" si="3"/>
        <v>91</v>
      </c>
      <c r="D98" s="19" t="s">
        <v>343</v>
      </c>
    </row>
    <row r="99" spans="1:4" x14ac:dyDescent="0.35">
      <c r="A99" s="16" t="s">
        <v>32</v>
      </c>
      <c r="B99" s="17" t="s">
        <v>333</v>
      </c>
      <c r="C99" s="18">
        <f t="shared" si="3"/>
        <v>92</v>
      </c>
      <c r="D99" s="19" t="s">
        <v>342</v>
      </c>
    </row>
    <row r="100" spans="1:4" x14ac:dyDescent="0.35">
      <c r="A100" s="16" t="s">
        <v>32</v>
      </c>
      <c r="B100" s="17" t="s">
        <v>333</v>
      </c>
      <c r="C100" s="18">
        <f t="shared" si="3"/>
        <v>93</v>
      </c>
      <c r="D100" s="19" t="s">
        <v>341</v>
      </c>
    </row>
    <row r="101" spans="1:4" ht="29" x14ac:dyDescent="0.35">
      <c r="A101" s="16" t="s">
        <v>32</v>
      </c>
      <c r="B101" s="17" t="s">
        <v>333</v>
      </c>
      <c r="C101" s="18">
        <f t="shared" si="3"/>
        <v>94</v>
      </c>
      <c r="D101" s="19" t="s">
        <v>340</v>
      </c>
    </row>
    <row r="102" spans="1:4" x14ac:dyDescent="0.35">
      <c r="A102" s="16" t="s">
        <v>32</v>
      </c>
      <c r="B102" s="17" t="s">
        <v>333</v>
      </c>
      <c r="C102" s="18">
        <f t="shared" si="3"/>
        <v>95</v>
      </c>
      <c r="D102" s="19" t="s">
        <v>561</v>
      </c>
    </row>
    <row r="103" spans="1:4" x14ac:dyDescent="0.35">
      <c r="A103" s="16" t="s">
        <v>32</v>
      </c>
      <c r="B103" s="17" t="s">
        <v>333</v>
      </c>
      <c r="C103" s="18">
        <f t="shared" si="3"/>
        <v>96</v>
      </c>
      <c r="D103" s="19" t="s">
        <v>338</v>
      </c>
    </row>
    <row r="104" spans="1:4" x14ac:dyDescent="0.35">
      <c r="A104" s="16" t="s">
        <v>32</v>
      </c>
      <c r="B104" s="17" t="s">
        <v>333</v>
      </c>
      <c r="C104" s="18">
        <f t="shared" si="3"/>
        <v>97</v>
      </c>
      <c r="D104" s="19" t="s">
        <v>337</v>
      </c>
    </row>
    <row r="105" spans="1:4" ht="29" x14ac:dyDescent="0.35">
      <c r="A105" s="16" t="s">
        <v>32</v>
      </c>
      <c r="B105" s="17" t="s">
        <v>333</v>
      </c>
      <c r="C105" s="18">
        <f t="shared" si="3"/>
        <v>98</v>
      </c>
      <c r="D105" s="19" t="s">
        <v>560</v>
      </c>
    </row>
    <row r="106" spans="1:4" x14ac:dyDescent="0.35">
      <c r="A106" s="16" t="s">
        <v>32</v>
      </c>
      <c r="B106" s="17" t="s">
        <v>333</v>
      </c>
      <c r="C106" s="18">
        <f t="shared" si="3"/>
        <v>99</v>
      </c>
      <c r="D106" s="19" t="s">
        <v>336</v>
      </c>
    </row>
    <row r="107" spans="1:4" x14ac:dyDescent="0.35">
      <c r="A107" s="16" t="s">
        <v>32</v>
      </c>
      <c r="B107" s="17" t="s">
        <v>333</v>
      </c>
      <c r="C107" s="18">
        <f t="shared" si="3"/>
        <v>100</v>
      </c>
      <c r="D107" s="19" t="s">
        <v>335</v>
      </c>
    </row>
    <row r="108" spans="1:4" x14ac:dyDescent="0.35">
      <c r="A108" s="16" t="s">
        <v>32</v>
      </c>
      <c r="B108" s="17" t="s">
        <v>333</v>
      </c>
      <c r="C108" s="18">
        <f t="shared" si="3"/>
        <v>101</v>
      </c>
      <c r="D108" s="19" t="s">
        <v>286</v>
      </c>
    </row>
    <row r="109" spans="1:4" x14ac:dyDescent="0.35">
      <c r="A109" s="16" t="s">
        <v>32</v>
      </c>
      <c r="B109" s="17" t="s">
        <v>333</v>
      </c>
      <c r="C109" s="18">
        <f t="shared" si="3"/>
        <v>102</v>
      </c>
      <c r="D109" s="19" t="s">
        <v>334</v>
      </c>
    </row>
    <row r="110" spans="1:4" x14ac:dyDescent="0.35">
      <c r="A110" s="16" t="s">
        <v>32</v>
      </c>
      <c r="B110" s="17" t="s">
        <v>333</v>
      </c>
      <c r="C110" s="18">
        <f t="shared" si="3"/>
        <v>103</v>
      </c>
      <c r="D110" s="19" t="s">
        <v>54</v>
      </c>
    </row>
    <row r="111" spans="1:4" x14ac:dyDescent="0.35">
      <c r="A111" s="824" t="s">
        <v>332</v>
      </c>
      <c r="B111" s="830" t="s">
        <v>318</v>
      </c>
      <c r="C111" s="830"/>
      <c r="D111" s="826"/>
    </row>
    <row r="112" spans="1:4" x14ac:dyDescent="0.35">
      <c r="A112" s="16" t="s">
        <v>32</v>
      </c>
      <c r="B112" s="17" t="s">
        <v>318</v>
      </c>
      <c r="C112" s="18">
        <f t="shared" ref="C112:C125" si="4">IF(C111="",C110+1,C111+1)</f>
        <v>104</v>
      </c>
      <c r="D112" s="19" t="s">
        <v>72</v>
      </c>
    </row>
    <row r="113" spans="1:4" x14ac:dyDescent="0.35">
      <c r="A113" s="16" t="s">
        <v>32</v>
      </c>
      <c r="B113" s="17" t="s">
        <v>318</v>
      </c>
      <c r="C113" s="18">
        <f t="shared" si="4"/>
        <v>105</v>
      </c>
      <c r="D113" s="19" t="s">
        <v>331</v>
      </c>
    </row>
    <row r="114" spans="1:4" x14ac:dyDescent="0.35">
      <c r="A114" s="16" t="s">
        <v>32</v>
      </c>
      <c r="B114" s="17" t="s">
        <v>318</v>
      </c>
      <c r="C114" s="18">
        <f t="shared" si="4"/>
        <v>106</v>
      </c>
      <c r="D114" s="19" t="s">
        <v>330</v>
      </c>
    </row>
    <row r="115" spans="1:4" x14ac:dyDescent="0.35">
      <c r="A115" s="16" t="s">
        <v>32</v>
      </c>
      <c r="B115" s="17" t="s">
        <v>318</v>
      </c>
      <c r="C115" s="18">
        <f t="shared" si="4"/>
        <v>107</v>
      </c>
      <c r="D115" s="19" t="s">
        <v>329</v>
      </c>
    </row>
    <row r="116" spans="1:4" x14ac:dyDescent="0.35">
      <c r="A116" s="16" t="s">
        <v>32</v>
      </c>
      <c r="B116" s="17" t="s">
        <v>318</v>
      </c>
      <c r="C116" s="18">
        <f t="shared" si="4"/>
        <v>108</v>
      </c>
      <c r="D116" s="19" t="s">
        <v>328</v>
      </c>
    </row>
    <row r="117" spans="1:4" x14ac:dyDescent="0.35">
      <c r="A117" s="16" t="s">
        <v>32</v>
      </c>
      <c r="B117" s="17" t="s">
        <v>318</v>
      </c>
      <c r="C117" s="18">
        <f t="shared" si="4"/>
        <v>109</v>
      </c>
      <c r="D117" s="19" t="s">
        <v>327</v>
      </c>
    </row>
    <row r="118" spans="1:4" x14ac:dyDescent="0.35">
      <c r="A118" s="16" t="s">
        <v>32</v>
      </c>
      <c r="B118" s="17" t="s">
        <v>318</v>
      </c>
      <c r="C118" s="18">
        <f t="shared" si="4"/>
        <v>110</v>
      </c>
      <c r="D118" s="19" t="s">
        <v>326</v>
      </c>
    </row>
    <row r="119" spans="1:4" x14ac:dyDescent="0.35">
      <c r="A119" s="16" t="s">
        <v>32</v>
      </c>
      <c r="B119" s="17" t="s">
        <v>318</v>
      </c>
      <c r="C119" s="18">
        <f t="shared" si="4"/>
        <v>111</v>
      </c>
      <c r="D119" s="19" t="s">
        <v>325</v>
      </c>
    </row>
    <row r="120" spans="1:4" x14ac:dyDescent="0.35">
      <c r="A120" s="16" t="s">
        <v>32</v>
      </c>
      <c r="B120" s="17" t="s">
        <v>318</v>
      </c>
      <c r="C120" s="18">
        <f t="shared" si="4"/>
        <v>112</v>
      </c>
      <c r="D120" s="19" t="s">
        <v>324</v>
      </c>
    </row>
    <row r="121" spans="1:4" x14ac:dyDescent="0.35">
      <c r="A121" s="16" t="s">
        <v>32</v>
      </c>
      <c r="B121" s="17" t="s">
        <v>318</v>
      </c>
      <c r="C121" s="18">
        <f t="shared" si="4"/>
        <v>113</v>
      </c>
      <c r="D121" s="19" t="s">
        <v>323</v>
      </c>
    </row>
    <row r="122" spans="1:4" x14ac:dyDescent="0.35">
      <c r="A122" s="16" t="s">
        <v>32</v>
      </c>
      <c r="B122" s="17" t="s">
        <v>318</v>
      </c>
      <c r="C122" s="18">
        <f t="shared" si="4"/>
        <v>114</v>
      </c>
      <c r="D122" s="19" t="s">
        <v>322</v>
      </c>
    </row>
    <row r="123" spans="1:4" x14ac:dyDescent="0.35">
      <c r="A123" s="16" t="s">
        <v>32</v>
      </c>
      <c r="B123" s="17" t="s">
        <v>318</v>
      </c>
      <c r="C123" s="18">
        <f t="shared" si="4"/>
        <v>115</v>
      </c>
      <c r="D123" s="19" t="s">
        <v>321</v>
      </c>
    </row>
    <row r="124" spans="1:4" x14ac:dyDescent="0.35">
      <c r="A124" s="16" t="s">
        <v>32</v>
      </c>
      <c r="B124" s="17" t="s">
        <v>318</v>
      </c>
      <c r="C124" s="18">
        <f t="shared" si="4"/>
        <v>116</v>
      </c>
      <c r="D124" s="19" t="s">
        <v>320</v>
      </c>
    </row>
    <row r="125" spans="1:4" x14ac:dyDescent="0.35">
      <c r="A125" s="16" t="s">
        <v>32</v>
      </c>
      <c r="B125" s="17" t="s">
        <v>318</v>
      </c>
      <c r="C125" s="18">
        <f t="shared" si="4"/>
        <v>117</v>
      </c>
      <c r="D125" s="19" t="s">
        <v>54</v>
      </c>
    </row>
    <row r="126" spans="1:4" x14ac:dyDescent="0.35">
      <c r="A126" s="824" t="s">
        <v>317</v>
      </c>
      <c r="B126" s="830" t="s">
        <v>310</v>
      </c>
      <c r="C126" s="830"/>
      <c r="D126" s="826"/>
    </row>
    <row r="127" spans="1:4" x14ac:dyDescent="0.35">
      <c r="A127" s="16" t="s">
        <v>32</v>
      </c>
      <c r="B127" s="17" t="s">
        <v>310</v>
      </c>
      <c r="C127" s="18">
        <f t="shared" ref="C127:C135" si="5">IF(C126="",C125+1,C126+1)</f>
        <v>118</v>
      </c>
      <c r="D127" s="19" t="s">
        <v>72</v>
      </c>
    </row>
    <row r="128" spans="1:4" x14ac:dyDescent="0.35">
      <c r="A128" s="16" t="s">
        <v>32</v>
      </c>
      <c r="B128" s="17" t="s">
        <v>310</v>
      </c>
      <c r="C128" s="18">
        <f t="shared" si="5"/>
        <v>119</v>
      </c>
      <c r="D128" s="19" t="s">
        <v>316</v>
      </c>
    </row>
    <row r="129" spans="1:4" x14ac:dyDescent="0.35">
      <c r="A129" s="16" t="s">
        <v>32</v>
      </c>
      <c r="B129" s="17" t="s">
        <v>310</v>
      </c>
      <c r="C129" s="18">
        <f t="shared" si="5"/>
        <v>120</v>
      </c>
      <c r="D129" s="19" t="s">
        <v>315</v>
      </c>
    </row>
    <row r="130" spans="1:4" x14ac:dyDescent="0.35">
      <c r="A130" s="16" t="s">
        <v>32</v>
      </c>
      <c r="B130" s="17" t="s">
        <v>310</v>
      </c>
      <c r="C130" s="18">
        <f t="shared" si="5"/>
        <v>121</v>
      </c>
      <c r="D130" s="19" t="s">
        <v>314</v>
      </c>
    </row>
    <row r="131" spans="1:4" x14ac:dyDescent="0.35">
      <c r="A131" s="16" t="s">
        <v>32</v>
      </c>
      <c r="B131" s="17" t="s">
        <v>310</v>
      </c>
      <c r="C131" s="18">
        <f t="shared" si="5"/>
        <v>122</v>
      </c>
      <c r="D131" s="19" t="s">
        <v>313</v>
      </c>
    </row>
    <row r="132" spans="1:4" x14ac:dyDescent="0.35">
      <c r="A132" s="16" t="s">
        <v>32</v>
      </c>
      <c r="B132" s="17" t="s">
        <v>310</v>
      </c>
      <c r="C132" s="18">
        <f t="shared" si="5"/>
        <v>123</v>
      </c>
      <c r="D132" s="19" t="s">
        <v>312</v>
      </c>
    </row>
    <row r="133" spans="1:4" x14ac:dyDescent="0.35">
      <c r="A133" s="16" t="s">
        <v>32</v>
      </c>
      <c r="B133" s="17" t="s">
        <v>310</v>
      </c>
      <c r="C133" s="18">
        <f t="shared" si="5"/>
        <v>124</v>
      </c>
      <c r="D133" s="19" t="s">
        <v>286</v>
      </c>
    </row>
    <row r="134" spans="1:4" x14ac:dyDescent="0.35">
      <c r="A134" s="16" t="s">
        <v>32</v>
      </c>
      <c r="B134" s="17" t="s">
        <v>310</v>
      </c>
      <c r="C134" s="18">
        <f t="shared" si="5"/>
        <v>125</v>
      </c>
      <c r="D134" s="19" t="s">
        <v>311</v>
      </c>
    </row>
    <row r="135" spans="1:4" x14ac:dyDescent="0.35">
      <c r="A135" s="16" t="s">
        <v>32</v>
      </c>
      <c r="B135" s="17" t="s">
        <v>310</v>
      </c>
      <c r="C135" s="18">
        <f t="shared" si="5"/>
        <v>126</v>
      </c>
      <c r="D135" s="19" t="s">
        <v>54</v>
      </c>
    </row>
    <row r="136" spans="1:4" x14ac:dyDescent="0.35">
      <c r="A136" s="824" t="s">
        <v>309</v>
      </c>
      <c r="B136" s="830"/>
      <c r="C136" s="830"/>
      <c r="D136" s="826"/>
    </row>
    <row r="137" spans="1:4" x14ac:dyDescent="0.35">
      <c r="A137" s="16" t="s">
        <v>32</v>
      </c>
      <c r="B137" s="17" t="s">
        <v>292</v>
      </c>
      <c r="C137" s="18">
        <f t="shared" ref="C137:C156" si="6">IF(C136="",C135+1,C136+1)</f>
        <v>127</v>
      </c>
      <c r="D137" s="19" t="s">
        <v>72</v>
      </c>
    </row>
    <row r="138" spans="1:4" x14ac:dyDescent="0.35">
      <c r="A138" s="16" t="s">
        <v>32</v>
      </c>
      <c r="B138" s="17" t="s">
        <v>292</v>
      </c>
      <c r="C138" s="18">
        <f t="shared" si="6"/>
        <v>128</v>
      </c>
      <c r="D138" s="19" t="s">
        <v>308</v>
      </c>
    </row>
    <row r="139" spans="1:4" x14ac:dyDescent="0.35">
      <c r="A139" s="16" t="s">
        <v>32</v>
      </c>
      <c r="B139" s="17" t="s">
        <v>292</v>
      </c>
      <c r="C139" s="18">
        <f t="shared" si="6"/>
        <v>129</v>
      </c>
      <c r="D139" s="19" t="s">
        <v>307</v>
      </c>
    </row>
    <row r="140" spans="1:4" x14ac:dyDescent="0.35">
      <c r="A140" s="16" t="s">
        <v>32</v>
      </c>
      <c r="B140" s="17" t="s">
        <v>292</v>
      </c>
      <c r="C140" s="18">
        <f t="shared" si="6"/>
        <v>130</v>
      </c>
      <c r="D140" s="19" t="s">
        <v>306</v>
      </c>
    </row>
    <row r="141" spans="1:4" x14ac:dyDescent="0.35">
      <c r="A141" s="16" t="s">
        <v>32</v>
      </c>
      <c r="B141" s="17" t="s">
        <v>292</v>
      </c>
      <c r="C141" s="18">
        <f t="shared" si="6"/>
        <v>131</v>
      </c>
      <c r="D141" s="19" t="s">
        <v>282</v>
      </c>
    </row>
    <row r="142" spans="1:4" x14ac:dyDescent="0.35">
      <c r="A142" s="16" t="s">
        <v>32</v>
      </c>
      <c r="B142" s="17" t="s">
        <v>292</v>
      </c>
      <c r="C142" s="18">
        <f t="shared" si="6"/>
        <v>132</v>
      </c>
      <c r="D142" s="19" t="s">
        <v>305</v>
      </c>
    </row>
    <row r="143" spans="1:4" x14ac:dyDescent="0.35">
      <c r="A143" s="16" t="s">
        <v>32</v>
      </c>
      <c r="B143" s="17" t="s">
        <v>292</v>
      </c>
      <c r="C143" s="18">
        <f t="shared" si="6"/>
        <v>133</v>
      </c>
      <c r="D143" s="19" t="s">
        <v>304</v>
      </c>
    </row>
    <row r="144" spans="1:4" x14ac:dyDescent="0.35">
      <c r="A144" s="16" t="s">
        <v>32</v>
      </c>
      <c r="B144" s="17" t="s">
        <v>292</v>
      </c>
      <c r="C144" s="18">
        <f t="shared" si="6"/>
        <v>134</v>
      </c>
      <c r="D144" s="19" t="s">
        <v>303</v>
      </c>
    </row>
    <row r="145" spans="1:4" x14ac:dyDescent="0.35">
      <c r="A145" s="16" t="s">
        <v>32</v>
      </c>
      <c r="B145" s="17" t="s">
        <v>292</v>
      </c>
      <c r="C145" s="18">
        <f t="shared" si="6"/>
        <v>135</v>
      </c>
      <c r="D145" s="19" t="s">
        <v>286</v>
      </c>
    </row>
    <row r="146" spans="1:4" x14ac:dyDescent="0.35">
      <c r="A146" s="16" t="s">
        <v>32</v>
      </c>
      <c r="B146" s="17" t="s">
        <v>292</v>
      </c>
      <c r="C146" s="18">
        <f t="shared" si="6"/>
        <v>136</v>
      </c>
      <c r="D146" s="19" t="s">
        <v>302</v>
      </c>
    </row>
    <row r="147" spans="1:4" x14ac:dyDescent="0.35">
      <c r="A147" s="16" t="s">
        <v>32</v>
      </c>
      <c r="B147" s="17" t="s">
        <v>292</v>
      </c>
      <c r="C147" s="18">
        <f t="shared" si="6"/>
        <v>137</v>
      </c>
      <c r="D147" s="19" t="s">
        <v>301</v>
      </c>
    </row>
    <row r="148" spans="1:4" x14ac:dyDescent="0.35">
      <c r="A148" s="16" t="s">
        <v>32</v>
      </c>
      <c r="B148" s="17" t="s">
        <v>292</v>
      </c>
      <c r="C148" s="18">
        <f t="shared" si="6"/>
        <v>138</v>
      </c>
      <c r="D148" s="19" t="s">
        <v>300</v>
      </c>
    </row>
    <row r="149" spans="1:4" x14ac:dyDescent="0.35">
      <c r="A149" s="16" t="s">
        <v>32</v>
      </c>
      <c r="B149" s="17" t="s">
        <v>292</v>
      </c>
      <c r="C149" s="18">
        <f t="shared" si="6"/>
        <v>139</v>
      </c>
      <c r="D149" s="19" t="s">
        <v>299</v>
      </c>
    </row>
    <row r="150" spans="1:4" x14ac:dyDescent="0.35">
      <c r="A150" s="16" t="s">
        <v>32</v>
      </c>
      <c r="B150" s="17" t="s">
        <v>292</v>
      </c>
      <c r="C150" s="18">
        <f t="shared" si="6"/>
        <v>140</v>
      </c>
      <c r="D150" s="19" t="s">
        <v>298</v>
      </c>
    </row>
    <row r="151" spans="1:4" x14ac:dyDescent="0.35">
      <c r="A151" s="16" t="s">
        <v>32</v>
      </c>
      <c r="B151" s="17" t="s">
        <v>292</v>
      </c>
      <c r="C151" s="18">
        <f t="shared" si="6"/>
        <v>141</v>
      </c>
      <c r="D151" s="19" t="s">
        <v>297</v>
      </c>
    </row>
    <row r="152" spans="1:4" x14ac:dyDescent="0.35">
      <c r="A152" s="16" t="s">
        <v>32</v>
      </c>
      <c r="B152" s="17" t="s">
        <v>292</v>
      </c>
      <c r="C152" s="18">
        <f t="shared" si="6"/>
        <v>142</v>
      </c>
      <c r="D152" s="19" t="s">
        <v>296</v>
      </c>
    </row>
    <row r="153" spans="1:4" x14ac:dyDescent="0.35">
      <c r="A153" s="16" t="s">
        <v>32</v>
      </c>
      <c r="B153" s="17" t="s">
        <v>292</v>
      </c>
      <c r="C153" s="18">
        <f t="shared" si="6"/>
        <v>143</v>
      </c>
      <c r="D153" s="19" t="s">
        <v>295</v>
      </c>
    </row>
    <row r="154" spans="1:4" x14ac:dyDescent="0.35">
      <c r="A154" s="16" t="s">
        <v>32</v>
      </c>
      <c r="B154" s="17" t="s">
        <v>292</v>
      </c>
      <c r="C154" s="18">
        <f t="shared" si="6"/>
        <v>144</v>
      </c>
      <c r="D154" s="19" t="s">
        <v>294</v>
      </c>
    </row>
    <row r="155" spans="1:4" x14ac:dyDescent="0.35">
      <c r="A155" s="16" t="s">
        <v>32</v>
      </c>
      <c r="B155" s="17" t="s">
        <v>292</v>
      </c>
      <c r="C155" s="18">
        <f t="shared" si="6"/>
        <v>145</v>
      </c>
      <c r="D155" s="19" t="s">
        <v>293</v>
      </c>
    </row>
    <row r="156" spans="1:4" x14ac:dyDescent="0.35">
      <c r="A156" s="16" t="s">
        <v>32</v>
      </c>
      <c r="B156" s="17" t="s">
        <v>292</v>
      </c>
      <c r="C156" s="18">
        <f t="shared" si="6"/>
        <v>146</v>
      </c>
      <c r="D156" s="19" t="s">
        <v>54</v>
      </c>
    </row>
    <row r="157" spans="1:4" x14ac:dyDescent="0.35">
      <c r="A157" s="824" t="s">
        <v>291</v>
      </c>
      <c r="B157" s="830" t="s">
        <v>269</v>
      </c>
      <c r="C157" s="830"/>
      <c r="D157" s="826"/>
    </row>
    <row r="158" spans="1:4" x14ac:dyDescent="0.35">
      <c r="A158" s="16" t="s">
        <v>32</v>
      </c>
      <c r="B158" s="17" t="s">
        <v>269</v>
      </c>
      <c r="C158" s="18">
        <f t="shared" ref="C158:C180" si="7">IF(C157="",C156+1,C157+1)</f>
        <v>147</v>
      </c>
      <c r="D158" s="19" t="s">
        <v>72</v>
      </c>
    </row>
    <row r="159" spans="1:4" x14ac:dyDescent="0.35">
      <c r="A159" s="16" t="s">
        <v>32</v>
      </c>
      <c r="B159" s="17" t="s">
        <v>269</v>
      </c>
      <c r="C159" s="18">
        <f t="shared" si="7"/>
        <v>148</v>
      </c>
      <c r="D159" s="19" t="s">
        <v>290</v>
      </c>
    </row>
    <row r="160" spans="1:4" x14ac:dyDescent="0.35">
      <c r="A160" s="16" t="s">
        <v>32</v>
      </c>
      <c r="B160" s="17" t="s">
        <v>269</v>
      </c>
      <c r="C160" s="18">
        <f t="shared" si="7"/>
        <v>149</v>
      </c>
      <c r="D160" s="19" t="s">
        <v>289</v>
      </c>
    </row>
    <row r="161" spans="1:4" x14ac:dyDescent="0.35">
      <c r="A161" s="16" t="s">
        <v>32</v>
      </c>
      <c r="B161" s="17" t="s">
        <v>269</v>
      </c>
      <c r="C161" s="18">
        <f t="shared" si="7"/>
        <v>150</v>
      </c>
      <c r="D161" s="19" t="s">
        <v>288</v>
      </c>
    </row>
    <row r="162" spans="1:4" x14ac:dyDescent="0.35">
      <c r="A162" s="16" t="s">
        <v>32</v>
      </c>
      <c r="B162" s="17" t="s">
        <v>269</v>
      </c>
      <c r="C162" s="18">
        <f t="shared" si="7"/>
        <v>151</v>
      </c>
      <c r="D162" s="19" t="s">
        <v>287</v>
      </c>
    </row>
    <row r="163" spans="1:4" x14ac:dyDescent="0.35">
      <c r="A163" s="16" t="s">
        <v>32</v>
      </c>
      <c r="B163" s="17" t="s">
        <v>269</v>
      </c>
      <c r="C163" s="18">
        <f t="shared" si="7"/>
        <v>152</v>
      </c>
      <c r="D163" s="19" t="s">
        <v>286</v>
      </c>
    </row>
    <row r="164" spans="1:4" x14ac:dyDescent="0.35">
      <c r="A164" s="16" t="s">
        <v>32</v>
      </c>
      <c r="B164" s="17" t="s">
        <v>269</v>
      </c>
      <c r="C164" s="18">
        <f t="shared" si="7"/>
        <v>153</v>
      </c>
      <c r="D164" s="19" t="s">
        <v>285</v>
      </c>
    </row>
    <row r="165" spans="1:4" x14ac:dyDescent="0.35">
      <c r="A165" s="16" t="s">
        <v>32</v>
      </c>
      <c r="B165" s="17" t="s">
        <v>269</v>
      </c>
      <c r="C165" s="18">
        <f t="shared" si="7"/>
        <v>154</v>
      </c>
      <c r="D165" s="19" t="s">
        <v>284</v>
      </c>
    </row>
    <row r="166" spans="1:4" x14ac:dyDescent="0.35">
      <c r="A166" s="16" t="s">
        <v>32</v>
      </c>
      <c r="B166" s="17" t="s">
        <v>269</v>
      </c>
      <c r="C166" s="18">
        <f t="shared" si="7"/>
        <v>155</v>
      </c>
      <c r="D166" s="19" t="s">
        <v>283</v>
      </c>
    </row>
    <row r="167" spans="1:4" x14ac:dyDescent="0.35">
      <c r="A167" s="16" t="s">
        <v>32</v>
      </c>
      <c r="B167" s="17" t="s">
        <v>269</v>
      </c>
      <c r="C167" s="18">
        <f t="shared" si="7"/>
        <v>156</v>
      </c>
      <c r="D167" s="19" t="s">
        <v>282</v>
      </c>
    </row>
    <row r="168" spans="1:4" x14ac:dyDescent="0.35">
      <c r="A168" s="16" t="s">
        <v>32</v>
      </c>
      <c r="B168" s="17" t="s">
        <v>269</v>
      </c>
      <c r="C168" s="18">
        <f t="shared" si="7"/>
        <v>157</v>
      </c>
      <c r="D168" s="19" t="s">
        <v>281</v>
      </c>
    </row>
    <row r="169" spans="1:4" x14ac:dyDescent="0.35">
      <c r="A169" s="16" t="s">
        <v>32</v>
      </c>
      <c r="B169" s="17" t="s">
        <v>269</v>
      </c>
      <c r="C169" s="18">
        <f t="shared" si="7"/>
        <v>158</v>
      </c>
      <c r="D169" s="19" t="s">
        <v>280</v>
      </c>
    </row>
    <row r="170" spans="1:4" x14ac:dyDescent="0.35">
      <c r="A170" s="16" t="s">
        <v>32</v>
      </c>
      <c r="B170" s="17" t="s">
        <v>269</v>
      </c>
      <c r="C170" s="18">
        <f t="shared" si="7"/>
        <v>159</v>
      </c>
      <c r="D170" s="19" t="s">
        <v>279</v>
      </c>
    </row>
    <row r="171" spans="1:4" x14ac:dyDescent="0.35">
      <c r="A171" s="16" t="s">
        <v>32</v>
      </c>
      <c r="B171" s="17" t="s">
        <v>269</v>
      </c>
      <c r="C171" s="18">
        <f t="shared" si="7"/>
        <v>160</v>
      </c>
      <c r="D171" s="19" t="s">
        <v>278</v>
      </c>
    </row>
    <row r="172" spans="1:4" x14ac:dyDescent="0.35">
      <c r="A172" s="16" t="s">
        <v>32</v>
      </c>
      <c r="B172" s="17" t="s">
        <v>269</v>
      </c>
      <c r="C172" s="18">
        <f t="shared" si="7"/>
        <v>161</v>
      </c>
      <c r="D172" s="19" t="s">
        <v>277</v>
      </c>
    </row>
    <row r="173" spans="1:4" x14ac:dyDescent="0.35">
      <c r="A173" s="16" t="s">
        <v>32</v>
      </c>
      <c r="B173" s="17" t="s">
        <v>269</v>
      </c>
      <c r="C173" s="18">
        <f t="shared" si="7"/>
        <v>162</v>
      </c>
      <c r="D173" s="19" t="s">
        <v>276</v>
      </c>
    </row>
    <row r="174" spans="1:4" x14ac:dyDescent="0.35">
      <c r="A174" s="16" t="s">
        <v>32</v>
      </c>
      <c r="B174" s="17" t="s">
        <v>269</v>
      </c>
      <c r="C174" s="18">
        <f t="shared" si="7"/>
        <v>163</v>
      </c>
      <c r="D174" s="19" t="s">
        <v>275</v>
      </c>
    </row>
    <row r="175" spans="1:4" x14ac:dyDescent="0.35">
      <c r="A175" s="16" t="s">
        <v>32</v>
      </c>
      <c r="B175" s="17" t="s">
        <v>269</v>
      </c>
      <c r="C175" s="18">
        <f t="shared" si="7"/>
        <v>164</v>
      </c>
      <c r="D175" s="19" t="s">
        <v>274</v>
      </c>
    </row>
    <row r="176" spans="1:4" x14ac:dyDescent="0.35">
      <c r="A176" s="16" t="s">
        <v>32</v>
      </c>
      <c r="B176" s="17" t="s">
        <v>269</v>
      </c>
      <c r="C176" s="18">
        <f t="shared" si="7"/>
        <v>165</v>
      </c>
      <c r="D176" s="19" t="s">
        <v>273</v>
      </c>
    </row>
    <row r="177" spans="1:4" x14ac:dyDescent="0.35">
      <c r="A177" s="16" t="s">
        <v>32</v>
      </c>
      <c r="B177" s="17" t="s">
        <v>269</v>
      </c>
      <c r="C177" s="18">
        <f t="shared" si="7"/>
        <v>166</v>
      </c>
      <c r="D177" s="19" t="s">
        <v>272</v>
      </c>
    </row>
    <row r="178" spans="1:4" x14ac:dyDescent="0.35">
      <c r="A178" s="16" t="s">
        <v>32</v>
      </c>
      <c r="B178" s="17" t="s">
        <v>269</v>
      </c>
      <c r="C178" s="18">
        <f t="shared" si="7"/>
        <v>167</v>
      </c>
      <c r="D178" s="19" t="s">
        <v>271</v>
      </c>
    </row>
    <row r="179" spans="1:4" x14ac:dyDescent="0.35">
      <c r="A179" s="16" t="s">
        <v>32</v>
      </c>
      <c r="B179" s="17" t="s">
        <v>269</v>
      </c>
      <c r="C179" s="18">
        <f t="shared" si="7"/>
        <v>168</v>
      </c>
      <c r="D179" s="19" t="s">
        <v>270</v>
      </c>
    </row>
    <row r="180" spans="1:4" x14ac:dyDescent="0.35">
      <c r="A180" s="16" t="s">
        <v>32</v>
      </c>
      <c r="B180" s="17" t="s">
        <v>269</v>
      </c>
      <c r="C180" s="18">
        <f t="shared" si="7"/>
        <v>169</v>
      </c>
      <c r="D180" s="19" t="s">
        <v>54</v>
      </c>
    </row>
    <row r="181" spans="1:4" x14ac:dyDescent="0.35">
      <c r="A181" s="824" t="s">
        <v>268</v>
      </c>
      <c r="B181" s="830" t="s">
        <v>262</v>
      </c>
      <c r="C181" s="830"/>
      <c r="D181" s="826"/>
    </row>
    <row r="182" spans="1:4" x14ac:dyDescent="0.35">
      <c r="A182" s="16" t="s">
        <v>32</v>
      </c>
      <c r="B182" s="17" t="s">
        <v>262</v>
      </c>
      <c r="C182" s="18">
        <f t="shared" ref="C182:C189" si="8">IF(C181="",C180+1,C181+1)</f>
        <v>170</v>
      </c>
      <c r="D182" s="19" t="s">
        <v>559</v>
      </c>
    </row>
    <row r="183" spans="1:4" x14ac:dyDescent="0.35">
      <c r="A183" s="16" t="s">
        <v>32</v>
      </c>
      <c r="B183" s="17" t="s">
        <v>262</v>
      </c>
      <c r="C183" s="18">
        <f t="shared" si="8"/>
        <v>171</v>
      </c>
      <c r="D183" s="19" t="s">
        <v>558</v>
      </c>
    </row>
    <row r="184" spans="1:4" x14ac:dyDescent="0.35">
      <c r="A184" s="16" t="s">
        <v>32</v>
      </c>
      <c r="B184" s="17" t="s">
        <v>262</v>
      </c>
      <c r="C184" s="18">
        <f t="shared" si="8"/>
        <v>172</v>
      </c>
      <c r="D184" s="19" t="s">
        <v>266</v>
      </c>
    </row>
    <row r="185" spans="1:4" x14ac:dyDescent="0.35">
      <c r="A185" s="16"/>
      <c r="B185" s="17"/>
      <c r="C185" s="18">
        <f t="shared" si="8"/>
        <v>173</v>
      </c>
      <c r="D185" s="19" t="s">
        <v>265</v>
      </c>
    </row>
    <row r="186" spans="1:4" x14ac:dyDescent="0.35">
      <c r="A186" s="16"/>
      <c r="B186" s="17"/>
      <c r="C186" s="18">
        <f t="shared" si="8"/>
        <v>174</v>
      </c>
      <c r="D186" s="19" t="s">
        <v>264</v>
      </c>
    </row>
    <row r="187" spans="1:4" x14ac:dyDescent="0.35">
      <c r="A187" s="16" t="s">
        <v>32</v>
      </c>
      <c r="B187" s="17" t="s">
        <v>262</v>
      </c>
      <c r="C187" s="18">
        <f t="shared" si="8"/>
        <v>175</v>
      </c>
      <c r="D187" s="19" t="s">
        <v>557</v>
      </c>
    </row>
    <row r="188" spans="1:4" x14ac:dyDescent="0.35">
      <c r="A188" s="16" t="s">
        <v>32</v>
      </c>
      <c r="B188" s="17" t="s">
        <v>262</v>
      </c>
      <c r="C188" s="18">
        <f t="shared" si="8"/>
        <v>176</v>
      </c>
      <c r="D188" s="19" t="s">
        <v>263</v>
      </c>
    </row>
    <row r="189" spans="1:4" x14ac:dyDescent="0.35">
      <c r="A189" s="16" t="s">
        <v>32</v>
      </c>
      <c r="B189" s="17" t="s">
        <v>262</v>
      </c>
      <c r="C189" s="18">
        <f t="shared" si="8"/>
        <v>177</v>
      </c>
      <c r="D189" s="19" t="s">
        <v>54</v>
      </c>
    </row>
    <row r="190" spans="1:4" x14ac:dyDescent="0.35">
      <c r="A190" s="824" t="s">
        <v>74</v>
      </c>
      <c r="B190" s="830"/>
      <c r="C190" s="830"/>
      <c r="D190" s="826" t="s">
        <v>73</v>
      </c>
    </row>
    <row r="191" spans="1:4" x14ac:dyDescent="0.35">
      <c r="A191" s="16" t="s">
        <v>32</v>
      </c>
      <c r="B191" s="17" t="s">
        <v>43</v>
      </c>
      <c r="C191" s="18">
        <f t="shared" ref="C191:C209" si="9">IF(C190="",C189+1,C190+1)</f>
        <v>178</v>
      </c>
      <c r="D191" s="21" t="s">
        <v>72</v>
      </c>
    </row>
    <row r="192" spans="1:4" x14ac:dyDescent="0.35">
      <c r="A192" s="16" t="s">
        <v>32</v>
      </c>
      <c r="B192" s="17" t="s">
        <v>43</v>
      </c>
      <c r="C192" s="18">
        <f t="shared" si="9"/>
        <v>179</v>
      </c>
      <c r="D192" s="21" t="s">
        <v>71</v>
      </c>
    </row>
    <row r="193" spans="1:4" x14ac:dyDescent="0.35">
      <c r="A193" s="16" t="s">
        <v>32</v>
      </c>
      <c r="B193" s="17" t="s">
        <v>43</v>
      </c>
      <c r="C193" s="18">
        <f t="shared" si="9"/>
        <v>180</v>
      </c>
      <c r="D193" s="21" t="s">
        <v>70</v>
      </c>
    </row>
    <row r="194" spans="1:4" x14ac:dyDescent="0.35">
      <c r="A194" s="16" t="s">
        <v>32</v>
      </c>
      <c r="B194" s="17" t="s">
        <v>43</v>
      </c>
      <c r="C194" s="18">
        <f t="shared" si="9"/>
        <v>181</v>
      </c>
      <c r="D194" s="21" t="s">
        <v>69</v>
      </c>
    </row>
    <row r="195" spans="1:4" x14ac:dyDescent="0.35">
      <c r="A195" s="16" t="s">
        <v>32</v>
      </c>
      <c r="B195" s="17" t="s">
        <v>43</v>
      </c>
      <c r="C195" s="18">
        <f t="shared" si="9"/>
        <v>182</v>
      </c>
      <c r="D195" s="19" t="s">
        <v>68</v>
      </c>
    </row>
    <row r="196" spans="1:4" x14ac:dyDescent="0.35">
      <c r="A196" s="16" t="s">
        <v>32</v>
      </c>
      <c r="B196" s="17" t="s">
        <v>43</v>
      </c>
      <c r="C196" s="18">
        <f t="shared" si="9"/>
        <v>183</v>
      </c>
      <c r="D196" s="20" t="s">
        <v>67</v>
      </c>
    </row>
    <row r="197" spans="1:4" ht="29" x14ac:dyDescent="0.35">
      <c r="A197" s="16" t="s">
        <v>32</v>
      </c>
      <c r="B197" s="17" t="s">
        <v>43</v>
      </c>
      <c r="C197" s="18">
        <f t="shared" si="9"/>
        <v>184</v>
      </c>
      <c r="D197" s="19" t="s">
        <v>66</v>
      </c>
    </row>
    <row r="198" spans="1:4" x14ac:dyDescent="0.35">
      <c r="A198" s="16" t="s">
        <v>32</v>
      </c>
      <c r="B198" s="17" t="s">
        <v>43</v>
      </c>
      <c r="C198" s="18">
        <f t="shared" si="9"/>
        <v>185</v>
      </c>
      <c r="D198" s="19" t="s">
        <v>65</v>
      </c>
    </row>
    <row r="199" spans="1:4" x14ac:dyDescent="0.35">
      <c r="A199" s="16" t="s">
        <v>32</v>
      </c>
      <c r="B199" s="17" t="s">
        <v>43</v>
      </c>
      <c r="C199" s="18">
        <f t="shared" si="9"/>
        <v>186</v>
      </c>
      <c r="D199" s="19" t="s">
        <v>64</v>
      </c>
    </row>
    <row r="200" spans="1:4" x14ac:dyDescent="0.35">
      <c r="A200" s="16" t="s">
        <v>32</v>
      </c>
      <c r="B200" s="17" t="s">
        <v>43</v>
      </c>
      <c r="C200" s="18">
        <f t="shared" si="9"/>
        <v>187</v>
      </c>
      <c r="D200" s="20" t="s">
        <v>63</v>
      </c>
    </row>
    <row r="201" spans="1:4" x14ac:dyDescent="0.35">
      <c r="A201" s="16" t="s">
        <v>32</v>
      </c>
      <c r="B201" s="17" t="s">
        <v>43</v>
      </c>
      <c r="C201" s="18">
        <f t="shared" si="9"/>
        <v>188</v>
      </c>
      <c r="D201" s="20" t="s">
        <v>62</v>
      </c>
    </row>
    <row r="202" spans="1:4" x14ac:dyDescent="0.35">
      <c r="A202" s="16" t="s">
        <v>32</v>
      </c>
      <c r="B202" s="17" t="s">
        <v>43</v>
      </c>
      <c r="C202" s="18">
        <f t="shared" si="9"/>
        <v>189</v>
      </c>
      <c r="D202" s="19" t="s">
        <v>61</v>
      </c>
    </row>
    <row r="203" spans="1:4" x14ac:dyDescent="0.35">
      <c r="A203" s="16" t="s">
        <v>32</v>
      </c>
      <c r="B203" s="17" t="s">
        <v>43</v>
      </c>
      <c r="C203" s="18">
        <f t="shared" si="9"/>
        <v>190</v>
      </c>
      <c r="D203" s="19" t="s">
        <v>60</v>
      </c>
    </row>
    <row r="204" spans="1:4" x14ac:dyDescent="0.35">
      <c r="A204" s="16" t="s">
        <v>32</v>
      </c>
      <c r="B204" s="17" t="s">
        <v>43</v>
      </c>
      <c r="C204" s="18">
        <f t="shared" si="9"/>
        <v>191</v>
      </c>
      <c r="D204" s="20" t="s">
        <v>59</v>
      </c>
    </row>
    <row r="205" spans="1:4" x14ac:dyDescent="0.35">
      <c r="A205" s="16" t="s">
        <v>32</v>
      </c>
      <c r="B205" s="17" t="s">
        <v>43</v>
      </c>
      <c r="C205" s="18">
        <f t="shared" si="9"/>
        <v>192</v>
      </c>
      <c r="D205" s="19" t="s">
        <v>58</v>
      </c>
    </row>
    <row r="206" spans="1:4" x14ac:dyDescent="0.35">
      <c r="A206" s="16" t="s">
        <v>32</v>
      </c>
      <c r="B206" s="17" t="s">
        <v>43</v>
      </c>
      <c r="C206" s="18">
        <f t="shared" si="9"/>
        <v>193</v>
      </c>
      <c r="D206" s="19" t="s">
        <v>57</v>
      </c>
    </row>
    <row r="207" spans="1:4" x14ac:dyDescent="0.35">
      <c r="A207" s="16" t="s">
        <v>32</v>
      </c>
      <c r="B207" s="17" t="s">
        <v>43</v>
      </c>
      <c r="C207" s="18">
        <f t="shared" si="9"/>
        <v>194</v>
      </c>
      <c r="D207" s="19" t="s">
        <v>56</v>
      </c>
    </row>
    <row r="208" spans="1:4" x14ac:dyDescent="0.35">
      <c r="A208" s="16" t="s">
        <v>32</v>
      </c>
      <c r="B208" s="17" t="s">
        <v>43</v>
      </c>
      <c r="C208" s="18">
        <f t="shared" si="9"/>
        <v>195</v>
      </c>
      <c r="D208" s="19" t="s">
        <v>55</v>
      </c>
    </row>
    <row r="209" spans="1:4" x14ac:dyDescent="0.35">
      <c r="A209" s="16" t="s">
        <v>32</v>
      </c>
      <c r="B209" s="17" t="s">
        <v>43</v>
      </c>
      <c r="C209" s="18">
        <f t="shared" si="9"/>
        <v>196</v>
      </c>
      <c r="D209" s="19" t="s">
        <v>54</v>
      </c>
    </row>
    <row r="210" spans="1:4" x14ac:dyDescent="0.35">
      <c r="A210" s="824" t="s">
        <v>556</v>
      </c>
      <c r="B210" s="830"/>
      <c r="C210" s="830"/>
      <c r="D210" s="826" t="s">
        <v>228</v>
      </c>
    </row>
    <row r="211" spans="1:4" x14ac:dyDescent="0.35">
      <c r="A211" s="16" t="s">
        <v>32</v>
      </c>
      <c r="B211" s="17" t="s">
        <v>75</v>
      </c>
      <c r="C211" s="18">
        <f t="shared" ref="C211:C220" si="10">IF(C210="",C209+1,C210+1)</f>
        <v>197</v>
      </c>
      <c r="D211" s="23" t="s">
        <v>84</v>
      </c>
    </row>
    <row r="212" spans="1:4" x14ac:dyDescent="0.35">
      <c r="A212" s="16" t="s">
        <v>32</v>
      </c>
      <c r="B212" s="17" t="s">
        <v>75</v>
      </c>
      <c r="C212" s="18">
        <f t="shared" si="10"/>
        <v>198</v>
      </c>
      <c r="D212" s="20" t="s">
        <v>83</v>
      </c>
    </row>
    <row r="213" spans="1:4" x14ac:dyDescent="0.35">
      <c r="A213" s="16" t="s">
        <v>32</v>
      </c>
      <c r="B213" s="17" t="s">
        <v>75</v>
      </c>
      <c r="C213" s="18">
        <f t="shared" si="10"/>
        <v>199</v>
      </c>
      <c r="D213" s="19" t="s">
        <v>82</v>
      </c>
    </row>
    <row r="214" spans="1:4" x14ac:dyDescent="0.35">
      <c r="A214" s="16" t="s">
        <v>32</v>
      </c>
      <c r="B214" s="17" t="s">
        <v>75</v>
      </c>
      <c r="C214" s="18">
        <f t="shared" si="10"/>
        <v>200</v>
      </c>
      <c r="D214" s="19" t="s">
        <v>81</v>
      </c>
    </row>
    <row r="215" spans="1:4" ht="29" x14ac:dyDescent="0.35">
      <c r="A215" s="16" t="s">
        <v>32</v>
      </c>
      <c r="B215" s="17" t="s">
        <v>75</v>
      </c>
      <c r="C215" s="18">
        <f t="shared" si="10"/>
        <v>201</v>
      </c>
      <c r="D215" s="19" t="s">
        <v>80</v>
      </c>
    </row>
    <row r="216" spans="1:4" x14ac:dyDescent="0.35">
      <c r="A216" s="16" t="s">
        <v>32</v>
      </c>
      <c r="B216" s="17" t="s">
        <v>75</v>
      </c>
      <c r="C216" s="18">
        <f t="shared" si="10"/>
        <v>202</v>
      </c>
      <c r="D216" s="19" t="s">
        <v>79</v>
      </c>
    </row>
    <row r="217" spans="1:4" x14ac:dyDescent="0.35">
      <c r="A217" s="16" t="s">
        <v>32</v>
      </c>
      <c r="B217" s="17" t="s">
        <v>75</v>
      </c>
      <c r="C217" s="18">
        <f t="shared" si="10"/>
        <v>203</v>
      </c>
      <c r="D217" s="19" t="s">
        <v>78</v>
      </c>
    </row>
    <row r="218" spans="1:4" x14ac:dyDescent="0.35">
      <c r="A218" s="16" t="s">
        <v>32</v>
      </c>
      <c r="B218" s="17" t="s">
        <v>75</v>
      </c>
      <c r="C218" s="18">
        <f t="shared" si="10"/>
        <v>204</v>
      </c>
      <c r="D218" s="19" t="s">
        <v>77</v>
      </c>
    </row>
    <row r="219" spans="1:4" x14ac:dyDescent="0.35">
      <c r="A219" s="16" t="s">
        <v>32</v>
      </c>
      <c r="B219" s="17" t="s">
        <v>75</v>
      </c>
      <c r="C219" s="18">
        <f t="shared" si="10"/>
        <v>205</v>
      </c>
      <c r="D219" s="19" t="s">
        <v>76</v>
      </c>
    </row>
    <row r="220" spans="1:4" x14ac:dyDescent="0.35">
      <c r="A220" s="16" t="s">
        <v>32</v>
      </c>
      <c r="B220" s="17" t="s">
        <v>75</v>
      </c>
      <c r="C220" s="18">
        <f t="shared" si="10"/>
        <v>206</v>
      </c>
      <c r="D220" s="19" t="s">
        <v>54</v>
      </c>
    </row>
    <row r="221" spans="1:4" x14ac:dyDescent="0.35">
      <c r="A221" s="824" t="s">
        <v>555</v>
      </c>
      <c r="B221" s="830"/>
      <c r="C221" s="830"/>
      <c r="D221" s="826" t="s">
        <v>228</v>
      </c>
    </row>
    <row r="222" spans="1:4" x14ac:dyDescent="0.35">
      <c r="A222" s="16" t="s">
        <v>32</v>
      </c>
      <c r="B222" s="17" t="s">
        <v>546</v>
      </c>
      <c r="C222" s="18">
        <f t="shared" ref="C222:C230" si="11">IF(C221="",C220+1,C221+1)</f>
        <v>207</v>
      </c>
      <c r="D222" s="23" t="s">
        <v>554</v>
      </c>
    </row>
    <row r="223" spans="1:4" x14ac:dyDescent="0.35">
      <c r="A223" s="16" t="s">
        <v>32</v>
      </c>
      <c r="B223" s="17" t="s">
        <v>546</v>
      </c>
      <c r="C223" s="18">
        <f t="shared" si="11"/>
        <v>208</v>
      </c>
      <c r="D223" s="19" t="s">
        <v>553</v>
      </c>
    </row>
    <row r="224" spans="1:4" x14ac:dyDescent="0.35">
      <c r="A224" s="16" t="s">
        <v>32</v>
      </c>
      <c r="B224" s="17" t="s">
        <v>546</v>
      </c>
      <c r="C224" s="18">
        <f t="shared" si="11"/>
        <v>209</v>
      </c>
      <c r="D224" s="19" t="s">
        <v>552</v>
      </c>
    </row>
    <row r="225" spans="1:4" x14ac:dyDescent="0.35">
      <c r="A225" s="16" t="s">
        <v>32</v>
      </c>
      <c r="B225" s="17" t="s">
        <v>546</v>
      </c>
      <c r="C225" s="18">
        <f t="shared" si="11"/>
        <v>210</v>
      </c>
      <c r="D225" s="19" t="s">
        <v>551</v>
      </c>
    </row>
    <row r="226" spans="1:4" x14ac:dyDescent="0.35">
      <c r="A226" s="16" t="s">
        <v>32</v>
      </c>
      <c r="B226" s="17" t="s">
        <v>546</v>
      </c>
      <c r="C226" s="18">
        <f t="shared" si="11"/>
        <v>211</v>
      </c>
      <c r="D226" s="19" t="s">
        <v>550</v>
      </c>
    </row>
    <row r="227" spans="1:4" x14ac:dyDescent="0.35">
      <c r="A227" s="16" t="s">
        <v>32</v>
      </c>
      <c r="B227" s="17" t="s">
        <v>546</v>
      </c>
      <c r="C227" s="18">
        <f t="shared" si="11"/>
        <v>212</v>
      </c>
      <c r="D227" s="19" t="s">
        <v>549</v>
      </c>
    </row>
    <row r="228" spans="1:4" x14ac:dyDescent="0.35">
      <c r="A228" s="16" t="s">
        <v>32</v>
      </c>
      <c r="B228" s="17" t="s">
        <v>546</v>
      </c>
      <c r="C228" s="18">
        <f t="shared" si="11"/>
        <v>213</v>
      </c>
      <c r="D228" s="19" t="s">
        <v>548</v>
      </c>
    </row>
    <row r="229" spans="1:4" x14ac:dyDescent="0.35">
      <c r="A229" s="16" t="s">
        <v>32</v>
      </c>
      <c r="B229" s="17" t="s">
        <v>546</v>
      </c>
      <c r="C229" s="18">
        <f t="shared" si="11"/>
        <v>214</v>
      </c>
      <c r="D229" s="19" t="s">
        <v>547</v>
      </c>
    </row>
    <row r="230" spans="1:4" x14ac:dyDescent="0.35">
      <c r="A230" s="16" t="s">
        <v>32</v>
      </c>
      <c r="B230" s="17" t="s">
        <v>546</v>
      </c>
      <c r="C230" s="18">
        <f t="shared" si="11"/>
        <v>215</v>
      </c>
      <c r="D230" s="19" t="s">
        <v>54</v>
      </c>
    </row>
    <row r="231" spans="1:4" x14ac:dyDescent="0.35">
      <c r="A231" s="824" t="s">
        <v>545</v>
      </c>
      <c r="B231" s="830"/>
      <c r="C231" s="830"/>
      <c r="D231" s="826" t="s">
        <v>228</v>
      </c>
    </row>
    <row r="232" spans="1:4" x14ac:dyDescent="0.35">
      <c r="A232" s="16" t="s">
        <v>32</v>
      </c>
      <c r="B232" s="17" t="s">
        <v>531</v>
      </c>
      <c r="C232" s="18">
        <f t="shared" ref="C232:C245" si="12">IF(C231="",C230+1,C231+1)</f>
        <v>216</v>
      </c>
      <c r="D232" s="23" t="s">
        <v>544</v>
      </c>
    </row>
    <row r="233" spans="1:4" ht="29" x14ac:dyDescent="0.35">
      <c r="A233" s="16" t="s">
        <v>32</v>
      </c>
      <c r="B233" s="17" t="s">
        <v>531</v>
      </c>
      <c r="C233" s="18">
        <f t="shared" si="12"/>
        <v>217</v>
      </c>
      <c r="D233" s="19" t="s">
        <v>543</v>
      </c>
    </row>
    <row r="234" spans="1:4" x14ac:dyDescent="0.35">
      <c r="A234" s="16" t="s">
        <v>32</v>
      </c>
      <c r="B234" s="17" t="s">
        <v>531</v>
      </c>
      <c r="C234" s="18">
        <f t="shared" si="12"/>
        <v>218</v>
      </c>
      <c r="D234" s="19" t="s">
        <v>542</v>
      </c>
    </row>
    <row r="235" spans="1:4" ht="29" x14ac:dyDescent="0.35">
      <c r="A235" s="16" t="s">
        <v>32</v>
      </c>
      <c r="B235" s="17" t="s">
        <v>531</v>
      </c>
      <c r="C235" s="18">
        <f t="shared" si="12"/>
        <v>219</v>
      </c>
      <c r="D235" s="19" t="s">
        <v>541</v>
      </c>
    </row>
    <row r="236" spans="1:4" x14ac:dyDescent="0.35">
      <c r="A236" s="16" t="s">
        <v>32</v>
      </c>
      <c r="B236" s="17" t="s">
        <v>531</v>
      </c>
      <c r="C236" s="18">
        <f t="shared" si="12"/>
        <v>220</v>
      </c>
      <c r="D236" s="19" t="s">
        <v>540</v>
      </c>
    </row>
    <row r="237" spans="1:4" x14ac:dyDescent="0.35">
      <c r="A237" s="16" t="s">
        <v>32</v>
      </c>
      <c r="B237" s="17" t="s">
        <v>531</v>
      </c>
      <c r="C237" s="18">
        <f t="shared" si="12"/>
        <v>221</v>
      </c>
      <c r="D237" s="19" t="s">
        <v>539</v>
      </c>
    </row>
    <row r="238" spans="1:4" x14ac:dyDescent="0.35">
      <c r="A238" s="16" t="s">
        <v>32</v>
      </c>
      <c r="B238" s="17" t="s">
        <v>531</v>
      </c>
      <c r="C238" s="18">
        <f t="shared" si="12"/>
        <v>222</v>
      </c>
      <c r="D238" s="19" t="s">
        <v>538</v>
      </c>
    </row>
    <row r="239" spans="1:4" x14ac:dyDescent="0.35">
      <c r="A239" s="16" t="s">
        <v>32</v>
      </c>
      <c r="B239" s="17" t="s">
        <v>531</v>
      </c>
      <c r="C239" s="18">
        <f t="shared" si="12"/>
        <v>223</v>
      </c>
      <c r="D239" s="19" t="s">
        <v>537</v>
      </c>
    </row>
    <row r="240" spans="1:4" x14ac:dyDescent="0.35">
      <c r="A240" s="16" t="s">
        <v>32</v>
      </c>
      <c r="B240" s="17" t="s">
        <v>531</v>
      </c>
      <c r="C240" s="18">
        <f t="shared" si="12"/>
        <v>224</v>
      </c>
      <c r="D240" s="19" t="s">
        <v>536</v>
      </c>
    </row>
    <row r="241" spans="1:4" x14ac:dyDescent="0.35">
      <c r="A241" s="16" t="s">
        <v>32</v>
      </c>
      <c r="B241" s="17" t="s">
        <v>531</v>
      </c>
      <c r="C241" s="18">
        <f t="shared" si="12"/>
        <v>225</v>
      </c>
      <c r="D241" s="19" t="s">
        <v>535</v>
      </c>
    </row>
    <row r="242" spans="1:4" x14ac:dyDescent="0.35">
      <c r="A242" s="16" t="s">
        <v>32</v>
      </c>
      <c r="B242" s="17" t="s">
        <v>531</v>
      </c>
      <c r="C242" s="18">
        <f t="shared" si="12"/>
        <v>226</v>
      </c>
      <c r="D242" s="19" t="s">
        <v>534</v>
      </c>
    </row>
    <row r="243" spans="1:4" x14ac:dyDescent="0.35">
      <c r="A243" s="16" t="s">
        <v>32</v>
      </c>
      <c r="B243" s="17" t="s">
        <v>531</v>
      </c>
      <c r="C243" s="18">
        <f t="shared" si="12"/>
        <v>227</v>
      </c>
      <c r="D243" s="19" t="s">
        <v>533</v>
      </c>
    </row>
    <row r="244" spans="1:4" x14ac:dyDescent="0.35">
      <c r="A244" s="16" t="s">
        <v>32</v>
      </c>
      <c r="B244" s="17" t="s">
        <v>531</v>
      </c>
      <c r="C244" s="18">
        <f t="shared" si="12"/>
        <v>228</v>
      </c>
      <c r="D244" s="19" t="s">
        <v>532</v>
      </c>
    </row>
    <row r="245" spans="1:4" x14ac:dyDescent="0.35">
      <c r="A245" s="16" t="s">
        <v>32</v>
      </c>
      <c r="B245" s="17" t="s">
        <v>531</v>
      </c>
      <c r="C245" s="18">
        <f t="shared" si="12"/>
        <v>229</v>
      </c>
      <c r="D245" s="19" t="s">
        <v>54</v>
      </c>
    </row>
    <row r="246" spans="1:4" x14ac:dyDescent="0.35">
      <c r="A246" s="824" t="s">
        <v>203</v>
      </c>
      <c r="B246" s="830"/>
      <c r="C246" s="830"/>
      <c r="D246" s="826"/>
    </row>
    <row r="247" spans="1:4" x14ac:dyDescent="0.35">
      <c r="A247" s="16" t="s">
        <v>32</v>
      </c>
      <c r="B247" s="17" t="s">
        <v>89</v>
      </c>
      <c r="C247" s="18">
        <f t="shared" ref="C247:C278" si="13">IF(C246="",C245+1,C246+1)</f>
        <v>230</v>
      </c>
      <c r="D247" s="19" t="s">
        <v>148</v>
      </c>
    </row>
    <row r="248" spans="1:4" x14ac:dyDescent="0.35">
      <c r="A248" s="16" t="s">
        <v>32</v>
      </c>
      <c r="B248" s="17" t="s">
        <v>89</v>
      </c>
      <c r="C248" s="18">
        <f t="shared" si="13"/>
        <v>231</v>
      </c>
      <c r="D248" s="19" t="s">
        <v>147</v>
      </c>
    </row>
    <row r="249" spans="1:4" x14ac:dyDescent="0.35">
      <c r="A249" s="16" t="s">
        <v>32</v>
      </c>
      <c r="B249" s="17" t="s">
        <v>89</v>
      </c>
      <c r="C249" s="18">
        <f t="shared" si="13"/>
        <v>232</v>
      </c>
      <c r="D249" s="19" t="s">
        <v>146</v>
      </c>
    </row>
    <row r="250" spans="1:4" x14ac:dyDescent="0.35">
      <c r="A250" s="16" t="s">
        <v>32</v>
      </c>
      <c r="B250" s="17" t="s">
        <v>89</v>
      </c>
      <c r="C250" s="18">
        <f t="shared" si="13"/>
        <v>233</v>
      </c>
      <c r="D250" s="19" t="s">
        <v>145</v>
      </c>
    </row>
    <row r="251" spans="1:4" x14ac:dyDescent="0.35">
      <c r="A251" s="16" t="s">
        <v>32</v>
      </c>
      <c r="B251" s="17" t="s">
        <v>89</v>
      </c>
      <c r="C251" s="18">
        <f t="shared" si="13"/>
        <v>234</v>
      </c>
      <c r="D251" s="19" t="s">
        <v>144</v>
      </c>
    </row>
    <row r="252" spans="1:4" x14ac:dyDescent="0.35">
      <c r="A252" s="16" t="s">
        <v>32</v>
      </c>
      <c r="B252" s="17" t="s">
        <v>89</v>
      </c>
      <c r="C252" s="18">
        <f t="shared" si="13"/>
        <v>235</v>
      </c>
      <c r="D252" s="19" t="s">
        <v>530</v>
      </c>
    </row>
    <row r="253" spans="1:4" x14ac:dyDescent="0.35">
      <c r="A253" s="16" t="s">
        <v>32</v>
      </c>
      <c r="B253" s="17" t="s">
        <v>196</v>
      </c>
      <c r="C253" s="18">
        <f t="shared" si="13"/>
        <v>236</v>
      </c>
      <c r="D253" s="19" t="s">
        <v>529</v>
      </c>
    </row>
    <row r="254" spans="1:4" x14ac:dyDescent="0.35">
      <c r="A254" s="16" t="s">
        <v>32</v>
      </c>
      <c r="B254" s="17" t="s">
        <v>89</v>
      </c>
      <c r="C254" s="18">
        <f t="shared" si="13"/>
        <v>237</v>
      </c>
      <c r="D254" s="19" t="s">
        <v>143</v>
      </c>
    </row>
    <row r="255" spans="1:4" x14ac:dyDescent="0.35">
      <c r="A255" s="16" t="s">
        <v>32</v>
      </c>
      <c r="B255" s="17" t="s">
        <v>89</v>
      </c>
      <c r="C255" s="18">
        <f t="shared" si="13"/>
        <v>238</v>
      </c>
      <c r="D255" s="19" t="s">
        <v>528</v>
      </c>
    </row>
    <row r="256" spans="1:4" x14ac:dyDescent="0.35">
      <c r="A256" s="16" t="s">
        <v>32</v>
      </c>
      <c r="B256" s="17" t="s">
        <v>89</v>
      </c>
      <c r="C256" s="18">
        <f t="shared" si="13"/>
        <v>239</v>
      </c>
      <c r="D256" s="19" t="s">
        <v>527</v>
      </c>
    </row>
    <row r="257" spans="1:4" x14ac:dyDescent="0.35">
      <c r="A257" s="16" t="s">
        <v>32</v>
      </c>
      <c r="B257" s="17" t="s">
        <v>89</v>
      </c>
      <c r="C257" s="18">
        <f t="shared" si="13"/>
        <v>240</v>
      </c>
      <c r="D257" s="19" t="s">
        <v>142</v>
      </c>
    </row>
    <row r="258" spans="1:4" x14ac:dyDescent="0.35">
      <c r="A258" s="16" t="s">
        <v>32</v>
      </c>
      <c r="B258" s="17" t="s">
        <v>89</v>
      </c>
      <c r="C258" s="18">
        <f t="shared" si="13"/>
        <v>241</v>
      </c>
      <c r="D258" s="19" t="s">
        <v>141</v>
      </c>
    </row>
    <row r="259" spans="1:4" x14ac:dyDescent="0.35">
      <c r="A259" s="16" t="s">
        <v>32</v>
      </c>
      <c r="B259" s="17" t="s">
        <v>89</v>
      </c>
      <c r="C259" s="18">
        <f t="shared" si="13"/>
        <v>242</v>
      </c>
      <c r="D259" s="19" t="s">
        <v>140</v>
      </c>
    </row>
    <row r="260" spans="1:4" x14ac:dyDescent="0.35">
      <c r="A260" s="16" t="s">
        <v>32</v>
      </c>
      <c r="B260" s="17" t="s">
        <v>89</v>
      </c>
      <c r="C260" s="18">
        <f t="shared" si="13"/>
        <v>243</v>
      </c>
      <c r="D260" s="19" t="s">
        <v>139</v>
      </c>
    </row>
    <row r="261" spans="1:4" x14ac:dyDescent="0.35">
      <c r="A261" s="16" t="s">
        <v>32</v>
      </c>
      <c r="B261" s="17" t="s">
        <v>89</v>
      </c>
      <c r="C261" s="18">
        <f t="shared" si="13"/>
        <v>244</v>
      </c>
      <c r="D261" s="19" t="s">
        <v>138</v>
      </c>
    </row>
    <row r="262" spans="1:4" x14ac:dyDescent="0.35">
      <c r="A262" s="16" t="s">
        <v>32</v>
      </c>
      <c r="B262" s="17" t="s">
        <v>89</v>
      </c>
      <c r="C262" s="18">
        <f t="shared" si="13"/>
        <v>245</v>
      </c>
      <c r="D262" s="19" t="s">
        <v>137</v>
      </c>
    </row>
    <row r="263" spans="1:4" x14ac:dyDescent="0.35">
      <c r="A263" s="16" t="s">
        <v>32</v>
      </c>
      <c r="B263" s="17" t="s">
        <v>89</v>
      </c>
      <c r="C263" s="18">
        <f t="shared" si="13"/>
        <v>246</v>
      </c>
      <c r="D263" s="19" t="s">
        <v>136</v>
      </c>
    </row>
    <row r="264" spans="1:4" x14ac:dyDescent="0.35">
      <c r="A264" s="16" t="s">
        <v>32</v>
      </c>
      <c r="B264" s="17" t="s">
        <v>89</v>
      </c>
      <c r="C264" s="18">
        <f t="shared" si="13"/>
        <v>247</v>
      </c>
      <c r="D264" s="19" t="s">
        <v>526</v>
      </c>
    </row>
    <row r="265" spans="1:4" ht="29" x14ac:dyDescent="0.35">
      <c r="A265" s="16" t="s">
        <v>32</v>
      </c>
      <c r="B265" s="17" t="s">
        <v>89</v>
      </c>
      <c r="C265" s="18">
        <f t="shared" si="13"/>
        <v>248</v>
      </c>
      <c r="D265" s="19" t="s">
        <v>525</v>
      </c>
    </row>
    <row r="266" spans="1:4" x14ac:dyDescent="0.35">
      <c r="A266" s="16" t="s">
        <v>32</v>
      </c>
      <c r="B266" s="17" t="s">
        <v>89</v>
      </c>
      <c r="C266" s="18">
        <f t="shared" si="13"/>
        <v>249</v>
      </c>
      <c r="D266" s="19" t="s">
        <v>135</v>
      </c>
    </row>
    <row r="267" spans="1:4" x14ac:dyDescent="0.35">
      <c r="A267" s="16" t="s">
        <v>32</v>
      </c>
      <c r="B267" s="17" t="s">
        <v>89</v>
      </c>
      <c r="C267" s="18">
        <f t="shared" si="13"/>
        <v>250</v>
      </c>
      <c r="D267" s="19" t="s">
        <v>134</v>
      </c>
    </row>
    <row r="268" spans="1:4" x14ac:dyDescent="0.35">
      <c r="A268" s="16" t="s">
        <v>32</v>
      </c>
      <c r="B268" s="17" t="s">
        <v>89</v>
      </c>
      <c r="C268" s="18">
        <f t="shared" si="13"/>
        <v>251</v>
      </c>
      <c r="D268" s="19" t="s">
        <v>133</v>
      </c>
    </row>
    <row r="269" spans="1:4" x14ac:dyDescent="0.35">
      <c r="A269" s="16" t="s">
        <v>32</v>
      </c>
      <c r="B269" s="17" t="s">
        <v>89</v>
      </c>
      <c r="C269" s="18">
        <f t="shared" si="13"/>
        <v>252</v>
      </c>
      <c r="D269" s="19" t="s">
        <v>132</v>
      </c>
    </row>
    <row r="270" spans="1:4" x14ac:dyDescent="0.35">
      <c r="A270" s="16" t="s">
        <v>32</v>
      </c>
      <c r="B270" s="17" t="s">
        <v>89</v>
      </c>
      <c r="C270" s="18">
        <f t="shared" si="13"/>
        <v>253</v>
      </c>
      <c r="D270" s="19" t="s">
        <v>131</v>
      </c>
    </row>
    <row r="271" spans="1:4" x14ac:dyDescent="0.35">
      <c r="A271" s="16" t="s">
        <v>32</v>
      </c>
      <c r="B271" s="17" t="s">
        <v>89</v>
      </c>
      <c r="C271" s="18">
        <f t="shared" si="13"/>
        <v>254</v>
      </c>
      <c r="D271" s="19" t="s">
        <v>130</v>
      </c>
    </row>
    <row r="272" spans="1:4" x14ac:dyDescent="0.35">
      <c r="A272" s="16" t="s">
        <v>32</v>
      </c>
      <c r="B272" s="17" t="s">
        <v>89</v>
      </c>
      <c r="C272" s="18">
        <f t="shared" si="13"/>
        <v>255</v>
      </c>
      <c r="D272" s="19" t="s">
        <v>129</v>
      </c>
    </row>
    <row r="273" spans="1:4" x14ac:dyDescent="0.35">
      <c r="A273" s="16" t="s">
        <v>32</v>
      </c>
      <c r="B273" s="17" t="s">
        <v>89</v>
      </c>
      <c r="C273" s="18">
        <f t="shared" si="13"/>
        <v>256</v>
      </c>
      <c r="D273" s="20" t="s">
        <v>524</v>
      </c>
    </row>
    <row r="274" spans="1:4" x14ac:dyDescent="0.35">
      <c r="A274" s="16" t="s">
        <v>32</v>
      </c>
      <c r="B274" s="17" t="s">
        <v>89</v>
      </c>
      <c r="C274" s="18">
        <f t="shared" si="13"/>
        <v>257</v>
      </c>
      <c r="D274" s="20" t="s">
        <v>523</v>
      </c>
    </row>
    <row r="275" spans="1:4" x14ac:dyDescent="0.35">
      <c r="A275" s="16" t="s">
        <v>32</v>
      </c>
      <c r="B275" s="17" t="s">
        <v>89</v>
      </c>
      <c r="C275" s="18">
        <f t="shared" si="13"/>
        <v>258</v>
      </c>
      <c r="D275" s="20" t="s">
        <v>522</v>
      </c>
    </row>
    <row r="276" spans="1:4" x14ac:dyDescent="0.35">
      <c r="A276" s="16" t="s">
        <v>32</v>
      </c>
      <c r="B276" s="17" t="s">
        <v>89</v>
      </c>
      <c r="C276" s="18">
        <f t="shared" si="13"/>
        <v>259</v>
      </c>
      <c r="D276" s="20" t="s">
        <v>521</v>
      </c>
    </row>
    <row r="277" spans="1:4" x14ac:dyDescent="0.35">
      <c r="A277" s="16" t="s">
        <v>32</v>
      </c>
      <c r="B277" s="17" t="s">
        <v>89</v>
      </c>
      <c r="C277" s="18">
        <f t="shared" si="13"/>
        <v>260</v>
      </c>
      <c r="D277" s="20" t="s">
        <v>520</v>
      </c>
    </row>
    <row r="278" spans="1:4" x14ac:dyDescent="0.35">
      <c r="A278" s="16" t="s">
        <v>32</v>
      </c>
      <c r="B278" s="17" t="s">
        <v>89</v>
      </c>
      <c r="C278" s="18">
        <f t="shared" si="13"/>
        <v>261</v>
      </c>
      <c r="D278" s="20" t="s">
        <v>519</v>
      </c>
    </row>
    <row r="279" spans="1:4" x14ac:dyDescent="0.35">
      <c r="A279" s="16" t="s">
        <v>32</v>
      </c>
      <c r="B279" s="17" t="s">
        <v>89</v>
      </c>
      <c r="C279" s="18">
        <f t="shared" ref="C279:C303" si="14">IF(C278="",C277+1,C278+1)</f>
        <v>262</v>
      </c>
      <c r="D279" s="20" t="s">
        <v>518</v>
      </c>
    </row>
    <row r="280" spans="1:4" x14ac:dyDescent="0.35">
      <c r="A280" s="16" t="s">
        <v>32</v>
      </c>
      <c r="B280" s="17" t="s">
        <v>89</v>
      </c>
      <c r="C280" s="18">
        <f t="shared" si="14"/>
        <v>263</v>
      </c>
      <c r="D280" s="20" t="s">
        <v>517</v>
      </c>
    </row>
    <row r="281" spans="1:4" x14ac:dyDescent="0.35">
      <c r="A281" s="16" t="s">
        <v>32</v>
      </c>
      <c r="B281" s="17" t="s">
        <v>89</v>
      </c>
      <c r="C281" s="18">
        <f t="shared" si="14"/>
        <v>264</v>
      </c>
      <c r="D281" s="20" t="s">
        <v>516</v>
      </c>
    </row>
    <row r="282" spans="1:4" x14ac:dyDescent="0.35">
      <c r="A282" s="16" t="s">
        <v>32</v>
      </c>
      <c r="B282" s="17" t="s">
        <v>89</v>
      </c>
      <c r="C282" s="18">
        <f t="shared" si="14"/>
        <v>265</v>
      </c>
      <c r="D282" s="19" t="s">
        <v>119</v>
      </c>
    </row>
    <row r="283" spans="1:4" x14ac:dyDescent="0.35">
      <c r="A283" s="16" t="s">
        <v>32</v>
      </c>
      <c r="B283" s="17" t="s">
        <v>89</v>
      </c>
      <c r="C283" s="18">
        <f t="shared" si="14"/>
        <v>266</v>
      </c>
      <c r="D283" s="19" t="s">
        <v>515</v>
      </c>
    </row>
    <row r="284" spans="1:4" x14ac:dyDescent="0.35">
      <c r="A284" s="16" t="s">
        <v>32</v>
      </c>
      <c r="B284" s="17" t="s">
        <v>89</v>
      </c>
      <c r="C284" s="18">
        <f t="shared" si="14"/>
        <v>267</v>
      </c>
      <c r="D284" s="19" t="s">
        <v>514</v>
      </c>
    </row>
    <row r="285" spans="1:4" x14ac:dyDescent="0.35">
      <c r="A285" s="16" t="s">
        <v>32</v>
      </c>
      <c r="B285" s="17" t="s">
        <v>89</v>
      </c>
      <c r="C285" s="18">
        <f t="shared" si="14"/>
        <v>268</v>
      </c>
      <c r="D285" s="19" t="s">
        <v>513</v>
      </c>
    </row>
    <row r="286" spans="1:4" x14ac:dyDescent="0.35">
      <c r="A286" s="16" t="s">
        <v>32</v>
      </c>
      <c r="B286" s="17" t="s">
        <v>89</v>
      </c>
      <c r="C286" s="18">
        <f t="shared" si="14"/>
        <v>269</v>
      </c>
      <c r="D286" s="19" t="s">
        <v>512</v>
      </c>
    </row>
    <row r="287" spans="1:4" ht="43.5" x14ac:dyDescent="0.35">
      <c r="A287" s="16" t="s">
        <v>32</v>
      </c>
      <c r="B287" s="17" t="s">
        <v>89</v>
      </c>
      <c r="C287" s="18">
        <f t="shared" si="14"/>
        <v>270</v>
      </c>
      <c r="D287" s="19" t="s">
        <v>511</v>
      </c>
    </row>
    <row r="288" spans="1:4" x14ac:dyDescent="0.35">
      <c r="A288" s="16" t="s">
        <v>32</v>
      </c>
      <c r="B288" s="17" t="s">
        <v>89</v>
      </c>
      <c r="C288" s="18">
        <f t="shared" si="14"/>
        <v>271</v>
      </c>
      <c r="D288" s="19" t="s">
        <v>510</v>
      </c>
    </row>
    <row r="289" spans="1:4" x14ac:dyDescent="0.35">
      <c r="A289" s="16" t="s">
        <v>32</v>
      </c>
      <c r="B289" s="17" t="s">
        <v>89</v>
      </c>
      <c r="C289" s="18">
        <f t="shared" si="14"/>
        <v>272</v>
      </c>
      <c r="D289" s="19" t="s">
        <v>509</v>
      </c>
    </row>
    <row r="290" spans="1:4" x14ac:dyDescent="0.35">
      <c r="A290" s="16" t="s">
        <v>32</v>
      </c>
      <c r="B290" s="17" t="s">
        <v>89</v>
      </c>
      <c r="C290" s="18">
        <f t="shared" si="14"/>
        <v>273</v>
      </c>
      <c r="D290" s="19" t="s">
        <v>508</v>
      </c>
    </row>
    <row r="291" spans="1:4" x14ac:dyDescent="0.35">
      <c r="A291" s="16" t="s">
        <v>32</v>
      </c>
      <c r="B291" s="17" t="s">
        <v>89</v>
      </c>
      <c r="C291" s="18">
        <f t="shared" si="14"/>
        <v>274</v>
      </c>
      <c r="D291" s="19" t="s">
        <v>507</v>
      </c>
    </row>
    <row r="292" spans="1:4" x14ac:dyDescent="0.35">
      <c r="A292" s="16" t="s">
        <v>32</v>
      </c>
      <c r="B292" s="17" t="s">
        <v>89</v>
      </c>
      <c r="C292" s="18">
        <f t="shared" si="14"/>
        <v>275</v>
      </c>
      <c r="D292" s="19" t="s">
        <v>506</v>
      </c>
    </row>
    <row r="293" spans="1:4" x14ac:dyDescent="0.35">
      <c r="A293" s="16" t="s">
        <v>32</v>
      </c>
      <c r="B293" s="17" t="s">
        <v>89</v>
      </c>
      <c r="C293" s="18">
        <f t="shared" si="14"/>
        <v>276</v>
      </c>
      <c r="D293" s="19" t="s">
        <v>118</v>
      </c>
    </row>
    <row r="294" spans="1:4" x14ac:dyDescent="0.35">
      <c r="A294" s="16" t="s">
        <v>32</v>
      </c>
      <c r="B294" s="17" t="s">
        <v>89</v>
      </c>
      <c r="C294" s="18">
        <f t="shared" si="14"/>
        <v>277</v>
      </c>
      <c r="D294" s="20" t="s">
        <v>237</v>
      </c>
    </row>
    <row r="295" spans="1:4" x14ac:dyDescent="0.35">
      <c r="A295" s="16" t="s">
        <v>32</v>
      </c>
      <c r="B295" s="17" t="s">
        <v>89</v>
      </c>
      <c r="C295" s="18">
        <f t="shared" si="14"/>
        <v>278</v>
      </c>
      <c r="D295" s="20" t="s">
        <v>236</v>
      </c>
    </row>
    <row r="296" spans="1:4" x14ac:dyDescent="0.35">
      <c r="A296" s="16" t="s">
        <v>32</v>
      </c>
      <c r="B296" s="17" t="s">
        <v>89</v>
      </c>
      <c r="C296" s="18">
        <f t="shared" si="14"/>
        <v>279</v>
      </c>
      <c r="D296" s="20" t="s">
        <v>235</v>
      </c>
    </row>
    <row r="297" spans="1:4" x14ac:dyDescent="0.35">
      <c r="A297" s="16" t="s">
        <v>32</v>
      </c>
      <c r="B297" s="17" t="s">
        <v>89</v>
      </c>
      <c r="C297" s="18">
        <f t="shared" si="14"/>
        <v>280</v>
      </c>
      <c r="D297" s="20" t="s">
        <v>234</v>
      </c>
    </row>
    <row r="298" spans="1:4" x14ac:dyDescent="0.35">
      <c r="A298" s="16" t="s">
        <v>32</v>
      </c>
      <c r="B298" s="17" t="s">
        <v>89</v>
      </c>
      <c r="C298" s="18">
        <f t="shared" si="14"/>
        <v>281</v>
      </c>
      <c r="D298" s="20" t="s">
        <v>233</v>
      </c>
    </row>
    <row r="299" spans="1:4" x14ac:dyDescent="0.35">
      <c r="A299" s="16" t="s">
        <v>32</v>
      </c>
      <c r="B299" s="17" t="s">
        <v>89</v>
      </c>
      <c r="C299" s="18">
        <f t="shared" si="14"/>
        <v>282</v>
      </c>
      <c r="D299" s="19" t="s">
        <v>112</v>
      </c>
    </row>
    <row r="300" spans="1:4" x14ac:dyDescent="0.35">
      <c r="A300" s="16" t="s">
        <v>32</v>
      </c>
      <c r="B300" s="17" t="s">
        <v>89</v>
      </c>
      <c r="C300" s="18">
        <f t="shared" si="14"/>
        <v>283</v>
      </c>
      <c r="D300" s="19" t="s">
        <v>111</v>
      </c>
    </row>
    <row r="301" spans="1:4" x14ac:dyDescent="0.35">
      <c r="A301" s="16" t="s">
        <v>32</v>
      </c>
      <c r="B301" s="17" t="s">
        <v>89</v>
      </c>
      <c r="C301" s="18">
        <f t="shared" si="14"/>
        <v>284</v>
      </c>
      <c r="D301" s="19" t="s">
        <v>110</v>
      </c>
    </row>
    <row r="302" spans="1:4" x14ac:dyDescent="0.35">
      <c r="A302" s="16" t="s">
        <v>32</v>
      </c>
      <c r="B302" s="17" t="s">
        <v>89</v>
      </c>
      <c r="C302" s="18">
        <f t="shared" si="14"/>
        <v>285</v>
      </c>
      <c r="D302" s="19" t="s">
        <v>109</v>
      </c>
    </row>
    <row r="303" spans="1:4" x14ac:dyDescent="0.35">
      <c r="A303" s="16" t="s">
        <v>32</v>
      </c>
      <c r="B303" s="17" t="s">
        <v>89</v>
      </c>
      <c r="C303" s="18">
        <f t="shared" si="14"/>
        <v>286</v>
      </c>
      <c r="D303" s="19" t="s">
        <v>54</v>
      </c>
    </row>
    <row r="304" spans="1:4" x14ac:dyDescent="0.35">
      <c r="A304" s="824" t="s">
        <v>261</v>
      </c>
      <c r="B304" s="830" t="s">
        <v>214</v>
      </c>
      <c r="C304" s="830"/>
      <c r="D304" s="826"/>
    </row>
    <row r="305" spans="1:4" ht="29" x14ac:dyDescent="0.35">
      <c r="A305" s="16" t="s">
        <v>32</v>
      </c>
      <c r="B305" s="17" t="s">
        <v>214</v>
      </c>
      <c r="C305" s="18">
        <f t="shared" ref="C305:C346" si="15">IF(C304="",C303+1,C304+1)</f>
        <v>287</v>
      </c>
      <c r="D305" s="19" t="s">
        <v>505</v>
      </c>
    </row>
    <row r="306" spans="1:4" x14ac:dyDescent="0.35">
      <c r="A306" s="16" t="s">
        <v>32</v>
      </c>
      <c r="B306" s="17" t="s">
        <v>214</v>
      </c>
      <c r="C306" s="18">
        <f t="shared" si="15"/>
        <v>288</v>
      </c>
      <c r="D306" s="19" t="s">
        <v>504</v>
      </c>
    </row>
    <row r="307" spans="1:4" x14ac:dyDescent="0.35">
      <c r="A307" s="16" t="s">
        <v>32</v>
      </c>
      <c r="B307" s="17" t="s">
        <v>214</v>
      </c>
      <c r="C307" s="18">
        <f t="shared" si="15"/>
        <v>289</v>
      </c>
      <c r="D307" s="19" t="s">
        <v>503</v>
      </c>
    </row>
    <row r="308" spans="1:4" x14ac:dyDescent="0.35">
      <c r="A308" s="16" t="s">
        <v>32</v>
      </c>
      <c r="B308" s="17" t="s">
        <v>214</v>
      </c>
      <c r="C308" s="18">
        <f t="shared" si="15"/>
        <v>290</v>
      </c>
      <c r="D308" s="19" t="s">
        <v>260</v>
      </c>
    </row>
    <row r="309" spans="1:4" x14ac:dyDescent="0.35">
      <c r="A309" s="16" t="s">
        <v>32</v>
      </c>
      <c r="B309" s="17" t="s">
        <v>214</v>
      </c>
      <c r="C309" s="18">
        <f t="shared" si="15"/>
        <v>291</v>
      </c>
      <c r="D309" s="19" t="s">
        <v>502</v>
      </c>
    </row>
    <row r="310" spans="1:4" x14ac:dyDescent="0.35">
      <c r="A310" s="16" t="s">
        <v>32</v>
      </c>
      <c r="B310" s="17" t="s">
        <v>214</v>
      </c>
      <c r="C310" s="18">
        <f t="shared" si="15"/>
        <v>292</v>
      </c>
      <c r="D310" s="19" t="s">
        <v>501</v>
      </c>
    </row>
    <row r="311" spans="1:4" x14ac:dyDescent="0.35">
      <c r="A311" s="16" t="s">
        <v>32</v>
      </c>
      <c r="B311" s="17" t="s">
        <v>214</v>
      </c>
      <c r="C311" s="18">
        <f t="shared" si="15"/>
        <v>293</v>
      </c>
      <c r="D311" s="19" t="s">
        <v>259</v>
      </c>
    </row>
    <row r="312" spans="1:4" x14ac:dyDescent="0.35">
      <c r="A312" s="16" t="s">
        <v>32</v>
      </c>
      <c r="B312" s="17" t="s">
        <v>214</v>
      </c>
      <c r="C312" s="18">
        <f t="shared" si="15"/>
        <v>294</v>
      </c>
      <c r="D312" s="19" t="s">
        <v>258</v>
      </c>
    </row>
    <row r="313" spans="1:4" x14ac:dyDescent="0.35">
      <c r="A313" s="16" t="s">
        <v>32</v>
      </c>
      <c r="B313" s="17" t="s">
        <v>214</v>
      </c>
      <c r="C313" s="18">
        <f t="shared" si="15"/>
        <v>295</v>
      </c>
      <c r="D313" s="19" t="s">
        <v>257</v>
      </c>
    </row>
    <row r="314" spans="1:4" x14ac:dyDescent="0.35">
      <c r="A314" s="16" t="s">
        <v>32</v>
      </c>
      <c r="B314" s="17" t="s">
        <v>214</v>
      </c>
      <c r="C314" s="18">
        <f t="shared" si="15"/>
        <v>296</v>
      </c>
      <c r="D314" s="19" t="s">
        <v>256</v>
      </c>
    </row>
    <row r="315" spans="1:4" x14ac:dyDescent="0.35">
      <c r="A315" s="16" t="s">
        <v>32</v>
      </c>
      <c r="B315" s="17" t="s">
        <v>214</v>
      </c>
      <c r="C315" s="18">
        <f t="shared" si="15"/>
        <v>297</v>
      </c>
      <c r="D315" s="19" t="s">
        <v>255</v>
      </c>
    </row>
    <row r="316" spans="1:4" x14ac:dyDescent="0.35">
      <c r="A316" s="16" t="s">
        <v>32</v>
      </c>
      <c r="B316" s="17" t="s">
        <v>214</v>
      </c>
      <c r="C316" s="18">
        <f t="shared" si="15"/>
        <v>298</v>
      </c>
      <c r="D316" s="19" t="s">
        <v>254</v>
      </c>
    </row>
    <row r="317" spans="1:4" x14ac:dyDescent="0.35">
      <c r="A317" s="16" t="s">
        <v>32</v>
      </c>
      <c r="B317" s="17" t="s">
        <v>214</v>
      </c>
      <c r="C317" s="18">
        <f t="shared" si="15"/>
        <v>299</v>
      </c>
      <c r="D317" s="19" t="s">
        <v>253</v>
      </c>
    </row>
    <row r="318" spans="1:4" x14ac:dyDescent="0.35">
      <c r="A318" s="16" t="s">
        <v>32</v>
      </c>
      <c r="B318" s="17" t="s">
        <v>214</v>
      </c>
      <c r="C318" s="18">
        <f t="shared" si="15"/>
        <v>300</v>
      </c>
      <c r="D318" s="19" t="s">
        <v>500</v>
      </c>
    </row>
    <row r="319" spans="1:4" x14ac:dyDescent="0.35">
      <c r="A319" s="16" t="s">
        <v>32</v>
      </c>
      <c r="B319" s="17" t="s">
        <v>214</v>
      </c>
      <c r="C319" s="18">
        <f t="shared" si="15"/>
        <v>301</v>
      </c>
      <c r="D319" s="19" t="s">
        <v>252</v>
      </c>
    </row>
    <row r="320" spans="1:4" x14ac:dyDescent="0.35">
      <c r="A320" s="16" t="s">
        <v>32</v>
      </c>
      <c r="B320" s="17" t="s">
        <v>214</v>
      </c>
      <c r="C320" s="18">
        <f t="shared" si="15"/>
        <v>302</v>
      </c>
      <c r="D320" s="19" t="s">
        <v>251</v>
      </c>
    </row>
    <row r="321" spans="1:4" x14ac:dyDescent="0.35">
      <c r="A321" s="16" t="s">
        <v>32</v>
      </c>
      <c r="B321" s="17" t="s">
        <v>214</v>
      </c>
      <c r="C321" s="18">
        <f t="shared" si="15"/>
        <v>303</v>
      </c>
      <c r="D321" s="19" t="s">
        <v>250</v>
      </c>
    </row>
    <row r="322" spans="1:4" x14ac:dyDescent="0.35">
      <c r="A322" s="16" t="s">
        <v>32</v>
      </c>
      <c r="B322" s="17" t="s">
        <v>214</v>
      </c>
      <c r="C322" s="18">
        <f t="shared" si="15"/>
        <v>304</v>
      </c>
      <c r="D322" s="19" t="s">
        <v>249</v>
      </c>
    </row>
    <row r="323" spans="1:4" x14ac:dyDescent="0.35">
      <c r="A323" s="16" t="s">
        <v>32</v>
      </c>
      <c r="B323" s="17" t="s">
        <v>214</v>
      </c>
      <c r="C323" s="18">
        <f t="shared" si="15"/>
        <v>305</v>
      </c>
      <c r="D323" s="19" t="s">
        <v>248</v>
      </c>
    </row>
    <row r="324" spans="1:4" x14ac:dyDescent="0.35">
      <c r="A324" s="16" t="s">
        <v>32</v>
      </c>
      <c r="B324" s="17" t="s">
        <v>214</v>
      </c>
      <c r="C324" s="18">
        <f t="shared" si="15"/>
        <v>306</v>
      </c>
      <c r="D324" s="19" t="s">
        <v>247</v>
      </c>
    </row>
    <row r="325" spans="1:4" x14ac:dyDescent="0.35">
      <c r="A325" s="16" t="s">
        <v>32</v>
      </c>
      <c r="B325" s="17" t="s">
        <v>214</v>
      </c>
      <c r="C325" s="18">
        <f t="shared" si="15"/>
        <v>307</v>
      </c>
      <c r="D325" s="19" t="s">
        <v>246</v>
      </c>
    </row>
    <row r="326" spans="1:4" x14ac:dyDescent="0.35">
      <c r="A326" s="16" t="s">
        <v>32</v>
      </c>
      <c r="B326" s="17" t="s">
        <v>214</v>
      </c>
      <c r="C326" s="18">
        <f t="shared" si="15"/>
        <v>308</v>
      </c>
      <c r="D326" s="19" t="s">
        <v>245</v>
      </c>
    </row>
    <row r="327" spans="1:4" x14ac:dyDescent="0.35">
      <c r="A327" s="16" t="s">
        <v>32</v>
      </c>
      <c r="B327" s="17" t="s">
        <v>214</v>
      </c>
      <c r="C327" s="18">
        <f t="shared" si="15"/>
        <v>309</v>
      </c>
      <c r="D327" s="19" t="s">
        <v>244</v>
      </c>
    </row>
    <row r="328" spans="1:4" x14ac:dyDescent="0.35">
      <c r="A328" s="16" t="s">
        <v>32</v>
      </c>
      <c r="B328" s="17" t="s">
        <v>214</v>
      </c>
      <c r="C328" s="18">
        <f t="shared" si="15"/>
        <v>310</v>
      </c>
      <c r="D328" s="19" t="s">
        <v>243</v>
      </c>
    </row>
    <row r="329" spans="1:4" x14ac:dyDescent="0.35">
      <c r="A329" s="16" t="s">
        <v>32</v>
      </c>
      <c r="B329" s="17" t="s">
        <v>214</v>
      </c>
      <c r="C329" s="18">
        <f t="shared" si="15"/>
        <v>311</v>
      </c>
      <c r="D329" s="19" t="s">
        <v>499</v>
      </c>
    </row>
    <row r="330" spans="1:4" x14ac:dyDescent="0.35">
      <c r="A330" s="16" t="s">
        <v>32</v>
      </c>
      <c r="B330" s="17" t="s">
        <v>214</v>
      </c>
      <c r="C330" s="18">
        <f t="shared" si="15"/>
        <v>312</v>
      </c>
      <c r="D330" s="19" t="s">
        <v>242</v>
      </c>
    </row>
    <row r="331" spans="1:4" x14ac:dyDescent="0.35">
      <c r="A331" s="16" t="s">
        <v>32</v>
      </c>
      <c r="B331" s="17" t="s">
        <v>214</v>
      </c>
      <c r="C331" s="18">
        <f t="shared" si="15"/>
        <v>313</v>
      </c>
      <c r="D331" s="19" t="s">
        <v>498</v>
      </c>
    </row>
    <row r="332" spans="1:4" x14ac:dyDescent="0.35">
      <c r="A332" s="16" t="s">
        <v>32</v>
      </c>
      <c r="B332" s="17" t="s">
        <v>214</v>
      </c>
      <c r="C332" s="18">
        <f t="shared" si="15"/>
        <v>314</v>
      </c>
      <c r="D332" s="19" t="s">
        <v>241</v>
      </c>
    </row>
    <row r="333" spans="1:4" x14ac:dyDescent="0.35">
      <c r="A333" s="16" t="s">
        <v>32</v>
      </c>
      <c r="B333" s="17" t="s">
        <v>214</v>
      </c>
      <c r="C333" s="18">
        <f t="shared" si="15"/>
        <v>315</v>
      </c>
      <c r="D333" s="19" t="s">
        <v>240</v>
      </c>
    </row>
    <row r="334" spans="1:4" x14ac:dyDescent="0.35">
      <c r="A334" s="16" t="s">
        <v>32</v>
      </c>
      <c r="B334" s="17" t="s">
        <v>214</v>
      </c>
      <c r="C334" s="18">
        <f t="shared" si="15"/>
        <v>316</v>
      </c>
      <c r="D334" s="19" t="s">
        <v>239</v>
      </c>
    </row>
    <row r="335" spans="1:4" x14ac:dyDescent="0.35">
      <c r="A335" s="16" t="s">
        <v>32</v>
      </c>
      <c r="B335" s="17" t="s">
        <v>214</v>
      </c>
      <c r="C335" s="18">
        <f t="shared" si="15"/>
        <v>317</v>
      </c>
      <c r="D335" s="19" t="s">
        <v>497</v>
      </c>
    </row>
    <row r="336" spans="1:4" x14ac:dyDescent="0.35">
      <c r="A336" s="16" t="s">
        <v>32</v>
      </c>
      <c r="B336" s="17" t="s">
        <v>214</v>
      </c>
      <c r="C336" s="18">
        <f t="shared" si="15"/>
        <v>318</v>
      </c>
      <c r="D336" s="19" t="s">
        <v>496</v>
      </c>
    </row>
    <row r="337" spans="1:4" x14ac:dyDescent="0.35">
      <c r="A337" s="16" t="s">
        <v>32</v>
      </c>
      <c r="B337" s="17" t="s">
        <v>214</v>
      </c>
      <c r="C337" s="18">
        <f t="shared" si="15"/>
        <v>319</v>
      </c>
      <c r="D337" s="19" t="s">
        <v>238</v>
      </c>
    </row>
    <row r="338" spans="1:4" x14ac:dyDescent="0.35">
      <c r="A338" s="16" t="s">
        <v>32</v>
      </c>
      <c r="B338" s="17" t="s">
        <v>214</v>
      </c>
      <c r="C338" s="18">
        <f t="shared" si="15"/>
        <v>320</v>
      </c>
      <c r="D338" s="19" t="s">
        <v>495</v>
      </c>
    </row>
    <row r="339" spans="1:4" x14ac:dyDescent="0.35">
      <c r="A339" s="16" t="s">
        <v>32</v>
      </c>
      <c r="B339" s="17" t="s">
        <v>214</v>
      </c>
      <c r="C339" s="18">
        <f t="shared" si="15"/>
        <v>321</v>
      </c>
      <c r="D339" s="19" t="s">
        <v>118</v>
      </c>
    </row>
    <row r="340" spans="1:4" x14ac:dyDescent="0.35">
      <c r="A340" s="16" t="s">
        <v>32</v>
      </c>
      <c r="B340" s="17" t="s">
        <v>214</v>
      </c>
      <c r="C340" s="18">
        <f t="shared" si="15"/>
        <v>322</v>
      </c>
      <c r="D340" s="20" t="s">
        <v>237</v>
      </c>
    </row>
    <row r="341" spans="1:4" x14ac:dyDescent="0.35">
      <c r="A341" s="16" t="s">
        <v>32</v>
      </c>
      <c r="B341" s="17" t="s">
        <v>214</v>
      </c>
      <c r="C341" s="18">
        <f t="shared" si="15"/>
        <v>323</v>
      </c>
      <c r="D341" s="20" t="s">
        <v>236</v>
      </c>
    </row>
    <row r="342" spans="1:4" x14ac:dyDescent="0.35">
      <c r="A342" s="16" t="s">
        <v>32</v>
      </c>
      <c r="B342" s="17" t="s">
        <v>214</v>
      </c>
      <c r="C342" s="18">
        <f t="shared" si="15"/>
        <v>324</v>
      </c>
      <c r="D342" s="20" t="s">
        <v>235</v>
      </c>
    </row>
    <row r="343" spans="1:4" x14ac:dyDescent="0.35">
      <c r="A343" s="16" t="s">
        <v>32</v>
      </c>
      <c r="B343" s="17" t="s">
        <v>214</v>
      </c>
      <c r="C343" s="18">
        <f t="shared" si="15"/>
        <v>325</v>
      </c>
      <c r="D343" s="20" t="s">
        <v>234</v>
      </c>
    </row>
    <row r="344" spans="1:4" x14ac:dyDescent="0.35">
      <c r="A344" s="16" t="s">
        <v>32</v>
      </c>
      <c r="B344" s="17" t="s">
        <v>214</v>
      </c>
      <c r="C344" s="18">
        <f t="shared" si="15"/>
        <v>326</v>
      </c>
      <c r="D344" s="20" t="s">
        <v>233</v>
      </c>
    </row>
    <row r="345" spans="1:4" x14ac:dyDescent="0.35">
      <c r="A345" s="16" t="s">
        <v>32</v>
      </c>
      <c r="B345" s="17" t="s">
        <v>214</v>
      </c>
      <c r="C345" s="18">
        <f t="shared" si="15"/>
        <v>327</v>
      </c>
      <c r="D345" s="20" t="s">
        <v>232</v>
      </c>
    </row>
    <row r="346" spans="1:4" x14ac:dyDescent="0.35">
      <c r="A346" s="16" t="s">
        <v>32</v>
      </c>
      <c r="B346" s="17" t="s">
        <v>214</v>
      </c>
      <c r="C346" s="18">
        <f t="shared" si="15"/>
        <v>328</v>
      </c>
      <c r="D346" s="19" t="s">
        <v>494</v>
      </c>
    </row>
    <row r="347" spans="1:4" x14ac:dyDescent="0.35">
      <c r="A347" s="824" t="s">
        <v>461</v>
      </c>
      <c r="B347" s="830"/>
      <c r="C347" s="830"/>
      <c r="D347" s="826" t="s">
        <v>228</v>
      </c>
    </row>
    <row r="348" spans="1:4" x14ac:dyDescent="0.35">
      <c r="A348" s="16" t="s">
        <v>32</v>
      </c>
      <c r="B348" s="17" t="s">
        <v>448</v>
      </c>
      <c r="C348" s="18">
        <f t="shared" ref="C348:C367" si="16">IF(C347="",C346+1,C347+1)</f>
        <v>329</v>
      </c>
      <c r="D348" s="23" t="s">
        <v>493</v>
      </c>
    </row>
    <row r="349" spans="1:4" x14ac:dyDescent="0.35">
      <c r="A349" s="16" t="s">
        <v>32</v>
      </c>
      <c r="B349" s="17" t="s">
        <v>448</v>
      </c>
      <c r="C349" s="18">
        <f t="shared" si="16"/>
        <v>330</v>
      </c>
      <c r="D349" s="19" t="s">
        <v>458</v>
      </c>
    </row>
    <row r="350" spans="1:4" x14ac:dyDescent="0.35">
      <c r="A350" s="16" t="s">
        <v>32</v>
      </c>
      <c r="B350" s="17" t="s">
        <v>448</v>
      </c>
      <c r="C350" s="18">
        <f t="shared" si="16"/>
        <v>331</v>
      </c>
      <c r="D350" s="19" t="s">
        <v>492</v>
      </c>
    </row>
    <row r="351" spans="1:4" x14ac:dyDescent="0.35">
      <c r="A351" s="16" t="s">
        <v>32</v>
      </c>
      <c r="B351" s="17" t="s">
        <v>448</v>
      </c>
      <c r="C351" s="18">
        <f t="shared" si="16"/>
        <v>332</v>
      </c>
      <c r="D351" s="19" t="s">
        <v>457</v>
      </c>
    </row>
    <row r="352" spans="1:4" x14ac:dyDescent="0.35">
      <c r="A352" s="16" t="s">
        <v>32</v>
      </c>
      <c r="B352" s="17" t="s">
        <v>448</v>
      </c>
      <c r="C352" s="18">
        <f t="shared" si="16"/>
        <v>333</v>
      </c>
      <c r="D352" s="20" t="s">
        <v>491</v>
      </c>
    </row>
    <row r="353" spans="1:4" x14ac:dyDescent="0.35">
      <c r="A353" s="16" t="s">
        <v>32</v>
      </c>
      <c r="B353" s="17" t="s">
        <v>448</v>
      </c>
      <c r="C353" s="18">
        <f t="shared" si="16"/>
        <v>334</v>
      </c>
      <c r="D353" s="20" t="s">
        <v>490</v>
      </c>
    </row>
    <row r="354" spans="1:4" x14ac:dyDescent="0.35">
      <c r="A354" s="16" t="s">
        <v>32</v>
      </c>
      <c r="B354" s="17" t="s">
        <v>448</v>
      </c>
      <c r="C354" s="18">
        <f t="shared" si="16"/>
        <v>335</v>
      </c>
      <c r="D354" s="20" t="s">
        <v>489</v>
      </c>
    </row>
    <row r="355" spans="1:4" x14ac:dyDescent="0.35">
      <c r="A355" s="16" t="s">
        <v>32</v>
      </c>
      <c r="B355" s="17" t="s">
        <v>448</v>
      </c>
      <c r="C355" s="18">
        <f t="shared" si="16"/>
        <v>336</v>
      </c>
      <c r="D355" s="19" t="s">
        <v>453</v>
      </c>
    </row>
    <row r="356" spans="1:4" x14ac:dyDescent="0.35">
      <c r="A356" s="16" t="s">
        <v>32</v>
      </c>
      <c r="B356" s="17" t="s">
        <v>448</v>
      </c>
      <c r="C356" s="18">
        <f t="shared" si="16"/>
        <v>337</v>
      </c>
      <c r="D356" s="19" t="s">
        <v>488</v>
      </c>
    </row>
    <row r="357" spans="1:4" x14ac:dyDescent="0.35">
      <c r="A357" s="16" t="s">
        <v>32</v>
      </c>
      <c r="B357" s="17" t="s">
        <v>448</v>
      </c>
      <c r="C357" s="18">
        <f t="shared" si="16"/>
        <v>338</v>
      </c>
      <c r="D357" s="19" t="s">
        <v>487</v>
      </c>
    </row>
    <row r="358" spans="1:4" x14ac:dyDescent="0.35">
      <c r="A358" s="16" t="s">
        <v>32</v>
      </c>
      <c r="B358" s="17" t="s">
        <v>448</v>
      </c>
      <c r="C358" s="18">
        <f t="shared" si="16"/>
        <v>339</v>
      </c>
      <c r="D358" s="19" t="s">
        <v>486</v>
      </c>
    </row>
    <row r="359" spans="1:4" x14ac:dyDescent="0.35">
      <c r="A359" s="16" t="s">
        <v>32</v>
      </c>
      <c r="B359" s="17" t="s">
        <v>448</v>
      </c>
      <c r="C359" s="18">
        <f t="shared" si="16"/>
        <v>340</v>
      </c>
      <c r="D359" s="19" t="s">
        <v>485</v>
      </c>
    </row>
    <row r="360" spans="1:4" x14ac:dyDescent="0.35">
      <c r="A360" s="16" t="s">
        <v>32</v>
      </c>
      <c r="B360" s="17" t="s">
        <v>448</v>
      </c>
      <c r="C360" s="18">
        <f t="shared" si="16"/>
        <v>341</v>
      </c>
      <c r="D360" s="19" t="s">
        <v>484</v>
      </c>
    </row>
    <row r="361" spans="1:4" x14ac:dyDescent="0.35">
      <c r="A361" s="16" t="s">
        <v>32</v>
      </c>
      <c r="B361" s="17" t="s">
        <v>448</v>
      </c>
      <c r="C361" s="18">
        <f t="shared" si="16"/>
        <v>342</v>
      </c>
      <c r="D361" s="19" t="s">
        <v>452</v>
      </c>
    </row>
    <row r="362" spans="1:4" x14ac:dyDescent="0.35">
      <c r="A362" s="16" t="s">
        <v>32</v>
      </c>
      <c r="B362" s="17" t="s">
        <v>448</v>
      </c>
      <c r="C362" s="18">
        <f t="shared" si="16"/>
        <v>343</v>
      </c>
      <c r="D362" s="19" t="s">
        <v>230</v>
      </c>
    </row>
    <row r="363" spans="1:4" x14ac:dyDescent="0.35">
      <c r="A363" s="16" t="s">
        <v>32</v>
      </c>
      <c r="B363" s="17" t="s">
        <v>448</v>
      </c>
      <c r="C363" s="18">
        <f t="shared" si="16"/>
        <v>344</v>
      </c>
      <c r="D363" s="19" t="s">
        <v>483</v>
      </c>
    </row>
    <row r="364" spans="1:4" x14ac:dyDescent="0.35">
      <c r="A364" s="16" t="s">
        <v>32</v>
      </c>
      <c r="B364" s="17" t="s">
        <v>448</v>
      </c>
      <c r="C364" s="18">
        <f t="shared" si="16"/>
        <v>345</v>
      </c>
      <c r="D364" s="19" t="s">
        <v>482</v>
      </c>
    </row>
    <row r="365" spans="1:4" x14ac:dyDescent="0.35">
      <c r="A365" s="16" t="s">
        <v>32</v>
      </c>
      <c r="B365" s="17" t="s">
        <v>448</v>
      </c>
      <c r="C365" s="18">
        <f t="shared" si="16"/>
        <v>346</v>
      </c>
      <c r="D365" s="19" t="s">
        <v>451</v>
      </c>
    </row>
    <row r="366" spans="1:4" x14ac:dyDescent="0.35">
      <c r="A366" s="16" t="s">
        <v>32</v>
      </c>
      <c r="B366" s="17" t="s">
        <v>448</v>
      </c>
      <c r="C366" s="18">
        <f t="shared" si="16"/>
        <v>347</v>
      </c>
      <c r="D366" s="19" t="s">
        <v>450</v>
      </c>
    </row>
    <row r="367" spans="1:4" x14ac:dyDescent="0.35">
      <c r="A367" s="16" t="s">
        <v>32</v>
      </c>
      <c r="B367" s="17" t="s">
        <v>448</v>
      </c>
      <c r="C367" s="18">
        <f t="shared" si="16"/>
        <v>348</v>
      </c>
      <c r="D367" s="19" t="s">
        <v>54</v>
      </c>
    </row>
  </sheetData>
  <autoFilter ref="A3:D367"/>
  <mergeCells count="17">
    <mergeCell ref="A347:D347"/>
    <mergeCell ref="A246:D246"/>
    <mergeCell ref="A190:D190"/>
    <mergeCell ref="A111:D111"/>
    <mergeCell ref="A126:D126"/>
    <mergeCell ref="A136:D136"/>
    <mergeCell ref="A157:D157"/>
    <mergeCell ref="A181:D181"/>
    <mergeCell ref="A304:D304"/>
    <mergeCell ref="B1:D1"/>
    <mergeCell ref="A56:D56"/>
    <mergeCell ref="A37:D37"/>
    <mergeCell ref="A231:D231"/>
    <mergeCell ref="A221:D221"/>
    <mergeCell ref="A210:D210"/>
    <mergeCell ref="A86:D86"/>
    <mergeCell ref="A4:D4"/>
  </mergeCells>
  <dataValidations disablePrompts="1" count="3">
    <dataValidation type="list" allowBlank="1" showInputMessage="1" showErrorMessage="1" prompt="Include Risk Event for evaluation?" sqref="A5:A36 A127:A135 A137:A156 A158:A180 A112:A125 A87:A110 A57:A85 A38:A55 A305:A346 A232:A303 A182:A209 A211:A220 A222:A230 A348:A367">
      <formula1>Include</formula1>
    </dataValidation>
    <dataValidation type="list" allowBlank="1" showInputMessage="1" showErrorMessage="1" sqref="B112:B125 B5:B36 B305:B346 B57:B85 B137:B156 B158:B180 B87:B110 B127:B135 B38:B55 B232:B303 B182:B209 B222:B230 B211:B220 B348:B367">
      <formula1>RTA</formula1>
    </dataValidation>
    <dataValidation type="list" allowBlank="1" showInputMessage="1" showErrorMessage="1" sqref="C246 C56">
      <formula1>RT</formula1>
    </dataValidation>
  </dataValidations>
  <pageMargins left="0.25" right="0.25" top="0.25" bottom="0.5" header="0.25" footer="0.25"/>
  <pageSetup scale="84" fitToHeight="0" orientation="portrait" horizontalDpi="1200" verticalDpi="1200" r:id="rId1"/>
  <headerFooter>
    <oddFooter>&amp;CPage &amp;P of &amp;N</oddFooter>
  </headerFooter>
  <rowBreaks count="2" manualBreakCount="2">
    <brk id="55" min="1" max="3" man="1"/>
    <brk id="156" min="1" max="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43</vt:i4>
      </vt:variant>
    </vt:vector>
  </HeadingPairs>
  <TitlesOfParts>
    <vt:vector size="66" baseType="lpstr">
      <vt:lpstr>0-Change Control Log</vt:lpstr>
      <vt:lpstr>1-Drop Down List</vt:lpstr>
      <vt:lpstr>DLS Notes on Changes</vt:lpstr>
      <vt:lpstr>2-Risk Register Legend</vt:lpstr>
      <vt:lpstr>&lt;---Reference Info</vt:lpstr>
      <vt:lpstr>A-Quick Instructions</vt:lpstr>
      <vt:lpstr>B-Meeting Agenda</vt:lpstr>
      <vt:lpstr>C1-Risk Checklist (MILCON)</vt:lpstr>
      <vt:lpstr>C2-Risk Checklist (Civil Works)</vt:lpstr>
      <vt:lpstr>D-Project Data</vt:lpstr>
      <vt:lpstr>E-Cost &amp; Schedule Summary</vt:lpstr>
      <vt:lpstr>E-Cost &amp; Sched Summary (v2)</vt:lpstr>
      <vt:lpstr>F-Meeting Attendance</vt:lpstr>
      <vt:lpstr>G-Assumptions</vt:lpstr>
      <vt:lpstr>H-Risk Register-Model</vt:lpstr>
      <vt:lpstr>I-Project Contingency</vt:lpstr>
      <vt:lpstr>J-Sensitivity Charts</vt:lpstr>
      <vt:lpstr>K1-Risk Dashboard (Cost)</vt:lpstr>
      <vt:lpstr>K2-Risk Dashboard (Schedule)</vt:lpstr>
      <vt:lpstr>Optional Sheets--&gt;</vt:lpstr>
      <vt:lpstr>L-CHARTS FOR REPORT</vt:lpstr>
      <vt:lpstr>E1-Estimate Summary</vt:lpstr>
      <vt:lpstr>REF Risk Detail Template</vt:lpstr>
      <vt:lpstr>APC</vt:lpstr>
      <vt:lpstr>CW_WBS</vt:lpstr>
      <vt:lpstr>Distri</vt:lpstr>
      <vt:lpstr>Impact</vt:lpstr>
      <vt:lpstr>Include</vt:lpstr>
      <vt:lpstr>LikeH</vt:lpstr>
      <vt:lpstr>MILCON_WBS</vt:lpstr>
      <vt:lpstr>PD</vt:lpstr>
      <vt:lpstr>POC</vt:lpstr>
      <vt:lpstr>'0-Change Control Log'!Print_Area</vt:lpstr>
      <vt:lpstr>'1-Drop Down List'!Print_Area</vt:lpstr>
      <vt:lpstr>'2-Risk Register Legend'!Print_Area</vt:lpstr>
      <vt:lpstr>'A-Quick Instructions'!Print_Area</vt:lpstr>
      <vt:lpstr>'C1-Risk Checklist (MILCON)'!Print_Area</vt:lpstr>
      <vt:lpstr>'C2-Risk Checklist (Civil Works)'!Print_Area</vt:lpstr>
      <vt:lpstr>'E1-Estimate Summary'!Print_Area</vt:lpstr>
      <vt:lpstr>'E-Cost &amp; Schedule Summary'!Print_Area</vt:lpstr>
      <vt:lpstr>'G-Assumptions'!Print_Area</vt:lpstr>
      <vt:lpstr>'H-Risk Register-Model'!Print_Area</vt:lpstr>
      <vt:lpstr>'I-Project Contingency'!Print_Area</vt:lpstr>
      <vt:lpstr>'J-Sensitivity Charts'!Print_Area</vt:lpstr>
      <vt:lpstr>'K1-Risk Dashboard (Cost)'!Print_Area</vt:lpstr>
      <vt:lpstr>'K2-Risk Dashboard (Schedule)'!Print_Area</vt:lpstr>
      <vt:lpstr>'0-Change Control Log'!Print_Titles</vt:lpstr>
      <vt:lpstr>'1-Drop Down List'!Print_Titles</vt:lpstr>
      <vt:lpstr>'2-Risk Register Legend'!Print_Titles</vt:lpstr>
      <vt:lpstr>'A-Quick Instructions'!Print_Titles</vt:lpstr>
      <vt:lpstr>'B-Meeting Agenda'!Print_Titles</vt:lpstr>
      <vt:lpstr>'C1-Risk Checklist (MILCON)'!Print_Titles</vt:lpstr>
      <vt:lpstr>'C2-Risk Checklist (Civil Works)'!Print_Titles</vt:lpstr>
      <vt:lpstr>'E1-Estimate Summary'!Print_Titles</vt:lpstr>
      <vt:lpstr>'E-Cost &amp; Sched Summary (v2)'!Print_Titles</vt:lpstr>
      <vt:lpstr>'E-Cost &amp; Schedule Summary'!Print_Titles</vt:lpstr>
      <vt:lpstr>'F-Meeting Attendance'!Print_Titles</vt:lpstr>
      <vt:lpstr>'H-Risk Register-Model'!Print_Titles</vt:lpstr>
      <vt:lpstr>'I-Project Contingency'!Print_Titles</vt:lpstr>
      <vt:lpstr>'J-Sensitivity Charts'!Print_Titles</vt:lpstr>
      <vt:lpstr>'K1-Risk Dashboard (Cost)'!Print_Titles</vt:lpstr>
      <vt:lpstr>'K2-Risk Dashboard (Schedule)'!Print_Titles</vt:lpstr>
      <vt:lpstr>'L-CHARTS FOR REPORT'!Print_Titles</vt:lpstr>
      <vt:lpstr>'REF Risk Detail Template'!Print_Titles</vt:lpstr>
      <vt:lpstr>PROGRAM</vt:lpstr>
      <vt:lpstr>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Dustin Sawyers</dc:creator>
  <cp:lastModifiedBy>Kennedy, Ashley L CIV NAVFAC Atlantic, CI</cp:lastModifiedBy>
  <cp:lastPrinted>2024-01-22T16:42:15Z</cp:lastPrinted>
  <dcterms:created xsi:type="dcterms:W3CDTF">2022-03-30T12:48:30Z</dcterms:created>
  <dcterms:modified xsi:type="dcterms:W3CDTF">2024-04-08T10:45:55Z</dcterms:modified>
</cp:coreProperties>
</file>